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defaultThemeVersion="153222"/>
  <mc:AlternateContent xmlns:mc="http://schemas.openxmlformats.org/markup-compatibility/2006">
    <mc:Choice Requires="x15">
      <x15ac:absPath xmlns:x15ac="http://schemas.microsoft.com/office/spreadsheetml/2010/11/ac" url="C:\Users\User\Dropbox\Production\BUTTON PRODUCTION PLANT\Complete batch overview reports\"/>
    </mc:Choice>
  </mc:AlternateContent>
  <bookViews>
    <workbookView xWindow="0" yWindow="465" windowWidth="23760" windowHeight="12120" activeTab="2"/>
  </bookViews>
  <sheets>
    <sheet name="Batch 2018" sheetId="5" r:id="rId1"/>
    <sheet name="Batches" sheetId="1" r:id="rId2"/>
    <sheet name="yield over time" sheetId="3" r:id="rId3"/>
    <sheet name="Yearly data" sheetId="7" r:id="rId4"/>
    <sheet name="yield per dry straw" sheetId="2" r:id="rId5"/>
    <sheet name="yields in kg" sheetId="4" r:id="rId6"/>
    <sheet name="Sheet1" sheetId="6"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72" i="1" l="1"/>
  <c r="EN27" i="3" l="1"/>
  <c r="EN26" i="3"/>
  <c r="EN22" i="3"/>
  <c r="EN20" i="3"/>
  <c r="EN18" i="3"/>
  <c r="EN16" i="3"/>
  <c r="EN14" i="3"/>
  <c r="EN11" i="3"/>
  <c r="EN10" i="3"/>
  <c r="EN23" i="3" s="1"/>
  <c r="EN24" i="3" s="1"/>
  <c r="EN8" i="3"/>
  <c r="N2881" i="1"/>
  <c r="M2881" i="1"/>
  <c r="L2881" i="1"/>
  <c r="K2881" i="1"/>
  <c r="O2881" i="1" s="1"/>
  <c r="G2881" i="1"/>
  <c r="F2881" i="1"/>
  <c r="E2881" i="1"/>
  <c r="D2881" i="1"/>
  <c r="H2881" i="1" s="1"/>
  <c r="N2880" i="1"/>
  <c r="M2880" i="1"/>
  <c r="L2880" i="1"/>
  <c r="K2880" i="1"/>
  <c r="O2880" i="1" s="1"/>
  <c r="G2880" i="1"/>
  <c r="F2880" i="1"/>
  <c r="E2880" i="1"/>
  <c r="D2880" i="1"/>
  <c r="H2880" i="1" s="1"/>
  <c r="N2879" i="1"/>
  <c r="M2879" i="1"/>
  <c r="L2879" i="1"/>
  <c r="K2879" i="1"/>
  <c r="O2879" i="1" s="1"/>
  <c r="G2879" i="1"/>
  <c r="F2879" i="1"/>
  <c r="E2879" i="1"/>
  <c r="D2879" i="1"/>
  <c r="H2879" i="1" s="1"/>
  <c r="N2878" i="1"/>
  <c r="M2878" i="1"/>
  <c r="L2878" i="1"/>
  <c r="K2878" i="1"/>
  <c r="O2878" i="1" s="1"/>
  <c r="G2878" i="1"/>
  <c r="F2878" i="1"/>
  <c r="E2878" i="1"/>
  <c r="D2878" i="1"/>
  <c r="H2878" i="1" s="1"/>
  <c r="O2877" i="1"/>
  <c r="H2877" i="1"/>
  <c r="O2876" i="1"/>
  <c r="H2876" i="1"/>
  <c r="B2868" i="1"/>
  <c r="B2870" i="1" s="1"/>
  <c r="B2867" i="1" s="1"/>
  <c r="M2866" i="1"/>
  <c r="H2866" i="1"/>
  <c r="B2866" i="1"/>
  <c r="M2865" i="1"/>
  <c r="M2864" i="1"/>
  <c r="N2857" i="1"/>
  <c r="M2857" i="1"/>
  <c r="L2857" i="1"/>
  <c r="K2857" i="1"/>
  <c r="O2857" i="1" s="1"/>
  <c r="G2857" i="1"/>
  <c r="F2857" i="1"/>
  <c r="E2857" i="1"/>
  <c r="D2857" i="1"/>
  <c r="H2857" i="1" s="1"/>
  <c r="N2856" i="1"/>
  <c r="M2856" i="1"/>
  <c r="L2856" i="1"/>
  <c r="K2856" i="1"/>
  <c r="O2856" i="1" s="1"/>
  <c r="G2856" i="1"/>
  <c r="F2856" i="1"/>
  <c r="E2856" i="1"/>
  <c r="D2856" i="1"/>
  <c r="H2856" i="1" s="1"/>
  <c r="N2855" i="1"/>
  <c r="M2855" i="1"/>
  <c r="L2855" i="1"/>
  <c r="K2855" i="1"/>
  <c r="O2855" i="1" s="1"/>
  <c r="G2855" i="1"/>
  <c r="F2855" i="1"/>
  <c r="E2855" i="1"/>
  <c r="D2855" i="1"/>
  <c r="H2855" i="1" s="1"/>
  <c r="N2854" i="1"/>
  <c r="M2854" i="1"/>
  <c r="L2854" i="1"/>
  <c r="K2854" i="1"/>
  <c r="O2854" i="1" s="1"/>
  <c r="G2854" i="1"/>
  <c r="F2854" i="1"/>
  <c r="E2854" i="1"/>
  <c r="D2854" i="1"/>
  <c r="H2854" i="1" s="1"/>
  <c r="O2853" i="1"/>
  <c r="H2853" i="1"/>
  <c r="O2852" i="1"/>
  <c r="H2852" i="1"/>
  <c r="B2846" i="1"/>
  <c r="B2843" i="1" s="1"/>
  <c r="B2844" i="1"/>
  <c r="M2842" i="1"/>
  <c r="H2842" i="1"/>
  <c r="B2842" i="1"/>
  <c r="M2841" i="1"/>
  <c r="M2840" i="1"/>
  <c r="L2835" i="1"/>
  <c r="F2835" i="1"/>
  <c r="N2834" i="1"/>
  <c r="D2834" i="1"/>
  <c r="H2834" i="1" s="1"/>
  <c r="N2833" i="1"/>
  <c r="M2833" i="1"/>
  <c r="L2833" i="1"/>
  <c r="K2833" i="1"/>
  <c r="O2833" i="1" s="1"/>
  <c r="G2833" i="1"/>
  <c r="F2833" i="1"/>
  <c r="E2833" i="1"/>
  <c r="D2833" i="1"/>
  <c r="H2833" i="1" s="1"/>
  <c r="N2832" i="1"/>
  <c r="M2832" i="1"/>
  <c r="L2832" i="1"/>
  <c r="K2832" i="1"/>
  <c r="O2832" i="1" s="1"/>
  <c r="G2832" i="1"/>
  <c r="F2832" i="1"/>
  <c r="E2832" i="1"/>
  <c r="D2832" i="1"/>
  <c r="H2832" i="1" s="1"/>
  <c r="N2831" i="1"/>
  <c r="M2831" i="1"/>
  <c r="L2831" i="1"/>
  <c r="K2831" i="1"/>
  <c r="O2831" i="1" s="1"/>
  <c r="G2831" i="1"/>
  <c r="F2831" i="1"/>
  <c r="E2831" i="1"/>
  <c r="D2831" i="1"/>
  <c r="H2831" i="1" s="1"/>
  <c r="N2830" i="1"/>
  <c r="M2830" i="1"/>
  <c r="L2830" i="1"/>
  <c r="K2830" i="1"/>
  <c r="O2830" i="1" s="1"/>
  <c r="G2830" i="1"/>
  <c r="F2830" i="1"/>
  <c r="E2830" i="1"/>
  <c r="D2830" i="1"/>
  <c r="H2830" i="1" s="1"/>
  <c r="O2829" i="1"/>
  <c r="H2829" i="1"/>
  <c r="O2828" i="1"/>
  <c r="H2828" i="1"/>
  <c r="B2822" i="1"/>
  <c r="B2820" i="1"/>
  <c r="B2819" i="1"/>
  <c r="K2835" i="1" s="1"/>
  <c r="O2835" i="1" s="1"/>
  <c r="M2818" i="1"/>
  <c r="H2818" i="1"/>
  <c r="B2818" i="1"/>
  <c r="M2817" i="1"/>
  <c r="M2816" i="1"/>
  <c r="N2809" i="1"/>
  <c r="M2809" i="1"/>
  <c r="L2809" i="1"/>
  <c r="K2809" i="1"/>
  <c r="O2809" i="1" s="1"/>
  <c r="G2809" i="1"/>
  <c r="F2809" i="1"/>
  <c r="E2809" i="1"/>
  <c r="D2809" i="1"/>
  <c r="H2809" i="1" s="1"/>
  <c r="N2808" i="1"/>
  <c r="M2808" i="1"/>
  <c r="L2808" i="1"/>
  <c r="K2808" i="1"/>
  <c r="O2808" i="1" s="1"/>
  <c r="G2808" i="1"/>
  <c r="F2808" i="1"/>
  <c r="E2808" i="1"/>
  <c r="D2808" i="1"/>
  <c r="H2808" i="1" s="1"/>
  <c r="N2807" i="1"/>
  <c r="M2807" i="1"/>
  <c r="L2807" i="1"/>
  <c r="K2807" i="1"/>
  <c r="O2807" i="1" s="1"/>
  <c r="G2807" i="1"/>
  <c r="F2807" i="1"/>
  <c r="E2807" i="1"/>
  <c r="D2807" i="1"/>
  <c r="H2807" i="1" s="1"/>
  <c r="N2806" i="1"/>
  <c r="M2806" i="1"/>
  <c r="L2806" i="1"/>
  <c r="K2806" i="1"/>
  <c r="O2806" i="1" s="1"/>
  <c r="G2806" i="1"/>
  <c r="F2806" i="1"/>
  <c r="E2806" i="1"/>
  <c r="D2806" i="1"/>
  <c r="H2806" i="1" s="1"/>
  <c r="O2805" i="1"/>
  <c r="H2805" i="1"/>
  <c r="O2804" i="1"/>
  <c r="H2804" i="1"/>
  <c r="B2796" i="1"/>
  <c r="B2798" i="1" s="1"/>
  <c r="B2795" i="1" s="1"/>
  <c r="H2794" i="1"/>
  <c r="B2794" i="1"/>
  <c r="M2794" i="1" s="1"/>
  <c r="M2793" i="1"/>
  <c r="M2792" i="1"/>
  <c r="K2883" i="1" l="1"/>
  <c r="O2883" i="1" s="1"/>
  <c r="E2883" i="1"/>
  <c r="M2882" i="1"/>
  <c r="G2882" i="1"/>
  <c r="N2882" i="1"/>
  <c r="N2883" i="1"/>
  <c r="D2883" i="1"/>
  <c r="H2883" i="1" s="1"/>
  <c r="L2882" i="1"/>
  <c r="F2882" i="1"/>
  <c r="F2883" i="1"/>
  <c r="D2882" i="1"/>
  <c r="H2882" i="1" s="1"/>
  <c r="M2883" i="1"/>
  <c r="G2883" i="1"/>
  <c r="K2882" i="1"/>
  <c r="O2882" i="1" s="1"/>
  <c r="E2882" i="1"/>
  <c r="L2883" i="1"/>
  <c r="K2859" i="1"/>
  <c r="O2859" i="1" s="1"/>
  <c r="E2859" i="1"/>
  <c r="M2858" i="1"/>
  <c r="G2858" i="1"/>
  <c r="N2859" i="1"/>
  <c r="D2859" i="1"/>
  <c r="H2859" i="1" s="1"/>
  <c r="L2858" i="1"/>
  <c r="F2858" i="1"/>
  <c r="M2859" i="1"/>
  <c r="G2859" i="1"/>
  <c r="K2858" i="1"/>
  <c r="O2858" i="1" s="1"/>
  <c r="E2858" i="1"/>
  <c r="L2859" i="1"/>
  <c r="F2859" i="1"/>
  <c r="N2858" i="1"/>
  <c r="D2858" i="1"/>
  <c r="H2858" i="1" s="1"/>
  <c r="K2834" i="1"/>
  <c r="O2834" i="1" s="1"/>
  <c r="M2835" i="1"/>
  <c r="F2834" i="1"/>
  <c r="L2834" i="1"/>
  <c r="D2835" i="1"/>
  <c r="H2835" i="1" s="1"/>
  <c r="N2835" i="1"/>
  <c r="E2834" i="1"/>
  <c r="G2835" i="1"/>
  <c r="G2834" i="1"/>
  <c r="M2834" i="1"/>
  <c r="E2835" i="1"/>
  <c r="N2811" i="1"/>
  <c r="M2811" i="1"/>
  <c r="G2811" i="1"/>
  <c r="K2810" i="1"/>
  <c r="O2810" i="1" s="1"/>
  <c r="E2810" i="1"/>
  <c r="G2810" i="1"/>
  <c r="F2810" i="1"/>
  <c r="L2811" i="1"/>
  <c r="F2811" i="1"/>
  <c r="N2810" i="1"/>
  <c r="D2810" i="1"/>
  <c r="H2810" i="1" s="1"/>
  <c r="K2811" i="1"/>
  <c r="O2811" i="1" s="1"/>
  <c r="E2811" i="1"/>
  <c r="M2810" i="1"/>
  <c r="D2811" i="1"/>
  <c r="H2811" i="1" s="1"/>
  <c r="L2810" i="1"/>
  <c r="K2616" i="1"/>
  <c r="L2616" i="1"/>
  <c r="M2616" i="1"/>
  <c r="F7" i="7" l="1"/>
  <c r="F11" i="7"/>
  <c r="F10" i="7"/>
  <c r="EL55" i="3"/>
  <c r="EM55" i="3"/>
  <c r="EL56" i="3"/>
  <c r="EM56" i="3"/>
  <c r="EL60" i="3"/>
  <c r="EM60" i="3"/>
  <c r="EM58" i="3" s="1"/>
  <c r="EM57" i="3" s="1"/>
  <c r="EL61" i="3"/>
  <c r="EL65" i="3" s="1"/>
  <c r="EM61" i="3"/>
  <c r="EM65" i="3" s="1"/>
  <c r="EL62" i="3"/>
  <c r="EM62" i="3"/>
  <c r="EL64" i="3"/>
  <c r="EL66" i="3" s="1"/>
  <c r="EM64" i="3"/>
  <c r="EM66" i="3" s="1"/>
  <c r="EL68" i="3"/>
  <c r="EM68" i="3"/>
  <c r="EM78" i="3" s="1"/>
  <c r="EM81" i="3" s="1"/>
  <c r="EL72" i="3"/>
  <c r="EL78" i="3" s="1"/>
  <c r="EL81" i="3" s="1"/>
  <c r="EM72" i="3"/>
  <c r="EL76" i="3"/>
  <c r="EM76" i="3"/>
  <c r="H4" i="7"/>
  <c r="H3" i="7"/>
  <c r="H5" i="7" s="1"/>
  <c r="F5" i="7"/>
  <c r="EM19" i="3"/>
  <c r="EM18" i="3"/>
  <c r="EM20" i="3" s="1"/>
  <c r="EM15" i="3"/>
  <c r="EM14" i="3"/>
  <c r="EM16" i="3" s="1"/>
  <c r="EM10" i="3"/>
  <c r="EM11" i="3"/>
  <c r="EM8" i="3"/>
  <c r="EL58" i="3" l="1"/>
  <c r="EL57" i="3" s="1"/>
  <c r="EM22" i="3"/>
  <c r="EM23" i="3" s="1"/>
  <c r="EL19" i="3"/>
  <c r="EL18" i="3"/>
  <c r="EL20" i="3" s="1"/>
  <c r="EL15" i="3"/>
  <c r="EL14" i="3"/>
  <c r="EL16" i="3" s="1"/>
  <c r="EO7" i="3"/>
  <c r="EO6" i="3"/>
  <c r="EN6" i="3"/>
  <c r="EL11" i="3"/>
  <c r="EL10" i="3"/>
  <c r="EL8" i="3"/>
  <c r="G2785" i="1"/>
  <c r="F2785" i="1"/>
  <c r="E2785" i="1"/>
  <c r="D2785" i="1"/>
  <c r="H2785" i="1" s="1"/>
  <c r="G2784" i="1"/>
  <c r="F2784" i="1"/>
  <c r="E2784" i="1"/>
  <c r="D2784" i="1"/>
  <c r="H2784" i="1" s="1"/>
  <c r="G2783" i="1"/>
  <c r="F2783" i="1"/>
  <c r="E2783" i="1"/>
  <c r="D2783" i="1"/>
  <c r="H2783" i="1" s="1"/>
  <c r="G2782" i="1"/>
  <c r="F2782" i="1"/>
  <c r="E2782" i="1"/>
  <c r="D2782" i="1"/>
  <c r="H2782" i="1" s="1"/>
  <c r="H2781" i="1"/>
  <c r="H2780" i="1"/>
  <c r="B2774" i="1"/>
  <c r="H2770" i="1"/>
  <c r="B2770" i="1"/>
  <c r="M2770" i="1" s="1"/>
  <c r="M2769" i="1"/>
  <c r="M2768" i="1"/>
  <c r="G2761" i="1"/>
  <c r="F2761" i="1"/>
  <c r="E2761" i="1"/>
  <c r="D2761" i="1"/>
  <c r="G2760" i="1"/>
  <c r="F2760" i="1"/>
  <c r="E2760" i="1"/>
  <c r="D2760" i="1"/>
  <c r="G2759" i="1"/>
  <c r="F2759" i="1"/>
  <c r="E2759" i="1"/>
  <c r="D2759" i="1"/>
  <c r="G2758" i="1"/>
  <c r="F2758" i="1"/>
  <c r="E2758" i="1"/>
  <c r="D2758" i="1"/>
  <c r="H2757" i="1"/>
  <c r="H2756" i="1"/>
  <c r="B2748" i="1"/>
  <c r="B2750" i="1" s="1"/>
  <c r="H2746" i="1"/>
  <c r="B2746" i="1"/>
  <c r="M2746" i="1" s="1"/>
  <c r="M2745" i="1"/>
  <c r="M2744" i="1"/>
  <c r="H2759" i="1" l="1"/>
  <c r="H2761" i="1"/>
  <c r="H2758" i="1"/>
  <c r="H2760" i="1"/>
  <c r="EL22" i="3"/>
  <c r="EL23" i="3" s="1"/>
  <c r="EN7" i="3"/>
  <c r="B2747" i="1"/>
  <c r="B2771" i="1"/>
  <c r="E2787" i="1" s="1"/>
  <c r="E2786" i="1" l="1"/>
  <c r="G2762" i="1"/>
  <c r="EN9" i="3"/>
  <c r="G2763" i="1"/>
  <c r="D2763" i="1"/>
  <c r="F2762" i="1"/>
  <c r="F2763" i="1"/>
  <c r="D2762" i="1"/>
  <c r="E2762" i="1"/>
  <c r="D2786" i="1"/>
  <c r="F2786" i="1"/>
  <c r="E2763" i="1"/>
  <c r="G2786" i="1"/>
  <c r="F2787" i="1"/>
  <c r="G2787" i="1"/>
  <c r="D2787" i="1"/>
  <c r="H2787" i="1" s="1"/>
  <c r="H2786" i="1" l="1"/>
  <c r="H2763" i="1"/>
  <c r="H2762" i="1"/>
  <c r="EO4" i="3"/>
  <c r="EP4" i="3" s="1"/>
  <c r="EQ4" i="3" s="1"/>
  <c r="ER4" i="3" s="1"/>
  <c r="ES4" i="3" s="1"/>
  <c r="EI15" i="3" l="1"/>
  <c r="EI14" i="3"/>
  <c r="EJ19" i="3"/>
  <c r="EJ18" i="3"/>
  <c r="EJ15" i="3"/>
  <c r="EJ14" i="3"/>
  <c r="EK19" i="3"/>
  <c r="EK18" i="3"/>
  <c r="EK15" i="3"/>
  <c r="EK14" i="3"/>
  <c r="EK16" i="3" s="1"/>
  <c r="EK60" i="3" s="1"/>
  <c r="EK11" i="3"/>
  <c r="EK10" i="3"/>
  <c r="EK8" i="3"/>
  <c r="EK20" i="3" l="1"/>
  <c r="EK61" i="3" s="1"/>
  <c r="EK65" i="3" s="1"/>
  <c r="EK64" i="3"/>
  <c r="EM6" i="3"/>
  <c r="EL6" i="3"/>
  <c r="EK6" i="3"/>
  <c r="N2737" i="1"/>
  <c r="M2737" i="1"/>
  <c r="L2737" i="1"/>
  <c r="K2737" i="1"/>
  <c r="G2737" i="1"/>
  <c r="F2737" i="1"/>
  <c r="E2737" i="1"/>
  <c r="D2737" i="1"/>
  <c r="N2736" i="1"/>
  <c r="M2736" i="1"/>
  <c r="L2736" i="1"/>
  <c r="K2736" i="1"/>
  <c r="G2736" i="1"/>
  <c r="F2736" i="1"/>
  <c r="E2736" i="1"/>
  <c r="D2736" i="1"/>
  <c r="N2735" i="1"/>
  <c r="M2735" i="1"/>
  <c r="L2735" i="1"/>
  <c r="K2735" i="1"/>
  <c r="G2735" i="1"/>
  <c r="F2735" i="1"/>
  <c r="E2735" i="1"/>
  <c r="D2735" i="1"/>
  <c r="N2734" i="1"/>
  <c r="M2734" i="1"/>
  <c r="L2734" i="1"/>
  <c r="K2734" i="1"/>
  <c r="G2734" i="1"/>
  <c r="F2734" i="1"/>
  <c r="E2734" i="1"/>
  <c r="D2734" i="1"/>
  <c r="O2733" i="1"/>
  <c r="H2733" i="1"/>
  <c r="O2732" i="1"/>
  <c r="H2732" i="1"/>
  <c r="B2724" i="1"/>
  <c r="B2726" i="1" s="1"/>
  <c r="H2722" i="1"/>
  <c r="B2722" i="1"/>
  <c r="EM7" i="3" s="1"/>
  <c r="EM26" i="3" s="1"/>
  <c r="M2721" i="1"/>
  <c r="M2720" i="1"/>
  <c r="N2713" i="1"/>
  <c r="M2713" i="1"/>
  <c r="L2713" i="1"/>
  <c r="K2713" i="1"/>
  <c r="G2713" i="1"/>
  <c r="F2713" i="1"/>
  <c r="E2713" i="1"/>
  <c r="D2713" i="1"/>
  <c r="H2713" i="1" s="1"/>
  <c r="N2712" i="1"/>
  <c r="M2712" i="1"/>
  <c r="L2712" i="1"/>
  <c r="K2712" i="1"/>
  <c r="G2712" i="1"/>
  <c r="F2712" i="1"/>
  <c r="E2712" i="1"/>
  <c r="D2712" i="1"/>
  <c r="N2711" i="1"/>
  <c r="M2711" i="1"/>
  <c r="L2711" i="1"/>
  <c r="K2711" i="1"/>
  <c r="G2711" i="1"/>
  <c r="F2711" i="1"/>
  <c r="E2711" i="1"/>
  <c r="D2711" i="1"/>
  <c r="H2711" i="1" s="1"/>
  <c r="N2710" i="1"/>
  <c r="M2710" i="1"/>
  <c r="L2710" i="1"/>
  <c r="K2710" i="1"/>
  <c r="G2710" i="1"/>
  <c r="F2710" i="1"/>
  <c r="E2710" i="1"/>
  <c r="D2710" i="1"/>
  <c r="O2709" i="1"/>
  <c r="H2709" i="1"/>
  <c r="O2708" i="1"/>
  <c r="H2708" i="1"/>
  <c r="B2700" i="1"/>
  <c r="B2702" i="1" s="1"/>
  <c r="H2698" i="1"/>
  <c r="B2698" i="1"/>
  <c r="EL7" i="3" s="1"/>
  <c r="EL26" i="3" s="1"/>
  <c r="M2697" i="1"/>
  <c r="M2696" i="1"/>
  <c r="N2689" i="1"/>
  <c r="M2689" i="1"/>
  <c r="L2689" i="1"/>
  <c r="K2689" i="1"/>
  <c r="G2689" i="1"/>
  <c r="F2689" i="1"/>
  <c r="E2689" i="1"/>
  <c r="D2689" i="1"/>
  <c r="N2688" i="1"/>
  <c r="M2688" i="1"/>
  <c r="L2688" i="1"/>
  <c r="K2688" i="1"/>
  <c r="G2688" i="1"/>
  <c r="F2688" i="1"/>
  <c r="E2688" i="1"/>
  <c r="D2688" i="1"/>
  <c r="N2687" i="1"/>
  <c r="M2687" i="1"/>
  <c r="L2687" i="1"/>
  <c r="K2687" i="1"/>
  <c r="G2687" i="1"/>
  <c r="F2687" i="1"/>
  <c r="E2687" i="1"/>
  <c r="D2687" i="1"/>
  <c r="N2686" i="1"/>
  <c r="M2686" i="1"/>
  <c r="L2686" i="1"/>
  <c r="K2686" i="1"/>
  <c r="G2686" i="1"/>
  <c r="F2686" i="1"/>
  <c r="E2686" i="1"/>
  <c r="D2686" i="1"/>
  <c r="O2685" i="1"/>
  <c r="H2685" i="1"/>
  <c r="O2684" i="1"/>
  <c r="H2684" i="1"/>
  <c r="B2676" i="1"/>
  <c r="B2678" i="1" s="1"/>
  <c r="H2674" i="1"/>
  <c r="B2674" i="1"/>
  <c r="EK7" i="3" s="1"/>
  <c r="EK26" i="3" s="1"/>
  <c r="M2673" i="1"/>
  <c r="M2672" i="1"/>
  <c r="EL27" i="3" l="1"/>
  <c r="EL24" i="3"/>
  <c r="EM27" i="3"/>
  <c r="EM24" i="3"/>
  <c r="O2711" i="1"/>
  <c r="O2713" i="1"/>
  <c r="O2734" i="1"/>
  <c r="O2736" i="1"/>
  <c r="H2734" i="1"/>
  <c r="H2736" i="1"/>
  <c r="O2735" i="1"/>
  <c r="O2737" i="1"/>
  <c r="H2735" i="1"/>
  <c r="H2737" i="1"/>
  <c r="O2712" i="1"/>
  <c r="O2710" i="1"/>
  <c r="H2710" i="1"/>
  <c r="H2712" i="1"/>
  <c r="EK55" i="3"/>
  <c r="EK58" i="3" s="1"/>
  <c r="EK62" i="3"/>
  <c r="EK66" i="3"/>
  <c r="EK27" i="3"/>
  <c r="EK56" i="3" s="1"/>
  <c r="EK22" i="3"/>
  <c r="EK23" i="3" s="1"/>
  <c r="EK24" i="3" s="1"/>
  <c r="M2698" i="1"/>
  <c r="B2699" i="1"/>
  <c r="O2686" i="1"/>
  <c r="O2688" i="1"/>
  <c r="H2686" i="1"/>
  <c r="H2688" i="1"/>
  <c r="O2687" i="1"/>
  <c r="O2689" i="1"/>
  <c r="H2687" i="1"/>
  <c r="H2689" i="1"/>
  <c r="B2723" i="1"/>
  <c r="M2722" i="1"/>
  <c r="M2674" i="1"/>
  <c r="B2675" i="1"/>
  <c r="G2690" i="1"/>
  <c r="D2691" i="1"/>
  <c r="F2714" i="1" l="1"/>
  <c r="EL9" i="3"/>
  <c r="EK57" i="3"/>
  <c r="G2738" i="1"/>
  <c r="EM9" i="3"/>
  <c r="N2738" i="1"/>
  <c r="M2738" i="1"/>
  <c r="K2739" i="1"/>
  <c r="E2715" i="1"/>
  <c r="M2715" i="1"/>
  <c r="L2714" i="1"/>
  <c r="M2714" i="1"/>
  <c r="K2715" i="1"/>
  <c r="K2714" i="1"/>
  <c r="G2714" i="1"/>
  <c r="D2714" i="1"/>
  <c r="D2715" i="1"/>
  <c r="N2715" i="1"/>
  <c r="F2739" i="1"/>
  <c r="E2739" i="1"/>
  <c r="N2714" i="1"/>
  <c r="K2691" i="1"/>
  <c r="EK9" i="3"/>
  <c r="D2738" i="1"/>
  <c r="L2739" i="1"/>
  <c r="F2738" i="1"/>
  <c r="L2738" i="1"/>
  <c r="D2739" i="1"/>
  <c r="F2715" i="1"/>
  <c r="N2739" i="1"/>
  <c r="L2715" i="1"/>
  <c r="E2714" i="1"/>
  <c r="E2738" i="1"/>
  <c r="K2738" i="1"/>
  <c r="G2715" i="1"/>
  <c r="G2739" i="1"/>
  <c r="M2739" i="1"/>
  <c r="L2690" i="1"/>
  <c r="K2690" i="1"/>
  <c r="L2691" i="1"/>
  <c r="G2691" i="1"/>
  <c r="N2690" i="1"/>
  <c r="N2691" i="1"/>
  <c r="E2691" i="1"/>
  <c r="E2690" i="1"/>
  <c r="F2691" i="1"/>
  <c r="M2690" i="1"/>
  <c r="F2690" i="1"/>
  <c r="D2690" i="1"/>
  <c r="M2691" i="1"/>
  <c r="O2738" i="1" l="1"/>
  <c r="H2690" i="1"/>
  <c r="H2739" i="1"/>
  <c r="O2739" i="1"/>
  <c r="H2738" i="1"/>
  <c r="H2714" i="1"/>
  <c r="O2714" i="1"/>
  <c r="H2715" i="1"/>
  <c r="O2715" i="1"/>
  <c r="O2690" i="1"/>
  <c r="O2691" i="1"/>
  <c r="H2691" i="1"/>
  <c r="EI19" i="3"/>
  <c r="EI18" i="3"/>
  <c r="EI11" i="3"/>
  <c r="EI10" i="3"/>
  <c r="EI8" i="3"/>
  <c r="EI20" i="3" l="1"/>
  <c r="EJ20" i="3"/>
  <c r="EJ16" i="3"/>
  <c r="EI16" i="3"/>
  <c r="EJ11" i="3"/>
  <c r="EJ10" i="3"/>
  <c r="EJ8" i="3"/>
  <c r="K2590" i="1"/>
  <c r="EJ61" i="3" l="1"/>
  <c r="EJ60" i="3"/>
  <c r="EJ22" i="3"/>
  <c r="EJ23" i="3" s="1"/>
  <c r="EI22" i="3"/>
  <c r="EI23" i="3" s="1"/>
  <c r="EG12" i="3"/>
  <c r="EF12" i="3"/>
  <c r="EJ65" i="3" l="1"/>
  <c r="EJ64" i="3"/>
  <c r="EJ62" i="3"/>
  <c r="D2207" i="1"/>
  <c r="E2207" i="1"/>
  <c r="F2207" i="1"/>
  <c r="G2207" i="1"/>
  <c r="H2207" i="1" s="1"/>
  <c r="DQ49" i="3" s="1"/>
  <c r="DQ18" i="3"/>
  <c r="K2207" i="1"/>
  <c r="L2207" i="1"/>
  <c r="M2207" i="1"/>
  <c r="N2207" i="1"/>
  <c r="O2207" i="1" s="1"/>
  <c r="DQ50" i="3" s="1"/>
  <c r="DQ19" i="3"/>
  <c r="D2231" i="1"/>
  <c r="E2231" i="1"/>
  <c r="F2231" i="1"/>
  <c r="G2231" i="1"/>
  <c r="DR18" i="3"/>
  <c r="K2231" i="1"/>
  <c r="L2231" i="1"/>
  <c r="M2231" i="1"/>
  <c r="N2231" i="1"/>
  <c r="DR19" i="3"/>
  <c r="D2255" i="1"/>
  <c r="E2255" i="1"/>
  <c r="F2255" i="1"/>
  <c r="G2255" i="1"/>
  <c r="DS18" i="3"/>
  <c r="K2255" i="1"/>
  <c r="O2255" i="1" s="1"/>
  <c r="DS50" i="3" s="1"/>
  <c r="L2255" i="1"/>
  <c r="M2255" i="1"/>
  <c r="N2255" i="1"/>
  <c r="DS19" i="3"/>
  <c r="D2279" i="1"/>
  <c r="E2279" i="1"/>
  <c r="F2279" i="1"/>
  <c r="G2279" i="1"/>
  <c r="DT18" i="3"/>
  <c r="K2279" i="1"/>
  <c r="L2279" i="1"/>
  <c r="M2279" i="1"/>
  <c r="N2279" i="1"/>
  <c r="O2279" i="1"/>
  <c r="DT50" i="3" s="1"/>
  <c r="DT19" i="3"/>
  <c r="D2303" i="1"/>
  <c r="H2303" i="1" s="1"/>
  <c r="DU49" i="3" s="1"/>
  <c r="E2303" i="1"/>
  <c r="F2303" i="1"/>
  <c r="G2303" i="1"/>
  <c r="DU18" i="3"/>
  <c r="K2303" i="1"/>
  <c r="L2303" i="1"/>
  <c r="M2303" i="1"/>
  <c r="N2303" i="1"/>
  <c r="DU19" i="3"/>
  <c r="D2327" i="1"/>
  <c r="E2327" i="1"/>
  <c r="F2327" i="1"/>
  <c r="G2327" i="1"/>
  <c r="DV18" i="3"/>
  <c r="K2327" i="1"/>
  <c r="L2327" i="1"/>
  <c r="M2327" i="1"/>
  <c r="N2327" i="1"/>
  <c r="DV19" i="3"/>
  <c r="D2351" i="1"/>
  <c r="E2351" i="1"/>
  <c r="F2351" i="1"/>
  <c r="G2351" i="1"/>
  <c r="DW18" i="3"/>
  <c r="K2351" i="1"/>
  <c r="L2351" i="1"/>
  <c r="M2351" i="1"/>
  <c r="N2351" i="1"/>
  <c r="DW19" i="3"/>
  <c r="D2375" i="1"/>
  <c r="E2375" i="1"/>
  <c r="F2375" i="1"/>
  <c r="G2375" i="1"/>
  <c r="DX18" i="3"/>
  <c r="K2375" i="1"/>
  <c r="L2375" i="1"/>
  <c r="M2375" i="1"/>
  <c r="N2375" i="1"/>
  <c r="DX19" i="3"/>
  <c r="D2399" i="1"/>
  <c r="E2399" i="1"/>
  <c r="F2399" i="1"/>
  <c r="G2399" i="1"/>
  <c r="DY18" i="3"/>
  <c r="DY19" i="3"/>
  <c r="D2423" i="1"/>
  <c r="E2423" i="1"/>
  <c r="F2423" i="1"/>
  <c r="G2423" i="1"/>
  <c r="DZ18" i="3"/>
  <c r="K2423" i="1"/>
  <c r="L2423" i="1"/>
  <c r="M2423" i="1"/>
  <c r="N2423" i="1"/>
  <c r="DZ19" i="3"/>
  <c r="D2447" i="1"/>
  <c r="E2447" i="1"/>
  <c r="F2447" i="1"/>
  <c r="G2447" i="1"/>
  <c r="EA18" i="3"/>
  <c r="K2447" i="1"/>
  <c r="L2447" i="1"/>
  <c r="M2447" i="1"/>
  <c r="N2447" i="1"/>
  <c r="EA19" i="3"/>
  <c r="D2471" i="1"/>
  <c r="E2471" i="1"/>
  <c r="F2471" i="1"/>
  <c r="G2471" i="1"/>
  <c r="EB18" i="3"/>
  <c r="K2471" i="1"/>
  <c r="L2471" i="1"/>
  <c r="M2471" i="1"/>
  <c r="N2471" i="1"/>
  <c r="EB19" i="3"/>
  <c r="D2495" i="1"/>
  <c r="E2495" i="1"/>
  <c r="F2495" i="1"/>
  <c r="G2495" i="1"/>
  <c r="EC18" i="3"/>
  <c r="K2495" i="1"/>
  <c r="L2495" i="1"/>
  <c r="M2495" i="1"/>
  <c r="N2495" i="1"/>
  <c r="EC19" i="3"/>
  <c r="D2519" i="1"/>
  <c r="E2519" i="1"/>
  <c r="F2519" i="1"/>
  <c r="G2519" i="1"/>
  <c r="ED18" i="3"/>
  <c r="K2519" i="1"/>
  <c r="L2519" i="1"/>
  <c r="M2519" i="1"/>
  <c r="N2519" i="1"/>
  <c r="ED19" i="3"/>
  <c r="D2543" i="1"/>
  <c r="E2543" i="1"/>
  <c r="F2543" i="1"/>
  <c r="G2543" i="1"/>
  <c r="EE18" i="3"/>
  <c r="K2543" i="1"/>
  <c r="L2543" i="1"/>
  <c r="M2543" i="1"/>
  <c r="N2543" i="1"/>
  <c r="EE19" i="3"/>
  <c r="D2206" i="1"/>
  <c r="E2206" i="1"/>
  <c r="F2206" i="1"/>
  <c r="G2206" i="1"/>
  <c r="DQ14" i="3"/>
  <c r="K2206" i="1"/>
  <c r="L2206" i="1"/>
  <c r="M2206" i="1"/>
  <c r="N2206" i="1"/>
  <c r="DQ15" i="3"/>
  <c r="D2230" i="1"/>
  <c r="E2230" i="1"/>
  <c r="F2230" i="1"/>
  <c r="G2230" i="1"/>
  <c r="DR14" i="3"/>
  <c r="K2230" i="1"/>
  <c r="L2230" i="1"/>
  <c r="M2230" i="1"/>
  <c r="N2230" i="1"/>
  <c r="DR15" i="3"/>
  <c r="DR16" i="3" s="1"/>
  <c r="D2254" i="1"/>
  <c r="E2254" i="1"/>
  <c r="F2254" i="1"/>
  <c r="G2254" i="1"/>
  <c r="DS14" i="3"/>
  <c r="K2254" i="1"/>
  <c r="L2254" i="1"/>
  <c r="M2254" i="1"/>
  <c r="N2254" i="1"/>
  <c r="DS15" i="3"/>
  <c r="B2276" i="1"/>
  <c r="D2278" i="1" s="1"/>
  <c r="K2278" i="1"/>
  <c r="L2278" i="1"/>
  <c r="M2278" i="1"/>
  <c r="N2278" i="1"/>
  <c r="DT15" i="3"/>
  <c r="D2302" i="1"/>
  <c r="E2302" i="1"/>
  <c r="F2302" i="1"/>
  <c r="G2302" i="1"/>
  <c r="DU14" i="3"/>
  <c r="K2302" i="1"/>
  <c r="L2302" i="1"/>
  <c r="M2302" i="1"/>
  <c r="N2302" i="1"/>
  <c r="DU15" i="3"/>
  <c r="D2326" i="1"/>
  <c r="E2326" i="1"/>
  <c r="F2326" i="1"/>
  <c r="G2326" i="1"/>
  <c r="DV14" i="3"/>
  <c r="K2326" i="1"/>
  <c r="L2326" i="1"/>
  <c r="M2326" i="1"/>
  <c r="N2326" i="1"/>
  <c r="DV15" i="3"/>
  <c r="D2350" i="1"/>
  <c r="E2350" i="1"/>
  <c r="F2350" i="1"/>
  <c r="G2350" i="1"/>
  <c r="DW14" i="3"/>
  <c r="K2350" i="1"/>
  <c r="O2350" i="1" s="1"/>
  <c r="DW46" i="3" s="1"/>
  <c r="L2350" i="1"/>
  <c r="M2350" i="1"/>
  <c r="N2350" i="1"/>
  <c r="DW15" i="3"/>
  <c r="D2374" i="1"/>
  <c r="E2374" i="1"/>
  <c r="F2374" i="1"/>
  <c r="G2374" i="1"/>
  <c r="DX14" i="3"/>
  <c r="K2374" i="1"/>
  <c r="L2374" i="1"/>
  <c r="M2374" i="1"/>
  <c r="N2374" i="1"/>
  <c r="DX15" i="3"/>
  <c r="D2398" i="1"/>
  <c r="E2398" i="1"/>
  <c r="F2398" i="1"/>
  <c r="G2398" i="1"/>
  <c r="DY14" i="3"/>
  <c r="DY15" i="3"/>
  <c r="D2422" i="1"/>
  <c r="E2422" i="1"/>
  <c r="F2422" i="1"/>
  <c r="G2422" i="1"/>
  <c r="DZ14" i="3"/>
  <c r="K2422" i="1"/>
  <c r="L2422" i="1"/>
  <c r="M2422" i="1"/>
  <c r="N2422" i="1"/>
  <c r="DZ15" i="3"/>
  <c r="D2446" i="1"/>
  <c r="E2446" i="1"/>
  <c r="F2446" i="1"/>
  <c r="G2446" i="1"/>
  <c r="EA14" i="3"/>
  <c r="K2446" i="1"/>
  <c r="L2446" i="1"/>
  <c r="M2446" i="1"/>
  <c r="N2446" i="1"/>
  <c r="EA15" i="3"/>
  <c r="D2468" i="1"/>
  <c r="D2470" i="1" s="1"/>
  <c r="E2470" i="1"/>
  <c r="F2470" i="1"/>
  <c r="G2470" i="1"/>
  <c r="EB14" i="3"/>
  <c r="K2470" i="1"/>
  <c r="L2470" i="1"/>
  <c r="M2470" i="1"/>
  <c r="N2470" i="1"/>
  <c r="EB15" i="3"/>
  <c r="D2494" i="1"/>
  <c r="E2494" i="1"/>
  <c r="F2494" i="1"/>
  <c r="G2494" i="1"/>
  <c r="EC14" i="3"/>
  <c r="K2494" i="1"/>
  <c r="L2494" i="1"/>
  <c r="M2494" i="1"/>
  <c r="N2494" i="1"/>
  <c r="EC15" i="3"/>
  <c r="D2518" i="1"/>
  <c r="E2518" i="1"/>
  <c r="F2518" i="1"/>
  <c r="G2518" i="1"/>
  <c r="ED14" i="3"/>
  <c r="K2518" i="1"/>
  <c r="L2518" i="1"/>
  <c r="M2518" i="1"/>
  <c r="N2518" i="1"/>
  <c r="ED15" i="3"/>
  <c r="D2542" i="1"/>
  <c r="E2542" i="1"/>
  <c r="F2542" i="1"/>
  <c r="G2542" i="1"/>
  <c r="EE14" i="3"/>
  <c r="K2542" i="1"/>
  <c r="L2542" i="1"/>
  <c r="M2542" i="1"/>
  <c r="N2542" i="1"/>
  <c r="EE15" i="3"/>
  <c r="DQ6" i="3"/>
  <c r="DR6" i="3"/>
  <c r="DS6" i="3"/>
  <c r="DS55" i="3" s="1"/>
  <c r="DT6" i="3"/>
  <c r="DU6" i="3"/>
  <c r="DU55" i="3" s="1"/>
  <c r="DV6" i="3"/>
  <c r="DW6" i="3"/>
  <c r="DX6" i="3"/>
  <c r="DY6" i="3"/>
  <c r="DZ6" i="3"/>
  <c r="DZ55" i="3" s="1"/>
  <c r="EA6" i="3"/>
  <c r="EB6" i="3"/>
  <c r="EC6" i="3"/>
  <c r="ED6" i="3"/>
  <c r="ED55" i="3" s="1"/>
  <c r="EE6" i="3"/>
  <c r="EE55" i="3" s="1"/>
  <c r="B2650" i="1"/>
  <c r="EJ6" i="3"/>
  <c r="EJ55" i="3" s="1"/>
  <c r="EJ58" i="3" s="1"/>
  <c r="EI6" i="3"/>
  <c r="EI27" i="3" s="1"/>
  <c r="EI56" i="3" s="1"/>
  <c r="D2615" i="1"/>
  <c r="E2615" i="1"/>
  <c r="F2615" i="1"/>
  <c r="G2615" i="1"/>
  <c r="EH18" i="3"/>
  <c r="K2615" i="1"/>
  <c r="L2615" i="1"/>
  <c r="M2615" i="1"/>
  <c r="N2615" i="1"/>
  <c r="EH19" i="3"/>
  <c r="D2614" i="1"/>
  <c r="E2614" i="1"/>
  <c r="F2614" i="1"/>
  <c r="G2614" i="1"/>
  <c r="EH14" i="3"/>
  <c r="K2614" i="1"/>
  <c r="L2614" i="1"/>
  <c r="M2614" i="1"/>
  <c r="N2614" i="1"/>
  <c r="EH15" i="3"/>
  <c r="B2602" i="1"/>
  <c r="EH7" i="3" s="1"/>
  <c r="D2617" i="1"/>
  <c r="E2617" i="1"/>
  <c r="F2617" i="1"/>
  <c r="G2617" i="1"/>
  <c r="K2617" i="1"/>
  <c r="L2617" i="1"/>
  <c r="M2617" i="1"/>
  <c r="N2617" i="1"/>
  <c r="D2616" i="1"/>
  <c r="E2616" i="1"/>
  <c r="F2616" i="1"/>
  <c r="G2616" i="1"/>
  <c r="N2616" i="1"/>
  <c r="B2604" i="1"/>
  <c r="B2606" i="1" s="1"/>
  <c r="B2603" i="1" s="1"/>
  <c r="E2619" i="1" s="1"/>
  <c r="EH6" i="3"/>
  <c r="EH55" i="3" s="1"/>
  <c r="EH10" i="3"/>
  <c r="EH11" i="3"/>
  <c r="EH8" i="3"/>
  <c r="EE12" i="3"/>
  <c r="ED12" i="3"/>
  <c r="EC12" i="3"/>
  <c r="EA12" i="3"/>
  <c r="EB12" i="3"/>
  <c r="DZ12" i="3"/>
  <c r="DY12" i="3"/>
  <c r="DX12" i="3"/>
  <c r="DW12" i="3"/>
  <c r="EK4" i="3"/>
  <c r="EL4" i="3" s="1"/>
  <c r="EM4" i="3" s="1"/>
  <c r="EG19" i="3"/>
  <c r="EG18" i="3"/>
  <c r="EG15" i="3"/>
  <c r="EG14" i="3"/>
  <c r="EG11" i="3"/>
  <c r="EG10" i="3"/>
  <c r="EG8" i="3"/>
  <c r="EF19" i="3"/>
  <c r="EF18" i="3"/>
  <c r="EF15" i="3"/>
  <c r="EF14" i="3"/>
  <c r="EG6" i="3"/>
  <c r="EG55" i="3" s="1"/>
  <c r="EF11" i="3"/>
  <c r="EF10" i="3"/>
  <c r="EF8" i="3"/>
  <c r="EF6" i="3"/>
  <c r="EF55" i="3" s="1"/>
  <c r="EE11" i="3"/>
  <c r="EE10" i="3"/>
  <c r="EE8" i="3"/>
  <c r="N2665" i="1"/>
  <c r="M2665" i="1"/>
  <c r="L2665" i="1"/>
  <c r="K2665" i="1"/>
  <c r="G2665" i="1"/>
  <c r="F2665" i="1"/>
  <c r="E2665" i="1"/>
  <c r="D2665" i="1"/>
  <c r="N2664" i="1"/>
  <c r="M2664" i="1"/>
  <c r="L2664" i="1"/>
  <c r="K2664" i="1"/>
  <c r="G2664" i="1"/>
  <c r="F2664" i="1"/>
  <c r="E2664" i="1"/>
  <c r="D2664" i="1"/>
  <c r="N2663" i="1"/>
  <c r="M2663" i="1"/>
  <c r="L2663" i="1"/>
  <c r="K2663" i="1"/>
  <c r="G2663" i="1"/>
  <c r="F2663" i="1"/>
  <c r="E2663" i="1"/>
  <c r="D2663" i="1"/>
  <c r="N2662" i="1"/>
  <c r="M2662" i="1"/>
  <c r="L2662" i="1"/>
  <c r="K2662" i="1"/>
  <c r="G2662" i="1"/>
  <c r="F2662" i="1"/>
  <c r="E2662" i="1"/>
  <c r="D2662" i="1"/>
  <c r="O2661" i="1"/>
  <c r="H2661" i="1"/>
  <c r="O2660" i="1"/>
  <c r="H2660" i="1"/>
  <c r="B2652" i="1"/>
  <c r="B2654" i="1" s="1"/>
  <c r="H2650" i="1"/>
  <c r="M2649" i="1"/>
  <c r="M2648" i="1"/>
  <c r="N2641" i="1"/>
  <c r="M2641" i="1"/>
  <c r="L2641" i="1"/>
  <c r="K2641" i="1"/>
  <c r="G2641" i="1"/>
  <c r="F2641" i="1"/>
  <c r="E2641" i="1"/>
  <c r="D2641" i="1"/>
  <c r="N2640" i="1"/>
  <c r="M2640" i="1"/>
  <c r="L2640" i="1"/>
  <c r="K2640" i="1"/>
  <c r="G2640" i="1"/>
  <c r="F2640" i="1"/>
  <c r="E2640" i="1"/>
  <c r="D2640" i="1"/>
  <c r="N2639" i="1"/>
  <c r="M2639" i="1"/>
  <c r="L2639" i="1"/>
  <c r="K2639" i="1"/>
  <c r="G2639" i="1"/>
  <c r="F2639" i="1"/>
  <c r="E2639" i="1"/>
  <c r="D2639" i="1"/>
  <c r="N2638" i="1"/>
  <c r="M2638" i="1"/>
  <c r="L2638" i="1"/>
  <c r="K2638" i="1"/>
  <c r="G2638" i="1"/>
  <c r="F2638" i="1"/>
  <c r="E2638" i="1"/>
  <c r="D2638" i="1"/>
  <c r="O2637" i="1"/>
  <c r="H2637" i="1"/>
  <c r="O2636" i="1"/>
  <c r="H2636" i="1"/>
  <c r="B2628" i="1"/>
  <c r="B2630" i="1" s="1"/>
  <c r="H2626" i="1"/>
  <c r="B2626" i="1"/>
  <c r="EI7" i="3" s="1"/>
  <c r="EI26" i="3" s="1"/>
  <c r="M2625" i="1"/>
  <c r="M2624" i="1"/>
  <c r="O2613" i="1"/>
  <c r="H2613" i="1"/>
  <c r="O2612" i="1"/>
  <c r="H2612" i="1"/>
  <c r="H2602" i="1"/>
  <c r="M2601" i="1"/>
  <c r="M2600" i="1"/>
  <c r="ED11" i="3"/>
  <c r="ED10" i="3"/>
  <c r="ED8" i="3"/>
  <c r="N2593" i="1"/>
  <c r="M2593" i="1"/>
  <c r="L2593" i="1"/>
  <c r="K2593" i="1"/>
  <c r="G2593" i="1"/>
  <c r="F2593" i="1"/>
  <c r="E2593" i="1"/>
  <c r="D2593" i="1"/>
  <c r="N2592" i="1"/>
  <c r="M2592" i="1"/>
  <c r="L2592" i="1"/>
  <c r="K2592" i="1"/>
  <c r="G2592" i="1"/>
  <c r="F2592" i="1"/>
  <c r="E2592" i="1"/>
  <c r="D2592" i="1"/>
  <c r="N2591" i="1"/>
  <c r="M2591" i="1"/>
  <c r="L2591" i="1"/>
  <c r="K2591" i="1"/>
  <c r="G2591" i="1"/>
  <c r="F2591" i="1"/>
  <c r="E2591" i="1"/>
  <c r="D2591" i="1"/>
  <c r="N2590" i="1"/>
  <c r="M2590" i="1"/>
  <c r="L2590" i="1"/>
  <c r="G2590" i="1"/>
  <c r="F2590" i="1"/>
  <c r="E2590" i="1"/>
  <c r="D2590" i="1"/>
  <c r="O2589" i="1"/>
  <c r="H2589" i="1"/>
  <c r="O2588" i="1"/>
  <c r="H2588" i="1"/>
  <c r="B2580" i="1"/>
  <c r="B2582" i="1" s="1"/>
  <c r="H2578" i="1"/>
  <c r="B2578" i="1"/>
  <c r="EG7" i="3" s="1"/>
  <c r="M2577" i="1"/>
  <c r="M2576" i="1"/>
  <c r="N2569" i="1"/>
  <c r="M2569" i="1"/>
  <c r="L2569" i="1"/>
  <c r="K2569" i="1"/>
  <c r="G2569" i="1"/>
  <c r="F2569" i="1"/>
  <c r="E2569" i="1"/>
  <c r="D2569" i="1"/>
  <c r="N2568" i="1"/>
  <c r="M2568" i="1"/>
  <c r="L2568" i="1"/>
  <c r="K2568" i="1"/>
  <c r="G2568" i="1"/>
  <c r="F2568" i="1"/>
  <c r="E2568" i="1"/>
  <c r="D2568" i="1"/>
  <c r="N2567" i="1"/>
  <c r="M2567" i="1"/>
  <c r="L2567" i="1"/>
  <c r="K2567" i="1"/>
  <c r="G2567" i="1"/>
  <c r="F2567" i="1"/>
  <c r="E2567" i="1"/>
  <c r="D2567" i="1"/>
  <c r="N2566" i="1"/>
  <c r="M2566" i="1"/>
  <c r="L2566" i="1"/>
  <c r="K2566" i="1"/>
  <c r="G2566" i="1"/>
  <c r="F2566" i="1"/>
  <c r="E2566" i="1"/>
  <c r="D2566" i="1"/>
  <c r="O2565" i="1"/>
  <c r="H2565" i="1"/>
  <c r="O2564" i="1"/>
  <c r="H2564" i="1"/>
  <c r="B2556" i="1"/>
  <c r="B2558" i="1" s="1"/>
  <c r="B2555" i="1" s="1"/>
  <c r="H2554" i="1"/>
  <c r="B2554" i="1"/>
  <c r="M2553" i="1"/>
  <c r="M2552" i="1"/>
  <c r="N2545" i="1"/>
  <c r="M2545" i="1"/>
  <c r="L2545" i="1"/>
  <c r="K2545" i="1"/>
  <c r="G2545" i="1"/>
  <c r="F2545" i="1"/>
  <c r="E2545" i="1"/>
  <c r="D2545" i="1"/>
  <c r="N2544" i="1"/>
  <c r="M2544" i="1"/>
  <c r="L2544" i="1"/>
  <c r="K2544" i="1"/>
  <c r="G2544" i="1"/>
  <c r="F2544" i="1"/>
  <c r="E2544" i="1"/>
  <c r="D2544" i="1"/>
  <c r="O2541" i="1"/>
  <c r="H2541" i="1"/>
  <c r="O2540" i="1"/>
  <c r="H2540" i="1"/>
  <c r="B2532" i="1"/>
  <c r="B2534" i="1" s="1"/>
  <c r="B2531" i="1" s="1"/>
  <c r="G2546" i="1" s="1"/>
  <c r="H2530" i="1"/>
  <c r="B2530" i="1"/>
  <c r="M2529" i="1"/>
  <c r="M2528" i="1"/>
  <c r="N2521" i="1"/>
  <c r="M2521" i="1"/>
  <c r="L2521" i="1"/>
  <c r="K2521" i="1"/>
  <c r="G2521" i="1"/>
  <c r="F2521" i="1"/>
  <c r="E2521" i="1"/>
  <c r="D2521" i="1"/>
  <c r="N2520" i="1"/>
  <c r="M2520" i="1"/>
  <c r="L2520" i="1"/>
  <c r="K2520" i="1"/>
  <c r="G2520" i="1"/>
  <c r="F2520" i="1"/>
  <c r="E2520" i="1"/>
  <c r="D2520" i="1"/>
  <c r="O2517" i="1"/>
  <c r="H2517" i="1"/>
  <c r="O2516" i="1"/>
  <c r="H2516" i="1"/>
  <c r="B2508" i="1"/>
  <c r="B2510" i="1" s="1"/>
  <c r="H2506" i="1"/>
  <c r="B2506" i="1"/>
  <c r="M2505" i="1"/>
  <c r="M2504" i="1"/>
  <c r="EC11" i="3"/>
  <c r="EC10" i="3"/>
  <c r="EC8" i="3"/>
  <c r="EB11" i="3"/>
  <c r="EB10" i="3"/>
  <c r="EB8" i="3"/>
  <c r="DV12" i="3"/>
  <c r="DT12" i="3"/>
  <c r="EA11" i="3"/>
  <c r="EA10" i="3"/>
  <c r="EA8" i="3"/>
  <c r="B2482" i="1"/>
  <c r="EC7" i="3"/>
  <c r="B2458" i="1"/>
  <c r="EB7" i="3" s="1"/>
  <c r="N2497" i="1"/>
  <c r="M2497" i="1"/>
  <c r="L2497" i="1"/>
  <c r="K2497" i="1"/>
  <c r="G2497" i="1"/>
  <c r="F2497" i="1"/>
  <c r="E2497" i="1"/>
  <c r="D2497" i="1"/>
  <c r="N2496" i="1"/>
  <c r="M2496" i="1"/>
  <c r="L2496" i="1"/>
  <c r="K2496" i="1"/>
  <c r="G2496" i="1"/>
  <c r="F2496" i="1"/>
  <c r="E2496" i="1"/>
  <c r="D2496" i="1"/>
  <c r="O2493" i="1"/>
  <c r="H2493" i="1"/>
  <c r="O2492" i="1"/>
  <c r="H2492" i="1"/>
  <c r="B2484" i="1"/>
  <c r="B2486" i="1" s="1"/>
  <c r="H2482" i="1"/>
  <c r="M2481" i="1"/>
  <c r="M2480" i="1"/>
  <c r="N2473" i="1"/>
  <c r="M2473" i="1"/>
  <c r="L2473" i="1"/>
  <c r="K2473" i="1"/>
  <c r="G2473" i="1"/>
  <c r="F2473" i="1"/>
  <c r="E2473" i="1"/>
  <c r="D2473" i="1"/>
  <c r="N2472" i="1"/>
  <c r="M2472" i="1"/>
  <c r="L2472" i="1"/>
  <c r="K2472" i="1"/>
  <c r="G2472" i="1"/>
  <c r="F2472" i="1"/>
  <c r="E2472" i="1"/>
  <c r="O2469" i="1"/>
  <c r="H2469" i="1"/>
  <c r="O2468" i="1"/>
  <c r="B2460" i="1"/>
  <c r="B2462" i="1" s="1"/>
  <c r="H2458" i="1"/>
  <c r="M2457" i="1"/>
  <c r="M2456" i="1"/>
  <c r="DR3" i="3"/>
  <c r="DS3" i="3" s="1"/>
  <c r="DT3" i="3" s="1"/>
  <c r="DU3" i="3" s="1"/>
  <c r="DV3" i="3" s="1"/>
  <c r="DW3" i="3" s="1"/>
  <c r="DX3" i="3" s="1"/>
  <c r="DY3" i="3" s="1"/>
  <c r="DZ3" i="3" s="1"/>
  <c r="EA3" i="3" s="1"/>
  <c r="EB3" i="3" s="1"/>
  <c r="EC3" i="3" s="1"/>
  <c r="ED3" i="3" s="1"/>
  <c r="EE3" i="3" s="1"/>
  <c r="EF3" i="3" s="1"/>
  <c r="EG3" i="3" s="1"/>
  <c r="EH3" i="3" s="1"/>
  <c r="EI3" i="3" s="1"/>
  <c r="EJ3" i="3" s="1"/>
  <c r="EK3" i="3" s="1"/>
  <c r="EL3" i="3" s="1"/>
  <c r="EM3" i="3" s="1"/>
  <c r="EN3" i="3" s="1"/>
  <c r="EO3" i="3" s="1"/>
  <c r="EP3" i="3" s="1"/>
  <c r="EQ3" i="3" s="1"/>
  <c r="ER3" i="3" s="1"/>
  <c r="ES3" i="3" s="1"/>
  <c r="DZ11" i="3"/>
  <c r="DZ10" i="3"/>
  <c r="B2412" i="1"/>
  <c r="B2414" i="1" s="1"/>
  <c r="B2410" i="1"/>
  <c r="DZ7" i="3" s="1"/>
  <c r="DZ8" i="3"/>
  <c r="DZ7" i="1"/>
  <c r="DY11" i="3"/>
  <c r="DY10" i="3"/>
  <c r="B2388" i="1"/>
  <c r="B2390" i="1" s="1"/>
  <c r="B2386" i="1"/>
  <c r="DY7" i="3" s="1"/>
  <c r="DY8" i="3"/>
  <c r="M2432" i="1"/>
  <c r="N2449" i="1"/>
  <c r="M2449" i="1"/>
  <c r="L2449" i="1"/>
  <c r="K2449" i="1"/>
  <c r="G2449" i="1"/>
  <c r="F2449" i="1"/>
  <c r="E2449" i="1"/>
  <c r="D2449" i="1"/>
  <c r="N2448" i="1"/>
  <c r="O2448" i="1" s="1"/>
  <c r="EA38" i="3" s="1"/>
  <c r="M2448" i="1"/>
  <c r="L2448" i="1"/>
  <c r="K2448" i="1"/>
  <c r="G2448" i="1"/>
  <c r="F2448" i="1"/>
  <c r="E2448" i="1"/>
  <c r="D2448" i="1"/>
  <c r="O2445" i="1"/>
  <c r="H2445" i="1"/>
  <c r="O2444" i="1"/>
  <c r="H2444" i="1"/>
  <c r="B2436" i="1"/>
  <c r="B2438" i="1" s="1"/>
  <c r="B2434" i="1"/>
  <c r="H2434" i="1"/>
  <c r="EA7" i="3"/>
  <c r="M2433" i="1"/>
  <c r="N2425" i="1"/>
  <c r="M2425" i="1"/>
  <c r="L2425" i="1"/>
  <c r="K2425" i="1"/>
  <c r="G2425" i="1"/>
  <c r="F2425" i="1"/>
  <c r="E2425" i="1"/>
  <c r="D2425" i="1"/>
  <c r="N2424" i="1"/>
  <c r="M2424" i="1"/>
  <c r="L2424" i="1"/>
  <c r="K2424" i="1"/>
  <c r="G2424" i="1"/>
  <c r="F2424" i="1"/>
  <c r="E2424" i="1"/>
  <c r="D2424" i="1"/>
  <c r="H2424" i="1" s="1"/>
  <c r="DZ37" i="3" s="1"/>
  <c r="O2421" i="1"/>
  <c r="H2421" i="1"/>
  <c r="O2420" i="1"/>
  <c r="H2420" i="1"/>
  <c r="H2410" i="1"/>
  <c r="M2409" i="1"/>
  <c r="M2408" i="1"/>
  <c r="DW10" i="3"/>
  <c r="DW55" i="3"/>
  <c r="DX10" i="3"/>
  <c r="DX11" i="3"/>
  <c r="B2364" i="1"/>
  <c r="B2366" i="1" s="1"/>
  <c r="B2362" i="1"/>
  <c r="DX7" i="3" s="1"/>
  <c r="DX8" i="3"/>
  <c r="D2281" i="1"/>
  <c r="E2281" i="1"/>
  <c r="F2281" i="1"/>
  <c r="G2281" i="1"/>
  <c r="K2281" i="1"/>
  <c r="L2281" i="1"/>
  <c r="M2281" i="1"/>
  <c r="N2281" i="1"/>
  <c r="K2280" i="1"/>
  <c r="L2280" i="1"/>
  <c r="M2280" i="1"/>
  <c r="N2280" i="1"/>
  <c r="C14" i="3"/>
  <c r="C15" i="3"/>
  <c r="C18" i="3"/>
  <c r="C19" i="3"/>
  <c r="C10" i="3"/>
  <c r="D14" i="3"/>
  <c r="D15" i="3"/>
  <c r="D18" i="3"/>
  <c r="D19" i="3"/>
  <c r="D10" i="3"/>
  <c r="E14" i="3"/>
  <c r="E15" i="3"/>
  <c r="E18" i="3"/>
  <c r="E19" i="3"/>
  <c r="E10" i="3"/>
  <c r="F14" i="3"/>
  <c r="F15" i="3"/>
  <c r="F18" i="3"/>
  <c r="F19" i="3"/>
  <c r="F10" i="3"/>
  <c r="G14" i="3"/>
  <c r="G15" i="3"/>
  <c r="G16" i="3" s="1"/>
  <c r="G18" i="3"/>
  <c r="G19" i="3"/>
  <c r="G10" i="3"/>
  <c r="H14" i="3"/>
  <c r="H16" i="3" s="1"/>
  <c r="H15" i="3"/>
  <c r="H18" i="3"/>
  <c r="H19" i="3"/>
  <c r="H10" i="3"/>
  <c r="I14" i="3"/>
  <c r="I15" i="3"/>
  <c r="I18" i="3"/>
  <c r="I19" i="3"/>
  <c r="I10" i="3"/>
  <c r="J14" i="3"/>
  <c r="J15" i="3"/>
  <c r="J16" i="3" s="1"/>
  <c r="J18" i="3"/>
  <c r="J19" i="3"/>
  <c r="J10" i="3"/>
  <c r="K14" i="3"/>
  <c r="K15" i="3"/>
  <c r="K18" i="3"/>
  <c r="K19" i="3"/>
  <c r="K10" i="3"/>
  <c r="L14" i="3"/>
  <c r="L15" i="3"/>
  <c r="L18" i="3"/>
  <c r="L19" i="3"/>
  <c r="L10" i="3"/>
  <c r="M14" i="3"/>
  <c r="M15" i="3"/>
  <c r="M18" i="3"/>
  <c r="M19" i="3"/>
  <c r="M20" i="3" s="1"/>
  <c r="M10" i="3"/>
  <c r="M6" i="3"/>
  <c r="N14" i="3"/>
  <c r="N15" i="3"/>
  <c r="N18" i="3"/>
  <c r="N19" i="3"/>
  <c r="N10" i="3"/>
  <c r="N6" i="3"/>
  <c r="O14" i="3"/>
  <c r="O15" i="3"/>
  <c r="O18" i="3"/>
  <c r="O19" i="3"/>
  <c r="O10" i="3"/>
  <c r="O6" i="3"/>
  <c r="P14" i="3"/>
  <c r="P15" i="3"/>
  <c r="P18" i="3"/>
  <c r="P19" i="3"/>
  <c r="P10" i="3"/>
  <c r="P6" i="3"/>
  <c r="Q14" i="3"/>
  <c r="Q15" i="3"/>
  <c r="Q16" i="3" s="1"/>
  <c r="Q18" i="3"/>
  <c r="Q19" i="3"/>
  <c r="Q10" i="3"/>
  <c r="Q6" i="3"/>
  <c r="R14" i="3"/>
  <c r="R15" i="3"/>
  <c r="R18" i="3"/>
  <c r="R19" i="3"/>
  <c r="R10" i="3"/>
  <c r="R6" i="3"/>
  <c r="S14" i="3"/>
  <c r="S15" i="3"/>
  <c r="S18" i="3"/>
  <c r="S19" i="3"/>
  <c r="S10" i="3"/>
  <c r="T14" i="3"/>
  <c r="T15" i="3"/>
  <c r="T18" i="3"/>
  <c r="T19" i="3"/>
  <c r="T10" i="3"/>
  <c r="U14" i="3"/>
  <c r="U15" i="3"/>
  <c r="U18" i="3"/>
  <c r="U19" i="3"/>
  <c r="U20" i="3" s="1"/>
  <c r="U10" i="3"/>
  <c r="V14" i="3"/>
  <c r="V15" i="3"/>
  <c r="V18" i="3"/>
  <c r="V19" i="3"/>
  <c r="V10" i="3"/>
  <c r="W14" i="3"/>
  <c r="W15" i="3"/>
  <c r="W18" i="3"/>
  <c r="W19" i="3"/>
  <c r="W10" i="3"/>
  <c r="X14" i="3"/>
  <c r="X15" i="3"/>
  <c r="X18" i="3"/>
  <c r="X19" i="3"/>
  <c r="X10" i="3"/>
  <c r="Y14" i="3"/>
  <c r="Y16" i="3" s="1"/>
  <c r="Y15" i="3"/>
  <c r="Y18" i="3"/>
  <c r="Y19" i="3"/>
  <c r="Y10" i="3"/>
  <c r="Z14" i="3"/>
  <c r="Z15" i="3"/>
  <c r="Z18" i="3"/>
  <c r="Z19" i="3"/>
  <c r="Z10" i="3"/>
  <c r="AA14" i="3"/>
  <c r="AA15" i="3"/>
  <c r="AA18" i="3"/>
  <c r="AA19" i="3"/>
  <c r="AA10" i="3"/>
  <c r="AB14" i="3"/>
  <c r="AB15" i="3"/>
  <c r="AB18" i="3"/>
  <c r="AB19" i="3"/>
  <c r="AB10" i="3"/>
  <c r="AC14" i="3"/>
  <c r="AC15" i="3"/>
  <c r="AC18" i="3"/>
  <c r="AC19" i="3"/>
  <c r="AC10" i="3"/>
  <c r="AC6" i="3"/>
  <c r="AC55" i="3" s="1"/>
  <c r="AD14" i="3"/>
  <c r="AD15" i="3"/>
  <c r="AD18" i="3"/>
  <c r="AD19" i="3"/>
  <c r="AD6" i="3"/>
  <c r="AD76" i="3" s="1"/>
  <c r="AE14" i="3"/>
  <c r="AE15" i="3"/>
  <c r="AE18" i="3"/>
  <c r="AE19" i="3"/>
  <c r="AE6" i="3"/>
  <c r="AF14" i="3"/>
  <c r="AF15" i="3"/>
  <c r="AF18" i="3"/>
  <c r="AF19" i="3"/>
  <c r="AF6" i="3"/>
  <c r="AG14" i="3"/>
  <c r="AG15" i="3"/>
  <c r="AG18" i="3"/>
  <c r="AG19" i="3"/>
  <c r="AG6" i="3"/>
  <c r="AH14" i="3"/>
  <c r="AH15" i="3"/>
  <c r="AH18" i="3"/>
  <c r="AH20" i="3" s="1"/>
  <c r="AH19" i="3"/>
  <c r="AH6" i="3"/>
  <c r="AI14" i="3"/>
  <c r="AI15" i="3"/>
  <c r="AI18" i="3"/>
  <c r="AI19" i="3"/>
  <c r="AJ14" i="3"/>
  <c r="AJ15" i="3"/>
  <c r="AJ18" i="3"/>
  <c r="AJ19" i="3"/>
  <c r="AK14" i="3"/>
  <c r="AK15" i="3"/>
  <c r="AK16" i="3" s="1"/>
  <c r="AK18" i="3"/>
  <c r="AK19" i="3"/>
  <c r="AL14" i="3"/>
  <c r="AL15" i="3"/>
  <c r="AL18" i="3"/>
  <c r="AL19" i="3"/>
  <c r="AM14" i="3"/>
  <c r="AM16" i="3" s="1"/>
  <c r="AM15" i="3"/>
  <c r="AM18" i="3"/>
  <c r="AM19" i="3"/>
  <c r="AN14" i="3"/>
  <c r="AN15" i="3"/>
  <c r="AN18" i="3"/>
  <c r="AN19" i="3"/>
  <c r="AN10" i="3"/>
  <c r="AO14" i="3"/>
  <c r="AO15" i="3"/>
  <c r="AO18" i="3"/>
  <c r="AO19" i="3"/>
  <c r="AP14" i="3"/>
  <c r="AP16" i="3" s="1"/>
  <c r="AP15" i="3"/>
  <c r="AP18" i="3"/>
  <c r="AP19" i="3"/>
  <c r="AP10" i="3"/>
  <c r="AQ14" i="3"/>
  <c r="AQ15" i="3"/>
  <c r="AQ18" i="3"/>
  <c r="AQ19" i="3"/>
  <c r="AQ10" i="3"/>
  <c r="AR14" i="3"/>
  <c r="AR15" i="3"/>
  <c r="AR18" i="3"/>
  <c r="AR19" i="3"/>
  <c r="AR10" i="3"/>
  <c r="AS14" i="3"/>
  <c r="AS15" i="3"/>
  <c r="AS18" i="3"/>
  <c r="AS19" i="3"/>
  <c r="AS10" i="3"/>
  <c r="AS6" i="3"/>
  <c r="AT14" i="3"/>
  <c r="AT15" i="3"/>
  <c r="AT18" i="3"/>
  <c r="AT19" i="3"/>
  <c r="AT10" i="3"/>
  <c r="AT6" i="3"/>
  <c r="AU14" i="3"/>
  <c r="AU15" i="3"/>
  <c r="AU18" i="3"/>
  <c r="AU19" i="3"/>
  <c r="AU10" i="3"/>
  <c r="AU6" i="3"/>
  <c r="AV14" i="3"/>
  <c r="I422" i="1"/>
  <c r="AV18" i="3"/>
  <c r="AV19" i="3"/>
  <c r="AV10" i="3"/>
  <c r="B410" i="1"/>
  <c r="AV6" i="3" s="1"/>
  <c r="AV55" i="3" s="1"/>
  <c r="AW15" i="3"/>
  <c r="AW16" i="3" s="1"/>
  <c r="AW18" i="3"/>
  <c r="AW19" i="3"/>
  <c r="AW10" i="3"/>
  <c r="B435" i="1"/>
  <c r="AX14" i="3"/>
  <c r="AX15" i="3"/>
  <c r="AX18" i="3"/>
  <c r="AX19" i="3"/>
  <c r="AX20" i="3" s="1"/>
  <c r="AX10" i="3"/>
  <c r="B460" i="1"/>
  <c r="AX6" i="3" s="1"/>
  <c r="AY14" i="3"/>
  <c r="AY15" i="3"/>
  <c r="AY18" i="3"/>
  <c r="AY19" i="3"/>
  <c r="AY10" i="3"/>
  <c r="AZ14" i="3"/>
  <c r="AZ15" i="3"/>
  <c r="AZ18" i="3"/>
  <c r="AZ19" i="3"/>
  <c r="AZ10" i="3"/>
  <c r="BA14" i="3"/>
  <c r="BA15" i="3"/>
  <c r="BA18" i="3"/>
  <c r="BA19" i="3"/>
  <c r="BA20" i="3" s="1"/>
  <c r="BA10" i="3"/>
  <c r="BB14" i="3"/>
  <c r="BB15" i="3"/>
  <c r="BB18" i="3"/>
  <c r="BB19" i="3"/>
  <c r="BB10" i="3"/>
  <c r="BC16" i="3"/>
  <c r="BC20" i="3"/>
  <c r="B582" i="1"/>
  <c r="BC6" i="3" s="1"/>
  <c r="BC10" i="3"/>
  <c r="BD16" i="3"/>
  <c r="BD20" i="3"/>
  <c r="BD10" i="3"/>
  <c r="BE16" i="3"/>
  <c r="BE20" i="3"/>
  <c r="BE10" i="3"/>
  <c r="BF16" i="3"/>
  <c r="BF20" i="3"/>
  <c r="BF10" i="3"/>
  <c r="BG16" i="3"/>
  <c r="BG20" i="3"/>
  <c r="BG10" i="3"/>
  <c r="BH16" i="3"/>
  <c r="BH20" i="3"/>
  <c r="BH10" i="3"/>
  <c r="BI16" i="3"/>
  <c r="BI20" i="3"/>
  <c r="BI10" i="3"/>
  <c r="B736" i="1"/>
  <c r="BI6" i="3" s="1"/>
  <c r="BI55" i="3" s="1"/>
  <c r="BJ16" i="3"/>
  <c r="BJ20" i="3"/>
  <c r="BJ10" i="3"/>
  <c r="B762" i="1"/>
  <c r="BJ6" i="3" s="1"/>
  <c r="BJ55" i="3" s="1"/>
  <c r="BK16" i="3"/>
  <c r="BK20" i="3"/>
  <c r="BK10" i="3"/>
  <c r="B785" i="1"/>
  <c r="BK6" i="3" s="1"/>
  <c r="BK55" i="3" s="1"/>
  <c r="BL16" i="3"/>
  <c r="BL20" i="3"/>
  <c r="BL10" i="3"/>
  <c r="B812" i="1"/>
  <c r="BM16" i="3"/>
  <c r="BM20" i="3"/>
  <c r="BM10" i="3"/>
  <c r="B838" i="1"/>
  <c r="H838" i="1"/>
  <c r="BN16" i="3"/>
  <c r="BN20" i="3"/>
  <c r="BN10" i="3"/>
  <c r="B864" i="1"/>
  <c r="H864" i="1"/>
  <c r="BN6" i="3" s="1"/>
  <c r="BO16" i="3"/>
  <c r="BO20" i="3"/>
  <c r="BO22" i="3" s="1"/>
  <c r="BO23" i="3" s="1"/>
  <c r="BO10" i="3"/>
  <c r="BP16" i="3"/>
  <c r="BP20" i="3"/>
  <c r="BP10" i="3"/>
  <c r="BQ16" i="3"/>
  <c r="BQ20" i="3"/>
  <c r="BQ10" i="3"/>
  <c r="BR16" i="3"/>
  <c r="BR20" i="3"/>
  <c r="BR10" i="3"/>
  <c r="BS16" i="3"/>
  <c r="BS20" i="3"/>
  <c r="BS10" i="3"/>
  <c r="BT16" i="3"/>
  <c r="BT20" i="3"/>
  <c r="BT10" i="3"/>
  <c r="BU16" i="3"/>
  <c r="BU22" i="3" s="1"/>
  <c r="BU10" i="3"/>
  <c r="BV16" i="3"/>
  <c r="BV20" i="3"/>
  <c r="BV10" i="3"/>
  <c r="BW16" i="3"/>
  <c r="BW20" i="3"/>
  <c r="BW10" i="3"/>
  <c r="BX16" i="3"/>
  <c r="BX20" i="3"/>
  <c r="BX10" i="3"/>
  <c r="BX23" i="3" s="1"/>
  <c r="BX24" i="3" s="1"/>
  <c r="K1027" i="1"/>
  <c r="BY20" i="3" s="1"/>
  <c r="BY10" i="3"/>
  <c r="BY6" i="3"/>
  <c r="BY55" i="3" s="1"/>
  <c r="BZ16" i="3"/>
  <c r="BZ22" i="3" s="1"/>
  <c r="BZ20" i="3"/>
  <c r="BZ10" i="3"/>
  <c r="BZ6" i="3"/>
  <c r="BZ55" i="3" s="1"/>
  <c r="CA16" i="3"/>
  <c r="CA20" i="3"/>
  <c r="CA10" i="3"/>
  <c r="CA6" i="3"/>
  <c r="CA55" i="3" s="1"/>
  <c r="CB16" i="3"/>
  <c r="CB20" i="3"/>
  <c r="CB10" i="3"/>
  <c r="CB6" i="3"/>
  <c r="CB55" i="3" s="1"/>
  <c r="CC16" i="3"/>
  <c r="CC20" i="3"/>
  <c r="CC10" i="3"/>
  <c r="CC6" i="3"/>
  <c r="CC55" i="3" s="1"/>
  <c r="CD16" i="3"/>
  <c r="CD20" i="3"/>
  <c r="CD10" i="3"/>
  <c r="CD6" i="3"/>
  <c r="CD55" i="3" s="1"/>
  <c r="CE14" i="3"/>
  <c r="CE15" i="3"/>
  <c r="CE18" i="3"/>
  <c r="CE19" i="3"/>
  <c r="CE10" i="3"/>
  <c r="CF14" i="3"/>
  <c r="CF15" i="3"/>
  <c r="CF18" i="3"/>
  <c r="CF20" i="3" s="1"/>
  <c r="CF19" i="3"/>
  <c r="CG14" i="3"/>
  <c r="CG15" i="3"/>
  <c r="CG18" i="3"/>
  <c r="CG19" i="3"/>
  <c r="CG10" i="3"/>
  <c r="CH16" i="3"/>
  <c r="CH20" i="3"/>
  <c r="CH10" i="3"/>
  <c r="CI14" i="3"/>
  <c r="CI15" i="3"/>
  <c r="CI18" i="3"/>
  <c r="CI19" i="3"/>
  <c r="CI10" i="3"/>
  <c r="CJ14" i="3"/>
  <c r="CJ15" i="3"/>
  <c r="CJ16" i="3" s="1"/>
  <c r="CJ22" i="3" s="1"/>
  <c r="CJ23" i="3" s="1"/>
  <c r="CJ24" i="3" s="1"/>
  <c r="CJ18" i="3"/>
  <c r="CJ19" i="3"/>
  <c r="CJ20" i="3" s="1"/>
  <c r="CJ10" i="3"/>
  <c r="CK14" i="3"/>
  <c r="CK15" i="3"/>
  <c r="CK18" i="3"/>
  <c r="CK19" i="3"/>
  <c r="CK10" i="3"/>
  <c r="CL14" i="3"/>
  <c r="CL15" i="3"/>
  <c r="CL18" i="3"/>
  <c r="CL19" i="3"/>
  <c r="CL10" i="3"/>
  <c r="CM14" i="3"/>
  <c r="CM15" i="3"/>
  <c r="CM18" i="3"/>
  <c r="CM20" i="3" s="1"/>
  <c r="CM22" i="3" s="1"/>
  <c r="CM23" i="3" s="1"/>
  <c r="CM24" i="3" s="1"/>
  <c r="CM19" i="3"/>
  <c r="CM10" i="3"/>
  <c r="CN14" i="3"/>
  <c r="CN15" i="3"/>
  <c r="CN18" i="3"/>
  <c r="CN19" i="3"/>
  <c r="CN10" i="3"/>
  <c r="CO14" i="3"/>
  <c r="CO15" i="3"/>
  <c r="CO18" i="3"/>
  <c r="CO19" i="3"/>
  <c r="CO10" i="3"/>
  <c r="CO6" i="3"/>
  <c r="CP14" i="3"/>
  <c r="CP15" i="3"/>
  <c r="CP18" i="3"/>
  <c r="CP20" i="3" s="1"/>
  <c r="CP19" i="3"/>
  <c r="CP10" i="3"/>
  <c r="CP6" i="3"/>
  <c r="CP55" i="3" s="1"/>
  <c r="CQ14" i="3"/>
  <c r="CQ15" i="3"/>
  <c r="CQ18" i="3"/>
  <c r="CQ19" i="3"/>
  <c r="CQ10" i="3"/>
  <c r="CQ6" i="3"/>
  <c r="CR14" i="3"/>
  <c r="CR15" i="3"/>
  <c r="CR18" i="3"/>
  <c r="CR19" i="3"/>
  <c r="CR10" i="3"/>
  <c r="CR6" i="3"/>
  <c r="CR55" i="3" s="1"/>
  <c r="CS14" i="3"/>
  <c r="CS15" i="3"/>
  <c r="CS18" i="3"/>
  <c r="CS19" i="3"/>
  <c r="CS10" i="3"/>
  <c r="CS6" i="3"/>
  <c r="CS55" i="3" s="1"/>
  <c r="CT14" i="3"/>
  <c r="CT15" i="3"/>
  <c r="CT18" i="3"/>
  <c r="CT19" i="3"/>
  <c r="CT10" i="3"/>
  <c r="CT6" i="3"/>
  <c r="CU14" i="3"/>
  <c r="CU15" i="3"/>
  <c r="CU18" i="3"/>
  <c r="CU19" i="3"/>
  <c r="CU10" i="3"/>
  <c r="CU23" i="3" s="1"/>
  <c r="CU24" i="3" s="1"/>
  <c r="CV14" i="3"/>
  <c r="CV15" i="3"/>
  <c r="CV16" i="3" s="1"/>
  <c r="CV18" i="3"/>
  <c r="CV19" i="3"/>
  <c r="CV10" i="3"/>
  <c r="CW14" i="3"/>
  <c r="CW15" i="3"/>
  <c r="CW18" i="3"/>
  <c r="CW19" i="3"/>
  <c r="CW10" i="3"/>
  <c r="CX14" i="3"/>
  <c r="CX15" i="3"/>
  <c r="CX18" i="3"/>
  <c r="CX19" i="3"/>
  <c r="CX20" i="3"/>
  <c r="CX10" i="3"/>
  <c r="CY14" i="3"/>
  <c r="CY15" i="3"/>
  <c r="CY18" i="3"/>
  <c r="CY19" i="3"/>
  <c r="CY10" i="3"/>
  <c r="CZ14" i="3"/>
  <c r="CZ15" i="3"/>
  <c r="CZ18" i="3"/>
  <c r="CZ19" i="3"/>
  <c r="CZ10" i="3"/>
  <c r="DA14" i="3"/>
  <c r="DA15" i="3"/>
  <c r="DA18" i="3"/>
  <c r="DA19" i="3"/>
  <c r="DA10" i="3"/>
  <c r="DB14" i="3"/>
  <c r="DB16" i="3" s="1"/>
  <c r="DB15" i="3"/>
  <c r="DB18" i="3"/>
  <c r="DB19" i="3"/>
  <c r="DB10" i="3"/>
  <c r="DC14" i="3"/>
  <c r="DC15" i="3"/>
  <c r="DC18" i="3"/>
  <c r="DC19" i="3"/>
  <c r="DC10" i="3"/>
  <c r="DD14" i="3"/>
  <c r="DD15" i="3"/>
  <c r="DD18" i="3"/>
  <c r="DD19" i="3"/>
  <c r="DD10" i="3"/>
  <c r="DE14" i="3"/>
  <c r="DE15" i="3"/>
  <c r="DE16" i="3" s="1"/>
  <c r="DE18" i="3"/>
  <c r="DE19" i="3"/>
  <c r="DE10" i="3"/>
  <c r="DE6" i="3"/>
  <c r="DE55" i="3" s="1"/>
  <c r="DF14" i="3"/>
  <c r="DF15" i="3"/>
  <c r="DF18" i="3"/>
  <c r="DF19" i="3"/>
  <c r="DF10" i="3"/>
  <c r="DF6" i="3"/>
  <c r="DG14" i="3"/>
  <c r="DG15" i="3"/>
  <c r="DG18" i="3"/>
  <c r="DG19" i="3"/>
  <c r="DG10" i="3"/>
  <c r="DG6" i="3"/>
  <c r="DH14" i="3"/>
  <c r="DH15" i="3"/>
  <c r="DH16" i="3" s="1"/>
  <c r="DH18" i="3"/>
  <c r="DH19" i="3"/>
  <c r="DH10" i="3"/>
  <c r="DH6" i="3"/>
  <c r="DH55" i="3" s="1"/>
  <c r="DI14" i="3"/>
  <c r="DI15" i="3"/>
  <c r="DI18" i="3"/>
  <c r="DI19" i="3"/>
  <c r="DI10" i="3"/>
  <c r="DI6" i="3"/>
  <c r="DJ14" i="3"/>
  <c r="DJ15" i="3"/>
  <c r="DJ18" i="3"/>
  <c r="DJ19" i="3"/>
  <c r="DJ20" i="3" s="1"/>
  <c r="DJ10" i="3"/>
  <c r="DJ6" i="3"/>
  <c r="DK14" i="3"/>
  <c r="DK15" i="3"/>
  <c r="DK18" i="3"/>
  <c r="DK19" i="3"/>
  <c r="DK10" i="3"/>
  <c r="DL14" i="3"/>
  <c r="DL15" i="3"/>
  <c r="DL18" i="3"/>
  <c r="DL19" i="3"/>
  <c r="DL10" i="3"/>
  <c r="DM14" i="3"/>
  <c r="DM16" i="3" s="1"/>
  <c r="DM15" i="3"/>
  <c r="DM18" i="3"/>
  <c r="DM20" i="3" s="1"/>
  <c r="DM19" i="3"/>
  <c r="DM10" i="3"/>
  <c r="DN14" i="3"/>
  <c r="DN15" i="3"/>
  <c r="DN18" i="3"/>
  <c r="DN19" i="3"/>
  <c r="DN10" i="3"/>
  <c r="DO14" i="3"/>
  <c r="DO15" i="3"/>
  <c r="DO18" i="3"/>
  <c r="DO19" i="3"/>
  <c r="DO10" i="3"/>
  <c r="DP14" i="3"/>
  <c r="DP15" i="3"/>
  <c r="DP18" i="3"/>
  <c r="DP19" i="3"/>
  <c r="DP20" i="3" s="1"/>
  <c r="DP10" i="3"/>
  <c r="C6" i="3"/>
  <c r="D6" i="3"/>
  <c r="E6" i="3"/>
  <c r="E55" i="3" s="1"/>
  <c r="F6" i="3"/>
  <c r="F55" i="3" s="1"/>
  <c r="G6" i="3"/>
  <c r="G55" i="3" s="1"/>
  <c r="L6" i="3"/>
  <c r="S6" i="3"/>
  <c r="S55" i="3" s="1"/>
  <c r="T6" i="3"/>
  <c r="U6" i="3"/>
  <c r="U55" i="3" s="1"/>
  <c r="V6" i="3"/>
  <c r="W6" i="3"/>
  <c r="W55" i="3" s="1"/>
  <c r="X6" i="3"/>
  <c r="Y6" i="3"/>
  <c r="Z6" i="3"/>
  <c r="Z55" i="3" s="1"/>
  <c r="AA6" i="3"/>
  <c r="AA55" i="3" s="1"/>
  <c r="AB6" i="3"/>
  <c r="AB55" i="3" s="1"/>
  <c r="AI6" i="3"/>
  <c r="AJ6" i="3"/>
  <c r="AJ55" i="3" s="1"/>
  <c r="AK6" i="3"/>
  <c r="AK55" i="3" s="1"/>
  <c r="AL6" i="3"/>
  <c r="AM6" i="3"/>
  <c r="AM55" i="3" s="1"/>
  <c r="AN6" i="3"/>
  <c r="AO6" i="3"/>
  <c r="AP6" i="3"/>
  <c r="AQ6" i="3"/>
  <c r="AQ55" i="3" s="1"/>
  <c r="AR6" i="3"/>
  <c r="AR55" i="3" s="1"/>
  <c r="B485" i="1"/>
  <c r="AY6" i="3" s="1"/>
  <c r="B510" i="1"/>
  <c r="B534" i="1"/>
  <c r="BA6" i="3" s="1"/>
  <c r="BA55" i="3" s="1"/>
  <c r="B558" i="1"/>
  <c r="BB6" i="3" s="1"/>
  <c r="BB55" i="3" s="1"/>
  <c r="B607" i="1"/>
  <c r="B609" i="1" s="1"/>
  <c r="B633" i="1"/>
  <c r="BE6" i="3" s="1"/>
  <c r="BE55" i="3" s="1"/>
  <c r="B659" i="1"/>
  <c r="B684" i="1"/>
  <c r="B710" i="1"/>
  <c r="BH6" i="3" s="1"/>
  <c r="BH55" i="3" s="1"/>
  <c r="B889" i="1"/>
  <c r="BP6" i="3"/>
  <c r="BQ6" i="3"/>
  <c r="BQ55" i="3" s="1"/>
  <c r="BR6" i="3"/>
  <c r="BR55" i="3" s="1"/>
  <c r="BS6" i="3"/>
  <c r="BS55" i="3" s="1"/>
  <c r="BT6" i="3"/>
  <c r="BT55" i="3" s="1"/>
  <c r="BU6" i="3"/>
  <c r="BU55" i="3" s="1"/>
  <c r="BV6" i="3"/>
  <c r="BV55" i="3" s="1"/>
  <c r="BW6" i="3"/>
  <c r="BW55" i="3" s="1"/>
  <c r="BX6" i="3"/>
  <c r="BX55" i="3" s="1"/>
  <c r="CE6" i="3"/>
  <c r="CE55" i="3" s="1"/>
  <c r="CF6" i="3"/>
  <c r="CF55" i="3" s="1"/>
  <c r="CG6" i="3"/>
  <c r="CG55" i="3" s="1"/>
  <c r="CH6" i="3"/>
  <c r="CI6" i="3"/>
  <c r="CJ6" i="3"/>
  <c r="CJ55" i="3" s="1"/>
  <c r="CK6" i="3"/>
  <c r="CK55" i="3" s="1"/>
  <c r="CL6" i="3"/>
  <c r="CL55" i="3" s="1"/>
  <c r="CM6" i="3"/>
  <c r="CM55" i="3" s="1"/>
  <c r="CN6" i="3"/>
  <c r="CN55" i="3" s="1"/>
  <c r="CU6" i="3"/>
  <c r="CV6" i="3"/>
  <c r="CW6" i="3"/>
  <c r="CW55" i="3" s="1"/>
  <c r="CX6" i="3"/>
  <c r="CX55" i="3" s="1"/>
  <c r="CY6" i="3"/>
  <c r="CY55" i="3"/>
  <c r="CZ6" i="3"/>
  <c r="CZ55" i="3" s="1"/>
  <c r="DA6" i="3"/>
  <c r="DB6" i="3"/>
  <c r="DB55" i="3" s="1"/>
  <c r="DC6" i="3"/>
  <c r="DC55" i="3" s="1"/>
  <c r="DD6" i="3"/>
  <c r="DD55" i="3" s="1"/>
  <c r="DK6" i="3"/>
  <c r="DK55" i="3" s="1"/>
  <c r="DL6" i="3"/>
  <c r="DL55" i="3" s="1"/>
  <c r="DM6" i="3"/>
  <c r="DM55" i="3" s="1"/>
  <c r="DN6" i="3"/>
  <c r="DN55" i="3" s="1"/>
  <c r="DO6" i="3"/>
  <c r="DP6" i="3"/>
  <c r="DP55" i="3" s="1"/>
  <c r="DQ10" i="3"/>
  <c r="DR10" i="3"/>
  <c r="DS10" i="3"/>
  <c r="DT10" i="3"/>
  <c r="DU10" i="3"/>
  <c r="DT55" i="3"/>
  <c r="DV10" i="3"/>
  <c r="DV55" i="3"/>
  <c r="DY55" i="3"/>
  <c r="N2401" i="1"/>
  <c r="M2401" i="1"/>
  <c r="L2401" i="1"/>
  <c r="K2401" i="1"/>
  <c r="G2401" i="1"/>
  <c r="F2401" i="1"/>
  <c r="E2401" i="1"/>
  <c r="D2401" i="1"/>
  <c r="N2400" i="1"/>
  <c r="M2400" i="1"/>
  <c r="L2400" i="1"/>
  <c r="K2400" i="1"/>
  <c r="G2400" i="1"/>
  <c r="F2400" i="1"/>
  <c r="H2400" i="1" s="1"/>
  <c r="DY37" i="3" s="1"/>
  <c r="DY39" i="3" s="1"/>
  <c r="E2400" i="1"/>
  <c r="D2400" i="1"/>
  <c r="N2399" i="1"/>
  <c r="M2399" i="1"/>
  <c r="L2399" i="1"/>
  <c r="K2399" i="1"/>
  <c r="N2398" i="1"/>
  <c r="M2398" i="1"/>
  <c r="L2398" i="1"/>
  <c r="K2398" i="1"/>
  <c r="O2397" i="1"/>
  <c r="H2397" i="1"/>
  <c r="O2396" i="1"/>
  <c r="H2396" i="1"/>
  <c r="H2386" i="1"/>
  <c r="M2385" i="1"/>
  <c r="M2384" i="1"/>
  <c r="DW11" i="3"/>
  <c r="DW8" i="3"/>
  <c r="DV11" i="3"/>
  <c r="DV8" i="3"/>
  <c r="DU12" i="3"/>
  <c r="DS12" i="3"/>
  <c r="DR12" i="3"/>
  <c r="DQ12" i="3"/>
  <c r="N2377" i="1"/>
  <c r="M2377" i="1"/>
  <c r="L2377" i="1"/>
  <c r="K2377" i="1"/>
  <c r="G2377" i="1"/>
  <c r="F2377" i="1"/>
  <c r="E2377" i="1"/>
  <c r="H2377" i="1" s="1"/>
  <c r="DX41" i="3" s="1"/>
  <c r="D2377" i="1"/>
  <c r="N2376" i="1"/>
  <c r="M2376" i="1"/>
  <c r="L2376" i="1"/>
  <c r="K2376" i="1"/>
  <c r="G2376" i="1"/>
  <c r="F2376" i="1"/>
  <c r="E2376" i="1"/>
  <c r="D2376" i="1"/>
  <c r="O2373" i="1"/>
  <c r="H2373" i="1"/>
  <c r="O2372" i="1"/>
  <c r="H2372" i="1"/>
  <c r="H2362" i="1"/>
  <c r="M2361" i="1"/>
  <c r="M2360" i="1"/>
  <c r="N2353" i="1"/>
  <c r="M2353" i="1"/>
  <c r="L2353" i="1"/>
  <c r="K2353" i="1"/>
  <c r="G2353" i="1"/>
  <c r="F2353" i="1"/>
  <c r="E2353" i="1"/>
  <c r="D2353" i="1"/>
  <c r="N2352" i="1"/>
  <c r="M2352" i="1"/>
  <c r="L2352" i="1"/>
  <c r="K2352" i="1"/>
  <c r="G2352" i="1"/>
  <c r="F2352" i="1"/>
  <c r="E2352" i="1"/>
  <c r="D2352" i="1"/>
  <c r="H2352" i="1" s="1"/>
  <c r="DW37" i="3" s="1"/>
  <c r="O2349" i="1"/>
  <c r="H2349" i="1"/>
  <c r="O2348" i="1"/>
  <c r="H2348" i="1"/>
  <c r="B2340" i="1"/>
  <c r="B2342" i="1" s="1"/>
  <c r="H2338" i="1"/>
  <c r="B2338" i="1"/>
  <c r="DW7" i="3" s="1"/>
  <c r="M2337" i="1"/>
  <c r="M2336" i="1"/>
  <c r="N2329" i="1"/>
  <c r="M2329" i="1"/>
  <c r="L2329" i="1"/>
  <c r="K2329" i="1"/>
  <c r="G2329" i="1"/>
  <c r="F2329" i="1"/>
  <c r="E2329" i="1"/>
  <c r="D2329" i="1"/>
  <c r="N2328" i="1"/>
  <c r="M2328" i="1"/>
  <c r="L2328" i="1"/>
  <c r="K2328" i="1"/>
  <c r="G2328" i="1"/>
  <c r="F2328" i="1"/>
  <c r="E2328" i="1"/>
  <c r="D2328" i="1"/>
  <c r="O2325" i="1"/>
  <c r="H2325" i="1"/>
  <c r="O2324" i="1"/>
  <c r="H2324" i="1"/>
  <c r="B2316" i="1"/>
  <c r="B2318" i="1" s="1"/>
  <c r="H2314" i="1"/>
  <c r="B2314" i="1"/>
  <c r="M2313" i="1"/>
  <c r="M2312" i="1"/>
  <c r="DU11" i="3"/>
  <c r="DU8" i="3"/>
  <c r="E5" i="7"/>
  <c r="DT11" i="3"/>
  <c r="DT8" i="3"/>
  <c r="DS11" i="3"/>
  <c r="DS8" i="3"/>
  <c r="DX55" i="3"/>
  <c r="EA55" i="3"/>
  <c r="EB55" i="3"/>
  <c r="N2305" i="1"/>
  <c r="M2305" i="1"/>
  <c r="L2305" i="1"/>
  <c r="K2305" i="1"/>
  <c r="O2305" i="1" s="1"/>
  <c r="DU42" i="3" s="1"/>
  <c r="G2305" i="1"/>
  <c r="F2305" i="1"/>
  <c r="E2305" i="1"/>
  <c r="D2305" i="1"/>
  <c r="N2304" i="1"/>
  <c r="M2304" i="1"/>
  <c r="L2304" i="1"/>
  <c r="K2304" i="1"/>
  <c r="G2304" i="1"/>
  <c r="F2304" i="1"/>
  <c r="E2304" i="1"/>
  <c r="D2304" i="1"/>
  <c r="O2301" i="1"/>
  <c r="H2301" i="1"/>
  <c r="O2300" i="1"/>
  <c r="H2300" i="1"/>
  <c r="B2292" i="1"/>
  <c r="B2294" i="1" s="1"/>
  <c r="H2290" i="1"/>
  <c r="B2290" i="1"/>
  <c r="DU7" i="3" s="1"/>
  <c r="M2289" i="1"/>
  <c r="M2288" i="1"/>
  <c r="DR11" i="3"/>
  <c r="DR8" i="3"/>
  <c r="O2277" i="1"/>
  <c r="H2277" i="1"/>
  <c r="O2276" i="1"/>
  <c r="H2276" i="1"/>
  <c r="B2268" i="1"/>
  <c r="B2270" i="1" s="1"/>
  <c r="B2267" i="1" s="1"/>
  <c r="H2266" i="1"/>
  <c r="B2266" i="1"/>
  <c r="DT7" i="3" s="1"/>
  <c r="M2265" i="1"/>
  <c r="M2264" i="1"/>
  <c r="R2175" i="1"/>
  <c r="S2175" i="1" s="1"/>
  <c r="DP12" i="3" s="1"/>
  <c r="DQ11" i="3"/>
  <c r="DQ8" i="3"/>
  <c r="N2257" i="1"/>
  <c r="M2257" i="1"/>
  <c r="L2257" i="1"/>
  <c r="K2257" i="1"/>
  <c r="G2257" i="1"/>
  <c r="F2257" i="1"/>
  <c r="E2257" i="1"/>
  <c r="D2257" i="1"/>
  <c r="N2256" i="1"/>
  <c r="M2256" i="1"/>
  <c r="L2256" i="1"/>
  <c r="K2256" i="1"/>
  <c r="O2256" i="1" s="1"/>
  <c r="DS38" i="3" s="1"/>
  <c r="G2256" i="1"/>
  <c r="F2256" i="1"/>
  <c r="E2256" i="1"/>
  <c r="D2256" i="1"/>
  <c r="O2253" i="1"/>
  <c r="H2253" i="1"/>
  <c r="O2252" i="1"/>
  <c r="H2252" i="1"/>
  <c r="B2244" i="1"/>
  <c r="B2246" i="1" s="1"/>
  <c r="H2242" i="1"/>
  <c r="B2242" i="1"/>
  <c r="M2241" i="1"/>
  <c r="M2240" i="1"/>
  <c r="DP11" i="3"/>
  <c r="DP8" i="3"/>
  <c r="N2233" i="1"/>
  <c r="O2233" i="1" s="1"/>
  <c r="DR42" i="3" s="1"/>
  <c r="M2233" i="1"/>
  <c r="L2233" i="1"/>
  <c r="K2233" i="1"/>
  <c r="G2233" i="1"/>
  <c r="F2233" i="1"/>
  <c r="E2233" i="1"/>
  <c r="D2233" i="1"/>
  <c r="N2232" i="1"/>
  <c r="M2232" i="1"/>
  <c r="L2232" i="1"/>
  <c r="K2232" i="1"/>
  <c r="G2232" i="1"/>
  <c r="F2232" i="1"/>
  <c r="E2232" i="1"/>
  <c r="D2232" i="1"/>
  <c r="O2229" i="1"/>
  <c r="H2229" i="1"/>
  <c r="O2228" i="1"/>
  <c r="H2228" i="1"/>
  <c r="B2220" i="1"/>
  <c r="B2222" i="1" s="1"/>
  <c r="H2218" i="1"/>
  <c r="B2218" i="1"/>
  <c r="M2217" i="1"/>
  <c r="M2216" i="1"/>
  <c r="DQ76" i="3"/>
  <c r="DQ55" i="3"/>
  <c r="N2209" i="1"/>
  <c r="M2209" i="1"/>
  <c r="L2209" i="1"/>
  <c r="K2209" i="1"/>
  <c r="G2209" i="1"/>
  <c r="F2209" i="1"/>
  <c r="H2209" i="1" s="1"/>
  <c r="DQ41" i="3" s="1"/>
  <c r="DQ43" i="3" s="1"/>
  <c r="E2209" i="1"/>
  <c r="D2209" i="1"/>
  <c r="N2208" i="1"/>
  <c r="M2208" i="1"/>
  <c r="L2208" i="1"/>
  <c r="K2208" i="1"/>
  <c r="G2208" i="1"/>
  <c r="F2208" i="1"/>
  <c r="E2208" i="1"/>
  <c r="D2208" i="1"/>
  <c r="O2205" i="1"/>
  <c r="H2205" i="1"/>
  <c r="O2204" i="1"/>
  <c r="H2204" i="1"/>
  <c r="B2196" i="1"/>
  <c r="B2198" i="1" s="1"/>
  <c r="H2194" i="1"/>
  <c r="B2194" i="1"/>
  <c r="M2193" i="1"/>
  <c r="M2192" i="1"/>
  <c r="DO11" i="3"/>
  <c r="DO8" i="3"/>
  <c r="S2151" i="1"/>
  <c r="DO12" i="3"/>
  <c r="B2148" i="1"/>
  <c r="B2150" i="1" s="1"/>
  <c r="B2146" i="1"/>
  <c r="DO7" i="3" s="1"/>
  <c r="DM12" i="3"/>
  <c r="N2185" i="1"/>
  <c r="M2185" i="1"/>
  <c r="L2185" i="1"/>
  <c r="K2185" i="1"/>
  <c r="G2185" i="1"/>
  <c r="F2185" i="1"/>
  <c r="E2185" i="1"/>
  <c r="D2185" i="1"/>
  <c r="N2184" i="1"/>
  <c r="M2184" i="1"/>
  <c r="L2184" i="1"/>
  <c r="K2184" i="1"/>
  <c r="G2184" i="1"/>
  <c r="F2184" i="1"/>
  <c r="E2184" i="1"/>
  <c r="D2184" i="1"/>
  <c r="N2183" i="1"/>
  <c r="M2183" i="1"/>
  <c r="L2183" i="1"/>
  <c r="K2183" i="1"/>
  <c r="G2183" i="1"/>
  <c r="F2183" i="1"/>
  <c r="H2183" i="1" s="1"/>
  <c r="DP49" i="3" s="1"/>
  <c r="E2183" i="1"/>
  <c r="D2183" i="1"/>
  <c r="N2182" i="1"/>
  <c r="M2182" i="1"/>
  <c r="L2182" i="1"/>
  <c r="K2182" i="1"/>
  <c r="G2182" i="1"/>
  <c r="F2182" i="1"/>
  <c r="E2182" i="1"/>
  <c r="D2182" i="1"/>
  <c r="O2181" i="1"/>
  <c r="H2181" i="1"/>
  <c r="O2180" i="1"/>
  <c r="H2180" i="1"/>
  <c r="B2172" i="1"/>
  <c r="B2174" i="1" s="1"/>
  <c r="B2171" i="1" s="1"/>
  <c r="H2170" i="1"/>
  <c r="B2170" i="1"/>
  <c r="DP7" i="3" s="1"/>
  <c r="M2169" i="1"/>
  <c r="M2168" i="1"/>
  <c r="DN11" i="3"/>
  <c r="S2127" i="1"/>
  <c r="DN12" i="3" s="1"/>
  <c r="C5" i="7"/>
  <c r="D5" i="7"/>
  <c r="B5" i="7"/>
  <c r="C1" i="7"/>
  <c r="D1" i="7"/>
  <c r="DM11" i="3"/>
  <c r="DM8" i="3"/>
  <c r="DO55" i="3"/>
  <c r="B1043" i="1"/>
  <c r="B1045" i="1" s="1"/>
  <c r="B1018" i="1"/>
  <c r="B1020" i="1" s="1"/>
  <c r="K749" i="1"/>
  <c r="K723" i="1"/>
  <c r="K697" i="1"/>
  <c r="K672" i="1"/>
  <c r="K11" i="3"/>
  <c r="J11" i="3"/>
  <c r="I11" i="3"/>
  <c r="H11" i="3"/>
  <c r="G11" i="3"/>
  <c r="K8" i="3"/>
  <c r="J8" i="3"/>
  <c r="I8" i="3"/>
  <c r="H8" i="3"/>
  <c r="G8" i="3"/>
  <c r="D18" i="5"/>
  <c r="E18" i="5"/>
  <c r="C18" i="5"/>
  <c r="D40" i="5"/>
  <c r="E40" i="5"/>
  <c r="C40" i="5"/>
  <c r="D62" i="5"/>
  <c r="E62" i="5"/>
  <c r="C62" i="5"/>
  <c r="D84" i="5"/>
  <c r="E84" i="5"/>
  <c r="C84" i="5"/>
  <c r="B205" i="5"/>
  <c r="B183" i="5"/>
  <c r="B185" i="5" s="1"/>
  <c r="B161" i="5"/>
  <c r="B163" i="5" s="1"/>
  <c r="B139" i="5"/>
  <c r="B141" i="5" s="1"/>
  <c r="B117" i="5"/>
  <c r="B119" i="5" s="1"/>
  <c r="B95" i="5"/>
  <c r="B97" i="5" s="1"/>
  <c r="B73" i="5"/>
  <c r="B75" i="5" s="1"/>
  <c r="F235" i="5"/>
  <c r="L235" i="5"/>
  <c r="F213" i="5"/>
  <c r="L213" i="5"/>
  <c r="L191" i="5"/>
  <c r="F191" i="5"/>
  <c r="D195" i="5"/>
  <c r="C195" i="5"/>
  <c r="E195" i="5"/>
  <c r="F195" i="5"/>
  <c r="K41" i="3" s="1"/>
  <c r="D194" i="5"/>
  <c r="E194" i="5"/>
  <c r="D193" i="5"/>
  <c r="E193" i="5"/>
  <c r="D192" i="5"/>
  <c r="E192" i="5"/>
  <c r="C194" i="5"/>
  <c r="C193" i="5"/>
  <c r="C192" i="5"/>
  <c r="L169" i="5"/>
  <c r="F169" i="5"/>
  <c r="D170" i="5"/>
  <c r="C170" i="5"/>
  <c r="E170" i="5"/>
  <c r="D173" i="5"/>
  <c r="E173" i="5"/>
  <c r="D172" i="5"/>
  <c r="E172" i="5"/>
  <c r="D171" i="5"/>
  <c r="E171" i="5"/>
  <c r="C173" i="5"/>
  <c r="C172" i="5"/>
  <c r="C171" i="5"/>
  <c r="L147" i="5"/>
  <c r="F147" i="5"/>
  <c r="D151" i="5"/>
  <c r="F151" i="5" s="1"/>
  <c r="I41" i="3" s="1"/>
  <c r="E151" i="5"/>
  <c r="C151" i="5"/>
  <c r="D150" i="5"/>
  <c r="E150" i="5"/>
  <c r="C150" i="5"/>
  <c r="D149" i="5"/>
  <c r="E149" i="5"/>
  <c r="D148" i="5"/>
  <c r="E148" i="5"/>
  <c r="C149" i="5"/>
  <c r="C148" i="5"/>
  <c r="L125" i="5"/>
  <c r="J129" i="5"/>
  <c r="K129" i="5"/>
  <c r="I129" i="5"/>
  <c r="J128" i="5"/>
  <c r="K128" i="5"/>
  <c r="J127" i="5"/>
  <c r="K127" i="5"/>
  <c r="I127" i="5"/>
  <c r="L127" i="5" s="1"/>
  <c r="H50" i="3" s="1"/>
  <c r="J126" i="5"/>
  <c r="K126" i="5"/>
  <c r="F125" i="5"/>
  <c r="D129" i="5"/>
  <c r="E129" i="5"/>
  <c r="C129" i="5"/>
  <c r="D128" i="5"/>
  <c r="E128" i="5"/>
  <c r="D127" i="5"/>
  <c r="E127" i="5"/>
  <c r="D126" i="5"/>
  <c r="E126" i="5"/>
  <c r="C128" i="5"/>
  <c r="C127" i="5"/>
  <c r="C126" i="5"/>
  <c r="L103" i="5"/>
  <c r="F103" i="5"/>
  <c r="D107" i="5"/>
  <c r="E107" i="5"/>
  <c r="D106" i="5"/>
  <c r="E106" i="5"/>
  <c r="D105" i="5"/>
  <c r="E105" i="5"/>
  <c r="C105" i="5"/>
  <c r="D104" i="5"/>
  <c r="E104" i="5"/>
  <c r="C107" i="5"/>
  <c r="C106" i="5"/>
  <c r="C104" i="5"/>
  <c r="K195" i="5"/>
  <c r="I195" i="5"/>
  <c r="J195" i="5"/>
  <c r="K194" i="5"/>
  <c r="J194" i="5"/>
  <c r="I194" i="5"/>
  <c r="K193" i="5"/>
  <c r="I193" i="5"/>
  <c r="J193" i="5"/>
  <c r="K192" i="5"/>
  <c r="J192" i="5"/>
  <c r="I192" i="5"/>
  <c r="L190" i="5"/>
  <c r="F190" i="5"/>
  <c r="B181" i="5"/>
  <c r="K7" i="3" s="1"/>
  <c r="K173" i="5"/>
  <c r="J173" i="5"/>
  <c r="I173" i="5"/>
  <c r="K172" i="5"/>
  <c r="J172" i="5"/>
  <c r="I172" i="5"/>
  <c r="K171" i="5"/>
  <c r="J171" i="5"/>
  <c r="I171" i="5"/>
  <c r="K170" i="5"/>
  <c r="J170" i="5"/>
  <c r="I170" i="5"/>
  <c r="L170" i="5" s="1"/>
  <c r="J46" i="3" s="1"/>
  <c r="L168" i="5"/>
  <c r="F168" i="5"/>
  <c r="B159" i="5"/>
  <c r="J7" i="3" s="1"/>
  <c r="K151" i="5"/>
  <c r="J151" i="5"/>
  <c r="I151" i="5"/>
  <c r="K150" i="5"/>
  <c r="J150" i="5"/>
  <c r="I150" i="5"/>
  <c r="K149" i="5"/>
  <c r="J149" i="5"/>
  <c r="I149" i="5"/>
  <c r="K148" i="5"/>
  <c r="J148" i="5"/>
  <c r="I148" i="5"/>
  <c r="L146" i="5"/>
  <c r="F146" i="5"/>
  <c r="B137" i="5"/>
  <c r="I7" i="3" s="1"/>
  <c r="I128" i="5"/>
  <c r="I126" i="5"/>
  <c r="L124" i="5"/>
  <c r="F124" i="5"/>
  <c r="B115" i="5"/>
  <c r="H7" i="3" s="1"/>
  <c r="H26" i="3" s="1"/>
  <c r="H34" i="3" s="1"/>
  <c r="K107" i="5"/>
  <c r="J107" i="5"/>
  <c r="I107" i="5"/>
  <c r="K106" i="5"/>
  <c r="J106" i="5"/>
  <c r="I106" i="5"/>
  <c r="K105" i="5"/>
  <c r="J105" i="5"/>
  <c r="L105" i="5" s="1"/>
  <c r="G50" i="3" s="1"/>
  <c r="I105" i="5"/>
  <c r="K104" i="5"/>
  <c r="J104" i="5"/>
  <c r="I104" i="5"/>
  <c r="L102" i="5"/>
  <c r="F102" i="5"/>
  <c r="B93" i="5"/>
  <c r="G7" i="3" s="1"/>
  <c r="K85" i="5"/>
  <c r="J85" i="5"/>
  <c r="I85" i="5"/>
  <c r="E85" i="5"/>
  <c r="D85" i="5"/>
  <c r="C85" i="5"/>
  <c r="K84" i="5"/>
  <c r="J84" i="5"/>
  <c r="I84" i="5"/>
  <c r="L84" i="5" s="1"/>
  <c r="F38" i="3" s="1"/>
  <c r="K83" i="5"/>
  <c r="J83" i="5"/>
  <c r="I83" i="5"/>
  <c r="E83" i="5"/>
  <c r="F83" i="5" s="1"/>
  <c r="F49" i="3" s="1"/>
  <c r="D83" i="5"/>
  <c r="C83" i="5"/>
  <c r="K82" i="5"/>
  <c r="J82" i="5"/>
  <c r="I82" i="5"/>
  <c r="E82" i="5"/>
  <c r="D82" i="5"/>
  <c r="C82" i="5"/>
  <c r="L81" i="5"/>
  <c r="F81" i="5"/>
  <c r="L80" i="5"/>
  <c r="F80" i="5"/>
  <c r="B71" i="5"/>
  <c r="F7" i="3" s="1"/>
  <c r="K63" i="5"/>
  <c r="J63" i="5"/>
  <c r="I63" i="5"/>
  <c r="E63" i="5"/>
  <c r="D63" i="5"/>
  <c r="C63" i="5"/>
  <c r="K62" i="5"/>
  <c r="J62" i="5"/>
  <c r="I62" i="5"/>
  <c r="K61" i="5"/>
  <c r="J61" i="5"/>
  <c r="I61" i="5"/>
  <c r="E61" i="5"/>
  <c r="D61" i="5"/>
  <c r="C61" i="5"/>
  <c r="F61" i="5" s="1"/>
  <c r="E49" i="3" s="1"/>
  <c r="K60" i="5"/>
  <c r="J60" i="5"/>
  <c r="I60" i="5"/>
  <c r="E60" i="5"/>
  <c r="F60" i="5" s="1"/>
  <c r="E45" i="3" s="1"/>
  <c r="D60" i="5"/>
  <c r="C60" i="5"/>
  <c r="L59" i="5"/>
  <c r="F59" i="5"/>
  <c r="L58" i="5"/>
  <c r="F58" i="5"/>
  <c r="B51" i="5"/>
  <c r="B53" i="5" s="1"/>
  <c r="B49" i="5"/>
  <c r="E7" i="3" s="1"/>
  <c r="K41" i="5"/>
  <c r="J41" i="5"/>
  <c r="I41" i="5"/>
  <c r="L41" i="5" s="1"/>
  <c r="D42" i="3" s="1"/>
  <c r="E41" i="5"/>
  <c r="D41" i="5"/>
  <c r="C41" i="5"/>
  <c r="K40" i="5"/>
  <c r="J40" i="5"/>
  <c r="I40" i="5"/>
  <c r="K39" i="5"/>
  <c r="J39" i="5"/>
  <c r="I39" i="5"/>
  <c r="E39" i="5"/>
  <c r="D39" i="5"/>
  <c r="C39" i="5"/>
  <c r="K38" i="5"/>
  <c r="J38" i="5"/>
  <c r="I38" i="5"/>
  <c r="E38" i="5"/>
  <c r="D38" i="5"/>
  <c r="F38" i="5" s="1"/>
  <c r="D45" i="3" s="1"/>
  <c r="C38" i="5"/>
  <c r="L37" i="5"/>
  <c r="F37" i="5"/>
  <c r="L36" i="5"/>
  <c r="F36" i="5"/>
  <c r="B29" i="5"/>
  <c r="B31" i="5" s="1"/>
  <c r="B27" i="5"/>
  <c r="D7" i="3" s="1"/>
  <c r="H55" i="3"/>
  <c r="I55" i="3"/>
  <c r="J55" i="3"/>
  <c r="K55" i="3"/>
  <c r="C11" i="3"/>
  <c r="C8" i="3"/>
  <c r="D11" i="3"/>
  <c r="D8" i="3"/>
  <c r="E11" i="3"/>
  <c r="E8" i="3"/>
  <c r="F11" i="3"/>
  <c r="F8" i="3"/>
  <c r="F15" i="5"/>
  <c r="L15" i="5"/>
  <c r="D19" i="5"/>
  <c r="E19" i="5"/>
  <c r="C19" i="5"/>
  <c r="D17" i="5"/>
  <c r="E17" i="5"/>
  <c r="C17" i="5"/>
  <c r="D16" i="5"/>
  <c r="E16" i="5"/>
  <c r="C16" i="5"/>
  <c r="B7" i="5"/>
  <c r="B9" i="5" s="1"/>
  <c r="B6" i="5" s="1"/>
  <c r="B5" i="5"/>
  <c r="C7" i="3" s="1"/>
  <c r="K19" i="5"/>
  <c r="J19" i="5"/>
  <c r="I19" i="5"/>
  <c r="K18" i="5"/>
  <c r="J18" i="5"/>
  <c r="I18" i="5"/>
  <c r="K17" i="5"/>
  <c r="J17" i="5"/>
  <c r="I17" i="5"/>
  <c r="K16" i="5"/>
  <c r="J16" i="5"/>
  <c r="I16" i="5"/>
  <c r="L14" i="5"/>
  <c r="F14" i="5"/>
  <c r="K5" i="3"/>
  <c r="D55" i="3"/>
  <c r="D3" i="3"/>
  <c r="E3" i="3" s="1"/>
  <c r="F3" i="3" s="1"/>
  <c r="G3" i="3" s="1"/>
  <c r="H3" i="3" s="1"/>
  <c r="I3" i="3" s="1"/>
  <c r="J3" i="3" s="1"/>
  <c r="K3" i="3" s="1"/>
  <c r="M55" i="3"/>
  <c r="N55" i="3"/>
  <c r="O55" i="3"/>
  <c r="P55" i="3"/>
  <c r="Q55" i="3"/>
  <c r="V55" i="3"/>
  <c r="Y55" i="3"/>
  <c r="AD55" i="3"/>
  <c r="AE55" i="3"/>
  <c r="AF55" i="3"/>
  <c r="AG55" i="3"/>
  <c r="AH55" i="3"/>
  <c r="AI55" i="3"/>
  <c r="AS55" i="3"/>
  <c r="CI55" i="3"/>
  <c r="CO55" i="3"/>
  <c r="CT55" i="3"/>
  <c r="CU55" i="3"/>
  <c r="DF55" i="3"/>
  <c r="DI55" i="3"/>
  <c r="DL12" i="3"/>
  <c r="DL11" i="3"/>
  <c r="DL8" i="3"/>
  <c r="DK12" i="3"/>
  <c r="DK11" i="3"/>
  <c r="DK8" i="3"/>
  <c r="DJ12" i="3"/>
  <c r="DJ11" i="3"/>
  <c r="DJ8" i="3"/>
  <c r="DI12" i="3"/>
  <c r="DI11" i="3"/>
  <c r="DI8" i="3"/>
  <c r="DH12" i="3"/>
  <c r="DH11" i="3"/>
  <c r="DH8" i="3"/>
  <c r="DG12" i="3"/>
  <c r="DG11" i="3"/>
  <c r="DG8" i="3"/>
  <c r="DF12" i="3"/>
  <c r="DF11" i="3"/>
  <c r="DF8" i="3"/>
  <c r="DE12" i="3"/>
  <c r="DE11" i="3"/>
  <c r="DE8" i="3"/>
  <c r="DD12" i="3"/>
  <c r="CU11" i="1"/>
  <c r="DD11" i="3"/>
  <c r="DD8" i="3"/>
  <c r="DC12" i="3"/>
  <c r="DC11" i="3"/>
  <c r="DC8" i="3"/>
  <c r="DB12" i="3"/>
  <c r="DB11" i="3"/>
  <c r="DB8" i="3"/>
  <c r="DA12" i="3"/>
  <c r="DA11" i="3"/>
  <c r="DA8" i="3"/>
  <c r="CZ12" i="3"/>
  <c r="CZ11" i="3"/>
  <c r="CZ8" i="3"/>
  <c r="CY12" i="3"/>
  <c r="CY11" i="3"/>
  <c r="CY8" i="3"/>
  <c r="CX12" i="3"/>
  <c r="CX11" i="3"/>
  <c r="CX8" i="3"/>
  <c r="CW12" i="3"/>
  <c r="CW11" i="3"/>
  <c r="CW8" i="3"/>
  <c r="CV12" i="3"/>
  <c r="CV11" i="3"/>
  <c r="CV8" i="3"/>
  <c r="CU12" i="3"/>
  <c r="CU11" i="3"/>
  <c r="CU8" i="3"/>
  <c r="CT12" i="3"/>
  <c r="CT11" i="3"/>
  <c r="CT8" i="3"/>
  <c r="CS12" i="3"/>
  <c r="CS11" i="3"/>
  <c r="CS8" i="3"/>
  <c r="CR12" i="3"/>
  <c r="CR11" i="3"/>
  <c r="CR8" i="3"/>
  <c r="CQ12" i="3"/>
  <c r="CQ11" i="3"/>
  <c r="CQ8" i="3"/>
  <c r="CP12" i="3"/>
  <c r="CP11" i="3"/>
  <c r="CP8" i="3"/>
  <c r="CR3" i="3"/>
  <c r="CS3" i="3" s="1"/>
  <c r="CT3" i="3" s="1"/>
  <c r="CU3" i="3" s="1"/>
  <c r="CV3" i="3" s="1"/>
  <c r="CW3" i="3" s="1"/>
  <c r="CX3" i="3" s="1"/>
  <c r="CY3" i="3" s="1"/>
  <c r="CZ3" i="3" s="1"/>
  <c r="DA3" i="3" s="1"/>
  <c r="DB3" i="3" s="1"/>
  <c r="DC3" i="3" s="1"/>
  <c r="DD3" i="3" s="1"/>
  <c r="DE3" i="3" s="1"/>
  <c r="DF3" i="3" s="1"/>
  <c r="DG3" i="3" s="1"/>
  <c r="DH3" i="3" s="1"/>
  <c r="DI3" i="3" s="1"/>
  <c r="DJ3" i="3" s="1"/>
  <c r="DK3" i="3" s="1"/>
  <c r="DL3" i="3" s="1"/>
  <c r="DM3" i="3" s="1"/>
  <c r="DN3" i="3" s="1"/>
  <c r="DO3" i="3" s="1"/>
  <c r="DP3" i="3" s="1"/>
  <c r="CO11" i="3"/>
  <c r="CO8" i="3"/>
  <c r="CN12" i="3"/>
  <c r="CN11" i="3"/>
  <c r="CN8" i="3"/>
  <c r="CM11" i="3"/>
  <c r="CM8" i="3"/>
  <c r="CL11" i="3"/>
  <c r="CL8" i="3"/>
  <c r="CK11" i="3"/>
  <c r="CK8" i="3"/>
  <c r="M786" i="1"/>
  <c r="CJ12" i="3"/>
  <c r="CH12" i="3"/>
  <c r="CJ11" i="3"/>
  <c r="CI11" i="3"/>
  <c r="CH11" i="3"/>
  <c r="CJ8" i="3"/>
  <c r="CI8" i="3"/>
  <c r="CH8" i="3"/>
  <c r="CK3" i="3"/>
  <c r="CL3" i="3" s="1"/>
  <c r="CM3" i="3" s="1"/>
  <c r="CN3" i="3" s="1"/>
  <c r="CO3" i="3" s="1"/>
  <c r="CP3" i="3" s="1"/>
  <c r="CG12" i="3"/>
  <c r="B1333" i="1"/>
  <c r="CG8" i="3"/>
  <c r="CF12" i="3"/>
  <c r="J1274" i="1"/>
  <c r="I1274" i="1"/>
  <c r="H1274" i="1"/>
  <c r="J1273" i="1"/>
  <c r="I1273" i="1"/>
  <c r="H1273" i="1"/>
  <c r="J1272" i="1"/>
  <c r="I1272" i="1"/>
  <c r="H1272" i="1"/>
  <c r="J1250" i="1"/>
  <c r="I1250" i="1"/>
  <c r="H1250" i="1"/>
  <c r="J1249" i="1"/>
  <c r="I1249" i="1"/>
  <c r="H1249" i="1"/>
  <c r="K1249" i="1" s="1"/>
  <c r="CC39" i="3" s="1"/>
  <c r="J1248" i="1"/>
  <c r="I1248" i="1"/>
  <c r="H1248" i="1"/>
  <c r="J1226" i="1"/>
  <c r="I1226" i="1"/>
  <c r="H1226" i="1"/>
  <c r="J1225" i="1"/>
  <c r="I1225" i="1"/>
  <c r="H1225" i="1"/>
  <c r="J1224" i="1"/>
  <c r="I1224" i="1"/>
  <c r="H1224" i="1"/>
  <c r="J1106" i="1"/>
  <c r="I1106" i="1"/>
  <c r="H1106" i="1"/>
  <c r="K1106" i="1" s="1"/>
  <c r="BW43" i="3" s="1"/>
  <c r="J1105" i="1"/>
  <c r="H1105" i="1"/>
  <c r="I1105" i="1"/>
  <c r="J1104" i="1"/>
  <c r="I1104" i="1"/>
  <c r="K1104" i="1" s="1"/>
  <c r="BW51" i="3" s="1"/>
  <c r="BW61" i="3" s="1"/>
  <c r="BW65" i="3" s="1"/>
  <c r="H1104" i="1"/>
  <c r="J1081" i="1"/>
  <c r="I1081" i="1"/>
  <c r="H1081" i="1"/>
  <c r="K1081" i="1" s="1"/>
  <c r="BV43" i="3" s="1"/>
  <c r="J1080" i="1"/>
  <c r="I1080" i="1"/>
  <c r="H1080" i="1"/>
  <c r="K1080" i="1" s="1"/>
  <c r="BV39" i="3" s="1"/>
  <c r="J1079" i="1"/>
  <c r="I1079" i="1"/>
  <c r="H1079" i="1"/>
  <c r="J1056" i="1"/>
  <c r="I1056" i="1"/>
  <c r="H1056" i="1"/>
  <c r="J1055" i="1"/>
  <c r="I1055" i="1"/>
  <c r="H1055" i="1"/>
  <c r="J1054" i="1"/>
  <c r="I1054" i="1"/>
  <c r="H1054" i="1"/>
  <c r="J1031" i="1"/>
  <c r="I1031" i="1"/>
  <c r="H1031" i="1"/>
  <c r="J1030" i="1"/>
  <c r="I1030" i="1"/>
  <c r="H1030" i="1"/>
  <c r="J1029" i="1"/>
  <c r="I1029" i="1"/>
  <c r="K1029" i="1" s="1"/>
  <c r="BT51" i="3" s="1"/>
  <c r="BT61" i="3" s="1"/>
  <c r="BT65" i="3" s="1"/>
  <c r="H1029" i="1"/>
  <c r="J1006" i="1"/>
  <c r="I1006" i="1"/>
  <c r="H1006" i="1"/>
  <c r="J1004" i="1"/>
  <c r="I1004" i="1"/>
  <c r="H1004" i="1"/>
  <c r="I981" i="1"/>
  <c r="J981" i="1"/>
  <c r="H981" i="1"/>
  <c r="I979" i="1"/>
  <c r="J979" i="1"/>
  <c r="K979" i="1" s="1"/>
  <c r="BR51" i="3" s="1"/>
  <c r="BR61" i="3" s="1"/>
  <c r="BR65" i="3" s="1"/>
  <c r="H979" i="1"/>
  <c r="N1537" i="1"/>
  <c r="N1536" i="1"/>
  <c r="N1535" i="1"/>
  <c r="N1534" i="1"/>
  <c r="O1533" i="1"/>
  <c r="O1532" i="1"/>
  <c r="H1532" i="1"/>
  <c r="O1557" i="1"/>
  <c r="N1561" i="1"/>
  <c r="N1560" i="1"/>
  <c r="N1559" i="1"/>
  <c r="O1559" i="1" s="1"/>
  <c r="CP50" i="3" s="1"/>
  <c r="N1558" i="1"/>
  <c r="O1556" i="1"/>
  <c r="H1557" i="1"/>
  <c r="G1561" i="1"/>
  <c r="G1560" i="1"/>
  <c r="G1559" i="1"/>
  <c r="G1558" i="1"/>
  <c r="H1556" i="1"/>
  <c r="B2028" i="1"/>
  <c r="B2030" i="1" s="1"/>
  <c r="B2052" i="1"/>
  <c r="B2054" i="1" s="1"/>
  <c r="B2076" i="1"/>
  <c r="B2078" i="1"/>
  <c r="B2100" i="1"/>
  <c r="B2102" i="1"/>
  <c r="B2124" i="1"/>
  <c r="B2126" i="1"/>
  <c r="B2123" i="1" s="1"/>
  <c r="H2013" i="1"/>
  <c r="O1989" i="1"/>
  <c r="B2004" i="1"/>
  <c r="B2006" i="1" s="1"/>
  <c r="B1980" i="1"/>
  <c r="B1982" i="1" s="1"/>
  <c r="B1956" i="1"/>
  <c r="B1958" i="1" s="1"/>
  <c r="B1932" i="1"/>
  <c r="B1908" i="1"/>
  <c r="B1910" i="1" s="1"/>
  <c r="B1860" i="1"/>
  <c r="B1862" i="1"/>
  <c r="B1884" i="1"/>
  <c r="B1644" i="1"/>
  <c r="B1646" i="1" s="1"/>
  <c r="B1572" i="1"/>
  <c r="B1574" i="1" s="1"/>
  <c r="B1571" i="1" s="1"/>
  <c r="O1941" i="1"/>
  <c r="N2161" i="1"/>
  <c r="M2161" i="1"/>
  <c r="L2161" i="1"/>
  <c r="K2161" i="1"/>
  <c r="G2161" i="1"/>
  <c r="F2161" i="1"/>
  <c r="E2161" i="1"/>
  <c r="D2161" i="1"/>
  <c r="N2160" i="1"/>
  <c r="M2160" i="1"/>
  <c r="L2160" i="1"/>
  <c r="K2160" i="1"/>
  <c r="G2160" i="1"/>
  <c r="F2160" i="1"/>
  <c r="E2160" i="1"/>
  <c r="D2160" i="1"/>
  <c r="N2159" i="1"/>
  <c r="M2159" i="1"/>
  <c r="L2159" i="1"/>
  <c r="K2159" i="1"/>
  <c r="G2159" i="1"/>
  <c r="F2159" i="1"/>
  <c r="E2159" i="1"/>
  <c r="D2159" i="1"/>
  <c r="N2158" i="1"/>
  <c r="M2158" i="1"/>
  <c r="L2158" i="1"/>
  <c r="K2158" i="1"/>
  <c r="G2158" i="1"/>
  <c r="F2158" i="1"/>
  <c r="E2158" i="1"/>
  <c r="D2158" i="1"/>
  <c r="O2157" i="1"/>
  <c r="H2157" i="1"/>
  <c r="O2156" i="1"/>
  <c r="H2156" i="1"/>
  <c r="H2146" i="1"/>
  <c r="M2146" i="1" s="1"/>
  <c r="M2145" i="1"/>
  <c r="M2144" i="1"/>
  <c r="N2137" i="1"/>
  <c r="M2137" i="1"/>
  <c r="L2137" i="1"/>
  <c r="K2137" i="1"/>
  <c r="G2137" i="1"/>
  <c r="F2137" i="1"/>
  <c r="E2137" i="1"/>
  <c r="D2137" i="1"/>
  <c r="N2136" i="1"/>
  <c r="M2136" i="1"/>
  <c r="L2136" i="1"/>
  <c r="K2136" i="1"/>
  <c r="G2136" i="1"/>
  <c r="H2136" i="1" s="1"/>
  <c r="DN37" i="3" s="1"/>
  <c r="F2136" i="1"/>
  <c r="E2136" i="1"/>
  <c r="D2136" i="1"/>
  <c r="N2135" i="1"/>
  <c r="M2135" i="1"/>
  <c r="L2135" i="1"/>
  <c r="K2135" i="1"/>
  <c r="G2135" i="1"/>
  <c r="F2135" i="1"/>
  <c r="E2135" i="1"/>
  <c r="D2135" i="1"/>
  <c r="N2134" i="1"/>
  <c r="M2134" i="1"/>
  <c r="O2134" i="1" s="1"/>
  <c r="DN46" i="3" s="1"/>
  <c r="L2134" i="1"/>
  <c r="K2134" i="1"/>
  <c r="G2134" i="1"/>
  <c r="F2134" i="1"/>
  <c r="E2134" i="1"/>
  <c r="D2134" i="1"/>
  <c r="O2133" i="1"/>
  <c r="H2133" i="1"/>
  <c r="O2132" i="1"/>
  <c r="H2132" i="1"/>
  <c r="H2122" i="1"/>
  <c r="B2122" i="1"/>
  <c r="DN7" i="3" s="1"/>
  <c r="M2121" i="1"/>
  <c r="M2120" i="1"/>
  <c r="N2113" i="1"/>
  <c r="M2113" i="1"/>
  <c r="L2113" i="1"/>
  <c r="K2113" i="1"/>
  <c r="G2113" i="1"/>
  <c r="F2113" i="1"/>
  <c r="E2113" i="1"/>
  <c r="D2113" i="1"/>
  <c r="N2112" i="1"/>
  <c r="M2112" i="1"/>
  <c r="L2112" i="1"/>
  <c r="K2112" i="1"/>
  <c r="G2112" i="1"/>
  <c r="F2112" i="1"/>
  <c r="E2112" i="1"/>
  <c r="D2112" i="1"/>
  <c r="N2111" i="1"/>
  <c r="M2111" i="1"/>
  <c r="L2111" i="1"/>
  <c r="K2111" i="1"/>
  <c r="G2111" i="1"/>
  <c r="F2111" i="1"/>
  <c r="D2111" i="1"/>
  <c r="E2111" i="1"/>
  <c r="N2110" i="1"/>
  <c r="M2110" i="1"/>
  <c r="L2110" i="1"/>
  <c r="K2110" i="1"/>
  <c r="G2110" i="1"/>
  <c r="F2110" i="1"/>
  <c r="E2110" i="1"/>
  <c r="D2110" i="1"/>
  <c r="O2109" i="1"/>
  <c r="H2109" i="1"/>
  <c r="O2108" i="1"/>
  <c r="H2108" i="1"/>
  <c r="H2098" i="1"/>
  <c r="B2098" i="1"/>
  <c r="M2097" i="1"/>
  <c r="M2096" i="1"/>
  <c r="N2089" i="1"/>
  <c r="M2089" i="1"/>
  <c r="L2089" i="1"/>
  <c r="K2089" i="1"/>
  <c r="G2089" i="1"/>
  <c r="F2089" i="1"/>
  <c r="E2089" i="1"/>
  <c r="D2089" i="1"/>
  <c r="N2088" i="1"/>
  <c r="M2088" i="1"/>
  <c r="L2088" i="1"/>
  <c r="K2088" i="1"/>
  <c r="G2088" i="1"/>
  <c r="F2088" i="1"/>
  <c r="E2088" i="1"/>
  <c r="D2088" i="1"/>
  <c r="N2087" i="1"/>
  <c r="M2087" i="1"/>
  <c r="L2087" i="1"/>
  <c r="K2087" i="1"/>
  <c r="G2087" i="1"/>
  <c r="F2087" i="1"/>
  <c r="E2087" i="1"/>
  <c r="H2087" i="1" s="1"/>
  <c r="DL49" i="3" s="1"/>
  <c r="D2087" i="1"/>
  <c r="N2086" i="1"/>
  <c r="M2086" i="1"/>
  <c r="L2086" i="1"/>
  <c r="K2086" i="1"/>
  <c r="G2086" i="1"/>
  <c r="F2086" i="1"/>
  <c r="E2086" i="1"/>
  <c r="D2086" i="1"/>
  <c r="O2085" i="1"/>
  <c r="H2085" i="1"/>
  <c r="O2084" i="1"/>
  <c r="H2084" i="1"/>
  <c r="H2074" i="1"/>
  <c r="B2074" i="1"/>
  <c r="M2073" i="1"/>
  <c r="M2072" i="1"/>
  <c r="N2065" i="1"/>
  <c r="M2065" i="1"/>
  <c r="L2065" i="1"/>
  <c r="K2065" i="1"/>
  <c r="G2065" i="1"/>
  <c r="F2065" i="1"/>
  <c r="E2065" i="1"/>
  <c r="D2065" i="1"/>
  <c r="N2064" i="1"/>
  <c r="M2064" i="1"/>
  <c r="K2064" i="1"/>
  <c r="L2064" i="1"/>
  <c r="G2064" i="1"/>
  <c r="F2064" i="1"/>
  <c r="E2064" i="1"/>
  <c r="H2064" i="1" s="1"/>
  <c r="DK37" i="3" s="1"/>
  <c r="D2064" i="1"/>
  <c r="N2063" i="1"/>
  <c r="M2063" i="1"/>
  <c r="K2063" i="1"/>
  <c r="L2063" i="1"/>
  <c r="G2063" i="1"/>
  <c r="F2063" i="1"/>
  <c r="E2063" i="1"/>
  <c r="D2063" i="1"/>
  <c r="N2062" i="1"/>
  <c r="M2062" i="1"/>
  <c r="K2062" i="1"/>
  <c r="L2062" i="1"/>
  <c r="G2062" i="1"/>
  <c r="F2062" i="1"/>
  <c r="E2062" i="1"/>
  <c r="D2062" i="1"/>
  <c r="O2061" i="1"/>
  <c r="H2061" i="1"/>
  <c r="O2060" i="1"/>
  <c r="H2060" i="1"/>
  <c r="H2050" i="1"/>
  <c r="M2050" i="1" s="1"/>
  <c r="B2050" i="1"/>
  <c r="M2049" i="1"/>
  <c r="M2048" i="1"/>
  <c r="N2041" i="1"/>
  <c r="M2041" i="1"/>
  <c r="L2041" i="1"/>
  <c r="K2041" i="1"/>
  <c r="G2041" i="1"/>
  <c r="F2041" i="1"/>
  <c r="E2041" i="1"/>
  <c r="H2041" i="1" s="1"/>
  <c r="DJ41" i="3" s="1"/>
  <c r="D2041" i="1"/>
  <c r="N2040" i="1"/>
  <c r="M2040" i="1"/>
  <c r="L2040" i="1"/>
  <c r="K2040" i="1"/>
  <c r="G2040" i="1"/>
  <c r="F2040" i="1"/>
  <c r="E2040" i="1"/>
  <c r="D2040" i="1"/>
  <c r="N2039" i="1"/>
  <c r="M2039" i="1"/>
  <c r="L2039" i="1"/>
  <c r="K2039" i="1"/>
  <c r="G2039" i="1"/>
  <c r="F2039" i="1"/>
  <c r="E2039" i="1"/>
  <c r="D2039" i="1"/>
  <c r="N2038" i="1"/>
  <c r="M2038" i="1"/>
  <c r="L2038" i="1"/>
  <c r="K2038" i="1"/>
  <c r="G2038" i="1"/>
  <c r="F2038" i="1"/>
  <c r="E2038" i="1"/>
  <c r="D2038" i="1"/>
  <c r="O2037" i="1"/>
  <c r="H2037" i="1"/>
  <c r="O2036" i="1"/>
  <c r="H2036" i="1"/>
  <c r="H2026" i="1"/>
  <c r="B2026" i="1"/>
  <c r="M2025" i="1"/>
  <c r="M2024" i="1"/>
  <c r="N2017" i="1"/>
  <c r="M2017" i="1"/>
  <c r="L2017" i="1"/>
  <c r="K2017" i="1"/>
  <c r="G2017" i="1"/>
  <c r="F2017" i="1"/>
  <c r="E2017" i="1"/>
  <c r="D2017" i="1"/>
  <c r="N2016" i="1"/>
  <c r="M2016" i="1"/>
  <c r="L2016" i="1"/>
  <c r="K2016" i="1"/>
  <c r="G2016" i="1"/>
  <c r="F2016" i="1"/>
  <c r="D2016" i="1"/>
  <c r="E2016" i="1"/>
  <c r="N2015" i="1"/>
  <c r="M2015" i="1"/>
  <c r="L2015" i="1"/>
  <c r="K2015" i="1"/>
  <c r="G2015" i="1"/>
  <c r="F2015" i="1"/>
  <c r="E2015" i="1"/>
  <c r="D2015" i="1"/>
  <c r="N2014" i="1"/>
  <c r="M2014" i="1"/>
  <c r="L2014" i="1"/>
  <c r="K2014" i="1"/>
  <c r="G2014" i="1"/>
  <c r="F2014" i="1"/>
  <c r="E2014" i="1"/>
  <c r="H2014" i="1" s="1"/>
  <c r="DI45" i="3" s="1"/>
  <c r="D2014" i="1"/>
  <c r="O2013" i="1"/>
  <c r="O2012" i="1"/>
  <c r="H2012" i="1"/>
  <c r="H2002" i="1"/>
  <c r="B2002" i="1"/>
  <c r="M2001" i="1"/>
  <c r="M2000" i="1"/>
  <c r="N1993" i="1"/>
  <c r="M1993" i="1"/>
  <c r="L1993" i="1"/>
  <c r="K1993" i="1"/>
  <c r="G1993" i="1"/>
  <c r="F1993" i="1"/>
  <c r="E1993" i="1"/>
  <c r="D1993" i="1"/>
  <c r="N1992" i="1"/>
  <c r="M1992" i="1"/>
  <c r="O1992" i="1" s="1"/>
  <c r="DH38" i="3" s="1"/>
  <c r="L1992" i="1"/>
  <c r="K1992" i="1"/>
  <c r="G1992" i="1"/>
  <c r="F1992" i="1"/>
  <c r="E1992" i="1"/>
  <c r="D1992" i="1"/>
  <c r="N1991" i="1"/>
  <c r="M1991" i="1"/>
  <c r="L1991" i="1"/>
  <c r="K1991" i="1"/>
  <c r="G1991" i="1"/>
  <c r="F1991" i="1"/>
  <c r="E1991" i="1"/>
  <c r="D1991" i="1"/>
  <c r="N1990" i="1"/>
  <c r="M1990" i="1"/>
  <c r="O1990" i="1" s="1"/>
  <c r="DH46" i="3" s="1"/>
  <c r="L1990" i="1"/>
  <c r="K1990" i="1"/>
  <c r="G1990" i="1"/>
  <c r="F1990" i="1"/>
  <c r="E1990" i="1"/>
  <c r="D1990" i="1"/>
  <c r="H1989" i="1"/>
  <c r="O1988" i="1"/>
  <c r="H1988" i="1"/>
  <c r="H1978" i="1"/>
  <c r="B1978" i="1"/>
  <c r="DH7" i="3" s="1"/>
  <c r="M1977" i="1"/>
  <c r="M1976" i="1"/>
  <c r="N1969" i="1"/>
  <c r="M1969" i="1"/>
  <c r="L1969" i="1"/>
  <c r="O1969" i="1" s="1"/>
  <c r="DG42" i="3" s="1"/>
  <c r="K1969" i="1"/>
  <c r="G1969" i="1"/>
  <c r="F1969" i="1"/>
  <c r="H1969" i="1" s="1"/>
  <c r="DG41" i="3" s="1"/>
  <c r="E1969" i="1"/>
  <c r="D1969" i="1"/>
  <c r="N1968" i="1"/>
  <c r="M1968" i="1"/>
  <c r="L1968" i="1"/>
  <c r="K1968" i="1"/>
  <c r="G1968" i="1"/>
  <c r="F1968" i="1"/>
  <c r="E1968" i="1"/>
  <c r="D1968" i="1"/>
  <c r="N1967" i="1"/>
  <c r="M1967" i="1"/>
  <c r="L1967" i="1"/>
  <c r="K1967" i="1"/>
  <c r="G1967" i="1"/>
  <c r="F1967" i="1"/>
  <c r="E1967" i="1"/>
  <c r="D1967" i="1"/>
  <c r="N1966" i="1"/>
  <c r="M1966" i="1"/>
  <c r="L1966" i="1"/>
  <c r="K1966" i="1"/>
  <c r="G1966" i="1"/>
  <c r="F1966" i="1"/>
  <c r="E1966" i="1"/>
  <c r="D1966" i="1"/>
  <c r="O1965" i="1"/>
  <c r="H1965" i="1"/>
  <c r="O1964" i="1"/>
  <c r="H1964" i="1"/>
  <c r="H1954" i="1"/>
  <c r="B1954" i="1"/>
  <c r="B1955" i="1" s="1"/>
  <c r="M1953" i="1"/>
  <c r="M1952" i="1"/>
  <c r="N1945" i="1"/>
  <c r="M1945" i="1"/>
  <c r="L1945" i="1"/>
  <c r="K1945" i="1"/>
  <c r="G1945" i="1"/>
  <c r="F1945" i="1"/>
  <c r="E1945" i="1"/>
  <c r="D1945" i="1"/>
  <c r="N1944" i="1"/>
  <c r="M1944" i="1"/>
  <c r="L1944" i="1"/>
  <c r="O1944" i="1" s="1"/>
  <c r="DF38" i="3" s="1"/>
  <c r="K1944" i="1"/>
  <c r="G1944" i="1"/>
  <c r="F1944" i="1"/>
  <c r="E1944" i="1"/>
  <c r="D1944" i="1"/>
  <c r="N1943" i="1"/>
  <c r="M1943" i="1"/>
  <c r="L1943" i="1"/>
  <c r="K1943" i="1"/>
  <c r="G1943" i="1"/>
  <c r="F1943" i="1"/>
  <c r="E1943" i="1"/>
  <c r="D1943" i="1"/>
  <c r="N1942" i="1"/>
  <c r="M1942" i="1"/>
  <c r="L1942" i="1"/>
  <c r="O1942" i="1" s="1"/>
  <c r="DF46" i="3" s="1"/>
  <c r="K1942" i="1"/>
  <c r="G1942" i="1"/>
  <c r="F1942" i="1"/>
  <c r="H1942" i="1" s="1"/>
  <c r="DF45" i="3" s="1"/>
  <c r="E1942" i="1"/>
  <c r="D1942" i="1"/>
  <c r="H1941" i="1"/>
  <c r="O1940" i="1"/>
  <c r="H1940" i="1"/>
  <c r="B1934" i="1"/>
  <c r="H1930" i="1"/>
  <c r="B1930" i="1"/>
  <c r="M1929" i="1"/>
  <c r="M1928" i="1"/>
  <c r="O1917" i="1"/>
  <c r="N1921" i="1"/>
  <c r="N1920" i="1"/>
  <c r="N1919" i="1"/>
  <c r="N1918" i="1"/>
  <c r="O1916" i="1"/>
  <c r="G1921" i="1"/>
  <c r="G1920" i="1"/>
  <c r="G1919" i="1"/>
  <c r="G1918" i="1"/>
  <c r="H1917" i="1"/>
  <c r="H1916" i="1"/>
  <c r="O1893" i="1"/>
  <c r="N1897" i="1"/>
  <c r="N1896" i="1"/>
  <c r="N1895" i="1"/>
  <c r="N1894" i="1"/>
  <c r="O1892" i="1"/>
  <c r="H1893" i="1"/>
  <c r="G1897" i="1"/>
  <c r="G1896" i="1"/>
  <c r="G1895" i="1"/>
  <c r="G1894" i="1"/>
  <c r="H1892" i="1"/>
  <c r="O1869" i="1"/>
  <c r="N1873" i="1"/>
  <c r="N1872" i="1"/>
  <c r="N1871" i="1"/>
  <c r="N1870" i="1"/>
  <c r="O1868" i="1"/>
  <c r="G1873" i="1"/>
  <c r="G1872" i="1"/>
  <c r="G1871" i="1"/>
  <c r="G1870" i="1"/>
  <c r="H1869" i="1"/>
  <c r="H1868" i="1"/>
  <c r="N1849" i="1"/>
  <c r="N1848" i="1"/>
  <c r="O1848" i="1" s="1"/>
  <c r="DB38" i="3" s="1"/>
  <c r="N1847" i="1"/>
  <c r="N1846" i="1"/>
  <c r="O1845" i="1"/>
  <c r="K1846" i="1"/>
  <c r="O1844" i="1"/>
  <c r="G1849" i="1"/>
  <c r="G1848" i="1"/>
  <c r="G1847" i="1"/>
  <c r="G1846" i="1"/>
  <c r="H1845" i="1"/>
  <c r="H1844" i="1"/>
  <c r="O1821" i="1"/>
  <c r="N1825" i="1"/>
  <c r="N1824" i="1"/>
  <c r="N1823" i="1"/>
  <c r="N1822" i="1"/>
  <c r="O1820" i="1"/>
  <c r="H1821" i="1"/>
  <c r="G1825" i="1"/>
  <c r="G1824" i="1"/>
  <c r="G1823" i="1"/>
  <c r="G1822" i="1"/>
  <c r="H1820" i="1"/>
  <c r="N1801" i="1"/>
  <c r="N1800" i="1"/>
  <c r="N1799" i="1"/>
  <c r="N1798" i="1"/>
  <c r="O1797" i="1"/>
  <c r="O1796" i="1"/>
  <c r="H1797" i="1"/>
  <c r="G1801" i="1"/>
  <c r="G1800" i="1"/>
  <c r="G1799" i="1"/>
  <c r="G1798" i="1"/>
  <c r="H1796" i="1"/>
  <c r="O1773" i="1"/>
  <c r="N1777" i="1"/>
  <c r="N1776" i="1"/>
  <c r="N1775" i="1"/>
  <c r="N1774" i="1"/>
  <c r="O1772" i="1"/>
  <c r="H1773" i="1"/>
  <c r="G1777" i="1"/>
  <c r="G1776" i="1"/>
  <c r="G1775" i="1"/>
  <c r="H1775" i="1" s="1"/>
  <c r="CY49" i="3" s="1"/>
  <c r="G1774" i="1"/>
  <c r="H1772" i="1"/>
  <c r="O1749" i="1"/>
  <c r="N1753" i="1"/>
  <c r="N1752" i="1"/>
  <c r="N1751" i="1"/>
  <c r="N1750" i="1"/>
  <c r="O1748" i="1"/>
  <c r="H1749" i="1"/>
  <c r="G1753" i="1"/>
  <c r="G1752" i="1"/>
  <c r="G1751" i="1"/>
  <c r="G1750" i="1"/>
  <c r="H1748" i="1"/>
  <c r="O1725" i="1"/>
  <c r="N1729" i="1"/>
  <c r="N1728" i="1"/>
  <c r="N1727" i="1"/>
  <c r="N1726" i="1"/>
  <c r="O1726" i="1" s="1"/>
  <c r="CW46" i="3" s="1"/>
  <c r="O1724" i="1"/>
  <c r="H1725" i="1"/>
  <c r="G1729" i="1"/>
  <c r="G1728" i="1"/>
  <c r="G1727" i="1"/>
  <c r="G1726" i="1"/>
  <c r="H1724" i="1"/>
  <c r="O1701" i="1"/>
  <c r="N1705" i="1"/>
  <c r="N1704" i="1"/>
  <c r="N1703" i="1"/>
  <c r="N1702" i="1"/>
  <c r="O1700" i="1"/>
  <c r="H1701" i="1"/>
  <c r="G1705" i="1"/>
  <c r="G1704" i="1"/>
  <c r="G1703" i="1"/>
  <c r="G1702" i="1"/>
  <c r="H1700" i="1"/>
  <c r="O1677" i="1"/>
  <c r="N1681" i="1"/>
  <c r="N1680" i="1"/>
  <c r="N1679" i="1"/>
  <c r="N1678" i="1"/>
  <c r="O1676" i="1"/>
  <c r="H1677" i="1"/>
  <c r="G1681" i="1"/>
  <c r="G1680" i="1"/>
  <c r="G1679" i="1"/>
  <c r="G1678" i="1"/>
  <c r="H1676" i="1"/>
  <c r="N1657" i="1"/>
  <c r="N1656" i="1"/>
  <c r="N1655" i="1"/>
  <c r="N1654" i="1"/>
  <c r="O1653" i="1"/>
  <c r="O1652" i="1"/>
  <c r="H1653" i="1"/>
  <c r="G1657" i="1"/>
  <c r="G1656" i="1"/>
  <c r="G1655" i="1"/>
  <c r="G1654" i="1"/>
  <c r="H1652" i="1"/>
  <c r="O1629" i="1"/>
  <c r="N1633" i="1"/>
  <c r="N1632" i="1"/>
  <c r="N1631" i="1"/>
  <c r="N1630" i="1"/>
  <c r="O1630" i="1" s="1"/>
  <c r="CS46" i="3" s="1"/>
  <c r="O1628" i="1"/>
  <c r="H1629" i="1"/>
  <c r="G1633" i="1"/>
  <c r="G1632" i="1"/>
  <c r="G1631" i="1"/>
  <c r="G1630" i="1"/>
  <c r="H1628" i="1"/>
  <c r="O1605" i="1"/>
  <c r="N1609" i="1"/>
  <c r="N1608" i="1"/>
  <c r="N1607" i="1"/>
  <c r="N1606" i="1"/>
  <c r="O1604" i="1"/>
  <c r="H1605" i="1"/>
  <c r="O1581" i="1"/>
  <c r="H1581" i="1"/>
  <c r="G1609" i="1"/>
  <c r="G1608" i="1"/>
  <c r="G1607" i="1"/>
  <c r="G1606" i="1"/>
  <c r="H1604" i="1"/>
  <c r="O1580" i="1"/>
  <c r="H1580" i="1"/>
  <c r="N1585" i="1"/>
  <c r="N1584" i="1"/>
  <c r="N1583" i="1"/>
  <c r="N1582" i="1"/>
  <c r="G1585" i="1"/>
  <c r="G1584" i="1"/>
  <c r="G1583" i="1"/>
  <c r="G1582" i="1"/>
  <c r="DK7" i="3"/>
  <c r="BJ12" i="3"/>
  <c r="BK12" i="3"/>
  <c r="BI12" i="3"/>
  <c r="BL12" i="3"/>
  <c r="R423" i="1"/>
  <c r="S423" i="1" s="1"/>
  <c r="AV12" i="3" s="1"/>
  <c r="AP7" i="3"/>
  <c r="B1836" i="1"/>
  <c r="B1838" i="1"/>
  <c r="B1812" i="1"/>
  <c r="B1788" i="1"/>
  <c r="B1790" i="1" s="1"/>
  <c r="B1764" i="1"/>
  <c r="B1766" i="1" s="1"/>
  <c r="B1740" i="1"/>
  <c r="B1742" i="1" s="1"/>
  <c r="B1668" i="1"/>
  <c r="B1670" i="1" s="1"/>
  <c r="B1716" i="1"/>
  <c r="B1718" i="1" s="1"/>
  <c r="B1692" i="1"/>
  <c r="B1620" i="1"/>
  <c r="B1622" i="1" s="1"/>
  <c r="B1619" i="1" s="1"/>
  <c r="D1630" i="1"/>
  <c r="R1624" i="1"/>
  <c r="R1600" i="1"/>
  <c r="B1596" i="1"/>
  <c r="B1598" i="1" s="1"/>
  <c r="M1921" i="1"/>
  <c r="L1921" i="1"/>
  <c r="K1921" i="1"/>
  <c r="F1921" i="1"/>
  <c r="E1921" i="1"/>
  <c r="D1921" i="1"/>
  <c r="M1920" i="1"/>
  <c r="L1920" i="1"/>
  <c r="K1920" i="1"/>
  <c r="O1920" i="1" s="1"/>
  <c r="DE38" i="3" s="1"/>
  <c r="F1920" i="1"/>
  <c r="E1920" i="1"/>
  <c r="D1920" i="1"/>
  <c r="M1919" i="1"/>
  <c r="L1919" i="1"/>
  <c r="K1919" i="1"/>
  <c r="F1919" i="1"/>
  <c r="E1919" i="1"/>
  <c r="D1919" i="1"/>
  <c r="M1918" i="1"/>
  <c r="L1918" i="1"/>
  <c r="K1918" i="1"/>
  <c r="F1918" i="1"/>
  <c r="E1918" i="1"/>
  <c r="D1918" i="1"/>
  <c r="M1897" i="1"/>
  <c r="O1897" i="1" s="1"/>
  <c r="DD42" i="3" s="1"/>
  <c r="L1897" i="1"/>
  <c r="K1897" i="1"/>
  <c r="F1897" i="1"/>
  <c r="E1897" i="1"/>
  <c r="D1897" i="1"/>
  <c r="M1896" i="1"/>
  <c r="L1896" i="1"/>
  <c r="K1896" i="1"/>
  <c r="F1896" i="1"/>
  <c r="E1896" i="1"/>
  <c r="D1896" i="1"/>
  <c r="M1895" i="1"/>
  <c r="L1895" i="1"/>
  <c r="K1895" i="1"/>
  <c r="F1895" i="1"/>
  <c r="E1895" i="1"/>
  <c r="D1895" i="1"/>
  <c r="M1894" i="1"/>
  <c r="K1894" i="1"/>
  <c r="L1894" i="1"/>
  <c r="F1894" i="1"/>
  <c r="E1894" i="1"/>
  <c r="D1894" i="1"/>
  <c r="M1873" i="1"/>
  <c r="L1873" i="1"/>
  <c r="K1873" i="1"/>
  <c r="F1873" i="1"/>
  <c r="E1873" i="1"/>
  <c r="D1873" i="1"/>
  <c r="M1872" i="1"/>
  <c r="L1872" i="1"/>
  <c r="K1872" i="1"/>
  <c r="O1872" i="1" s="1"/>
  <c r="DC38" i="3" s="1"/>
  <c r="F1872" i="1"/>
  <c r="E1872" i="1"/>
  <c r="D1872" i="1"/>
  <c r="M1871" i="1"/>
  <c r="L1871" i="1"/>
  <c r="K1871" i="1"/>
  <c r="F1871" i="1"/>
  <c r="E1871" i="1"/>
  <c r="D1871" i="1"/>
  <c r="M1870" i="1"/>
  <c r="L1870" i="1"/>
  <c r="K1870" i="1"/>
  <c r="F1870" i="1"/>
  <c r="E1870" i="1"/>
  <c r="D1870" i="1"/>
  <c r="M1849" i="1"/>
  <c r="O1849" i="1" s="1"/>
  <c r="DB42" i="3" s="1"/>
  <c r="L1849" i="1"/>
  <c r="K1849" i="1"/>
  <c r="F1849" i="1"/>
  <c r="E1849" i="1"/>
  <c r="D1849" i="1"/>
  <c r="M1848" i="1"/>
  <c r="L1848" i="1"/>
  <c r="K1848" i="1"/>
  <c r="F1848" i="1"/>
  <c r="E1848" i="1"/>
  <c r="D1848" i="1"/>
  <c r="M1847" i="1"/>
  <c r="L1847" i="1"/>
  <c r="K1847" i="1"/>
  <c r="F1847" i="1"/>
  <c r="E1847" i="1"/>
  <c r="D1847" i="1"/>
  <c r="M1846" i="1"/>
  <c r="L1846" i="1"/>
  <c r="F1846" i="1"/>
  <c r="E1846" i="1"/>
  <c r="D1846" i="1"/>
  <c r="M1825" i="1"/>
  <c r="L1825" i="1"/>
  <c r="K1825" i="1"/>
  <c r="F1825" i="1"/>
  <c r="E1825" i="1"/>
  <c r="D1825" i="1"/>
  <c r="M1824" i="1"/>
  <c r="L1824" i="1"/>
  <c r="K1824" i="1"/>
  <c r="F1824" i="1"/>
  <c r="H1824" i="1" s="1"/>
  <c r="DA37" i="3" s="1"/>
  <c r="E1824" i="1"/>
  <c r="D1824" i="1"/>
  <c r="M1823" i="1"/>
  <c r="O1823" i="1" s="1"/>
  <c r="DA50" i="3" s="1"/>
  <c r="L1823" i="1"/>
  <c r="K1823" i="1"/>
  <c r="F1823" i="1"/>
  <c r="E1823" i="1"/>
  <c r="D1823" i="1"/>
  <c r="M1822" i="1"/>
  <c r="L1822" i="1"/>
  <c r="K1822" i="1"/>
  <c r="F1822" i="1"/>
  <c r="E1822" i="1"/>
  <c r="D1822" i="1"/>
  <c r="M1801" i="1"/>
  <c r="L1801" i="1"/>
  <c r="K1801" i="1"/>
  <c r="F1801" i="1"/>
  <c r="E1801" i="1"/>
  <c r="D1801" i="1"/>
  <c r="M1800" i="1"/>
  <c r="L1800" i="1"/>
  <c r="K1800" i="1"/>
  <c r="F1800" i="1"/>
  <c r="E1800" i="1"/>
  <c r="D1800" i="1"/>
  <c r="M1799" i="1"/>
  <c r="L1799" i="1"/>
  <c r="K1799" i="1"/>
  <c r="F1799" i="1"/>
  <c r="E1799" i="1"/>
  <c r="D1799" i="1"/>
  <c r="M1798" i="1"/>
  <c r="L1798" i="1"/>
  <c r="K1798" i="1"/>
  <c r="O1798" i="1" s="1"/>
  <c r="CZ46" i="3" s="1"/>
  <c r="F1798" i="1"/>
  <c r="E1798" i="1"/>
  <c r="D1798" i="1"/>
  <c r="M1777" i="1"/>
  <c r="L1777" i="1"/>
  <c r="K1777" i="1"/>
  <c r="F1777" i="1"/>
  <c r="E1777" i="1"/>
  <c r="D1777" i="1"/>
  <c r="M1776" i="1"/>
  <c r="L1776" i="1"/>
  <c r="K1776" i="1"/>
  <c r="F1776" i="1"/>
  <c r="H1776" i="1" s="1"/>
  <c r="CY37" i="3" s="1"/>
  <c r="E1776" i="1"/>
  <c r="D1776" i="1"/>
  <c r="M1775" i="1"/>
  <c r="O1775" i="1" s="1"/>
  <c r="CY50" i="3" s="1"/>
  <c r="L1775" i="1"/>
  <c r="K1775" i="1"/>
  <c r="F1775" i="1"/>
  <c r="E1775" i="1"/>
  <c r="D1775" i="1"/>
  <c r="M1774" i="1"/>
  <c r="L1774" i="1"/>
  <c r="K1774" i="1"/>
  <c r="F1774" i="1"/>
  <c r="E1774" i="1"/>
  <c r="D1774" i="1"/>
  <c r="M1753" i="1"/>
  <c r="L1753" i="1"/>
  <c r="K1753" i="1"/>
  <c r="F1753" i="1"/>
  <c r="E1753" i="1"/>
  <c r="H1753" i="1" s="1"/>
  <c r="CX41" i="3" s="1"/>
  <c r="D1753" i="1"/>
  <c r="M1752" i="1"/>
  <c r="L1752" i="1"/>
  <c r="O1752" i="1" s="1"/>
  <c r="CX38" i="3" s="1"/>
  <c r="K1752" i="1"/>
  <c r="F1752" i="1"/>
  <c r="E1752" i="1"/>
  <c r="D1752" i="1"/>
  <c r="M1751" i="1"/>
  <c r="L1751" i="1"/>
  <c r="K1751" i="1"/>
  <c r="F1751" i="1"/>
  <c r="E1751" i="1"/>
  <c r="D1751" i="1"/>
  <c r="M1750" i="1"/>
  <c r="L1750" i="1"/>
  <c r="O1750" i="1" s="1"/>
  <c r="CX46" i="3" s="1"/>
  <c r="K1750" i="1"/>
  <c r="F1750" i="1"/>
  <c r="E1750" i="1"/>
  <c r="D1750" i="1"/>
  <c r="M1729" i="1"/>
  <c r="L1729" i="1"/>
  <c r="K1729" i="1"/>
  <c r="F1729" i="1"/>
  <c r="E1729" i="1"/>
  <c r="D1729" i="1"/>
  <c r="M1728" i="1"/>
  <c r="L1728" i="1"/>
  <c r="K1728" i="1"/>
  <c r="O1728" i="1" s="1"/>
  <c r="CW38" i="3" s="1"/>
  <c r="F1728" i="1"/>
  <c r="E1728" i="1"/>
  <c r="D1728" i="1"/>
  <c r="H1728" i="1" s="1"/>
  <c r="CW37" i="3" s="1"/>
  <c r="M1727" i="1"/>
  <c r="L1727" i="1"/>
  <c r="K1727" i="1"/>
  <c r="F1727" i="1"/>
  <c r="E1727" i="1"/>
  <c r="D1727" i="1"/>
  <c r="M1726" i="1"/>
  <c r="L1726" i="1"/>
  <c r="K1726" i="1"/>
  <c r="F1726" i="1"/>
  <c r="E1726" i="1"/>
  <c r="D1726" i="1"/>
  <c r="M1705" i="1"/>
  <c r="O1705" i="1" s="1"/>
  <c r="CV42" i="3" s="1"/>
  <c r="L1705" i="1"/>
  <c r="K1705" i="1"/>
  <c r="F1705" i="1"/>
  <c r="H1705" i="1" s="1"/>
  <c r="CV41" i="3" s="1"/>
  <c r="E1705" i="1"/>
  <c r="D1705" i="1"/>
  <c r="M1704" i="1"/>
  <c r="L1704" i="1"/>
  <c r="K1704" i="1"/>
  <c r="F1704" i="1"/>
  <c r="E1704" i="1"/>
  <c r="D1704" i="1"/>
  <c r="M1703" i="1"/>
  <c r="L1703" i="1"/>
  <c r="K1703" i="1"/>
  <c r="O1703" i="1" s="1"/>
  <c r="CV50" i="3" s="1"/>
  <c r="F1703" i="1"/>
  <c r="E1703" i="1"/>
  <c r="D1703" i="1"/>
  <c r="M1702" i="1"/>
  <c r="L1702" i="1"/>
  <c r="K1702" i="1"/>
  <c r="F1702" i="1"/>
  <c r="E1702" i="1"/>
  <c r="D1702" i="1"/>
  <c r="M1681" i="1"/>
  <c r="L1681" i="1"/>
  <c r="K1681" i="1"/>
  <c r="F1681" i="1"/>
  <c r="E1681" i="1"/>
  <c r="D1681" i="1"/>
  <c r="M1680" i="1"/>
  <c r="L1680" i="1"/>
  <c r="K1680" i="1"/>
  <c r="F1680" i="1"/>
  <c r="E1680" i="1"/>
  <c r="H1680" i="1" s="1"/>
  <c r="CU37" i="3" s="1"/>
  <c r="D1680" i="1"/>
  <c r="M1679" i="1"/>
  <c r="L1679" i="1"/>
  <c r="K1679" i="1"/>
  <c r="F1679" i="1"/>
  <c r="E1679" i="1"/>
  <c r="D1679" i="1"/>
  <c r="M1678" i="1"/>
  <c r="L1678" i="1"/>
  <c r="K1678" i="1"/>
  <c r="F1678" i="1"/>
  <c r="E1678" i="1"/>
  <c r="D1678" i="1"/>
  <c r="M1657" i="1"/>
  <c r="L1657" i="1"/>
  <c r="K1657" i="1"/>
  <c r="F1657" i="1"/>
  <c r="E1657" i="1"/>
  <c r="D1657" i="1"/>
  <c r="M1656" i="1"/>
  <c r="L1656" i="1"/>
  <c r="K1656" i="1"/>
  <c r="O1656" i="1" s="1"/>
  <c r="CT38" i="3" s="1"/>
  <c r="F1656" i="1"/>
  <c r="E1656" i="1"/>
  <c r="D1656" i="1"/>
  <c r="M1655" i="1"/>
  <c r="L1655" i="1"/>
  <c r="K1655" i="1"/>
  <c r="F1655" i="1"/>
  <c r="E1655" i="1"/>
  <c r="D1655" i="1"/>
  <c r="M1654" i="1"/>
  <c r="L1654" i="1"/>
  <c r="K1654" i="1"/>
  <c r="F1654" i="1"/>
  <c r="E1654" i="1"/>
  <c r="D1654" i="1"/>
  <c r="M1633" i="1"/>
  <c r="L1633" i="1"/>
  <c r="K1633" i="1"/>
  <c r="F1633" i="1"/>
  <c r="E1633" i="1"/>
  <c r="D1633" i="1"/>
  <c r="M1632" i="1"/>
  <c r="L1632" i="1"/>
  <c r="K1632" i="1"/>
  <c r="F1632" i="1"/>
  <c r="E1632" i="1"/>
  <c r="D1632" i="1"/>
  <c r="M1631" i="1"/>
  <c r="L1631" i="1"/>
  <c r="K1631" i="1"/>
  <c r="F1631" i="1"/>
  <c r="E1631" i="1"/>
  <c r="D1631" i="1"/>
  <c r="M1630" i="1"/>
  <c r="L1630" i="1"/>
  <c r="K1630" i="1"/>
  <c r="F1630" i="1"/>
  <c r="E1630" i="1"/>
  <c r="M1609" i="1"/>
  <c r="O1609" i="1" s="1"/>
  <c r="CR42" i="3" s="1"/>
  <c r="L1609" i="1"/>
  <c r="K1609" i="1"/>
  <c r="F1609" i="1"/>
  <c r="E1609" i="1"/>
  <c r="D1609" i="1"/>
  <c r="M1608" i="1"/>
  <c r="L1608" i="1"/>
  <c r="K1608" i="1"/>
  <c r="F1608" i="1"/>
  <c r="E1608" i="1"/>
  <c r="D1608" i="1"/>
  <c r="M1607" i="1"/>
  <c r="L1607" i="1"/>
  <c r="K1607" i="1"/>
  <c r="F1607" i="1"/>
  <c r="E1607" i="1"/>
  <c r="D1607" i="1"/>
  <c r="M1606" i="1"/>
  <c r="L1606" i="1"/>
  <c r="O1606" i="1" s="1"/>
  <c r="CR46" i="3" s="1"/>
  <c r="K1606" i="1"/>
  <c r="F1606" i="1"/>
  <c r="E1606" i="1"/>
  <c r="D1606" i="1"/>
  <c r="M1585" i="1"/>
  <c r="L1585" i="1"/>
  <c r="K1585" i="1"/>
  <c r="F1585" i="1"/>
  <c r="E1585" i="1"/>
  <c r="D1585" i="1"/>
  <c r="M1584" i="1"/>
  <c r="L1584" i="1"/>
  <c r="K1584" i="1"/>
  <c r="F1584" i="1"/>
  <c r="E1584" i="1"/>
  <c r="D1584" i="1"/>
  <c r="M1583" i="1"/>
  <c r="L1583" i="1"/>
  <c r="K1583" i="1"/>
  <c r="F1583" i="1"/>
  <c r="E1583" i="1"/>
  <c r="D1583" i="1"/>
  <c r="H1583" i="1" s="1"/>
  <c r="CQ49" i="3" s="1"/>
  <c r="M1582" i="1"/>
  <c r="L1582" i="1"/>
  <c r="K1582" i="1"/>
  <c r="F1582" i="1"/>
  <c r="E1582" i="1"/>
  <c r="D1582" i="1"/>
  <c r="B1524" i="1"/>
  <c r="B1526" i="1" s="1"/>
  <c r="B1548" i="1"/>
  <c r="R17" i="1"/>
  <c r="R39" i="1"/>
  <c r="S39" i="1" s="1"/>
  <c r="AE12" i="3" s="1"/>
  <c r="R61" i="1"/>
  <c r="R83" i="1"/>
  <c r="R105" i="1"/>
  <c r="R127" i="1"/>
  <c r="R149" i="1"/>
  <c r="S149" i="1" s="1"/>
  <c r="AJ12" i="3" s="1"/>
  <c r="R171" i="1"/>
  <c r="S171" i="1" s="1"/>
  <c r="AK12" i="3" s="1"/>
  <c r="R193" i="1"/>
  <c r="R215" i="1"/>
  <c r="R237" i="1"/>
  <c r="S237" i="1" s="1"/>
  <c r="AN12" i="3" s="1"/>
  <c r="R302" i="1"/>
  <c r="S302" i="1" s="1"/>
  <c r="AQ12" i="3" s="1"/>
  <c r="R374" i="1"/>
  <c r="R399" i="1"/>
  <c r="S399" i="1" s="1"/>
  <c r="AU12" i="3" s="1"/>
  <c r="R448" i="1"/>
  <c r="S448" i="1" s="1"/>
  <c r="R523" i="1"/>
  <c r="S523" i="1" s="1"/>
  <c r="AZ12" i="3" s="1"/>
  <c r="R548" i="1"/>
  <c r="S548" i="1" s="1"/>
  <c r="BA12" i="3" s="1"/>
  <c r="R572" i="1"/>
  <c r="R1391" i="1"/>
  <c r="CI12" i="3" s="1"/>
  <c r="R1415" i="1"/>
  <c r="R1439" i="1"/>
  <c r="CK12" i="3"/>
  <c r="R1455" i="1"/>
  <c r="CL12" i="3" s="1"/>
  <c r="R1479" i="1"/>
  <c r="CM12" i="3" s="1"/>
  <c r="R1527" i="1"/>
  <c r="CO12" i="3" s="1"/>
  <c r="M1561" i="1"/>
  <c r="L1561" i="1"/>
  <c r="K1561" i="1"/>
  <c r="F1561" i="1"/>
  <c r="E1561" i="1"/>
  <c r="H1561" i="1" s="1"/>
  <c r="CP41" i="3" s="1"/>
  <c r="D1561" i="1"/>
  <c r="M1560" i="1"/>
  <c r="L1560" i="1"/>
  <c r="O1560" i="1" s="1"/>
  <c r="CP38" i="3" s="1"/>
  <c r="K1560" i="1"/>
  <c r="F1560" i="1"/>
  <c r="E1560" i="1"/>
  <c r="D1560" i="1"/>
  <c r="M1559" i="1"/>
  <c r="L1559" i="1"/>
  <c r="K1559" i="1"/>
  <c r="F1559" i="1"/>
  <c r="E1559" i="1"/>
  <c r="H1559" i="1" s="1"/>
  <c r="D1559" i="1"/>
  <c r="M1558" i="1"/>
  <c r="L1558" i="1"/>
  <c r="K1558" i="1"/>
  <c r="F1558" i="1"/>
  <c r="E1558" i="1"/>
  <c r="D1558" i="1"/>
  <c r="M1537" i="1"/>
  <c r="L1537" i="1"/>
  <c r="K1537" i="1"/>
  <c r="F1537" i="1"/>
  <c r="E1537" i="1"/>
  <c r="D1537" i="1"/>
  <c r="M1536" i="1"/>
  <c r="L1536" i="1"/>
  <c r="K1536" i="1"/>
  <c r="O1536" i="1" s="1"/>
  <c r="CO38" i="3" s="1"/>
  <c r="F1536" i="1"/>
  <c r="E1536" i="1"/>
  <c r="D1536" i="1"/>
  <c r="M1535" i="1"/>
  <c r="L1535" i="1"/>
  <c r="K1535" i="1"/>
  <c r="F1535" i="1"/>
  <c r="E1535" i="1"/>
  <c r="D1535" i="1"/>
  <c r="M1534" i="1"/>
  <c r="L1534" i="1"/>
  <c r="K1534" i="1"/>
  <c r="F1534" i="1"/>
  <c r="E1534" i="1"/>
  <c r="D1534" i="1"/>
  <c r="H1533" i="1"/>
  <c r="B1500" i="1"/>
  <c r="B1502" i="1" s="1"/>
  <c r="M1513" i="1"/>
  <c r="L1513" i="1"/>
  <c r="K1513" i="1"/>
  <c r="O1513" i="1" s="1"/>
  <c r="CN42" i="3" s="1"/>
  <c r="F1513" i="1"/>
  <c r="E1513" i="1"/>
  <c r="D1513" i="1"/>
  <c r="H1513" i="1" s="1"/>
  <c r="CN41" i="3" s="1"/>
  <c r="M1512" i="1"/>
  <c r="L1512" i="1"/>
  <c r="K1512" i="1"/>
  <c r="F1512" i="1"/>
  <c r="E1512" i="1"/>
  <c r="D1512" i="1"/>
  <c r="M1511" i="1"/>
  <c r="L1511" i="1"/>
  <c r="K1511" i="1"/>
  <c r="O1511" i="1" s="1"/>
  <c r="CN50" i="3" s="1"/>
  <c r="F1511" i="1"/>
  <c r="E1511" i="1"/>
  <c r="D1511" i="1"/>
  <c r="M1510" i="1"/>
  <c r="O1510" i="1" s="1"/>
  <c r="CN46" i="3" s="1"/>
  <c r="L1510" i="1"/>
  <c r="K1510" i="1"/>
  <c r="F1510" i="1"/>
  <c r="E1510" i="1"/>
  <c r="D1510" i="1"/>
  <c r="O1509" i="1"/>
  <c r="H1509" i="1"/>
  <c r="O1508" i="1"/>
  <c r="H1508" i="1"/>
  <c r="B1476" i="1"/>
  <c r="B1478" i="1" s="1"/>
  <c r="B1475" i="1" s="1"/>
  <c r="M1489" i="1"/>
  <c r="L1489" i="1"/>
  <c r="O1489" i="1" s="1"/>
  <c r="CM42" i="3" s="1"/>
  <c r="K1489" i="1"/>
  <c r="F1489" i="1"/>
  <c r="D1489" i="1"/>
  <c r="E1489" i="1"/>
  <c r="M1488" i="1"/>
  <c r="L1488" i="1"/>
  <c r="K1488" i="1"/>
  <c r="F1488" i="1"/>
  <c r="E1488" i="1"/>
  <c r="D1488" i="1"/>
  <c r="M1487" i="1"/>
  <c r="L1487" i="1"/>
  <c r="K1487" i="1"/>
  <c r="F1487" i="1"/>
  <c r="E1487" i="1"/>
  <c r="D1487" i="1"/>
  <c r="M1486" i="1"/>
  <c r="L1486" i="1"/>
  <c r="K1486" i="1"/>
  <c r="F1486" i="1"/>
  <c r="H1486" i="1" s="1"/>
  <c r="CM45" i="3" s="1"/>
  <c r="E1486" i="1"/>
  <c r="D1486" i="1"/>
  <c r="O1485" i="1"/>
  <c r="H1485" i="1"/>
  <c r="O1484" i="1"/>
  <c r="H1484" i="1"/>
  <c r="B1452" i="1"/>
  <c r="B1454" i="1" s="1"/>
  <c r="M1465" i="1"/>
  <c r="L1465" i="1"/>
  <c r="K1465" i="1"/>
  <c r="F1465" i="1"/>
  <c r="E1465" i="1"/>
  <c r="H1465" i="1" s="1"/>
  <c r="CL41" i="3" s="1"/>
  <c r="D1465" i="1"/>
  <c r="M1464" i="1"/>
  <c r="L1464" i="1"/>
  <c r="K1464" i="1"/>
  <c r="O1464" i="1" s="1"/>
  <c r="CL38" i="3" s="1"/>
  <c r="F1464" i="1"/>
  <c r="E1464" i="1"/>
  <c r="D1464" i="1"/>
  <c r="H1464" i="1" s="1"/>
  <c r="CL37" i="3" s="1"/>
  <c r="CL39" i="3" s="1"/>
  <c r="M1463" i="1"/>
  <c r="L1463" i="1"/>
  <c r="K1463" i="1"/>
  <c r="O1463" i="1" s="1"/>
  <c r="CL50" i="3" s="1"/>
  <c r="F1463" i="1"/>
  <c r="E1463" i="1"/>
  <c r="D1463" i="1"/>
  <c r="M1462" i="1"/>
  <c r="L1462" i="1"/>
  <c r="K1462" i="1"/>
  <c r="O1462" i="1" s="1"/>
  <c r="CL46" i="3" s="1"/>
  <c r="F1462" i="1"/>
  <c r="E1462" i="1"/>
  <c r="D1462" i="1"/>
  <c r="O1461" i="1"/>
  <c r="O1467" i="1" s="1"/>
  <c r="H1461" i="1"/>
  <c r="O1460" i="1"/>
  <c r="H1460" i="1"/>
  <c r="M1425" i="1"/>
  <c r="B1405" i="1"/>
  <c r="B1407" i="1" s="1"/>
  <c r="B1429" i="1"/>
  <c r="B1431" i="1" s="1"/>
  <c r="M1442" i="1"/>
  <c r="L1442" i="1"/>
  <c r="K1442" i="1"/>
  <c r="F1442" i="1"/>
  <c r="E1442" i="1"/>
  <c r="D1442" i="1"/>
  <c r="H1442" i="1" s="1"/>
  <c r="CK41" i="3" s="1"/>
  <c r="M1441" i="1"/>
  <c r="L1441" i="1"/>
  <c r="K1441" i="1"/>
  <c r="F1441" i="1"/>
  <c r="H1441" i="1" s="1"/>
  <c r="CK37" i="3" s="1"/>
  <c r="E1441" i="1"/>
  <c r="D1441" i="1"/>
  <c r="M1440" i="1"/>
  <c r="L1440" i="1"/>
  <c r="K1440" i="1"/>
  <c r="F1440" i="1"/>
  <c r="H1440" i="1" s="1"/>
  <c r="CK49" i="3" s="1"/>
  <c r="E1440" i="1"/>
  <c r="D1440" i="1"/>
  <c r="M1439" i="1"/>
  <c r="L1439" i="1"/>
  <c r="K1439" i="1"/>
  <c r="F1439" i="1"/>
  <c r="E1439" i="1"/>
  <c r="D1439" i="1"/>
  <c r="O1438" i="1"/>
  <c r="H1438" i="1"/>
  <c r="O1437" i="1"/>
  <c r="H1437" i="1"/>
  <c r="M1418" i="1"/>
  <c r="O1418" i="1" s="1"/>
  <c r="CJ42" i="3" s="1"/>
  <c r="L1418" i="1"/>
  <c r="K1418" i="1"/>
  <c r="F1418" i="1"/>
  <c r="E1418" i="1"/>
  <c r="D1418" i="1"/>
  <c r="M1417" i="1"/>
  <c r="L1417" i="1"/>
  <c r="K1417" i="1"/>
  <c r="F1417" i="1"/>
  <c r="H1417" i="1" s="1"/>
  <c r="CJ37" i="3" s="1"/>
  <c r="E1417" i="1"/>
  <c r="D1417" i="1"/>
  <c r="M1416" i="1"/>
  <c r="L1416" i="1"/>
  <c r="K1416" i="1"/>
  <c r="F1416" i="1"/>
  <c r="E1416" i="1"/>
  <c r="H1416" i="1" s="1"/>
  <c r="CJ49" i="3" s="1"/>
  <c r="D1416" i="1"/>
  <c r="M1415" i="1"/>
  <c r="L1415" i="1"/>
  <c r="K1415" i="1"/>
  <c r="F1415" i="1"/>
  <c r="E1415" i="1"/>
  <c r="D1415" i="1"/>
  <c r="O1414" i="1"/>
  <c r="H1414" i="1"/>
  <c r="O1413" i="1"/>
  <c r="H1413" i="1"/>
  <c r="B1285" i="1"/>
  <c r="B1287" i="1" s="1"/>
  <c r="B1309" i="1"/>
  <c r="B1311" i="1" s="1"/>
  <c r="B1381" i="1"/>
  <c r="B1383" i="1" s="1"/>
  <c r="M1394" i="1"/>
  <c r="L1394" i="1"/>
  <c r="O1394" i="1" s="1"/>
  <c r="CI42" i="3" s="1"/>
  <c r="K1394" i="1"/>
  <c r="F1394" i="1"/>
  <c r="E1394" i="1"/>
  <c r="D1394" i="1"/>
  <c r="M1393" i="1"/>
  <c r="L1393" i="1"/>
  <c r="K1393" i="1"/>
  <c r="F1393" i="1"/>
  <c r="E1393" i="1"/>
  <c r="H1393" i="1" s="1"/>
  <c r="CI37" i="3" s="1"/>
  <c r="D1393" i="1"/>
  <c r="M1392" i="1"/>
  <c r="L1392" i="1"/>
  <c r="K1392" i="1"/>
  <c r="O1392" i="1" s="1"/>
  <c r="CI50" i="3" s="1"/>
  <c r="F1392" i="1"/>
  <c r="E1392" i="1"/>
  <c r="D1392" i="1"/>
  <c r="M1391" i="1"/>
  <c r="L1391" i="1"/>
  <c r="K1391" i="1"/>
  <c r="O1391" i="1" s="1"/>
  <c r="CI46" i="3" s="1"/>
  <c r="F1391" i="1"/>
  <c r="E1391" i="1"/>
  <c r="D1391" i="1"/>
  <c r="O1390" i="1"/>
  <c r="H1390" i="1"/>
  <c r="O1389" i="1"/>
  <c r="H1389" i="1"/>
  <c r="M1346" i="1"/>
  <c r="L1346" i="1"/>
  <c r="K1346" i="1"/>
  <c r="F1346" i="1"/>
  <c r="E1346" i="1"/>
  <c r="D1346" i="1"/>
  <c r="H1346" i="1" s="1"/>
  <c r="CG41" i="3" s="1"/>
  <c r="M1345" i="1"/>
  <c r="L1345" i="1"/>
  <c r="K1345" i="1"/>
  <c r="F1345" i="1"/>
  <c r="E1345" i="1"/>
  <c r="D1345" i="1"/>
  <c r="M1344" i="1"/>
  <c r="L1344" i="1"/>
  <c r="K1344" i="1"/>
  <c r="F1344" i="1"/>
  <c r="E1344" i="1"/>
  <c r="D1344" i="1"/>
  <c r="M1343" i="1"/>
  <c r="O1343" i="1" s="1"/>
  <c r="CG46" i="3" s="1"/>
  <c r="L1343" i="1"/>
  <c r="K1343" i="1"/>
  <c r="F1343" i="1"/>
  <c r="E1343" i="1"/>
  <c r="D1343" i="1"/>
  <c r="O1342" i="1"/>
  <c r="H1342" i="1"/>
  <c r="O1341" i="1"/>
  <c r="H1341" i="1"/>
  <c r="M1322" i="1"/>
  <c r="L1322" i="1"/>
  <c r="K1322" i="1"/>
  <c r="F1322" i="1"/>
  <c r="E1322" i="1"/>
  <c r="D1322" i="1"/>
  <c r="H1322" i="1" s="1"/>
  <c r="CF41" i="3" s="1"/>
  <c r="M1321" i="1"/>
  <c r="L1321" i="1"/>
  <c r="K1321" i="1"/>
  <c r="F1321" i="1"/>
  <c r="E1321" i="1"/>
  <c r="D1321" i="1"/>
  <c r="M1320" i="1"/>
  <c r="L1320" i="1"/>
  <c r="K1320" i="1"/>
  <c r="F1320" i="1"/>
  <c r="E1320" i="1"/>
  <c r="D1320" i="1"/>
  <c r="H1320" i="1" s="1"/>
  <c r="CF49" i="3" s="1"/>
  <c r="M1319" i="1"/>
  <c r="L1319" i="1"/>
  <c r="K1319" i="1"/>
  <c r="F1319" i="1"/>
  <c r="E1319" i="1"/>
  <c r="D1319" i="1"/>
  <c r="O1318" i="1"/>
  <c r="H1318" i="1"/>
  <c r="O1317" i="1"/>
  <c r="H1317" i="1"/>
  <c r="H1906" i="1"/>
  <c r="B1906" i="1"/>
  <c r="M1905" i="1"/>
  <c r="M1904" i="1"/>
  <c r="B1886" i="1"/>
  <c r="H1882" i="1"/>
  <c r="B1882" i="1"/>
  <c r="DD7" i="3" s="1"/>
  <c r="M1881" i="1"/>
  <c r="M1880" i="1"/>
  <c r="H1858" i="1"/>
  <c r="B1858" i="1"/>
  <c r="DC7" i="3" s="1"/>
  <c r="M1857" i="1"/>
  <c r="M1856" i="1"/>
  <c r="H1834" i="1"/>
  <c r="B1834" i="1"/>
  <c r="DB7" i="3" s="1"/>
  <c r="M1833" i="1"/>
  <c r="M1832" i="1"/>
  <c r="B1814" i="1"/>
  <c r="H1810" i="1"/>
  <c r="B1810" i="1"/>
  <c r="M1809" i="1"/>
  <c r="M1808" i="1"/>
  <c r="H1786" i="1"/>
  <c r="B1786" i="1"/>
  <c r="CZ7" i="3" s="1"/>
  <c r="M1785" i="1"/>
  <c r="M1784" i="1"/>
  <c r="H1762" i="1"/>
  <c r="B1762" i="1"/>
  <c r="CY7" i="3" s="1"/>
  <c r="M1761" i="1"/>
  <c r="M1760" i="1"/>
  <c r="H1738" i="1"/>
  <c r="B1738" i="1"/>
  <c r="M1737" i="1"/>
  <c r="M1736" i="1"/>
  <c r="H1714" i="1"/>
  <c r="B1714" i="1"/>
  <c r="CW7" i="3" s="1"/>
  <c r="M1713" i="1"/>
  <c r="M1712" i="1"/>
  <c r="B1694" i="1"/>
  <c r="B1690" i="1"/>
  <c r="CV7" i="3" s="1"/>
  <c r="H1690" i="1"/>
  <c r="M1689" i="1"/>
  <c r="M1688" i="1"/>
  <c r="B1666" i="1"/>
  <c r="CU7" i="3" s="1"/>
  <c r="H1666" i="1"/>
  <c r="M1666" i="1" s="1"/>
  <c r="M1665" i="1"/>
  <c r="M1664" i="1"/>
  <c r="H1642" i="1"/>
  <c r="B1642" i="1"/>
  <c r="M1641" i="1"/>
  <c r="M1640" i="1"/>
  <c r="H1618" i="1"/>
  <c r="B1618" i="1"/>
  <c r="M1617" i="1"/>
  <c r="M1616" i="1"/>
  <c r="H1594" i="1"/>
  <c r="B1594" i="1"/>
  <c r="M1593" i="1"/>
  <c r="M1592" i="1"/>
  <c r="H1570" i="1"/>
  <c r="B1570" i="1"/>
  <c r="M1569" i="1"/>
  <c r="M1568" i="1"/>
  <c r="B1550" i="1"/>
  <c r="H1546" i="1"/>
  <c r="B1546" i="1"/>
  <c r="M1545" i="1"/>
  <c r="M1544" i="1"/>
  <c r="B1522" i="1"/>
  <c r="H1522" i="1"/>
  <c r="M1521" i="1"/>
  <c r="M1520" i="1"/>
  <c r="H1498" i="1"/>
  <c r="B1498" i="1"/>
  <c r="M1497" i="1"/>
  <c r="M1496" i="1"/>
  <c r="H1474" i="1"/>
  <c r="B1474" i="1"/>
  <c r="M1473" i="1"/>
  <c r="M1472" i="1"/>
  <c r="H1450" i="1"/>
  <c r="B1450" i="1"/>
  <c r="M1449" i="1"/>
  <c r="M1448" i="1"/>
  <c r="H1427" i="1"/>
  <c r="B1427" i="1"/>
  <c r="M1426" i="1"/>
  <c r="CG11" i="3"/>
  <c r="CF11" i="3"/>
  <c r="CE11" i="3"/>
  <c r="CD11" i="3"/>
  <c r="CC11" i="3"/>
  <c r="CB11" i="3"/>
  <c r="B1068" i="1"/>
  <c r="B1070" i="1" s="1"/>
  <c r="H1403" i="1"/>
  <c r="B1403" i="1"/>
  <c r="M1402" i="1"/>
  <c r="M1401" i="1"/>
  <c r="H1379" i="1"/>
  <c r="B1379" i="1"/>
  <c r="M1378" i="1"/>
  <c r="M1377" i="1"/>
  <c r="J1370" i="1"/>
  <c r="I1370" i="1"/>
  <c r="H1370" i="1"/>
  <c r="J1369" i="1"/>
  <c r="K1369" i="1" s="1"/>
  <c r="CH39" i="3" s="1"/>
  <c r="I1369" i="1"/>
  <c r="H1369" i="1"/>
  <c r="J1368" i="1"/>
  <c r="I1368" i="1"/>
  <c r="H1368" i="1"/>
  <c r="J1367" i="1"/>
  <c r="I1367" i="1"/>
  <c r="H1367" i="1"/>
  <c r="K1366" i="1"/>
  <c r="K1365" i="1"/>
  <c r="B1357" i="1"/>
  <c r="B1359" i="1" s="1"/>
  <c r="B1355" i="1"/>
  <c r="H1355" i="1"/>
  <c r="M1355" i="1" s="1"/>
  <c r="CH7" i="3" s="1"/>
  <c r="CH26" i="3" s="1"/>
  <c r="M1354" i="1"/>
  <c r="M1353" i="1"/>
  <c r="B1335" i="1"/>
  <c r="B1332" i="1" s="1"/>
  <c r="H1331" i="1"/>
  <c r="B1331" i="1"/>
  <c r="M1330" i="1"/>
  <c r="M1329" i="1"/>
  <c r="CB51" i="3"/>
  <c r="CC51" i="3"/>
  <c r="CC61" i="3" s="1"/>
  <c r="CD61" i="3"/>
  <c r="CD65" i="3" s="1"/>
  <c r="CF8" i="3"/>
  <c r="CE8" i="3"/>
  <c r="CD8" i="3"/>
  <c r="CC8" i="3"/>
  <c r="CB8" i="3"/>
  <c r="CA8" i="3"/>
  <c r="B1261" i="1"/>
  <c r="B1263" i="1" s="1"/>
  <c r="B1237" i="1"/>
  <c r="B1239" i="1" s="1"/>
  <c r="B1235" i="1"/>
  <c r="B1213" i="1"/>
  <c r="B1215" i="1" s="1"/>
  <c r="B1189" i="1"/>
  <c r="B1191" i="1" s="1"/>
  <c r="CD27" i="3"/>
  <c r="CD56" i="3" s="1"/>
  <c r="CA11" i="3"/>
  <c r="M1298" i="1"/>
  <c r="L1298" i="1"/>
  <c r="K1298" i="1"/>
  <c r="M1297" i="1"/>
  <c r="L1297" i="1"/>
  <c r="K1297" i="1"/>
  <c r="M1296" i="1"/>
  <c r="L1296" i="1"/>
  <c r="O1296" i="1" s="1"/>
  <c r="CE50" i="3" s="1"/>
  <c r="K1296" i="1"/>
  <c r="M1295" i="1"/>
  <c r="L1295" i="1"/>
  <c r="O1295" i="1" s="1"/>
  <c r="CE46" i="3" s="1"/>
  <c r="CE47" i="3" s="1"/>
  <c r="K1295" i="1"/>
  <c r="O1294" i="1"/>
  <c r="O1293" i="1"/>
  <c r="H1307" i="1"/>
  <c r="B1307" i="1"/>
  <c r="M1307" i="1" s="1"/>
  <c r="M1306" i="1"/>
  <c r="M1305" i="1"/>
  <c r="CF7" i="3" s="1"/>
  <c r="F1298" i="1"/>
  <c r="E1298" i="1"/>
  <c r="D1298" i="1"/>
  <c r="F1297" i="1"/>
  <c r="E1297" i="1"/>
  <c r="D1297" i="1"/>
  <c r="H1297" i="1" s="1"/>
  <c r="CE37" i="3" s="1"/>
  <c r="F1296" i="1"/>
  <c r="E1296" i="1"/>
  <c r="D1296" i="1"/>
  <c r="F1295" i="1"/>
  <c r="E1295" i="1"/>
  <c r="D1295" i="1"/>
  <c r="H1294" i="1"/>
  <c r="H1293" i="1"/>
  <c r="H1283" i="1"/>
  <c r="B1283" i="1"/>
  <c r="M1283" i="1" s="1"/>
  <c r="M1282" i="1"/>
  <c r="M1281" i="1"/>
  <c r="CE7" i="3" s="1"/>
  <c r="B1165" i="1"/>
  <c r="B1167" i="1" s="1"/>
  <c r="B1141" i="1"/>
  <c r="B1143" i="1" s="1"/>
  <c r="B1117" i="1"/>
  <c r="B1119" i="1" s="1"/>
  <c r="B1116" i="1" s="1"/>
  <c r="B1093" i="1"/>
  <c r="B1095" i="1" s="1"/>
  <c r="B1092" i="1" s="1"/>
  <c r="K1076" i="1"/>
  <c r="K1274" i="1"/>
  <c r="CD43" i="3" s="1"/>
  <c r="J1271" i="1"/>
  <c r="K1271" i="1" s="1"/>
  <c r="CD47" i="3" s="1"/>
  <c r="I1271" i="1"/>
  <c r="H1271" i="1"/>
  <c r="K1270" i="1"/>
  <c r="K1269" i="1"/>
  <c r="H1259" i="1"/>
  <c r="B1259" i="1"/>
  <c r="M1258" i="1"/>
  <c r="M1257" i="1"/>
  <c r="CD7" i="3" s="1"/>
  <c r="CD26" i="3" s="1"/>
  <c r="BZ11" i="3"/>
  <c r="BY11" i="3"/>
  <c r="BX11" i="3"/>
  <c r="BW11" i="3"/>
  <c r="BV11" i="3"/>
  <c r="BU11" i="3"/>
  <c r="BT11" i="3"/>
  <c r="BY8" i="3"/>
  <c r="BI8" i="3"/>
  <c r="BZ8" i="3"/>
  <c r="BX8" i="3"/>
  <c r="BW8" i="3"/>
  <c r="BV8" i="3"/>
  <c r="BU8" i="3"/>
  <c r="BT8" i="3"/>
  <c r="J1247" i="1"/>
  <c r="I1247" i="1"/>
  <c r="H1247" i="1"/>
  <c r="K1246" i="1"/>
  <c r="K1245" i="1"/>
  <c r="H1235" i="1"/>
  <c r="M1234" i="1"/>
  <c r="M1233" i="1"/>
  <c r="CC7" i="3" s="1"/>
  <c r="CC26" i="3" s="1"/>
  <c r="J1223" i="1"/>
  <c r="K1223" i="1" s="1"/>
  <c r="CB47" i="3" s="1"/>
  <c r="CB31" i="3" s="1"/>
  <c r="I1223" i="1"/>
  <c r="H1223" i="1"/>
  <c r="K1222" i="1"/>
  <c r="K1221" i="1"/>
  <c r="H1211" i="1"/>
  <c r="M1211" i="1" s="1"/>
  <c r="B1211" i="1"/>
  <c r="M1210" i="1"/>
  <c r="M1209" i="1"/>
  <c r="CB7" i="3" s="1"/>
  <c r="BU27" i="3"/>
  <c r="BU56" i="3" s="1"/>
  <c r="BX27" i="3"/>
  <c r="BX56" i="3" s="1"/>
  <c r="J1202" i="1"/>
  <c r="I1202" i="1"/>
  <c r="H1202" i="1"/>
  <c r="J1201" i="1"/>
  <c r="I1201" i="1"/>
  <c r="H1201" i="1"/>
  <c r="K1201" i="1" s="1"/>
  <c r="CA39" i="3" s="1"/>
  <c r="J1200" i="1"/>
  <c r="I1200" i="1"/>
  <c r="H1200" i="1"/>
  <c r="J1199" i="1"/>
  <c r="I1199" i="1"/>
  <c r="H1199" i="1"/>
  <c r="K1198" i="1"/>
  <c r="K1197" i="1"/>
  <c r="H1187" i="1"/>
  <c r="B1187" i="1"/>
  <c r="M1186" i="1"/>
  <c r="M1185" i="1"/>
  <c r="CA7" i="3" s="1"/>
  <c r="J1178" i="1"/>
  <c r="K1178" i="1" s="1"/>
  <c r="I1178" i="1"/>
  <c r="H1178" i="1"/>
  <c r="J1177" i="1"/>
  <c r="I1177" i="1"/>
  <c r="H1177" i="1"/>
  <c r="J1176" i="1"/>
  <c r="I1176" i="1"/>
  <c r="H1176" i="1"/>
  <c r="J1175" i="1"/>
  <c r="I1175" i="1"/>
  <c r="H1175" i="1"/>
  <c r="K1174" i="1"/>
  <c r="K1173" i="1"/>
  <c r="H1163" i="1"/>
  <c r="B1163" i="1"/>
  <c r="M1162" i="1"/>
  <c r="M1161" i="1"/>
  <c r="BZ7" i="3" s="1"/>
  <c r="K876" i="1"/>
  <c r="BS11" i="3"/>
  <c r="BR11" i="3"/>
  <c r="BQ11" i="3"/>
  <c r="BP11" i="3"/>
  <c r="BO11" i="3"/>
  <c r="BS8" i="3"/>
  <c r="BR8" i="3"/>
  <c r="BQ8" i="3"/>
  <c r="BP8" i="3"/>
  <c r="BO8" i="3"/>
  <c r="BQ27" i="3"/>
  <c r="BQ56" i="3"/>
  <c r="J1154" i="1"/>
  <c r="I1154" i="1"/>
  <c r="K1154" i="1" s="1"/>
  <c r="BY43" i="3" s="1"/>
  <c r="H1154" i="1"/>
  <c r="J1153" i="1"/>
  <c r="I1153" i="1"/>
  <c r="H1153" i="1"/>
  <c r="J1152" i="1"/>
  <c r="I1152" i="1"/>
  <c r="H1152" i="1"/>
  <c r="J1151" i="1"/>
  <c r="I1151" i="1"/>
  <c r="H1151" i="1"/>
  <c r="K1150" i="1"/>
  <c r="K1149" i="1"/>
  <c r="H1139" i="1"/>
  <c r="B1139" i="1"/>
  <c r="M1138" i="1"/>
  <c r="M1137" i="1"/>
  <c r="BY7" i="3" s="1"/>
  <c r="BY26" i="3" s="1"/>
  <c r="B993" i="1"/>
  <c r="B995" i="1" s="1"/>
  <c r="B968" i="1"/>
  <c r="B970" i="1" s="1"/>
  <c r="B943" i="1"/>
  <c r="B945" i="1" s="1"/>
  <c r="B918" i="1"/>
  <c r="B920" i="1" s="1"/>
  <c r="B916" i="1"/>
  <c r="B893" i="1"/>
  <c r="B895" i="1" s="1"/>
  <c r="B868" i="1"/>
  <c r="B842" i="1"/>
  <c r="B844" i="1" s="1"/>
  <c r="B816" i="1"/>
  <c r="B818" i="1" s="1"/>
  <c r="B789" i="1"/>
  <c r="B766" i="1"/>
  <c r="B768" i="1" s="1"/>
  <c r="B740" i="1"/>
  <c r="B742" i="1" s="1"/>
  <c r="B714" i="1"/>
  <c r="B716" i="1" s="1"/>
  <c r="B688" i="1"/>
  <c r="B663" i="1"/>
  <c r="B665" i="1" s="1"/>
  <c r="B637" i="1"/>
  <c r="B639" i="1" s="1"/>
  <c r="B636" i="1" s="1"/>
  <c r="B1037" i="1"/>
  <c r="B1062" i="1" s="1"/>
  <c r="B1087" i="1" s="1"/>
  <c r="B987" i="1"/>
  <c r="J1130" i="1"/>
  <c r="K1130" i="1" s="1"/>
  <c r="BX43" i="3" s="1"/>
  <c r="I1130" i="1"/>
  <c r="H1130" i="1"/>
  <c r="J1129" i="1"/>
  <c r="I1129" i="1"/>
  <c r="H1129" i="1"/>
  <c r="J1128" i="1"/>
  <c r="I1128" i="1"/>
  <c r="H1128" i="1"/>
  <c r="J1127" i="1"/>
  <c r="I1127" i="1"/>
  <c r="H1127" i="1"/>
  <c r="K1126" i="1"/>
  <c r="K1125" i="1"/>
  <c r="H1115" i="1"/>
  <c r="B1115" i="1"/>
  <c r="M1114" i="1"/>
  <c r="M1113" i="1"/>
  <c r="BX7" i="3" s="1"/>
  <c r="BX26" i="3" s="1"/>
  <c r="J1103" i="1"/>
  <c r="I1103" i="1"/>
  <c r="H1103" i="1"/>
  <c r="K1102" i="1"/>
  <c r="K1101" i="1"/>
  <c r="H1091" i="1"/>
  <c r="B1091" i="1"/>
  <c r="M1091" i="1" s="1"/>
  <c r="M1090" i="1"/>
  <c r="M1089" i="1"/>
  <c r="BW7" i="3" s="1"/>
  <c r="BW26" i="3" s="1"/>
  <c r="J1078" i="1"/>
  <c r="I1078" i="1"/>
  <c r="H1078" i="1"/>
  <c r="K1077" i="1"/>
  <c r="H1066" i="1"/>
  <c r="B1066" i="1"/>
  <c r="M1065" i="1"/>
  <c r="M1064" i="1"/>
  <c r="BV7" i="3" s="1"/>
  <c r="J1053" i="1"/>
  <c r="I1053" i="1"/>
  <c r="H1053" i="1"/>
  <c r="K1052" i="1"/>
  <c r="K1051" i="1"/>
  <c r="H1041" i="1"/>
  <c r="B1041" i="1"/>
  <c r="M1040" i="1"/>
  <c r="M1039" i="1"/>
  <c r="BU7" i="3" s="1"/>
  <c r="BU26" i="3" s="1"/>
  <c r="J1028" i="1"/>
  <c r="I1028" i="1"/>
  <c r="H1028" i="1"/>
  <c r="K1026" i="1"/>
  <c r="H1016" i="1"/>
  <c r="B1016" i="1"/>
  <c r="M1015" i="1"/>
  <c r="M1014" i="1"/>
  <c r="BT7" i="3"/>
  <c r="BT26" i="3" s="1"/>
  <c r="J1005" i="1"/>
  <c r="I1005" i="1"/>
  <c r="H1005" i="1"/>
  <c r="K1004" i="1"/>
  <c r="BS51" i="3" s="1"/>
  <c r="BS61" i="3" s="1"/>
  <c r="BS65" i="3" s="1"/>
  <c r="J1003" i="1"/>
  <c r="I1003" i="1"/>
  <c r="H1003" i="1"/>
  <c r="K1002" i="1"/>
  <c r="K1001" i="1"/>
  <c r="H991" i="1"/>
  <c r="B991" i="1"/>
  <c r="M990" i="1"/>
  <c r="M989" i="1"/>
  <c r="BS7" i="3" s="1"/>
  <c r="J980" i="1"/>
  <c r="I980" i="1"/>
  <c r="H980" i="1"/>
  <c r="J978" i="1"/>
  <c r="I978" i="1"/>
  <c r="H978" i="1"/>
  <c r="K977" i="1"/>
  <c r="K976" i="1"/>
  <c r="H966" i="1"/>
  <c r="M966" i="1" s="1"/>
  <c r="B966" i="1"/>
  <c r="M965" i="1"/>
  <c r="M964" i="1"/>
  <c r="BR7" i="3" s="1"/>
  <c r="BR26" i="3" s="1"/>
  <c r="J956" i="1"/>
  <c r="I956" i="1"/>
  <c r="H956" i="1"/>
  <c r="J955" i="1"/>
  <c r="H955" i="1"/>
  <c r="I955" i="1"/>
  <c r="J954" i="1"/>
  <c r="I954" i="1"/>
  <c r="H954" i="1"/>
  <c r="J953" i="1"/>
  <c r="I953" i="1"/>
  <c r="H953" i="1"/>
  <c r="K952" i="1"/>
  <c r="K951" i="1"/>
  <c r="H941" i="1"/>
  <c r="B941" i="1"/>
  <c r="M941" i="1" s="1"/>
  <c r="M940" i="1"/>
  <c r="M939" i="1"/>
  <c r="BQ7" i="3"/>
  <c r="J931" i="1"/>
  <c r="I931" i="1"/>
  <c r="H931" i="1"/>
  <c r="J930" i="1"/>
  <c r="I930" i="1"/>
  <c r="H930" i="1"/>
  <c r="J929" i="1"/>
  <c r="I929" i="1"/>
  <c r="H929" i="1"/>
  <c r="J928" i="1"/>
  <c r="I928" i="1"/>
  <c r="H928" i="1"/>
  <c r="K928" i="1" s="1"/>
  <c r="BP47" i="3" s="1"/>
  <c r="K927" i="1"/>
  <c r="K926" i="1"/>
  <c r="H916" i="1"/>
  <c r="M915" i="1"/>
  <c r="M914" i="1"/>
  <c r="BP7" i="3" s="1"/>
  <c r="BP26" i="3" s="1"/>
  <c r="H889" i="1"/>
  <c r="H891" i="1" s="1"/>
  <c r="J906" i="1"/>
  <c r="I906" i="1"/>
  <c r="H906" i="1"/>
  <c r="J905" i="1"/>
  <c r="I905" i="1"/>
  <c r="H905" i="1"/>
  <c r="K905" i="1" s="1"/>
  <c r="BO39" i="3" s="1"/>
  <c r="J904" i="1"/>
  <c r="I904" i="1"/>
  <c r="H904" i="1"/>
  <c r="K904" i="1" s="1"/>
  <c r="BO51" i="3" s="1"/>
  <c r="BO61" i="3" s="1"/>
  <c r="BO65" i="3" s="1"/>
  <c r="J903" i="1"/>
  <c r="I903" i="1"/>
  <c r="H903" i="1"/>
  <c r="K902" i="1"/>
  <c r="K901" i="1"/>
  <c r="M890" i="1"/>
  <c r="B891" i="1"/>
  <c r="BN11" i="3"/>
  <c r="BN8" i="3"/>
  <c r="BM12" i="3"/>
  <c r="BM11" i="3"/>
  <c r="BM8" i="3"/>
  <c r="BL11" i="3"/>
  <c r="BL8" i="3"/>
  <c r="BK11" i="3"/>
  <c r="BK8" i="3"/>
  <c r="BJ11" i="3"/>
  <c r="BJ8" i="3"/>
  <c r="BI11" i="3"/>
  <c r="BH12" i="3"/>
  <c r="BH11" i="3"/>
  <c r="BH8" i="3"/>
  <c r="BG12" i="3"/>
  <c r="BG11" i="3"/>
  <c r="BG8" i="3"/>
  <c r="BF12" i="3"/>
  <c r="BF11" i="3"/>
  <c r="BF8" i="3"/>
  <c r="BE12" i="3"/>
  <c r="BE11" i="3"/>
  <c r="BE8" i="3"/>
  <c r="BE3" i="3"/>
  <c r="BF3" i="3" s="1"/>
  <c r="BG3" i="3" s="1"/>
  <c r="BH3" i="3" s="1"/>
  <c r="BI3" i="3" s="1"/>
  <c r="BJ3" i="3" s="1"/>
  <c r="BK3" i="3" s="1"/>
  <c r="BL3" i="3" s="1"/>
  <c r="BM3" i="3" s="1"/>
  <c r="BN3" i="3" s="1"/>
  <c r="BO3" i="3" s="1"/>
  <c r="BP3" i="3" s="1"/>
  <c r="BQ3" i="3" s="1"/>
  <c r="BR3" i="3" s="1"/>
  <c r="BS3" i="3" s="1"/>
  <c r="BT3" i="3" s="1"/>
  <c r="BU3" i="3" s="1"/>
  <c r="BV3" i="3" s="1"/>
  <c r="BW3" i="3" s="1"/>
  <c r="BX3" i="3" s="1"/>
  <c r="BY3" i="3" s="1"/>
  <c r="BZ3" i="3" s="1"/>
  <c r="CA3" i="3" s="1"/>
  <c r="CB3" i="3" s="1"/>
  <c r="CC3" i="3" s="1"/>
  <c r="CD3" i="3" s="1"/>
  <c r="BD12" i="3"/>
  <c r="BD11" i="3"/>
  <c r="BD8" i="3"/>
  <c r="BC12" i="3"/>
  <c r="BC11" i="3"/>
  <c r="BC8" i="3"/>
  <c r="BB11" i="3"/>
  <c r="BB8" i="3"/>
  <c r="BA11" i="3"/>
  <c r="BA8" i="3"/>
  <c r="AZ11" i="3"/>
  <c r="AZ8" i="3"/>
  <c r="AY12" i="3"/>
  <c r="AY11" i="3"/>
  <c r="AY8" i="3"/>
  <c r="AX12" i="3"/>
  <c r="AX11" i="3"/>
  <c r="AX8" i="3"/>
  <c r="BG72" i="3"/>
  <c r="J881" i="1"/>
  <c r="I881" i="1"/>
  <c r="H881" i="1"/>
  <c r="J880" i="1"/>
  <c r="I880" i="1"/>
  <c r="H880" i="1"/>
  <c r="J879" i="1"/>
  <c r="I879" i="1"/>
  <c r="H879" i="1"/>
  <c r="J878" i="1"/>
  <c r="K878" i="1" s="1"/>
  <c r="BN47" i="3" s="1"/>
  <c r="I878" i="1"/>
  <c r="H878" i="1"/>
  <c r="K877" i="1"/>
  <c r="B870" i="1"/>
  <c r="H866" i="1"/>
  <c r="M865" i="1"/>
  <c r="B866" i="1"/>
  <c r="J855" i="1"/>
  <c r="I855" i="1"/>
  <c r="H855" i="1"/>
  <c r="J854" i="1"/>
  <c r="I854" i="1"/>
  <c r="H854" i="1"/>
  <c r="J853" i="1"/>
  <c r="I853" i="1"/>
  <c r="H853" i="1"/>
  <c r="K853" i="1" s="1"/>
  <c r="BM51" i="3" s="1"/>
  <c r="BM61" i="3" s="1"/>
  <c r="BM65" i="3" s="1"/>
  <c r="J852" i="1"/>
  <c r="I852" i="1"/>
  <c r="H852" i="1"/>
  <c r="K851" i="1"/>
  <c r="K850" i="1"/>
  <c r="H840" i="1"/>
  <c r="M839" i="1"/>
  <c r="J829" i="1"/>
  <c r="I829" i="1"/>
  <c r="H829" i="1"/>
  <c r="J828" i="1"/>
  <c r="I828" i="1"/>
  <c r="H828" i="1"/>
  <c r="J827" i="1"/>
  <c r="I827" i="1"/>
  <c r="H827" i="1"/>
  <c r="K827" i="1" s="1"/>
  <c r="BL51" i="3" s="1"/>
  <c r="BL61" i="3" s="1"/>
  <c r="BL65" i="3" s="1"/>
  <c r="J826" i="1"/>
  <c r="I826" i="1"/>
  <c r="H826" i="1"/>
  <c r="K826" i="1" s="1"/>
  <c r="BL47" i="3" s="1"/>
  <c r="BL60" i="3" s="1"/>
  <c r="K825" i="1"/>
  <c r="K824" i="1"/>
  <c r="H814" i="1"/>
  <c r="M813" i="1"/>
  <c r="M864" i="1"/>
  <c r="I802" i="1"/>
  <c r="J802" i="1"/>
  <c r="I801" i="1"/>
  <c r="J801" i="1"/>
  <c r="H802" i="1"/>
  <c r="K802" i="1" s="1"/>
  <c r="BK43" i="3" s="1"/>
  <c r="H801" i="1"/>
  <c r="I800" i="1"/>
  <c r="J800" i="1"/>
  <c r="I799" i="1"/>
  <c r="J799" i="1"/>
  <c r="H800" i="1"/>
  <c r="H799" i="1"/>
  <c r="M785" i="1"/>
  <c r="B787" i="1"/>
  <c r="H787" i="1"/>
  <c r="B791" i="1"/>
  <c r="K797" i="1"/>
  <c r="K798" i="1"/>
  <c r="J779" i="1"/>
  <c r="I779" i="1"/>
  <c r="H779" i="1"/>
  <c r="J778" i="1"/>
  <c r="I778" i="1"/>
  <c r="H778" i="1"/>
  <c r="K778" i="1" s="1"/>
  <c r="BJ39" i="3" s="1"/>
  <c r="J777" i="1"/>
  <c r="I777" i="1"/>
  <c r="H777" i="1"/>
  <c r="K777" i="1" s="1"/>
  <c r="BJ51" i="3" s="1"/>
  <c r="BJ35" i="3" s="1"/>
  <c r="J776" i="1"/>
  <c r="I776" i="1"/>
  <c r="H776" i="1"/>
  <c r="K775" i="1"/>
  <c r="K774" i="1"/>
  <c r="H764" i="1"/>
  <c r="B764" i="1"/>
  <c r="M763" i="1"/>
  <c r="M762" i="1"/>
  <c r="J753" i="1"/>
  <c r="I753" i="1"/>
  <c r="H753" i="1"/>
  <c r="J752" i="1"/>
  <c r="K752" i="1" s="1"/>
  <c r="BI39" i="3" s="1"/>
  <c r="I752" i="1"/>
  <c r="H752" i="1"/>
  <c r="J751" i="1"/>
  <c r="K751" i="1" s="1"/>
  <c r="BI51" i="3" s="1"/>
  <c r="BI61" i="3" s="1"/>
  <c r="I751" i="1"/>
  <c r="H751" i="1"/>
  <c r="J750" i="1"/>
  <c r="H750" i="1"/>
  <c r="I750" i="1"/>
  <c r="K748" i="1"/>
  <c r="H738" i="1"/>
  <c r="B738" i="1"/>
  <c r="M737" i="1"/>
  <c r="J727" i="1"/>
  <c r="I727" i="1"/>
  <c r="H727" i="1"/>
  <c r="J726" i="1"/>
  <c r="I726" i="1"/>
  <c r="H726" i="1"/>
  <c r="J725" i="1"/>
  <c r="K725" i="1" s="1"/>
  <c r="BH51" i="3" s="1"/>
  <c r="I725" i="1"/>
  <c r="H725" i="1"/>
  <c r="J724" i="1"/>
  <c r="I724" i="1"/>
  <c r="H724" i="1"/>
  <c r="K722" i="1"/>
  <c r="B720" i="1"/>
  <c r="H712" i="1"/>
  <c r="M711" i="1"/>
  <c r="B712" i="1"/>
  <c r="J701" i="1"/>
  <c r="I701" i="1"/>
  <c r="H701" i="1"/>
  <c r="K701" i="1" s="1"/>
  <c r="BG43" i="3" s="1"/>
  <c r="J700" i="1"/>
  <c r="I700" i="1"/>
  <c r="H700" i="1"/>
  <c r="K700" i="1" s="1"/>
  <c r="BG39" i="3" s="1"/>
  <c r="J699" i="1"/>
  <c r="I699" i="1"/>
  <c r="H699" i="1"/>
  <c r="J698" i="1"/>
  <c r="I698" i="1"/>
  <c r="H698" i="1"/>
  <c r="K696" i="1"/>
  <c r="B694" i="1"/>
  <c r="B690" i="1"/>
  <c r="H686" i="1"/>
  <c r="M685" i="1"/>
  <c r="M736" i="1"/>
  <c r="M710" i="1"/>
  <c r="B611" i="1"/>
  <c r="B613" i="1" s="1"/>
  <c r="BD7" i="3" s="1"/>
  <c r="B586" i="1"/>
  <c r="B588" i="1" s="1"/>
  <c r="B562" i="1"/>
  <c r="B564" i="1" s="1"/>
  <c r="J676" i="1"/>
  <c r="I676" i="1"/>
  <c r="H676" i="1"/>
  <c r="J675" i="1"/>
  <c r="I675" i="1"/>
  <c r="H675" i="1"/>
  <c r="J674" i="1"/>
  <c r="I674" i="1"/>
  <c r="H674" i="1"/>
  <c r="J673" i="1"/>
  <c r="I673" i="1"/>
  <c r="H673" i="1"/>
  <c r="K671" i="1"/>
  <c r="B669" i="1"/>
  <c r="H661" i="1"/>
  <c r="M660" i="1"/>
  <c r="K646" i="1"/>
  <c r="K645" i="1"/>
  <c r="K620" i="1"/>
  <c r="K619" i="1"/>
  <c r="B617" i="1"/>
  <c r="B592" i="1"/>
  <c r="J650" i="1"/>
  <c r="I650" i="1"/>
  <c r="H650" i="1"/>
  <c r="J649" i="1"/>
  <c r="I649" i="1"/>
  <c r="H649" i="1"/>
  <c r="K649" i="1" s="1"/>
  <c r="BE39" i="3" s="1"/>
  <c r="J648" i="1"/>
  <c r="I648" i="1"/>
  <c r="H648" i="1"/>
  <c r="J647" i="1"/>
  <c r="I647" i="1"/>
  <c r="H647" i="1"/>
  <c r="H635" i="1"/>
  <c r="B635" i="1"/>
  <c r="M634" i="1"/>
  <c r="M633" i="1"/>
  <c r="K595" i="1"/>
  <c r="K594" i="1"/>
  <c r="J624" i="1"/>
  <c r="I624" i="1"/>
  <c r="H624" i="1"/>
  <c r="K624" i="1" s="1"/>
  <c r="BD43" i="3" s="1"/>
  <c r="J623" i="1"/>
  <c r="I623" i="1"/>
  <c r="H623" i="1"/>
  <c r="K623" i="1" s="1"/>
  <c r="BD39" i="3" s="1"/>
  <c r="J622" i="1"/>
  <c r="I622" i="1"/>
  <c r="H622" i="1"/>
  <c r="J621" i="1"/>
  <c r="I621" i="1"/>
  <c r="H621" i="1"/>
  <c r="H609" i="1"/>
  <c r="M608" i="1"/>
  <c r="M551" i="1"/>
  <c r="M550" i="1"/>
  <c r="E550" i="1"/>
  <c r="M549" i="1"/>
  <c r="L548" i="1"/>
  <c r="M548" i="1"/>
  <c r="O547" i="1"/>
  <c r="O546" i="1"/>
  <c r="O523" i="1"/>
  <c r="O522" i="1"/>
  <c r="M527" i="1"/>
  <c r="M526" i="1"/>
  <c r="M525" i="1"/>
  <c r="M524" i="1"/>
  <c r="BC55" i="3"/>
  <c r="B584" i="1"/>
  <c r="H599" i="1"/>
  <c r="I599" i="1"/>
  <c r="J599" i="1"/>
  <c r="H598" i="1"/>
  <c r="I598" i="1"/>
  <c r="J598" i="1"/>
  <c r="H597" i="1"/>
  <c r="I597" i="1"/>
  <c r="J597" i="1"/>
  <c r="H596" i="1"/>
  <c r="I596" i="1"/>
  <c r="J596" i="1"/>
  <c r="H584" i="1"/>
  <c r="M583" i="1"/>
  <c r="M582" i="1"/>
  <c r="S572" i="1"/>
  <c r="BB12" i="3" s="1"/>
  <c r="F570" i="1"/>
  <c r="F571" i="1"/>
  <c r="J575" i="1"/>
  <c r="O575" i="1" s="1"/>
  <c r="BB42" i="3" s="1"/>
  <c r="K575" i="1"/>
  <c r="L575" i="1"/>
  <c r="C575" i="1"/>
  <c r="D575" i="1"/>
  <c r="E575" i="1"/>
  <c r="J574" i="1"/>
  <c r="K574" i="1"/>
  <c r="L574" i="1"/>
  <c r="C574" i="1"/>
  <c r="D574" i="1"/>
  <c r="E574" i="1"/>
  <c r="J573" i="1"/>
  <c r="K573" i="1"/>
  <c r="L573" i="1"/>
  <c r="C573" i="1"/>
  <c r="D573" i="1"/>
  <c r="F573" i="1" s="1"/>
  <c r="BB49" i="3" s="1"/>
  <c r="E573" i="1"/>
  <c r="J572" i="1"/>
  <c r="K572" i="1"/>
  <c r="L572" i="1"/>
  <c r="C572" i="1"/>
  <c r="D572" i="1"/>
  <c r="E572" i="1"/>
  <c r="O571" i="1"/>
  <c r="O570" i="1"/>
  <c r="H560" i="1"/>
  <c r="M559" i="1"/>
  <c r="B538" i="1"/>
  <c r="B540" i="1" s="1"/>
  <c r="J551" i="1"/>
  <c r="K551" i="1"/>
  <c r="L551" i="1"/>
  <c r="O551" i="1" s="1"/>
  <c r="BA42" i="3" s="1"/>
  <c r="C551" i="1"/>
  <c r="D551" i="1"/>
  <c r="E551" i="1"/>
  <c r="J550" i="1"/>
  <c r="K550" i="1"/>
  <c r="L550" i="1"/>
  <c r="C550" i="1"/>
  <c r="D550" i="1"/>
  <c r="J549" i="1"/>
  <c r="K549" i="1"/>
  <c r="L549" i="1"/>
  <c r="C549" i="1"/>
  <c r="D549" i="1"/>
  <c r="E549" i="1"/>
  <c r="J548" i="1"/>
  <c r="K548" i="1"/>
  <c r="C548" i="1"/>
  <c r="D548" i="1"/>
  <c r="E548" i="1"/>
  <c r="F547" i="1"/>
  <c r="F546" i="1"/>
  <c r="H536" i="1"/>
  <c r="M535" i="1"/>
  <c r="D524" i="1"/>
  <c r="B514" i="1"/>
  <c r="B516" i="1" s="1"/>
  <c r="B340" i="1"/>
  <c r="B342" i="1" s="1"/>
  <c r="B338" i="1"/>
  <c r="M353" i="1"/>
  <c r="M352" i="1"/>
  <c r="M351" i="1"/>
  <c r="M350" i="1"/>
  <c r="L527" i="1"/>
  <c r="K527" i="1"/>
  <c r="J527" i="1"/>
  <c r="E527" i="1"/>
  <c r="D527" i="1"/>
  <c r="C527" i="1"/>
  <c r="L526" i="1"/>
  <c r="O526" i="1" s="1"/>
  <c r="AZ38" i="3" s="1"/>
  <c r="K526" i="1"/>
  <c r="J526" i="1"/>
  <c r="E526" i="1"/>
  <c r="D526" i="1"/>
  <c r="C526" i="1"/>
  <c r="L525" i="1"/>
  <c r="K525" i="1"/>
  <c r="O525" i="1" s="1"/>
  <c r="AZ50" i="3" s="1"/>
  <c r="J525" i="1"/>
  <c r="E525" i="1"/>
  <c r="D525" i="1"/>
  <c r="C525" i="1"/>
  <c r="L524" i="1"/>
  <c r="K524" i="1"/>
  <c r="O524" i="1" s="1"/>
  <c r="AZ46" i="3" s="1"/>
  <c r="J524" i="1"/>
  <c r="E524" i="1"/>
  <c r="C524" i="1"/>
  <c r="F523" i="1"/>
  <c r="F522" i="1"/>
  <c r="H512" i="1"/>
  <c r="M511" i="1"/>
  <c r="B387" i="1"/>
  <c r="B389" i="1" s="1"/>
  <c r="B391" i="1" s="1"/>
  <c r="B388" i="1" s="1"/>
  <c r="M402" i="1"/>
  <c r="M401" i="1"/>
  <c r="L401" i="1"/>
  <c r="M400" i="1"/>
  <c r="M399" i="1"/>
  <c r="C499" i="1"/>
  <c r="C474" i="1"/>
  <c r="M486" i="1"/>
  <c r="M461" i="1"/>
  <c r="B464" i="1"/>
  <c r="B466" i="1" s="1"/>
  <c r="B463" i="1" s="1"/>
  <c r="AX9" i="3" s="1"/>
  <c r="H462" i="1"/>
  <c r="B462" i="1"/>
  <c r="M462" i="1" s="1"/>
  <c r="L502" i="1"/>
  <c r="K502" i="1"/>
  <c r="J502" i="1"/>
  <c r="E502" i="1"/>
  <c r="D502" i="1"/>
  <c r="C502" i="1"/>
  <c r="L501" i="1"/>
  <c r="K501" i="1"/>
  <c r="J501" i="1"/>
  <c r="E501" i="1"/>
  <c r="D501" i="1"/>
  <c r="C501" i="1"/>
  <c r="L500" i="1"/>
  <c r="K500" i="1"/>
  <c r="J500" i="1"/>
  <c r="E500" i="1"/>
  <c r="D500" i="1"/>
  <c r="C500" i="1"/>
  <c r="L499" i="1"/>
  <c r="K499" i="1"/>
  <c r="J499" i="1"/>
  <c r="E499" i="1"/>
  <c r="D499" i="1"/>
  <c r="F499" i="1" s="1"/>
  <c r="AY45" i="3" s="1"/>
  <c r="O498" i="1"/>
  <c r="F498" i="1"/>
  <c r="O497" i="1"/>
  <c r="F497" i="1"/>
  <c r="B489" i="1"/>
  <c r="B491" i="1" s="1"/>
  <c r="H487" i="1"/>
  <c r="L477" i="1"/>
  <c r="K477" i="1"/>
  <c r="J477" i="1"/>
  <c r="E477" i="1"/>
  <c r="D477" i="1"/>
  <c r="C477" i="1"/>
  <c r="F477" i="1" s="1"/>
  <c r="AX41" i="3" s="1"/>
  <c r="L476" i="1"/>
  <c r="K476" i="1"/>
  <c r="J476" i="1"/>
  <c r="E476" i="1"/>
  <c r="D476" i="1"/>
  <c r="C476" i="1"/>
  <c r="L475" i="1"/>
  <c r="K475" i="1"/>
  <c r="J475" i="1"/>
  <c r="O475" i="1" s="1"/>
  <c r="AX50" i="3" s="1"/>
  <c r="E475" i="1"/>
  <c r="D475" i="1"/>
  <c r="C475" i="1"/>
  <c r="L474" i="1"/>
  <c r="K474" i="1"/>
  <c r="J474" i="1"/>
  <c r="E474" i="1"/>
  <c r="D474" i="1"/>
  <c r="O473" i="1"/>
  <c r="F473" i="1"/>
  <c r="O472" i="1"/>
  <c r="F472" i="1"/>
  <c r="J425" i="1"/>
  <c r="K425" i="1"/>
  <c r="L425" i="1"/>
  <c r="M425" i="1"/>
  <c r="J427" i="1"/>
  <c r="O427" i="1" s="1"/>
  <c r="AV42" i="3" s="1"/>
  <c r="K427" i="1"/>
  <c r="L427" i="1"/>
  <c r="M427" i="1"/>
  <c r="O423" i="1"/>
  <c r="O422" i="1"/>
  <c r="C424" i="1"/>
  <c r="B439" i="1"/>
  <c r="B441" i="1" s="1"/>
  <c r="AW12" i="3"/>
  <c r="AW11" i="3"/>
  <c r="AW8" i="3"/>
  <c r="AV11" i="3"/>
  <c r="AV8" i="3"/>
  <c r="AU11" i="3"/>
  <c r="AU8" i="3"/>
  <c r="AT12" i="3"/>
  <c r="AT11" i="3"/>
  <c r="B364" i="1"/>
  <c r="B366" i="1" s="1"/>
  <c r="B363" i="1" s="1"/>
  <c r="AT8" i="3"/>
  <c r="AT7" i="3"/>
  <c r="AS8" i="3"/>
  <c r="AS12" i="3"/>
  <c r="AS11" i="3"/>
  <c r="AR12" i="3"/>
  <c r="AR11" i="3"/>
  <c r="B316" i="1"/>
  <c r="B318" i="1" s="1"/>
  <c r="M314" i="1"/>
  <c r="AR8" i="3"/>
  <c r="AR7" i="3"/>
  <c r="AP12" i="3"/>
  <c r="AQ11" i="3"/>
  <c r="AQ9" i="3"/>
  <c r="AQ8" i="3"/>
  <c r="AQ7" i="3"/>
  <c r="AP11" i="3"/>
  <c r="AP9" i="3"/>
  <c r="AP8" i="3"/>
  <c r="F448" i="1"/>
  <c r="H435" i="1"/>
  <c r="H437" i="1"/>
  <c r="M312" i="1"/>
  <c r="O324" i="1"/>
  <c r="L452" i="1"/>
  <c r="K452" i="1"/>
  <c r="O452" i="1" s="1"/>
  <c r="AW42" i="3" s="1"/>
  <c r="J452" i="1"/>
  <c r="E452" i="1"/>
  <c r="D452" i="1"/>
  <c r="C452" i="1"/>
  <c r="L451" i="1"/>
  <c r="K451" i="1"/>
  <c r="J451" i="1"/>
  <c r="E451" i="1"/>
  <c r="D451" i="1"/>
  <c r="C451" i="1"/>
  <c r="L450" i="1"/>
  <c r="K450" i="1"/>
  <c r="J450" i="1"/>
  <c r="E450" i="1"/>
  <c r="D450" i="1"/>
  <c r="C450" i="1"/>
  <c r="L449" i="1"/>
  <c r="J449" i="1"/>
  <c r="K449" i="1"/>
  <c r="E449" i="1"/>
  <c r="F449" i="1" s="1"/>
  <c r="AW45" i="3" s="1"/>
  <c r="D449" i="1"/>
  <c r="C449" i="1"/>
  <c r="O448" i="1"/>
  <c r="O447" i="1"/>
  <c r="F447" i="1"/>
  <c r="L399" i="1"/>
  <c r="L400" i="1"/>
  <c r="L402" i="1"/>
  <c r="O348" i="1"/>
  <c r="O349" i="1"/>
  <c r="E427" i="1"/>
  <c r="D427" i="1"/>
  <c r="F427" i="1" s="1"/>
  <c r="AV41" i="3" s="1"/>
  <c r="C427" i="1"/>
  <c r="E426" i="1"/>
  <c r="D426" i="1"/>
  <c r="C426" i="1"/>
  <c r="E425" i="1"/>
  <c r="D425" i="1"/>
  <c r="C425" i="1"/>
  <c r="E424" i="1"/>
  <c r="D424" i="1"/>
  <c r="F423" i="1"/>
  <c r="F422" i="1"/>
  <c r="K402" i="1"/>
  <c r="J402" i="1"/>
  <c r="E402" i="1"/>
  <c r="D402" i="1"/>
  <c r="C402" i="1"/>
  <c r="F402" i="1" s="1"/>
  <c r="AU41" i="3" s="1"/>
  <c r="K401" i="1"/>
  <c r="J401" i="1"/>
  <c r="E401" i="1"/>
  <c r="D401" i="1"/>
  <c r="C401" i="1"/>
  <c r="K400" i="1"/>
  <c r="J400" i="1"/>
  <c r="E400" i="1"/>
  <c r="D400" i="1"/>
  <c r="C400" i="1"/>
  <c r="K399" i="1"/>
  <c r="J399" i="1"/>
  <c r="E399" i="1"/>
  <c r="D399" i="1"/>
  <c r="C399" i="1"/>
  <c r="O398" i="1"/>
  <c r="F398" i="1"/>
  <c r="O397" i="1"/>
  <c r="F397" i="1"/>
  <c r="F373" i="1"/>
  <c r="F372" i="1"/>
  <c r="O373" i="1"/>
  <c r="O372" i="1"/>
  <c r="B205" i="1"/>
  <c r="B207" i="1" s="1"/>
  <c r="B183" i="1"/>
  <c r="B185" i="1" s="1"/>
  <c r="B161" i="1"/>
  <c r="B163" i="1" s="1"/>
  <c r="B139" i="1"/>
  <c r="B141" i="1" s="1"/>
  <c r="B117" i="1"/>
  <c r="B119" i="1" s="1"/>
  <c r="B95" i="1"/>
  <c r="B97" i="1" s="1"/>
  <c r="B73" i="1"/>
  <c r="B75" i="1" s="1"/>
  <c r="B51" i="1"/>
  <c r="B53" i="1" s="1"/>
  <c r="B7" i="1"/>
  <c r="B9" i="1" s="1"/>
  <c r="B29" i="1"/>
  <c r="B31" i="1" s="1"/>
  <c r="B227" i="1"/>
  <c r="B229" i="1" s="1"/>
  <c r="B226" i="1" s="1"/>
  <c r="F349" i="1"/>
  <c r="F348" i="1"/>
  <c r="J351" i="1"/>
  <c r="C350" i="1"/>
  <c r="B225" i="1"/>
  <c r="AN7" i="3" s="1"/>
  <c r="O323" i="1"/>
  <c r="O325" i="1"/>
  <c r="F324" i="1"/>
  <c r="F325" i="1"/>
  <c r="F300" i="1"/>
  <c r="F301" i="1"/>
  <c r="O300" i="1"/>
  <c r="O301" i="1"/>
  <c r="M302" i="1"/>
  <c r="M303" i="1"/>
  <c r="M304" i="1"/>
  <c r="M305" i="1"/>
  <c r="M306" i="1"/>
  <c r="M307" i="1"/>
  <c r="K280" i="1"/>
  <c r="C376" i="1"/>
  <c r="C352" i="1"/>
  <c r="C328" i="1"/>
  <c r="C304" i="1"/>
  <c r="C282" i="1"/>
  <c r="C260" i="1"/>
  <c r="E3" i="4"/>
  <c r="F3" i="4"/>
  <c r="E4" i="4"/>
  <c r="E5" i="4"/>
  <c r="H5" i="4" s="1"/>
  <c r="E6" i="4"/>
  <c r="E7" i="4"/>
  <c r="E8" i="4"/>
  <c r="G8" i="4"/>
  <c r="E9" i="4"/>
  <c r="E10" i="4"/>
  <c r="F10" i="4"/>
  <c r="E11" i="4"/>
  <c r="E12" i="4"/>
  <c r="H12" i="4"/>
  <c r="E13" i="4"/>
  <c r="E14" i="4"/>
  <c r="G14" i="4" s="1"/>
  <c r="E15" i="4"/>
  <c r="H15" i="4" s="1"/>
  <c r="E16" i="4"/>
  <c r="E17" i="4"/>
  <c r="E18" i="4"/>
  <c r="E19" i="4"/>
  <c r="H19" i="4" s="1"/>
  <c r="E20" i="4"/>
  <c r="H20" i="4"/>
  <c r="E21" i="4"/>
  <c r="G21" i="4" s="1"/>
  <c r="E22" i="4"/>
  <c r="E23" i="4"/>
  <c r="E24" i="4"/>
  <c r="F24" i="4"/>
  <c r="E25" i="4"/>
  <c r="E26" i="4"/>
  <c r="F26" i="4" s="1"/>
  <c r="E27" i="4"/>
  <c r="G27" i="4" s="1"/>
  <c r="E28" i="4"/>
  <c r="G28" i="4"/>
  <c r="E29" i="4"/>
  <c r="H29" i="4"/>
  <c r="E30" i="4"/>
  <c r="E31" i="4"/>
  <c r="F31" i="4" s="1"/>
  <c r="E32" i="4"/>
  <c r="G32" i="4" s="1"/>
  <c r="E33" i="4"/>
  <c r="E34" i="4"/>
  <c r="F34" i="4" s="1"/>
  <c r="E35" i="4"/>
  <c r="H35" i="4" s="1"/>
  <c r="E36" i="4"/>
  <c r="H36" i="4" s="1"/>
  <c r="E37" i="4"/>
  <c r="E38" i="4"/>
  <c r="E39" i="4"/>
  <c r="E40" i="4"/>
  <c r="F40" i="4" s="1"/>
  <c r="E41" i="4"/>
  <c r="F41" i="4" s="1"/>
  <c r="E42" i="4"/>
  <c r="E43" i="4"/>
  <c r="H43" i="4" s="1"/>
  <c r="E44" i="4"/>
  <c r="E45" i="4"/>
  <c r="E46" i="4"/>
  <c r="E47" i="4"/>
  <c r="F47" i="4" s="1"/>
  <c r="E48" i="4"/>
  <c r="G48" i="4" s="1"/>
  <c r="E49" i="4"/>
  <c r="H49" i="4" s="1"/>
  <c r="E50" i="4"/>
  <c r="G50" i="4"/>
  <c r="E51" i="4"/>
  <c r="E52" i="4"/>
  <c r="G52" i="4" s="1"/>
  <c r="E53" i="4"/>
  <c r="E54" i="4"/>
  <c r="H54" i="4"/>
  <c r="E55" i="4"/>
  <c r="E56" i="4"/>
  <c r="E57" i="4"/>
  <c r="E58" i="4"/>
  <c r="E59" i="4"/>
  <c r="E60" i="4"/>
  <c r="E61" i="4"/>
  <c r="F61" i="4" s="1"/>
  <c r="E62" i="4"/>
  <c r="H62" i="4" s="1"/>
  <c r="E63" i="4"/>
  <c r="F19" i="2"/>
  <c r="E19" i="2"/>
  <c r="D19" i="2"/>
  <c r="C19" i="2"/>
  <c r="O279" i="1"/>
  <c r="O278" i="1"/>
  <c r="F279" i="1"/>
  <c r="F278" i="1"/>
  <c r="O257" i="1"/>
  <c r="O256" i="1"/>
  <c r="J377" i="1"/>
  <c r="O377" i="1" s="1"/>
  <c r="AT42" i="3" s="1"/>
  <c r="L377" i="1"/>
  <c r="K377" i="1"/>
  <c r="C377" i="1"/>
  <c r="E377" i="1"/>
  <c r="D377" i="1"/>
  <c r="J376" i="1"/>
  <c r="L376" i="1"/>
  <c r="K376" i="1"/>
  <c r="E376" i="1"/>
  <c r="D376" i="1"/>
  <c r="J375" i="1"/>
  <c r="L375" i="1"/>
  <c r="K375" i="1"/>
  <c r="O375" i="1" s="1"/>
  <c r="AT50" i="3" s="1"/>
  <c r="C375" i="1"/>
  <c r="E375" i="1"/>
  <c r="D375" i="1"/>
  <c r="J374" i="1"/>
  <c r="L374" i="1"/>
  <c r="K374" i="1"/>
  <c r="C374" i="1"/>
  <c r="E374" i="1"/>
  <c r="D374" i="1"/>
  <c r="E214" i="1"/>
  <c r="X7" i="3"/>
  <c r="AN11" i="3"/>
  <c r="AN8" i="3"/>
  <c r="I260" i="5"/>
  <c r="I259" i="5"/>
  <c r="I258" i="5"/>
  <c r="L258" i="5" s="1"/>
  <c r="N46" i="3" s="1"/>
  <c r="I237" i="5"/>
  <c r="I236" i="5"/>
  <c r="E591" i="5"/>
  <c r="C591" i="5"/>
  <c r="D591" i="5"/>
  <c r="E590" i="5"/>
  <c r="D590" i="5"/>
  <c r="C590" i="5"/>
  <c r="E589" i="5"/>
  <c r="D589" i="5"/>
  <c r="C589" i="5"/>
  <c r="E588" i="5"/>
  <c r="C588" i="5"/>
  <c r="D588" i="5"/>
  <c r="E569" i="5"/>
  <c r="C569" i="5"/>
  <c r="D569" i="5"/>
  <c r="E568" i="5"/>
  <c r="D568" i="5"/>
  <c r="C568" i="5"/>
  <c r="E567" i="5"/>
  <c r="D567" i="5"/>
  <c r="C567" i="5"/>
  <c r="E566" i="5"/>
  <c r="D566" i="5"/>
  <c r="C566" i="5"/>
  <c r="E547" i="5"/>
  <c r="D547" i="5"/>
  <c r="C547" i="5"/>
  <c r="E546" i="5"/>
  <c r="D546" i="5"/>
  <c r="C546" i="5"/>
  <c r="E545" i="5"/>
  <c r="D545" i="5"/>
  <c r="C545" i="5"/>
  <c r="F545" i="5" s="1"/>
  <c r="AA49" i="3" s="1"/>
  <c r="E544" i="5"/>
  <c r="D544" i="5"/>
  <c r="C544" i="5"/>
  <c r="E525" i="5"/>
  <c r="C525" i="5"/>
  <c r="D525" i="5"/>
  <c r="E524" i="5"/>
  <c r="D524" i="5"/>
  <c r="C524" i="5"/>
  <c r="E523" i="5"/>
  <c r="D523" i="5"/>
  <c r="C523" i="5"/>
  <c r="E522" i="5"/>
  <c r="F522" i="5" s="1"/>
  <c r="Z45" i="3" s="1"/>
  <c r="D522" i="5"/>
  <c r="C522" i="5"/>
  <c r="E503" i="5"/>
  <c r="C503" i="5"/>
  <c r="D503" i="5"/>
  <c r="E502" i="5"/>
  <c r="C502" i="5"/>
  <c r="D502" i="5"/>
  <c r="E501" i="5"/>
  <c r="D501" i="5"/>
  <c r="C501" i="5"/>
  <c r="E500" i="5"/>
  <c r="D500" i="5"/>
  <c r="C500" i="5"/>
  <c r="C478" i="5"/>
  <c r="F478" i="5" s="1"/>
  <c r="X45" i="3" s="1"/>
  <c r="E481" i="5"/>
  <c r="F481" i="5" s="1"/>
  <c r="X41" i="3" s="1"/>
  <c r="D481" i="5"/>
  <c r="C481" i="5"/>
  <c r="E480" i="5"/>
  <c r="C480" i="5"/>
  <c r="D480" i="5"/>
  <c r="E479" i="5"/>
  <c r="D479" i="5"/>
  <c r="C479" i="5"/>
  <c r="E478" i="5"/>
  <c r="D478" i="5"/>
  <c r="E459" i="5"/>
  <c r="D459" i="5"/>
  <c r="C459" i="5"/>
  <c r="E458" i="5"/>
  <c r="D458" i="5"/>
  <c r="C458" i="5"/>
  <c r="E457" i="5"/>
  <c r="D457" i="5"/>
  <c r="C457" i="5"/>
  <c r="E456" i="5"/>
  <c r="D456" i="5"/>
  <c r="C456" i="5"/>
  <c r="E437" i="5"/>
  <c r="C437" i="5"/>
  <c r="D437" i="5"/>
  <c r="E436" i="5"/>
  <c r="C436" i="5"/>
  <c r="D436" i="5"/>
  <c r="E435" i="5"/>
  <c r="D435" i="5"/>
  <c r="C435" i="5"/>
  <c r="F435" i="5" s="1"/>
  <c r="V49" i="3" s="1"/>
  <c r="E434" i="5"/>
  <c r="F434" i="5" s="1"/>
  <c r="V45" i="3" s="1"/>
  <c r="D434" i="5"/>
  <c r="C434" i="5"/>
  <c r="E415" i="5"/>
  <c r="C415" i="5"/>
  <c r="D415" i="5"/>
  <c r="E414" i="5"/>
  <c r="C414" i="5"/>
  <c r="D414" i="5"/>
  <c r="E413" i="5"/>
  <c r="D413" i="5"/>
  <c r="C413" i="5"/>
  <c r="E412" i="5"/>
  <c r="D412" i="5"/>
  <c r="C412" i="5"/>
  <c r="E393" i="5"/>
  <c r="D393" i="5"/>
  <c r="F393" i="5" s="1"/>
  <c r="T41" i="3" s="1"/>
  <c r="C393" i="5"/>
  <c r="E392" i="5"/>
  <c r="D392" i="5"/>
  <c r="C392" i="5"/>
  <c r="E391" i="5"/>
  <c r="D391" i="5"/>
  <c r="C391" i="5"/>
  <c r="E390" i="5"/>
  <c r="D390" i="5"/>
  <c r="F390" i="5" s="1"/>
  <c r="T45" i="3" s="1"/>
  <c r="C390" i="5"/>
  <c r="C368" i="5"/>
  <c r="F368" i="5" s="1"/>
  <c r="S45" i="3" s="1"/>
  <c r="E371" i="5"/>
  <c r="D371" i="5"/>
  <c r="C371" i="5"/>
  <c r="E370" i="5"/>
  <c r="D370" i="5"/>
  <c r="C370" i="5"/>
  <c r="E369" i="5"/>
  <c r="C369" i="5"/>
  <c r="F369" i="5" s="1"/>
  <c r="S49" i="3" s="1"/>
  <c r="S51" i="3" s="1"/>
  <c r="D369" i="5"/>
  <c r="E368" i="5"/>
  <c r="D368" i="5"/>
  <c r="E349" i="5"/>
  <c r="C349" i="5"/>
  <c r="F349" i="5" s="1"/>
  <c r="R41" i="3" s="1"/>
  <c r="D349" i="5"/>
  <c r="E348" i="5"/>
  <c r="C348" i="5"/>
  <c r="D348" i="5"/>
  <c r="E347" i="5"/>
  <c r="D347" i="5"/>
  <c r="C347" i="5"/>
  <c r="E346" i="5"/>
  <c r="D346" i="5"/>
  <c r="C346" i="5"/>
  <c r="F346" i="5" s="1"/>
  <c r="R45" i="3" s="1"/>
  <c r="C324" i="5"/>
  <c r="D324" i="5"/>
  <c r="E324" i="5"/>
  <c r="E327" i="5"/>
  <c r="D327" i="5"/>
  <c r="C327" i="5"/>
  <c r="E326" i="5"/>
  <c r="C326" i="5"/>
  <c r="D326" i="5"/>
  <c r="E325" i="5"/>
  <c r="D325" i="5"/>
  <c r="C325" i="5"/>
  <c r="C302" i="5"/>
  <c r="F302" i="5" s="1"/>
  <c r="P45" i="3" s="1"/>
  <c r="E305" i="5"/>
  <c r="D305" i="5"/>
  <c r="C305" i="5"/>
  <c r="F305" i="5" s="1"/>
  <c r="P41" i="3" s="1"/>
  <c r="E304" i="5"/>
  <c r="C304" i="5"/>
  <c r="D304" i="5"/>
  <c r="E303" i="5"/>
  <c r="C303" i="5"/>
  <c r="D303" i="5"/>
  <c r="E302" i="5"/>
  <c r="D302" i="5"/>
  <c r="C280" i="5"/>
  <c r="C281" i="5"/>
  <c r="E283" i="5"/>
  <c r="C283" i="5"/>
  <c r="D283" i="5"/>
  <c r="E282" i="5"/>
  <c r="D282" i="5"/>
  <c r="C282" i="5"/>
  <c r="F282" i="5" s="1"/>
  <c r="O37" i="3" s="1"/>
  <c r="E281" i="5"/>
  <c r="D281" i="5"/>
  <c r="F281" i="5" s="1"/>
  <c r="O49" i="3" s="1"/>
  <c r="E280" i="5"/>
  <c r="D280" i="5"/>
  <c r="E261" i="5"/>
  <c r="C261" i="5"/>
  <c r="D261" i="5"/>
  <c r="E260" i="5"/>
  <c r="D260" i="5"/>
  <c r="C260" i="5"/>
  <c r="E259" i="5"/>
  <c r="D259" i="5"/>
  <c r="C259" i="5"/>
  <c r="E258" i="5"/>
  <c r="D258" i="5"/>
  <c r="C258" i="5"/>
  <c r="F258" i="5" s="1"/>
  <c r="N45" i="3" s="1"/>
  <c r="D239" i="5"/>
  <c r="C239" i="5"/>
  <c r="F239" i="5" s="1"/>
  <c r="M41" i="3" s="1"/>
  <c r="E239" i="5"/>
  <c r="D238" i="5"/>
  <c r="E238" i="5"/>
  <c r="C238" i="5"/>
  <c r="D237" i="5"/>
  <c r="C237" i="5"/>
  <c r="E237" i="5"/>
  <c r="D236" i="5"/>
  <c r="E236" i="5"/>
  <c r="C236" i="5"/>
  <c r="C214" i="5"/>
  <c r="J353" i="1"/>
  <c r="K353" i="1"/>
  <c r="L353" i="1"/>
  <c r="O353" i="1" s="1"/>
  <c r="AS42" i="3" s="1"/>
  <c r="J352" i="1"/>
  <c r="K352" i="1"/>
  <c r="L352" i="1"/>
  <c r="K351" i="1"/>
  <c r="L351" i="1"/>
  <c r="O351" i="1" s="1"/>
  <c r="AS50" i="3" s="1"/>
  <c r="J350" i="1"/>
  <c r="K350" i="1"/>
  <c r="L350" i="1"/>
  <c r="J329" i="1"/>
  <c r="K329" i="1"/>
  <c r="L329" i="1"/>
  <c r="J328" i="1"/>
  <c r="K328" i="1"/>
  <c r="O328" i="1" s="1"/>
  <c r="AR38" i="3" s="1"/>
  <c r="L328" i="1"/>
  <c r="J327" i="1"/>
  <c r="K327" i="1"/>
  <c r="O327" i="1" s="1"/>
  <c r="AR50" i="3" s="1"/>
  <c r="L327" i="1"/>
  <c r="J326" i="1"/>
  <c r="K326" i="1"/>
  <c r="L326" i="1"/>
  <c r="J307" i="1"/>
  <c r="K307" i="1"/>
  <c r="L307" i="1"/>
  <c r="J306" i="1"/>
  <c r="K306" i="1"/>
  <c r="L306" i="1"/>
  <c r="J305" i="1"/>
  <c r="K305" i="1"/>
  <c r="L305" i="1"/>
  <c r="J304" i="1"/>
  <c r="K304" i="1"/>
  <c r="L304" i="1"/>
  <c r="O304" i="1" s="1"/>
  <c r="AQ38" i="3" s="1"/>
  <c r="J303" i="1"/>
  <c r="K303" i="1"/>
  <c r="L303" i="1"/>
  <c r="J302" i="1"/>
  <c r="K302" i="1"/>
  <c r="L302" i="1"/>
  <c r="J285" i="1"/>
  <c r="K285" i="1"/>
  <c r="L285" i="1"/>
  <c r="J284" i="1"/>
  <c r="K284" i="1"/>
  <c r="L284" i="1"/>
  <c r="J283" i="1"/>
  <c r="O283" i="1" s="1"/>
  <c r="AP42" i="3" s="1"/>
  <c r="K283" i="1"/>
  <c r="L283" i="1"/>
  <c r="J282" i="1"/>
  <c r="O282" i="1" s="1"/>
  <c r="AP38" i="3" s="1"/>
  <c r="K282" i="1"/>
  <c r="L282" i="1"/>
  <c r="J281" i="1"/>
  <c r="K281" i="1"/>
  <c r="L281" i="1"/>
  <c r="O281" i="1" s="1"/>
  <c r="AP50" i="3" s="1"/>
  <c r="J280" i="1"/>
  <c r="L280" i="1"/>
  <c r="J263" i="1"/>
  <c r="J262" i="1"/>
  <c r="K261" i="1"/>
  <c r="L261" i="1"/>
  <c r="J261" i="1"/>
  <c r="K260" i="1"/>
  <c r="L260" i="1"/>
  <c r="J260" i="1"/>
  <c r="K259" i="1"/>
  <c r="O259" i="1" s="1"/>
  <c r="L259" i="1"/>
  <c r="J259" i="1"/>
  <c r="K258" i="1"/>
  <c r="L258" i="1"/>
  <c r="J258" i="1"/>
  <c r="O258" i="1" s="1"/>
  <c r="K263" i="1"/>
  <c r="L263" i="1"/>
  <c r="K262" i="1"/>
  <c r="L262" i="1"/>
  <c r="C258" i="1"/>
  <c r="J236" i="1"/>
  <c r="C236" i="1"/>
  <c r="C214" i="1"/>
  <c r="C216" i="1"/>
  <c r="J194" i="1"/>
  <c r="J192" i="1"/>
  <c r="C195" i="1"/>
  <c r="C194" i="1"/>
  <c r="C193" i="1"/>
  <c r="D193" i="1"/>
  <c r="E193" i="1"/>
  <c r="F193" i="1" s="1"/>
  <c r="AL49" i="3" s="1"/>
  <c r="C192" i="1"/>
  <c r="D195" i="1"/>
  <c r="E195" i="1"/>
  <c r="D194" i="1"/>
  <c r="E194" i="1"/>
  <c r="D192" i="1"/>
  <c r="E192" i="1"/>
  <c r="C173" i="1"/>
  <c r="C170" i="1"/>
  <c r="C150" i="1"/>
  <c r="D38" i="1"/>
  <c r="C38" i="1"/>
  <c r="C353" i="1"/>
  <c r="D353" i="1"/>
  <c r="E353" i="1"/>
  <c r="D352" i="1"/>
  <c r="E352" i="1"/>
  <c r="C351" i="1"/>
  <c r="D351" i="1"/>
  <c r="E351" i="1"/>
  <c r="D350" i="1"/>
  <c r="E350" i="1"/>
  <c r="F350" i="1" s="1"/>
  <c r="AS45" i="3" s="1"/>
  <c r="C329" i="1"/>
  <c r="D329" i="1"/>
  <c r="F329" i="1" s="1"/>
  <c r="AR41" i="3" s="1"/>
  <c r="E329" i="1"/>
  <c r="D328" i="1"/>
  <c r="E328" i="1"/>
  <c r="F328" i="1" s="1"/>
  <c r="AR37" i="3" s="1"/>
  <c r="C327" i="1"/>
  <c r="D327" i="1"/>
  <c r="E327" i="1"/>
  <c r="C326" i="1"/>
  <c r="D326" i="1"/>
  <c r="E326" i="1"/>
  <c r="C285" i="1"/>
  <c r="D285" i="1"/>
  <c r="E285" i="1"/>
  <c r="C284" i="1"/>
  <c r="D284" i="1"/>
  <c r="F284" i="1" s="1"/>
  <c r="E284" i="1"/>
  <c r="C283" i="1"/>
  <c r="D283" i="1"/>
  <c r="E283" i="1"/>
  <c r="D282" i="1"/>
  <c r="E282" i="1"/>
  <c r="C281" i="1"/>
  <c r="D281" i="1"/>
  <c r="E281" i="1"/>
  <c r="C280" i="1"/>
  <c r="D280" i="1"/>
  <c r="E280" i="1"/>
  <c r="C302" i="1"/>
  <c r="C307" i="1"/>
  <c r="D307" i="1"/>
  <c r="E307" i="1"/>
  <c r="C306" i="1"/>
  <c r="D306" i="1"/>
  <c r="F306" i="1" s="1"/>
  <c r="E306" i="1"/>
  <c r="C305" i="1"/>
  <c r="D305" i="1"/>
  <c r="F305" i="1" s="1"/>
  <c r="AQ41" i="3" s="1"/>
  <c r="E305" i="1"/>
  <c r="D304" i="1"/>
  <c r="E304" i="1"/>
  <c r="C303" i="1"/>
  <c r="D303" i="1"/>
  <c r="E303" i="1"/>
  <c r="D302" i="1"/>
  <c r="E302" i="1"/>
  <c r="C263" i="1"/>
  <c r="C262" i="1"/>
  <c r="D261" i="1"/>
  <c r="E261" i="1"/>
  <c r="C261" i="1"/>
  <c r="D260" i="1"/>
  <c r="E260" i="1"/>
  <c r="D259" i="1"/>
  <c r="F259" i="1" s="1"/>
  <c r="E259" i="1"/>
  <c r="C259" i="1"/>
  <c r="D258" i="1"/>
  <c r="E258" i="1"/>
  <c r="D263" i="1"/>
  <c r="E263" i="1"/>
  <c r="D262" i="1"/>
  <c r="E262" i="1"/>
  <c r="AD43" i="3"/>
  <c r="AE43" i="3"/>
  <c r="AF43" i="3"/>
  <c r="AG43" i="3"/>
  <c r="AH43" i="3"/>
  <c r="AI43" i="3"/>
  <c r="AJ43" i="3"/>
  <c r="AK43" i="3"/>
  <c r="AL43" i="3"/>
  <c r="AM43" i="3"/>
  <c r="I524" i="5"/>
  <c r="J524" i="5"/>
  <c r="K524" i="5"/>
  <c r="AD39" i="3"/>
  <c r="AE39" i="3"/>
  <c r="AF39" i="3"/>
  <c r="AG39" i="3"/>
  <c r="AH39" i="3"/>
  <c r="AI39" i="3"/>
  <c r="AJ39" i="3"/>
  <c r="AK39" i="3"/>
  <c r="AL39" i="3"/>
  <c r="AM39" i="3"/>
  <c r="AC12" i="3"/>
  <c r="AC11" i="3"/>
  <c r="AC8" i="3"/>
  <c r="AB12" i="3"/>
  <c r="AB11" i="3"/>
  <c r="AB8" i="3"/>
  <c r="AA12" i="3"/>
  <c r="AA11" i="3"/>
  <c r="AA8" i="3"/>
  <c r="Z12" i="3"/>
  <c r="Z11" i="3"/>
  <c r="Z8" i="3"/>
  <c r="Y11" i="3"/>
  <c r="Y8" i="3"/>
  <c r="X11" i="3"/>
  <c r="X8" i="3"/>
  <c r="W11" i="3"/>
  <c r="W8" i="3"/>
  <c r="V11" i="3"/>
  <c r="V8" i="3"/>
  <c r="U11" i="3"/>
  <c r="U8" i="3"/>
  <c r="T11" i="3"/>
  <c r="T8" i="3"/>
  <c r="S11" i="3"/>
  <c r="S8" i="3"/>
  <c r="R11" i="3"/>
  <c r="R8" i="3"/>
  <c r="Q11" i="3"/>
  <c r="Q8" i="3"/>
  <c r="P11" i="3"/>
  <c r="P8" i="3"/>
  <c r="O11" i="3"/>
  <c r="O8" i="3"/>
  <c r="N11" i="3"/>
  <c r="N8" i="3"/>
  <c r="M11" i="3"/>
  <c r="M8" i="3"/>
  <c r="L11" i="3"/>
  <c r="L8" i="3"/>
  <c r="AD8" i="3"/>
  <c r="B249" i="5"/>
  <c r="B251" i="5" s="1"/>
  <c r="I591" i="5"/>
  <c r="J591" i="5"/>
  <c r="L591" i="5" s="1"/>
  <c r="AC42" i="3" s="1"/>
  <c r="K591" i="5"/>
  <c r="I590" i="5"/>
  <c r="L590" i="5" s="1"/>
  <c r="AC38" i="3" s="1"/>
  <c r="J590" i="5"/>
  <c r="K590" i="5"/>
  <c r="I589" i="5"/>
  <c r="J589" i="5"/>
  <c r="K589" i="5"/>
  <c r="I588" i="5"/>
  <c r="J588" i="5"/>
  <c r="K588" i="5"/>
  <c r="L588" i="5" s="1"/>
  <c r="AC46" i="3" s="1"/>
  <c r="L587" i="5"/>
  <c r="L586" i="5"/>
  <c r="I569" i="5"/>
  <c r="J569" i="5"/>
  <c r="K569" i="5"/>
  <c r="I568" i="5"/>
  <c r="J568" i="5"/>
  <c r="K568" i="5"/>
  <c r="I567" i="5"/>
  <c r="J567" i="5"/>
  <c r="K567" i="5"/>
  <c r="L567" i="5" s="1"/>
  <c r="AB50" i="3" s="1"/>
  <c r="I566" i="5"/>
  <c r="J566" i="5"/>
  <c r="K566" i="5"/>
  <c r="L565" i="5"/>
  <c r="L564" i="5"/>
  <c r="I547" i="5"/>
  <c r="J547" i="5"/>
  <c r="K547" i="5"/>
  <c r="I546" i="5"/>
  <c r="J546" i="5"/>
  <c r="K546" i="5"/>
  <c r="I545" i="5"/>
  <c r="J545" i="5"/>
  <c r="K545" i="5"/>
  <c r="I544" i="5"/>
  <c r="J544" i="5"/>
  <c r="K544" i="5"/>
  <c r="L543" i="5"/>
  <c r="L542" i="5"/>
  <c r="I525" i="5"/>
  <c r="J525" i="5"/>
  <c r="K525" i="5"/>
  <c r="I523" i="5"/>
  <c r="J523" i="5"/>
  <c r="K523" i="5"/>
  <c r="I522" i="5"/>
  <c r="J522" i="5"/>
  <c r="K522" i="5"/>
  <c r="L521" i="5"/>
  <c r="L520" i="5"/>
  <c r="I503" i="5"/>
  <c r="J503" i="5"/>
  <c r="K503" i="5"/>
  <c r="I502" i="5"/>
  <c r="J502" i="5"/>
  <c r="K502" i="5"/>
  <c r="I501" i="5"/>
  <c r="L501" i="5" s="1"/>
  <c r="Y50" i="3" s="1"/>
  <c r="J501" i="5"/>
  <c r="K501" i="5"/>
  <c r="I500" i="5"/>
  <c r="J500" i="5"/>
  <c r="L500" i="5" s="1"/>
  <c r="Y46" i="3" s="1"/>
  <c r="K500" i="5"/>
  <c r="L499" i="5"/>
  <c r="L498" i="5"/>
  <c r="I481" i="5"/>
  <c r="J481" i="5"/>
  <c r="K481" i="5"/>
  <c r="I480" i="5"/>
  <c r="J480" i="5"/>
  <c r="K480" i="5"/>
  <c r="I479" i="5"/>
  <c r="J479" i="5"/>
  <c r="K479" i="5"/>
  <c r="L479" i="5" s="1"/>
  <c r="X50" i="3" s="1"/>
  <c r="I478" i="5"/>
  <c r="J478" i="5"/>
  <c r="K478" i="5"/>
  <c r="L477" i="5"/>
  <c r="L476" i="5"/>
  <c r="I459" i="5"/>
  <c r="J459" i="5"/>
  <c r="K459" i="5"/>
  <c r="I458" i="5"/>
  <c r="J458" i="5"/>
  <c r="K458" i="5"/>
  <c r="L458" i="5" s="1"/>
  <c r="W38" i="3" s="1"/>
  <c r="I457" i="5"/>
  <c r="J457" i="5"/>
  <c r="K457" i="5"/>
  <c r="I456" i="5"/>
  <c r="J456" i="5"/>
  <c r="K456" i="5"/>
  <c r="L455" i="5"/>
  <c r="L454" i="5"/>
  <c r="I437" i="5"/>
  <c r="J437" i="5"/>
  <c r="K437" i="5"/>
  <c r="I436" i="5"/>
  <c r="J436" i="5"/>
  <c r="K436" i="5"/>
  <c r="I435" i="5"/>
  <c r="J435" i="5"/>
  <c r="K435" i="5"/>
  <c r="I434" i="5"/>
  <c r="J434" i="5"/>
  <c r="K434" i="5"/>
  <c r="L433" i="5"/>
  <c r="L432" i="5"/>
  <c r="B403" i="5"/>
  <c r="B405" i="5" s="1"/>
  <c r="B401" i="5"/>
  <c r="U7" i="3"/>
  <c r="I415" i="5"/>
  <c r="J415" i="5"/>
  <c r="L415" i="5" s="1"/>
  <c r="U42" i="3" s="1"/>
  <c r="K415" i="5"/>
  <c r="I414" i="5"/>
  <c r="J414" i="5"/>
  <c r="K414" i="5"/>
  <c r="I413" i="5"/>
  <c r="J413" i="5"/>
  <c r="K413" i="5"/>
  <c r="I412" i="5"/>
  <c r="J412" i="5"/>
  <c r="K412" i="5"/>
  <c r="L412" i="5" s="1"/>
  <c r="U46" i="3" s="1"/>
  <c r="L411" i="5"/>
  <c r="L410" i="5"/>
  <c r="I393" i="5"/>
  <c r="J393" i="5"/>
  <c r="L393" i="5" s="1"/>
  <c r="T42" i="3" s="1"/>
  <c r="K393" i="5"/>
  <c r="I392" i="5"/>
  <c r="J392" i="5"/>
  <c r="K392" i="5"/>
  <c r="I391" i="5"/>
  <c r="J391" i="5"/>
  <c r="K391" i="5"/>
  <c r="L391" i="5" s="1"/>
  <c r="T50" i="3" s="1"/>
  <c r="I390" i="5"/>
  <c r="J390" i="5"/>
  <c r="K390" i="5"/>
  <c r="L389" i="5"/>
  <c r="L388" i="5"/>
  <c r="I371" i="5"/>
  <c r="J371" i="5"/>
  <c r="K371" i="5"/>
  <c r="I370" i="5"/>
  <c r="J370" i="5"/>
  <c r="K370" i="5"/>
  <c r="I369" i="5"/>
  <c r="J369" i="5"/>
  <c r="L369" i="5" s="1"/>
  <c r="S50" i="3" s="1"/>
  <c r="K369" i="5"/>
  <c r="I368" i="5"/>
  <c r="J368" i="5"/>
  <c r="K368" i="5"/>
  <c r="L367" i="5"/>
  <c r="L366" i="5"/>
  <c r="I349" i="5"/>
  <c r="J349" i="5"/>
  <c r="K349" i="5"/>
  <c r="I348" i="5"/>
  <c r="J348" i="5"/>
  <c r="K348" i="5"/>
  <c r="I347" i="5"/>
  <c r="J347" i="5"/>
  <c r="L347" i="5" s="1"/>
  <c r="R50" i="3" s="1"/>
  <c r="K347" i="5"/>
  <c r="I346" i="5"/>
  <c r="J346" i="5"/>
  <c r="K346" i="5"/>
  <c r="L345" i="5"/>
  <c r="L344" i="5"/>
  <c r="I327" i="5"/>
  <c r="J327" i="5"/>
  <c r="K327" i="5"/>
  <c r="I326" i="5"/>
  <c r="J326" i="5"/>
  <c r="K326" i="5"/>
  <c r="I325" i="5"/>
  <c r="J325" i="5"/>
  <c r="L325" i="5" s="1"/>
  <c r="Q50" i="3" s="1"/>
  <c r="K325" i="5"/>
  <c r="I324" i="5"/>
  <c r="J324" i="5"/>
  <c r="K324" i="5"/>
  <c r="L323" i="5"/>
  <c r="L322" i="5"/>
  <c r="I305" i="5"/>
  <c r="J305" i="5"/>
  <c r="K305" i="5"/>
  <c r="I304" i="5"/>
  <c r="J304" i="5"/>
  <c r="K304" i="5"/>
  <c r="I303" i="5"/>
  <c r="J303" i="5"/>
  <c r="K303" i="5"/>
  <c r="I302" i="5"/>
  <c r="J302" i="5"/>
  <c r="K302" i="5"/>
  <c r="L301" i="5"/>
  <c r="L300" i="5"/>
  <c r="I283" i="5"/>
  <c r="J283" i="5"/>
  <c r="K283" i="5"/>
  <c r="L283" i="5" s="1"/>
  <c r="O42" i="3" s="1"/>
  <c r="I282" i="5"/>
  <c r="J282" i="5"/>
  <c r="K282" i="5"/>
  <c r="I281" i="5"/>
  <c r="J281" i="5"/>
  <c r="K281" i="5"/>
  <c r="I280" i="5"/>
  <c r="J280" i="5"/>
  <c r="K280" i="5"/>
  <c r="L279" i="5"/>
  <c r="L278" i="5"/>
  <c r="I261" i="5"/>
  <c r="J261" i="5"/>
  <c r="L261" i="5" s="1"/>
  <c r="N42" i="3" s="1"/>
  <c r="K261" i="5"/>
  <c r="J260" i="5"/>
  <c r="K260" i="5"/>
  <c r="L260" i="5" s="1"/>
  <c r="N38" i="3" s="1"/>
  <c r="J259" i="5"/>
  <c r="K259" i="5"/>
  <c r="J258" i="5"/>
  <c r="K258" i="5"/>
  <c r="L257" i="5"/>
  <c r="L256" i="5"/>
  <c r="F587" i="5"/>
  <c r="F586" i="5"/>
  <c r="F565" i="5"/>
  <c r="F564" i="5"/>
  <c r="F543" i="5"/>
  <c r="F542" i="5"/>
  <c r="F499" i="5"/>
  <c r="F498" i="5"/>
  <c r="F521" i="5"/>
  <c r="F520" i="5"/>
  <c r="F477" i="5"/>
  <c r="F476" i="5"/>
  <c r="F455" i="5"/>
  <c r="F454" i="5"/>
  <c r="F433" i="5"/>
  <c r="F432" i="5"/>
  <c r="F411" i="5"/>
  <c r="F410" i="5"/>
  <c r="F389" i="5"/>
  <c r="F388" i="5"/>
  <c r="F345" i="5"/>
  <c r="F344" i="5"/>
  <c r="F323" i="5"/>
  <c r="F322" i="5"/>
  <c r="F301" i="5"/>
  <c r="F300" i="5"/>
  <c r="F279" i="5"/>
  <c r="F278" i="5"/>
  <c r="F257" i="5"/>
  <c r="F256" i="5"/>
  <c r="B207" i="5"/>
  <c r="B204" i="5" s="1"/>
  <c r="F367" i="5"/>
  <c r="F366" i="5"/>
  <c r="I239" i="5"/>
  <c r="J239" i="5"/>
  <c r="K239" i="5"/>
  <c r="I238" i="5"/>
  <c r="J238" i="5"/>
  <c r="K238" i="5"/>
  <c r="J237" i="5"/>
  <c r="K237" i="5"/>
  <c r="J236" i="5"/>
  <c r="L236" i="5" s="1"/>
  <c r="M46" i="3" s="1"/>
  <c r="K236" i="5"/>
  <c r="L234" i="5"/>
  <c r="F234" i="5"/>
  <c r="J217" i="5"/>
  <c r="K217" i="5"/>
  <c r="I217" i="5"/>
  <c r="J216" i="5"/>
  <c r="I216" i="5"/>
  <c r="K216" i="5"/>
  <c r="J215" i="5"/>
  <c r="K215" i="5"/>
  <c r="L215" i="5" s="1"/>
  <c r="L50" i="3" s="1"/>
  <c r="I215" i="5"/>
  <c r="J214" i="5"/>
  <c r="L214" i="5" s="1"/>
  <c r="L46" i="3" s="1"/>
  <c r="K214" i="5"/>
  <c r="I214" i="5"/>
  <c r="D217" i="5"/>
  <c r="E217" i="5"/>
  <c r="C217" i="5"/>
  <c r="D216" i="5"/>
  <c r="E216" i="5"/>
  <c r="C216" i="5"/>
  <c r="F216" i="5" s="1"/>
  <c r="L37" i="3" s="1"/>
  <c r="D215" i="5"/>
  <c r="C215" i="5"/>
  <c r="E215" i="5"/>
  <c r="D214" i="5"/>
  <c r="E214" i="5"/>
  <c r="L212" i="5"/>
  <c r="F212" i="5"/>
  <c r="B579" i="5"/>
  <c r="B581" i="5" s="1"/>
  <c r="B578" i="5" s="1"/>
  <c r="B557" i="5"/>
  <c r="B559" i="5" s="1"/>
  <c r="B556" i="5" s="1"/>
  <c r="K571" i="5" s="1"/>
  <c r="B555" i="5"/>
  <c r="AB7" i="3" s="1"/>
  <c r="B535" i="5"/>
  <c r="B537" i="5" s="1"/>
  <c r="B534" i="5" s="1"/>
  <c r="C548" i="5" s="1"/>
  <c r="B577" i="5"/>
  <c r="AC7" i="3" s="1"/>
  <c r="B513" i="5"/>
  <c r="B515" i="5" s="1"/>
  <c r="B511" i="5"/>
  <c r="Z7" i="3" s="1"/>
  <c r="B491" i="5"/>
  <c r="B493" i="5" s="1"/>
  <c r="B489" i="5"/>
  <c r="Y7" i="3" s="1"/>
  <c r="B469" i="5"/>
  <c r="B471" i="5"/>
  <c r="B467" i="5"/>
  <c r="B468" i="5" s="1"/>
  <c r="D483" i="5" s="1"/>
  <c r="B447" i="5"/>
  <c r="B449" i="5" s="1"/>
  <c r="B445" i="5"/>
  <c r="B533" i="5"/>
  <c r="AA7" i="3" s="1"/>
  <c r="B425" i="5"/>
  <c r="B427" i="5" s="1"/>
  <c r="B423" i="5"/>
  <c r="V7" i="3" s="1"/>
  <c r="B381" i="5"/>
  <c r="B383" i="5" s="1"/>
  <c r="B379" i="5"/>
  <c r="B359" i="5"/>
  <c r="B361" i="5" s="1"/>
  <c r="B315" i="5"/>
  <c r="B317" i="5" s="1"/>
  <c r="B313" i="5"/>
  <c r="Q7" i="3" s="1"/>
  <c r="B337" i="5"/>
  <c r="B339" i="5" s="1"/>
  <c r="B335" i="5"/>
  <c r="R7" i="3"/>
  <c r="B293" i="5"/>
  <c r="B295" i="5" s="1"/>
  <c r="B291" i="5"/>
  <c r="P7" i="3" s="1"/>
  <c r="B271" i="5"/>
  <c r="B273" i="5" s="1"/>
  <c r="B269" i="5"/>
  <c r="O7" i="3" s="1"/>
  <c r="B357" i="5"/>
  <c r="B247" i="5"/>
  <c r="N7" i="3" s="1"/>
  <c r="B225" i="5"/>
  <c r="M7" i="3"/>
  <c r="B227" i="5"/>
  <c r="B229" i="5" s="1"/>
  <c r="B226" i="5" s="1"/>
  <c r="B203" i="5"/>
  <c r="L7" i="3"/>
  <c r="B203" i="1"/>
  <c r="AM7" i="3" s="1"/>
  <c r="B181" i="1"/>
  <c r="AL7" i="3" s="1"/>
  <c r="B159" i="1"/>
  <c r="B137" i="1"/>
  <c r="AJ7" i="3" s="1"/>
  <c r="B115" i="1"/>
  <c r="B93" i="1"/>
  <c r="AH7" i="3" s="1"/>
  <c r="B71" i="1"/>
  <c r="H71" i="1"/>
  <c r="B49" i="1"/>
  <c r="AF7" i="3" s="1"/>
  <c r="B27" i="1"/>
  <c r="AE7" i="3" s="1"/>
  <c r="B5" i="1"/>
  <c r="AD7" i="3" s="1"/>
  <c r="S17" i="1"/>
  <c r="AD12" i="3" s="1"/>
  <c r="S61" i="1"/>
  <c r="AF12" i="3" s="1"/>
  <c r="S83" i="1"/>
  <c r="AG12" i="3" s="1"/>
  <c r="S105" i="1"/>
  <c r="AH12" i="3" s="1"/>
  <c r="S127" i="1"/>
  <c r="AI12" i="3" s="1"/>
  <c r="S193" i="1"/>
  <c r="AL12" i="3" s="1"/>
  <c r="S215" i="1"/>
  <c r="AM12" i="3" s="1"/>
  <c r="D239" i="1"/>
  <c r="F239" i="1" s="1"/>
  <c r="E239" i="1"/>
  <c r="C239" i="1"/>
  <c r="K239" i="1"/>
  <c r="J239" i="1"/>
  <c r="L239" i="1"/>
  <c r="K238" i="1"/>
  <c r="L238" i="1"/>
  <c r="J238" i="1"/>
  <c r="O238" i="1" s="1"/>
  <c r="AN38" i="3" s="1"/>
  <c r="K237" i="1"/>
  <c r="L237" i="1"/>
  <c r="K236" i="1"/>
  <c r="L236" i="1"/>
  <c r="D237" i="1"/>
  <c r="E237" i="1"/>
  <c r="D236" i="1"/>
  <c r="E236" i="1"/>
  <c r="F236" i="1" s="1"/>
  <c r="AN45" i="3" s="1"/>
  <c r="D238" i="1"/>
  <c r="E238" i="1"/>
  <c r="C238" i="1"/>
  <c r="F238" i="1" s="1"/>
  <c r="AN37" i="3" s="1"/>
  <c r="J237" i="1"/>
  <c r="C237" i="1"/>
  <c r="F237" i="1" s="1"/>
  <c r="AN49" i="3" s="1"/>
  <c r="O235" i="1"/>
  <c r="F235" i="1"/>
  <c r="O234" i="1"/>
  <c r="F234" i="1"/>
  <c r="K217" i="1"/>
  <c r="L217" i="1"/>
  <c r="J217" i="1"/>
  <c r="K216" i="1"/>
  <c r="L216" i="1"/>
  <c r="J216" i="1"/>
  <c r="D217" i="1"/>
  <c r="F217" i="1" s="1"/>
  <c r="E217" i="1"/>
  <c r="C217" i="1"/>
  <c r="D216" i="1"/>
  <c r="E216" i="1"/>
  <c r="D215" i="1"/>
  <c r="F215" i="1" s="1"/>
  <c r="AM49" i="3" s="1"/>
  <c r="E215" i="1"/>
  <c r="C215" i="1"/>
  <c r="D214" i="1"/>
  <c r="K215" i="1"/>
  <c r="L215" i="1"/>
  <c r="J215" i="1"/>
  <c r="K214" i="1"/>
  <c r="J214" i="1"/>
  <c r="L214" i="1"/>
  <c r="O213" i="1"/>
  <c r="F213" i="1"/>
  <c r="O212" i="1"/>
  <c r="F212" i="1"/>
  <c r="K195" i="1"/>
  <c r="J195" i="1"/>
  <c r="L195" i="1"/>
  <c r="K194" i="1"/>
  <c r="L194" i="1"/>
  <c r="K193" i="1"/>
  <c r="L193" i="1"/>
  <c r="J193" i="1"/>
  <c r="K192" i="1"/>
  <c r="L192" i="1"/>
  <c r="O191" i="1"/>
  <c r="F191" i="1"/>
  <c r="O190" i="1"/>
  <c r="F190" i="1"/>
  <c r="K173" i="1"/>
  <c r="L173" i="1"/>
  <c r="J173" i="1"/>
  <c r="O173" i="1" s="1"/>
  <c r="K172" i="1"/>
  <c r="L172" i="1"/>
  <c r="J172" i="1"/>
  <c r="D173" i="1"/>
  <c r="E173" i="1"/>
  <c r="F173" i="1" s="1"/>
  <c r="D172" i="1"/>
  <c r="E172" i="1"/>
  <c r="C172" i="1"/>
  <c r="K171" i="1"/>
  <c r="L171" i="1"/>
  <c r="J171" i="1"/>
  <c r="K170" i="1"/>
  <c r="J170" i="1"/>
  <c r="L170" i="1"/>
  <c r="D171" i="1"/>
  <c r="E171" i="1"/>
  <c r="C171" i="1"/>
  <c r="D170" i="1"/>
  <c r="F170" i="1" s="1"/>
  <c r="AK45" i="3" s="1"/>
  <c r="E170" i="1"/>
  <c r="O169" i="1"/>
  <c r="F169" i="1"/>
  <c r="O168" i="1"/>
  <c r="F168" i="1"/>
  <c r="K151" i="1"/>
  <c r="L151" i="1"/>
  <c r="J151" i="1"/>
  <c r="K150" i="1"/>
  <c r="L150" i="1"/>
  <c r="J150" i="1"/>
  <c r="D151" i="1"/>
  <c r="E151" i="1"/>
  <c r="C151" i="1"/>
  <c r="D128" i="1"/>
  <c r="D150" i="1"/>
  <c r="E150" i="1"/>
  <c r="C128" i="1"/>
  <c r="K149" i="1"/>
  <c r="L149" i="1"/>
  <c r="J149" i="1"/>
  <c r="K148" i="1"/>
  <c r="J148" i="1"/>
  <c r="L148" i="1"/>
  <c r="D149" i="1"/>
  <c r="C149" i="1"/>
  <c r="E149" i="1"/>
  <c r="E148" i="1"/>
  <c r="D148" i="1"/>
  <c r="C148" i="1"/>
  <c r="O147" i="1"/>
  <c r="F147" i="1"/>
  <c r="O146" i="1"/>
  <c r="F146" i="1"/>
  <c r="J128" i="1"/>
  <c r="K128" i="1"/>
  <c r="L128" i="1"/>
  <c r="J129" i="1"/>
  <c r="K129" i="1"/>
  <c r="L129" i="1"/>
  <c r="E128" i="1"/>
  <c r="C129" i="1"/>
  <c r="D129" i="1"/>
  <c r="E129" i="1"/>
  <c r="J106" i="1"/>
  <c r="K106" i="1"/>
  <c r="L106" i="1"/>
  <c r="J107" i="1"/>
  <c r="O107" i="1" s="1"/>
  <c r="K107" i="1"/>
  <c r="L107" i="1"/>
  <c r="C106" i="1"/>
  <c r="D106" i="1"/>
  <c r="E106" i="1"/>
  <c r="C107" i="1"/>
  <c r="D107" i="1"/>
  <c r="E107" i="1"/>
  <c r="J84" i="1"/>
  <c r="K84" i="1"/>
  <c r="L84" i="1"/>
  <c r="J85" i="1"/>
  <c r="K85" i="1"/>
  <c r="L85" i="1"/>
  <c r="C84" i="1"/>
  <c r="D84" i="1"/>
  <c r="E84" i="1"/>
  <c r="C85" i="1"/>
  <c r="D85" i="1"/>
  <c r="E85" i="1"/>
  <c r="J62" i="1"/>
  <c r="K62" i="1"/>
  <c r="L62" i="1"/>
  <c r="J63" i="1"/>
  <c r="K63" i="1"/>
  <c r="L63" i="1"/>
  <c r="C62" i="1"/>
  <c r="D62" i="1"/>
  <c r="E62" i="1"/>
  <c r="C63" i="1"/>
  <c r="D63" i="1"/>
  <c r="E63" i="1"/>
  <c r="J40" i="1"/>
  <c r="K40" i="1"/>
  <c r="L40" i="1"/>
  <c r="J41" i="1"/>
  <c r="K41" i="1"/>
  <c r="L41" i="1"/>
  <c r="C41" i="1"/>
  <c r="D41" i="1"/>
  <c r="E41" i="1"/>
  <c r="C40" i="1"/>
  <c r="D40" i="1"/>
  <c r="E40" i="1"/>
  <c r="J19" i="1"/>
  <c r="K19" i="1"/>
  <c r="L19" i="1"/>
  <c r="J18" i="1"/>
  <c r="K18" i="1"/>
  <c r="L18" i="1"/>
  <c r="C19" i="1"/>
  <c r="F19" i="1" s="1"/>
  <c r="D19" i="1"/>
  <c r="E19" i="1"/>
  <c r="C18" i="1"/>
  <c r="D18" i="1"/>
  <c r="E18" i="1"/>
  <c r="L127" i="1"/>
  <c r="L126" i="1"/>
  <c r="K127" i="1"/>
  <c r="K126" i="1"/>
  <c r="J127" i="1"/>
  <c r="J126" i="1"/>
  <c r="O125" i="1"/>
  <c r="O124" i="1"/>
  <c r="E127" i="1"/>
  <c r="E126" i="1"/>
  <c r="D127" i="1"/>
  <c r="F127" i="1" s="1"/>
  <c r="AI49" i="3" s="1"/>
  <c r="D126" i="1"/>
  <c r="C127" i="1"/>
  <c r="C126" i="1"/>
  <c r="F125" i="1"/>
  <c r="F124" i="1"/>
  <c r="L105" i="1"/>
  <c r="L104" i="1"/>
  <c r="K105" i="1"/>
  <c r="K104" i="1"/>
  <c r="J105" i="1"/>
  <c r="J104" i="1"/>
  <c r="O103" i="1"/>
  <c r="O102" i="1"/>
  <c r="E105" i="1"/>
  <c r="E104" i="1"/>
  <c r="D105" i="1"/>
  <c r="F105" i="1" s="1"/>
  <c r="AH49" i="3" s="1"/>
  <c r="D104" i="1"/>
  <c r="C105" i="1"/>
  <c r="C104" i="1"/>
  <c r="F103" i="1"/>
  <c r="F102" i="1"/>
  <c r="L83" i="1"/>
  <c r="L82" i="1"/>
  <c r="K82" i="1"/>
  <c r="K83" i="1"/>
  <c r="J83" i="1"/>
  <c r="J82" i="1"/>
  <c r="O82" i="1" s="1"/>
  <c r="AG46" i="3" s="1"/>
  <c r="O81" i="1"/>
  <c r="O80" i="1"/>
  <c r="E83" i="1"/>
  <c r="E82" i="1"/>
  <c r="D83" i="1"/>
  <c r="F83" i="1" s="1"/>
  <c r="AG49" i="3" s="1"/>
  <c r="D82" i="1"/>
  <c r="C83" i="1"/>
  <c r="C82" i="1"/>
  <c r="F81" i="1"/>
  <c r="F80" i="1"/>
  <c r="O59" i="1"/>
  <c r="O58" i="1"/>
  <c r="L61" i="1"/>
  <c r="L60" i="1"/>
  <c r="K61" i="1"/>
  <c r="K60" i="1"/>
  <c r="J60" i="1"/>
  <c r="J61" i="1"/>
  <c r="O61" i="1" s="1"/>
  <c r="AF50" i="3" s="1"/>
  <c r="F59" i="1"/>
  <c r="F58" i="1"/>
  <c r="E61" i="1"/>
  <c r="E60" i="1"/>
  <c r="D61" i="1"/>
  <c r="C61" i="1"/>
  <c r="D60" i="1"/>
  <c r="C60" i="1"/>
  <c r="F60" i="1" s="1"/>
  <c r="AF45" i="3" s="1"/>
  <c r="L39" i="1"/>
  <c r="L38" i="1"/>
  <c r="K39" i="1"/>
  <c r="K38" i="1"/>
  <c r="J39" i="1"/>
  <c r="J38" i="1"/>
  <c r="O38" i="1" s="1"/>
  <c r="AE46" i="3" s="1"/>
  <c r="O37" i="1"/>
  <c r="O36" i="1"/>
  <c r="F37" i="1"/>
  <c r="F36" i="1"/>
  <c r="E39" i="1"/>
  <c r="F39" i="1" s="1"/>
  <c r="AE49" i="3" s="1"/>
  <c r="E38" i="1"/>
  <c r="D39" i="1"/>
  <c r="C39" i="1"/>
  <c r="C16" i="1"/>
  <c r="D16" i="1"/>
  <c r="E16" i="1"/>
  <c r="C17" i="1"/>
  <c r="D17" i="1"/>
  <c r="E17" i="1"/>
  <c r="O15" i="1"/>
  <c r="J16" i="1"/>
  <c r="K16" i="1"/>
  <c r="L16" i="1"/>
  <c r="J17" i="1"/>
  <c r="K17" i="1"/>
  <c r="L17" i="1"/>
  <c r="O14" i="1"/>
  <c r="F15" i="1"/>
  <c r="F14" i="1"/>
  <c r="AM8" i="3"/>
  <c r="AL8" i="3"/>
  <c r="AK8" i="3"/>
  <c r="AJ8" i="3"/>
  <c r="AI8" i="3"/>
  <c r="AH8" i="3"/>
  <c r="AG8" i="3"/>
  <c r="AF8" i="3"/>
  <c r="AE8" i="3"/>
  <c r="F12" i="4"/>
  <c r="G12" i="4"/>
  <c r="F28" i="4"/>
  <c r="H59" i="4"/>
  <c r="G59" i="4"/>
  <c r="F59" i="4"/>
  <c r="F27" i="4"/>
  <c r="H57" i="4"/>
  <c r="H41" i="4"/>
  <c r="G41" i="4"/>
  <c r="H17" i="4"/>
  <c r="F17" i="4"/>
  <c r="G17" i="4"/>
  <c r="G61" i="4"/>
  <c r="G55" i="4"/>
  <c r="H39" i="4"/>
  <c r="G39" i="4"/>
  <c r="F39" i="4"/>
  <c r="F20" i="4"/>
  <c r="G36" i="4"/>
  <c r="F36" i="4"/>
  <c r="G20" i="4"/>
  <c r="H8" i="4"/>
  <c r="G31" i="4"/>
  <c r="H31" i="4"/>
  <c r="G47" i="4"/>
  <c r="H47" i="4"/>
  <c r="F15" i="4"/>
  <c r="G15" i="4"/>
  <c r="B560" i="1"/>
  <c r="M560" i="1" s="1"/>
  <c r="BB7" i="3" s="1"/>
  <c r="BB26" i="3" s="1"/>
  <c r="BB34" i="3" s="1"/>
  <c r="M534" i="1"/>
  <c r="M460" i="1"/>
  <c r="B512" i="1"/>
  <c r="B487" i="1"/>
  <c r="H52" i="4"/>
  <c r="L523" i="5"/>
  <c r="Z50" i="3" s="1"/>
  <c r="F260" i="5"/>
  <c r="N37" i="3" s="1"/>
  <c r="F524" i="5"/>
  <c r="Z37" i="3" s="1"/>
  <c r="F547" i="5"/>
  <c r="AA41" i="3" s="1"/>
  <c r="F588" i="5"/>
  <c r="AC45" i="3" s="1"/>
  <c r="L547" i="5"/>
  <c r="AA42" i="3" s="1"/>
  <c r="H13" i="4"/>
  <c r="H24" i="4"/>
  <c r="F436" i="5"/>
  <c r="V37" i="3" s="1"/>
  <c r="F35" i="4"/>
  <c r="G35" i="4"/>
  <c r="H28" i="4"/>
  <c r="F32" i="4"/>
  <c r="F29" i="4"/>
  <c r="L569" i="5"/>
  <c r="AB42" i="3" s="1"/>
  <c r="F43" i="4"/>
  <c r="G43" i="4"/>
  <c r="F58" i="4"/>
  <c r="G3" i="4"/>
  <c r="H3" i="4"/>
  <c r="F54" i="4"/>
  <c r="H61" i="4"/>
  <c r="H48" i="4"/>
  <c r="O306" i="1"/>
  <c r="F302" i="1"/>
  <c r="AQ45" i="3" s="1"/>
  <c r="O285" i="1"/>
  <c r="F371" i="5"/>
  <c r="S41" i="3" s="1"/>
  <c r="F412" i="5"/>
  <c r="U45" i="3" s="1"/>
  <c r="F14" i="4"/>
  <c r="F348" i="5"/>
  <c r="R37" i="3" s="1"/>
  <c r="H34" i="4"/>
  <c r="G62" i="4"/>
  <c r="O374" i="1"/>
  <c r="AT46" i="3" s="1"/>
  <c r="H32" i="4"/>
  <c r="G34" i="4"/>
  <c r="F46" i="4"/>
  <c r="G29" i="4"/>
  <c r="F377" i="1"/>
  <c r="AT41" i="3" s="1"/>
  <c r="O262" i="1"/>
  <c r="O71" i="1"/>
  <c r="O70" i="1" s="1"/>
  <c r="M485" i="1"/>
  <c r="M558" i="1"/>
  <c r="F262" i="1"/>
  <c r="F285" i="1"/>
  <c r="F376" i="1"/>
  <c r="AT37" i="3" s="1"/>
  <c r="F451" i="1"/>
  <c r="AW37" i="3" s="1"/>
  <c r="F281" i="1"/>
  <c r="AP49" i="3" s="1"/>
  <c r="O326" i="1"/>
  <c r="AR46" i="3" s="1"/>
  <c r="F400" i="1"/>
  <c r="AU49" i="3" s="1"/>
  <c r="H26" i="4"/>
  <c r="H14" i="4"/>
  <c r="F48" i="4"/>
  <c r="AU7" i="3"/>
  <c r="AY7" i="3"/>
  <c r="G49" i="4"/>
  <c r="O129" i="1"/>
  <c r="G26" i="4"/>
  <c r="H27" i="4"/>
  <c r="F49" i="4"/>
  <c r="AG7" i="3"/>
  <c r="F456" i="5"/>
  <c r="W45" i="3" s="1"/>
  <c r="F5" i="4"/>
  <c r="G24" i="4"/>
  <c r="AX7" i="3"/>
  <c r="L434" i="5"/>
  <c r="V46" i="3" s="1"/>
  <c r="H10" i="4"/>
  <c r="F280" i="5"/>
  <c r="O45" i="3" s="1"/>
  <c r="G54" i="4"/>
  <c r="G5" i="4"/>
  <c r="F544" i="5"/>
  <c r="AA45" i="3" s="1"/>
  <c r="H4" i="4"/>
  <c r="F4" i="4"/>
  <c r="F260" i="1"/>
  <c r="AO37" i="3" s="1"/>
  <c r="F283" i="1"/>
  <c r="AP41" i="3" s="1"/>
  <c r="AP43" i="3" s="1"/>
  <c r="F62" i="4"/>
  <c r="G4" i="4"/>
  <c r="L426" i="1"/>
  <c r="F474" i="1"/>
  <c r="AX45" i="3" s="1"/>
  <c r="B536" i="1"/>
  <c r="B537" i="1" s="1"/>
  <c r="F52" i="4"/>
  <c r="H50" i="4"/>
  <c r="H21" i="4"/>
  <c r="K426" i="1"/>
  <c r="H40" i="4"/>
  <c r="J426" i="1"/>
  <c r="F50" i="4"/>
  <c r="F21" i="4"/>
  <c r="M424" i="1"/>
  <c r="O477" i="1"/>
  <c r="AX42" i="3"/>
  <c r="AX43" i="3" s="1"/>
  <c r="L424" i="1"/>
  <c r="G40" i="4"/>
  <c r="G10" i="4"/>
  <c r="O399" i="1"/>
  <c r="AU46" i="3" s="1"/>
  <c r="AK7" i="3"/>
  <c r="C379" i="1"/>
  <c r="L379" i="1"/>
  <c r="K599" i="1"/>
  <c r="BC43" i="3" s="1"/>
  <c r="F549" i="1"/>
  <c r="BA49" i="3" s="1"/>
  <c r="O573" i="1"/>
  <c r="BB50" i="3" s="1"/>
  <c r="AY55" i="3"/>
  <c r="AX55" i="3"/>
  <c r="J240" i="5"/>
  <c r="J241" i="5"/>
  <c r="O2353" i="1"/>
  <c r="DW42" i="3" s="1"/>
  <c r="O502" i="1"/>
  <c r="AY42" i="3" s="1"/>
  <c r="DK16" i="3"/>
  <c r="BE72" i="3"/>
  <c r="BF72" i="3"/>
  <c r="BD72" i="3"/>
  <c r="AV15" i="3"/>
  <c r="M426" i="1"/>
  <c r="B412" i="1"/>
  <c r="F424" i="1"/>
  <c r="AV45" i="3" s="1"/>
  <c r="O1298" i="1"/>
  <c r="CE42" i="3" s="1"/>
  <c r="J424" i="1"/>
  <c r="K424" i="1"/>
  <c r="F258" i="1"/>
  <c r="F351" i="1"/>
  <c r="AS49" i="3" s="1"/>
  <c r="F353" i="1"/>
  <c r="AS41" i="3" s="1"/>
  <c r="K699" i="1"/>
  <c r="BG51" i="3" s="1"/>
  <c r="BG61" i="3" s="1"/>
  <c r="BG65" i="3" s="1"/>
  <c r="M991" i="1"/>
  <c r="DJ7" i="3"/>
  <c r="M2026" i="1"/>
  <c r="DM7" i="3"/>
  <c r="M2098" i="1"/>
  <c r="O41" i="1"/>
  <c r="O62" i="1"/>
  <c r="O194" i="1"/>
  <c r="AM20" i="3"/>
  <c r="F500" i="1"/>
  <c r="AY49" i="3" s="1"/>
  <c r="H1344" i="1"/>
  <c r="CG49" i="3" s="1"/>
  <c r="O1847" i="1"/>
  <c r="DB50" i="3" s="1"/>
  <c r="F327" i="1"/>
  <c r="AR49" i="3" s="1"/>
  <c r="F195" i="1"/>
  <c r="O303" i="1"/>
  <c r="AQ50" i="3" s="1"/>
  <c r="AQ20" i="3"/>
  <c r="O352" i="1"/>
  <c r="AS38" i="3" s="1"/>
  <c r="F374" i="1"/>
  <c r="AT45" i="3" s="1"/>
  <c r="M764" i="1"/>
  <c r="BJ7" i="3" s="1"/>
  <c r="BJ26" i="3" s="1"/>
  <c r="K800" i="1"/>
  <c r="BK51" i="3" s="1"/>
  <c r="K855" i="1"/>
  <c r="BM43" i="3" s="1"/>
  <c r="M891" i="1"/>
  <c r="K1128" i="1"/>
  <c r="BX51" i="3" s="1"/>
  <c r="B1451" i="1"/>
  <c r="O2089" i="1"/>
  <c r="DL42" i="3" s="1"/>
  <c r="O2112" i="1"/>
  <c r="DM38" i="3" s="1"/>
  <c r="H2232" i="1"/>
  <c r="DR37" i="3" s="1"/>
  <c r="CX76" i="3"/>
  <c r="CM16" i="3"/>
  <c r="CH22" i="3"/>
  <c r="CH47" i="3"/>
  <c r="CH60" i="3" s="1"/>
  <c r="CH64" i="3" s="1"/>
  <c r="BX22" i="3"/>
  <c r="M2386" i="1"/>
  <c r="CW76" i="3"/>
  <c r="CZ76" i="3"/>
  <c r="AJ76" i="3"/>
  <c r="AE76" i="3"/>
  <c r="AI76" i="3"/>
  <c r="AF76" i="3"/>
  <c r="BQ26" i="3"/>
  <c r="M1450" i="1"/>
  <c r="CL7" i="3" s="1"/>
  <c r="O2041" i="1"/>
  <c r="DJ42" i="3" s="1"/>
  <c r="O2328" i="1"/>
  <c r="DV38" i="3" s="1"/>
  <c r="DR76" i="3"/>
  <c r="DO20" i="3"/>
  <c r="CU16" i="3"/>
  <c r="BR27" i="3"/>
  <c r="BR56" i="3" s="1"/>
  <c r="BM6" i="3"/>
  <c r="AX16" i="3"/>
  <c r="AF20" i="3"/>
  <c r="O1800" i="1"/>
  <c r="CZ38" i="3" s="1"/>
  <c r="H1823" i="1"/>
  <c r="DA49" i="3" s="1"/>
  <c r="H2017" i="1"/>
  <c r="DI41" i="3" s="1"/>
  <c r="B2051" i="1"/>
  <c r="N2066" i="1" s="1"/>
  <c r="O2183" i="1"/>
  <c r="DP50" i="3" s="1"/>
  <c r="CB27" i="3"/>
  <c r="CB56" i="3" s="1"/>
  <c r="BW22" i="3"/>
  <c r="BT27" i="3"/>
  <c r="BT56" i="3" s="1"/>
  <c r="BP22" i="3"/>
  <c r="BP23" i="3" s="1"/>
  <c r="BP24" i="3" s="1"/>
  <c r="AY16" i="3"/>
  <c r="AV20" i="3"/>
  <c r="AN16" i="3"/>
  <c r="O2281" i="1"/>
  <c r="DT42" i="3" s="1"/>
  <c r="O2424" i="1"/>
  <c r="DZ38" i="3" s="1"/>
  <c r="BF68" i="3"/>
  <c r="CY76" i="3"/>
  <c r="CV55" i="3"/>
  <c r="DP16" i="3"/>
  <c r="CU20" i="3"/>
  <c r="BB16" i="3"/>
  <c r="DF76" i="3"/>
  <c r="E16" i="3"/>
  <c r="DG16" i="3"/>
  <c r="CC22" i="3"/>
  <c r="CC23" i="3" s="1"/>
  <c r="CC24" i="3" s="1"/>
  <c r="AI16" i="3"/>
  <c r="CX16" i="3"/>
  <c r="CB26" i="3"/>
  <c r="CB33" i="3" s="1"/>
  <c r="AO55" i="3"/>
  <c r="Z20" i="3"/>
  <c r="CR76" i="3"/>
  <c r="CQ55" i="3"/>
  <c r="AN55" i="3"/>
  <c r="CR16" i="3"/>
  <c r="CO20" i="3"/>
  <c r="CB22" i="3"/>
  <c r="CB23" i="3" s="1"/>
  <c r="D16" i="3"/>
  <c r="AO20" i="3"/>
  <c r="BE27" i="3"/>
  <c r="BE56" i="3" s="1"/>
  <c r="DF16" i="3"/>
  <c r="CS76" i="3"/>
  <c r="CQ76" i="3"/>
  <c r="CT16" i="3"/>
  <c r="CE16" i="3"/>
  <c r="AD16" i="3"/>
  <c r="F20" i="3"/>
  <c r="CT76" i="3"/>
  <c r="CU76" i="3"/>
  <c r="CN20" i="3"/>
  <c r="H1511" i="1"/>
  <c r="CN49" i="3" s="1"/>
  <c r="BC22" i="3"/>
  <c r="BC23" i="3" s="1"/>
  <c r="BC24" i="3" s="1"/>
  <c r="AG16" i="3"/>
  <c r="CV76" i="3"/>
  <c r="EI76" i="3"/>
  <c r="BU23" i="3"/>
  <c r="O16" i="3"/>
  <c r="I16" i="3"/>
  <c r="CD22" i="3"/>
  <c r="CD23" i="3" s="1"/>
  <c r="CD24" i="3" s="1"/>
  <c r="H60" i="4"/>
  <c r="G60" i="4"/>
  <c r="E378" i="1"/>
  <c r="C378" i="1"/>
  <c r="D379" i="1"/>
  <c r="K379" i="1"/>
  <c r="D378" i="1"/>
  <c r="J379" i="1"/>
  <c r="E379" i="1"/>
  <c r="AT9" i="3"/>
  <c r="J378" i="1"/>
  <c r="K378" i="1"/>
  <c r="L378" i="1"/>
  <c r="BJ27" i="3"/>
  <c r="BJ56" i="3" s="1"/>
  <c r="AP55" i="3"/>
  <c r="F60" i="4"/>
  <c r="H9" i="4"/>
  <c r="G9" i="4"/>
  <c r="F9" i="4"/>
  <c r="DE7" i="3"/>
  <c r="DE26" i="3" s="1"/>
  <c r="M1906" i="1"/>
  <c r="B1907" i="1"/>
  <c r="M1923" i="1" s="1"/>
  <c r="T55" i="3"/>
  <c r="BP55" i="3"/>
  <c r="BP27" i="3"/>
  <c r="BP56" i="3" s="1"/>
  <c r="H37" i="4"/>
  <c r="F37" i="4"/>
  <c r="G37" i="4"/>
  <c r="H22" i="4"/>
  <c r="F22" i="4"/>
  <c r="G22" i="4"/>
  <c r="C549" i="5"/>
  <c r="H51" i="4"/>
  <c r="K1028" i="1"/>
  <c r="BT47" i="3" s="1"/>
  <c r="H33" i="4"/>
  <c r="F33" i="4"/>
  <c r="O1751" i="1"/>
  <c r="CX50" i="3" s="1"/>
  <c r="G33" i="4"/>
  <c r="AI7" i="3"/>
  <c r="M1490" i="1"/>
  <c r="O1319" i="1"/>
  <c r="CF46" i="3" s="1"/>
  <c r="H1968" i="1"/>
  <c r="DG37" i="3" s="1"/>
  <c r="L104" i="5"/>
  <c r="G46" i="3" s="1"/>
  <c r="H2182" i="1"/>
  <c r="DP45" i="3" s="1"/>
  <c r="BM22" i="3"/>
  <c r="BM23" i="3" s="1"/>
  <c r="BM24" i="3" s="1"/>
  <c r="BA16" i="3"/>
  <c r="K906" i="1"/>
  <c r="BO43" i="3" s="1"/>
  <c r="H1726" i="1"/>
  <c r="CW45" i="3" s="1"/>
  <c r="CW47" i="3" s="1"/>
  <c r="CW60" i="3" s="1"/>
  <c r="H1774" i="1"/>
  <c r="CY45" i="3" s="1"/>
  <c r="O1824" i="1"/>
  <c r="DA38" i="3" s="1"/>
  <c r="H1870" i="1"/>
  <c r="DC45" i="3" s="1"/>
  <c r="M1930" i="1"/>
  <c r="F150" i="5"/>
  <c r="I37" i="3" s="1"/>
  <c r="D20" i="3"/>
  <c r="F62" i="5"/>
  <c r="E37" i="3" s="1"/>
  <c r="O2208" i="1"/>
  <c r="DQ38" i="3" s="1"/>
  <c r="DG20" i="3"/>
  <c r="CN16" i="3"/>
  <c r="BV22" i="3"/>
  <c r="BV23" i="3" s="1"/>
  <c r="BV24" i="3" s="1"/>
  <c r="AI20" i="3"/>
  <c r="W20" i="3"/>
  <c r="L20" i="3"/>
  <c r="M2458" i="1"/>
  <c r="M1041" i="1"/>
  <c r="H1295" i="1"/>
  <c r="CE45" i="3" s="1"/>
  <c r="B1883" i="1"/>
  <c r="M1899" i="1" s="1"/>
  <c r="H1681" i="1"/>
  <c r="CU41" i="3" s="1"/>
  <c r="O1966" i="1"/>
  <c r="DG46" i="3" s="1"/>
  <c r="O1968" i="1"/>
  <c r="DG38" i="3" s="1"/>
  <c r="O1991" i="1"/>
  <c r="DH50" i="3" s="1"/>
  <c r="O1993" i="1"/>
  <c r="DH42" i="3" s="1"/>
  <c r="O2014" i="1"/>
  <c r="DI46" i="3" s="1"/>
  <c r="O2016" i="1"/>
  <c r="DI38" i="3" s="1"/>
  <c r="O2039" i="1"/>
  <c r="DJ50" i="3" s="1"/>
  <c r="L19" i="5"/>
  <c r="C42" i="3" s="1"/>
  <c r="AC16" i="3"/>
  <c r="Z16" i="3"/>
  <c r="B2459" i="1"/>
  <c r="EB9" i="3" s="1"/>
  <c r="H1633" i="1"/>
  <c r="CS41" i="3" s="1"/>
  <c r="O1678" i="1"/>
  <c r="CU46" i="3" s="1"/>
  <c r="O1943" i="1"/>
  <c r="DF50" i="3" s="1"/>
  <c r="BU24" i="3"/>
  <c r="L282" i="5"/>
  <c r="O38" i="3" s="1"/>
  <c r="B867" i="1"/>
  <c r="K1005" i="1"/>
  <c r="BS39" i="3" s="1"/>
  <c r="H1345" i="1"/>
  <c r="CG37" i="3" s="1"/>
  <c r="O1393" i="1"/>
  <c r="CI38" i="3" s="1"/>
  <c r="H1463" i="1"/>
  <c r="CL49" i="3" s="1"/>
  <c r="CL20" i="3"/>
  <c r="O1465" i="1"/>
  <c r="CL42" i="3" s="1"/>
  <c r="H1537" i="1"/>
  <c r="CO41" i="3" s="1"/>
  <c r="H1656" i="1"/>
  <c r="CT37" i="3" s="1"/>
  <c r="H1825" i="1"/>
  <c r="DA41" i="3" s="1"/>
  <c r="O2087" i="1"/>
  <c r="DL50" i="3" s="1"/>
  <c r="L61" i="5"/>
  <c r="E50" i="3" s="1"/>
  <c r="L129" i="5"/>
  <c r="H42" i="3" s="1"/>
  <c r="DL20" i="3"/>
  <c r="DA16" i="3"/>
  <c r="CP16" i="3"/>
  <c r="AU16" i="3"/>
  <c r="L16" i="3"/>
  <c r="L22" i="3" s="1"/>
  <c r="L23" i="3" s="1"/>
  <c r="L24" i="3" s="1"/>
  <c r="C20" i="3"/>
  <c r="C72" i="3" s="1"/>
  <c r="B6" i="1"/>
  <c r="K674" i="1"/>
  <c r="BF51" i="3" s="1"/>
  <c r="M712" i="1"/>
  <c r="BH7" i="3" s="1"/>
  <c r="K1053" i="1"/>
  <c r="BU47" i="3" s="1"/>
  <c r="K1199" i="1"/>
  <c r="CA47" i="3" s="1"/>
  <c r="B50" i="5"/>
  <c r="L106" i="5"/>
  <c r="G38" i="3" s="1"/>
  <c r="O2185" i="1"/>
  <c r="DP42" i="3" s="1"/>
  <c r="N20" i="3"/>
  <c r="F16" i="3"/>
  <c r="F26" i="3"/>
  <c r="H1846" i="1"/>
  <c r="DB45" i="3" s="1"/>
  <c r="F148" i="5"/>
  <c r="I45" i="3" s="1"/>
  <c r="O2209" i="1"/>
  <c r="DQ42" i="3" s="1"/>
  <c r="V16" i="3"/>
  <c r="S16" i="3"/>
  <c r="N16" i="3"/>
  <c r="H20" i="3"/>
  <c r="AA43" i="3"/>
  <c r="O19" i="1"/>
  <c r="K647" i="1"/>
  <c r="BE47" i="3" s="1"/>
  <c r="M1016" i="1"/>
  <c r="O1679" i="1"/>
  <c r="CU50" i="3" s="1"/>
  <c r="B1931" i="1"/>
  <c r="B2195" i="1"/>
  <c r="H2256" i="1"/>
  <c r="DS37" i="3" s="1"/>
  <c r="DS39" i="3" s="1"/>
  <c r="AK20" i="3"/>
  <c r="AK22" i="3"/>
  <c r="AK23" i="3" s="1"/>
  <c r="AK24" i="3" s="1"/>
  <c r="P20" i="3"/>
  <c r="K16" i="3"/>
  <c r="K776" i="1"/>
  <c r="BJ47" i="3" s="1"/>
  <c r="BJ60" i="3" s="1"/>
  <c r="BJ64" i="3" s="1"/>
  <c r="B1042" i="1"/>
  <c r="J1057" i="1" s="1"/>
  <c r="O1654" i="1"/>
  <c r="CT46" i="3" s="1"/>
  <c r="L16" i="5"/>
  <c r="C46" i="3"/>
  <c r="B28" i="5"/>
  <c r="DS7" i="3"/>
  <c r="DH20" i="3"/>
  <c r="CT20" i="3"/>
  <c r="CT27" i="3" s="1"/>
  <c r="CT56" i="3" s="1"/>
  <c r="B160" i="1"/>
  <c r="L40" i="5"/>
  <c r="D38" i="3"/>
  <c r="L172" i="5"/>
  <c r="J38" i="3" s="1"/>
  <c r="F172" i="5"/>
  <c r="J37" i="3" s="1"/>
  <c r="J39" i="3" s="1"/>
  <c r="H2353" i="1"/>
  <c r="DW41" i="3" s="1"/>
  <c r="D2280" i="1"/>
  <c r="L239" i="5"/>
  <c r="M42" i="3" s="1"/>
  <c r="M43" i="3" s="1"/>
  <c r="O1441" i="1"/>
  <c r="CK38" i="3" s="1"/>
  <c r="CK39" i="3" s="1"/>
  <c r="H1462" i="1"/>
  <c r="CL45" i="3" s="1"/>
  <c r="M2410" i="1"/>
  <c r="K1247" i="1"/>
  <c r="CC47" i="3" s="1"/>
  <c r="CC60" i="3" s="1"/>
  <c r="M1570" i="1"/>
  <c r="H1703" i="1"/>
  <c r="CV49" i="3" s="1"/>
  <c r="CV51" i="3" s="1"/>
  <c r="O2136" i="1"/>
  <c r="DN38" i="3" s="1"/>
  <c r="B2099" i="1"/>
  <c r="L17" i="5"/>
  <c r="C50" i="3" s="1"/>
  <c r="F173" i="5"/>
  <c r="J41" i="3" s="1"/>
  <c r="DE20" i="3"/>
  <c r="DB20" i="3"/>
  <c r="CK20" i="3"/>
  <c r="AJ16" i="3"/>
  <c r="M404" i="1"/>
  <c r="E404" i="1"/>
  <c r="K403" i="1"/>
  <c r="C404" i="1"/>
  <c r="J403" i="1"/>
  <c r="L404" i="1"/>
  <c r="AU9" i="3"/>
  <c r="E403" i="1"/>
  <c r="D403" i="1"/>
  <c r="C403" i="1"/>
  <c r="D404" i="1"/>
  <c r="K404" i="1"/>
  <c r="L403" i="1"/>
  <c r="J404" i="1"/>
  <c r="M403" i="1"/>
  <c r="J482" i="5"/>
  <c r="K483" i="5"/>
  <c r="C483" i="5"/>
  <c r="F483" i="5" s="1"/>
  <c r="E483" i="5"/>
  <c r="C482" i="5"/>
  <c r="I482" i="5"/>
  <c r="L482" i="5" s="1"/>
  <c r="X9" i="3"/>
  <c r="E482" i="5"/>
  <c r="J483" i="5"/>
  <c r="K482" i="5"/>
  <c r="I483" i="5"/>
  <c r="BQ34" i="3"/>
  <c r="BQ33" i="3"/>
  <c r="F8" i="4"/>
  <c r="K1129" i="1"/>
  <c r="BX39" i="3"/>
  <c r="M1187" i="1"/>
  <c r="L390" i="5"/>
  <c r="T46" i="3" s="1"/>
  <c r="B1212" i="1"/>
  <c r="CS7" i="3"/>
  <c r="K726" i="1"/>
  <c r="BH39" i="3" s="1"/>
  <c r="G1898" i="1"/>
  <c r="DG22" i="3"/>
  <c r="DG23" i="3" s="1"/>
  <c r="AN41" i="3"/>
  <c r="K650" i="1"/>
  <c r="BE43" i="3" s="1"/>
  <c r="M1427" i="1"/>
  <c r="CK7" i="3" s="1"/>
  <c r="DD9" i="3"/>
  <c r="D72" i="3"/>
  <c r="K673" i="1"/>
  <c r="BF47" i="3" s="1"/>
  <c r="BF60" i="3" s="1"/>
  <c r="K727" i="1"/>
  <c r="BH43" i="3" s="1"/>
  <c r="B892" i="1"/>
  <c r="M1379" i="1"/>
  <c r="CI7" i="3" s="1"/>
  <c r="D1971" i="1"/>
  <c r="CX22" i="3"/>
  <c r="CX27" i="3"/>
  <c r="CX56" i="3" s="1"/>
  <c r="K799" i="1"/>
  <c r="BK47" i="3" s="1"/>
  <c r="BK60" i="3" s="1"/>
  <c r="K829" i="1"/>
  <c r="BL43" i="3" s="1"/>
  <c r="K978" i="1"/>
  <c r="BR47" i="3" s="1"/>
  <c r="K1152" i="1"/>
  <c r="BY51" i="3" s="1"/>
  <c r="H1298" i="1"/>
  <c r="CE41" i="3" s="1"/>
  <c r="K1367" i="1"/>
  <c r="M1642" i="1"/>
  <c r="CT7" i="3"/>
  <c r="B1787" i="1"/>
  <c r="M1802" i="1" s="1"/>
  <c r="M1786" i="1"/>
  <c r="M635" i="1"/>
  <c r="BE7" i="3"/>
  <c r="BE26" i="3" s="1"/>
  <c r="B739" i="1"/>
  <c r="K880" i="1"/>
  <c r="BN39" i="3" s="1"/>
  <c r="K954" i="1"/>
  <c r="BQ51" i="3" s="1"/>
  <c r="B248" i="5"/>
  <c r="F237" i="5"/>
  <c r="M49" i="3" s="1"/>
  <c r="K622" i="1"/>
  <c r="BD51" i="3" s="1"/>
  <c r="B1260" i="1"/>
  <c r="CI16" i="3"/>
  <c r="D2115" i="1"/>
  <c r="G2115" i="1"/>
  <c r="M2115" i="1"/>
  <c r="L2115" i="1"/>
  <c r="L2114" i="1"/>
  <c r="K2114" i="1"/>
  <c r="K929" i="1"/>
  <c r="BP51" i="3" s="1"/>
  <c r="B1284" i="1"/>
  <c r="O1321" i="1"/>
  <c r="CF38" i="3" s="1"/>
  <c r="CG16" i="3"/>
  <c r="D43" i="5"/>
  <c r="D42" i="5"/>
  <c r="I43" i="5"/>
  <c r="C42" i="5"/>
  <c r="C43" i="5"/>
  <c r="E42" i="5"/>
  <c r="D9" i="3"/>
  <c r="E43" i="5"/>
  <c r="J42" i="5"/>
  <c r="K980" i="1"/>
  <c r="BR39" i="3" s="1"/>
  <c r="B1067" i="1"/>
  <c r="O1873" i="1"/>
  <c r="DC42" i="3" s="1"/>
  <c r="AN39" i="3"/>
  <c r="K676" i="1"/>
  <c r="BF43" i="3" s="1"/>
  <c r="B788" i="1"/>
  <c r="J803" i="1"/>
  <c r="K801" i="1"/>
  <c r="BK39" i="3" s="1"/>
  <c r="DL7" i="3"/>
  <c r="B2075" i="1"/>
  <c r="N2090" i="1" s="1"/>
  <c r="M2074" i="1"/>
  <c r="O1345" i="1"/>
  <c r="CG38" i="3" s="1"/>
  <c r="O1417" i="1"/>
  <c r="CJ38" i="3" s="1"/>
  <c r="CP49" i="3"/>
  <c r="CP51" i="3" s="1"/>
  <c r="F1947" i="1"/>
  <c r="O2160" i="1"/>
  <c r="DO38" i="3" s="1"/>
  <c r="L85" i="5"/>
  <c r="F42" i="3" s="1"/>
  <c r="F194" i="5"/>
  <c r="K37" i="3" s="1"/>
  <c r="CV20" i="3"/>
  <c r="BB20" i="3"/>
  <c r="BB27" i="3" s="1"/>
  <c r="BB56" i="3" s="1"/>
  <c r="AS20" i="3"/>
  <c r="AA16" i="3"/>
  <c r="I20" i="3"/>
  <c r="M2434" i="1"/>
  <c r="E1947" i="1"/>
  <c r="AT55" i="3"/>
  <c r="L148" i="5"/>
  <c r="I46" i="3" s="1"/>
  <c r="H2328" i="1"/>
  <c r="DV37" i="3" s="1"/>
  <c r="DD20" i="3"/>
  <c r="DA20" i="3"/>
  <c r="I22" i="3"/>
  <c r="H2473" i="1"/>
  <c r="EB41" i="3" s="1"/>
  <c r="DF7" i="3"/>
  <c r="BF22" i="3"/>
  <c r="BF23" i="3" s="1"/>
  <c r="AY20" i="3"/>
  <c r="AU20" i="3"/>
  <c r="AU22" i="3" s="1"/>
  <c r="AU23" i="3" s="1"/>
  <c r="AC20" i="3"/>
  <c r="B2363" i="1"/>
  <c r="DX9" i="3" s="1"/>
  <c r="O1442" i="1"/>
  <c r="CK42" i="3" s="1"/>
  <c r="CK43" i="3" s="1"/>
  <c r="H1512" i="1"/>
  <c r="CN37" i="3" s="1"/>
  <c r="F19" i="5"/>
  <c r="C41" i="3" s="1"/>
  <c r="L171" i="5"/>
  <c r="J50" i="3" s="1"/>
  <c r="F170" i="5"/>
  <c r="J45" i="3"/>
  <c r="F84" i="5"/>
  <c r="F37" i="3" s="1"/>
  <c r="DD16" i="3"/>
  <c r="CQ16" i="3"/>
  <c r="CF16" i="3"/>
  <c r="BJ22" i="3"/>
  <c r="BJ23" i="3" s="1"/>
  <c r="BJ24" i="3" s="1"/>
  <c r="AF16" i="3"/>
  <c r="X16" i="3"/>
  <c r="K20" i="3"/>
  <c r="H1729" i="1"/>
  <c r="CW41" i="3" s="1"/>
  <c r="H1822" i="1"/>
  <c r="DA45" i="3" s="1"/>
  <c r="H2233" i="1"/>
  <c r="DR41" i="3"/>
  <c r="H1582" i="1"/>
  <c r="CQ45" i="3" s="1"/>
  <c r="H1777" i="1"/>
  <c r="CY41" i="3" s="1"/>
  <c r="O1799" i="1"/>
  <c r="CZ50" i="3" s="1"/>
  <c r="M2170" i="1"/>
  <c r="CE20" i="3"/>
  <c r="BE22" i="3"/>
  <c r="AE20" i="3"/>
  <c r="G1947" i="1"/>
  <c r="X55" i="3"/>
  <c r="L150" i="5"/>
  <c r="I38" i="3" s="1"/>
  <c r="F129" i="5"/>
  <c r="H41" i="3" s="1"/>
  <c r="H43" i="3" s="1"/>
  <c r="M2338" i="1"/>
  <c r="C16" i="3"/>
  <c r="B2411" i="1"/>
  <c r="O1631" i="1"/>
  <c r="CS50" i="3"/>
  <c r="H1871" i="1"/>
  <c r="DC49" i="3"/>
  <c r="O1921" i="1"/>
  <c r="DE42" i="3" s="1"/>
  <c r="D1947" i="1"/>
  <c r="L60" i="5"/>
  <c r="E46" i="3" s="1"/>
  <c r="L83" i="5"/>
  <c r="F50" i="3" s="1"/>
  <c r="DR55" i="3"/>
  <c r="H2257" i="1"/>
  <c r="DS41" i="3" s="1"/>
  <c r="M2266" i="1"/>
  <c r="CS16" i="3"/>
  <c r="CK16" i="3"/>
  <c r="BL22" i="3"/>
  <c r="BL23" i="3" s="1"/>
  <c r="AH16" i="3"/>
  <c r="AB20" i="3"/>
  <c r="E20" i="3"/>
  <c r="DJ55" i="3"/>
  <c r="L38" i="5"/>
  <c r="D46" i="3" s="1"/>
  <c r="F107" i="5"/>
  <c r="G41" i="3" s="1"/>
  <c r="H2376" i="1"/>
  <c r="DX37" i="3" s="1"/>
  <c r="CU22" i="3"/>
  <c r="M2482" i="1"/>
  <c r="O1416" i="1"/>
  <c r="CJ50" i="3" s="1"/>
  <c r="O1535" i="1"/>
  <c r="CO50" i="3" s="1"/>
  <c r="H1657" i="1"/>
  <c r="CT41" i="3" s="1"/>
  <c r="M2122" i="1"/>
  <c r="O2135" i="1"/>
  <c r="DN50" i="3" s="1"/>
  <c r="H2137" i="1"/>
  <c r="DN41" i="3" s="1"/>
  <c r="DT76" i="3"/>
  <c r="DY76" i="3"/>
  <c r="DC16" i="3"/>
  <c r="AT20" i="3"/>
  <c r="M1858" i="1"/>
  <c r="O1486" i="1"/>
  <c r="CM46" i="3" s="1"/>
  <c r="H1536" i="1"/>
  <c r="CO37" i="3" s="1"/>
  <c r="H1632" i="1"/>
  <c r="CS37" i="3" s="1"/>
  <c r="O1727" i="1"/>
  <c r="CW50" i="3" s="1"/>
  <c r="O2110" i="1"/>
  <c r="DM46" i="3" s="1"/>
  <c r="AT76" i="3"/>
  <c r="DU76" i="3"/>
  <c r="B2243" i="1"/>
  <c r="N2259" i="1" s="1"/>
  <c r="CZ16" i="3"/>
  <c r="CG20" i="3"/>
  <c r="CA22" i="3"/>
  <c r="CA23" i="3" s="1"/>
  <c r="CA24" i="3" s="1"/>
  <c r="BR22" i="3"/>
  <c r="BR23" i="3" s="1"/>
  <c r="BR24" i="3" s="1"/>
  <c r="AG20" i="3"/>
  <c r="T16" i="3"/>
  <c r="O2280" i="1"/>
  <c r="DT38" i="3"/>
  <c r="B2483" i="1"/>
  <c r="B1859" i="1"/>
  <c r="N1875" i="1" s="1"/>
  <c r="O1320" i="1"/>
  <c r="CF50" i="3" s="1"/>
  <c r="H1585" i="1"/>
  <c r="CQ41" i="3" s="1"/>
  <c r="K1947" i="1"/>
  <c r="DS76" i="3"/>
  <c r="CR20" i="3"/>
  <c r="AT16" i="3"/>
  <c r="V20" i="3"/>
  <c r="Q20" i="3"/>
  <c r="G2280" i="1"/>
  <c r="O1607" i="1"/>
  <c r="CR50" i="3" s="1"/>
  <c r="H1655" i="1"/>
  <c r="CT49" i="3" s="1"/>
  <c r="L1947" i="1"/>
  <c r="B182" i="5"/>
  <c r="C197" i="5" s="1"/>
  <c r="F104" i="5"/>
  <c r="G45" i="3" s="1"/>
  <c r="F126" i="5"/>
  <c r="H45" i="3" s="1"/>
  <c r="B160" i="5"/>
  <c r="D174" i="5" s="1"/>
  <c r="M2290" i="1"/>
  <c r="F2280" i="1"/>
  <c r="K1946" i="1"/>
  <c r="O2137" i="1"/>
  <c r="DN42" i="3" s="1"/>
  <c r="DN43" i="3" s="1"/>
  <c r="F39" i="5"/>
  <c r="D49" i="3" s="1"/>
  <c r="F149" i="5"/>
  <c r="I49" i="3"/>
  <c r="H2305" i="1"/>
  <c r="DU41" i="3"/>
  <c r="DI20" i="3"/>
  <c r="CW16" i="3"/>
  <c r="BQ22" i="3"/>
  <c r="BQ23" i="3" s="1"/>
  <c r="BQ24" i="3" s="1"/>
  <c r="BG22" i="3"/>
  <c r="BG23" i="3" s="1"/>
  <c r="AV16" i="3"/>
  <c r="AV22" i="3" s="1"/>
  <c r="AV23" i="3" s="1"/>
  <c r="AV24" i="3" s="1"/>
  <c r="AQ16" i="3"/>
  <c r="S20" i="3"/>
  <c r="E2280" i="1"/>
  <c r="O2497" i="1"/>
  <c r="EC42" i="3" s="1"/>
  <c r="H2496" i="1"/>
  <c r="EC37" i="3" s="1"/>
  <c r="H2497" i="1"/>
  <c r="EC41" i="3" s="1"/>
  <c r="BE60" i="3"/>
  <c r="CD33" i="3"/>
  <c r="CD35" i="3"/>
  <c r="CD34" i="3"/>
  <c r="I804" i="1"/>
  <c r="BR35" i="3"/>
  <c r="D482" i="5"/>
  <c r="BW33" i="3"/>
  <c r="BW34" i="3"/>
  <c r="BW35" i="3"/>
  <c r="J1132" i="1"/>
  <c r="BX9" i="3"/>
  <c r="L216" i="5"/>
  <c r="L38" i="3" s="1"/>
  <c r="BK7" i="3"/>
  <c r="BK26" i="3" s="1"/>
  <c r="M1115" i="1"/>
  <c r="B765" i="1"/>
  <c r="I780" i="1" s="1"/>
  <c r="F1467" i="1"/>
  <c r="D1467" i="1"/>
  <c r="E1467" i="1"/>
  <c r="H1467" i="1" s="1"/>
  <c r="O1466" i="1"/>
  <c r="D1466" i="1"/>
  <c r="E1466" i="1"/>
  <c r="M1467" i="1"/>
  <c r="K1466" i="1"/>
  <c r="L1467" i="1"/>
  <c r="K1467" i="1"/>
  <c r="CL9" i="3"/>
  <c r="M1466" i="1"/>
  <c r="F1466" i="1"/>
  <c r="L1466" i="1"/>
  <c r="J907" i="1"/>
  <c r="H1058" i="1"/>
  <c r="L1300" i="1"/>
  <c r="F1299" i="1"/>
  <c r="M1299" i="1"/>
  <c r="D1299" i="1"/>
  <c r="K1299" i="1"/>
  <c r="M1300" i="1"/>
  <c r="CE9" i="3"/>
  <c r="D1300" i="1"/>
  <c r="M1066" i="1"/>
  <c r="BU9" i="3"/>
  <c r="I1058" i="1"/>
  <c r="I1057" i="1"/>
  <c r="J1058" i="1"/>
  <c r="H1057" i="1"/>
  <c r="J908" i="1"/>
  <c r="B967" i="1"/>
  <c r="CC33" i="3"/>
  <c r="B1380" i="1"/>
  <c r="K1176" i="1"/>
  <c r="BZ51" i="3" s="1"/>
  <c r="M1874" i="1"/>
  <c r="F1874" i="1"/>
  <c r="CQ7" i="3"/>
  <c r="DE9" i="3"/>
  <c r="F1898" i="1"/>
  <c r="G1899" i="1"/>
  <c r="L1899" i="1"/>
  <c r="N1899" i="1"/>
  <c r="E1922" i="1"/>
  <c r="K1898" i="1"/>
  <c r="E1923" i="1"/>
  <c r="K1899" i="1"/>
  <c r="B1715" i="1"/>
  <c r="L1898" i="1"/>
  <c r="M1898" i="1"/>
  <c r="O1898" i="1" s="1"/>
  <c r="M1714" i="1"/>
  <c r="E64" i="5"/>
  <c r="D65" i="5"/>
  <c r="K65" i="5"/>
  <c r="I65" i="5"/>
  <c r="E65" i="5"/>
  <c r="J64" i="5"/>
  <c r="C65" i="5"/>
  <c r="I64" i="5"/>
  <c r="F2211" i="1"/>
  <c r="L2211" i="1"/>
  <c r="DQ9" i="3"/>
  <c r="K2211" i="1"/>
  <c r="N2210" i="1"/>
  <c r="L2210" i="1"/>
  <c r="E2211" i="1"/>
  <c r="D2210" i="1"/>
  <c r="M2211" i="1"/>
  <c r="M1947" i="1"/>
  <c r="G2067" i="1"/>
  <c r="M1946" i="1"/>
  <c r="N1946" i="1"/>
  <c r="DF9" i="3"/>
  <c r="H2065" i="1"/>
  <c r="DK41" i="3" s="1"/>
  <c r="H2086" i="1"/>
  <c r="DL45" i="3" s="1"/>
  <c r="H2088" i="1"/>
  <c r="DL37" i="3"/>
  <c r="N2187" i="1"/>
  <c r="DP9" i="3"/>
  <c r="E2186" i="1"/>
  <c r="D2187" i="1"/>
  <c r="E2187" i="1"/>
  <c r="K2187" i="1"/>
  <c r="F2187" i="1"/>
  <c r="L2187" i="1"/>
  <c r="G2186" i="1"/>
  <c r="G2187" i="1"/>
  <c r="L2186" i="1"/>
  <c r="M2186" i="1"/>
  <c r="K2186" i="1"/>
  <c r="M2187" i="1"/>
  <c r="D2186" i="1"/>
  <c r="D1946" i="1"/>
  <c r="H1991" i="1"/>
  <c r="DH49" i="3" s="1"/>
  <c r="H1993" i="1"/>
  <c r="DH41" i="3" s="1"/>
  <c r="K2066" i="1"/>
  <c r="I21" i="5"/>
  <c r="D20" i="5"/>
  <c r="G2066" i="1"/>
  <c r="N2115" i="1"/>
  <c r="G1946" i="1"/>
  <c r="H2039" i="1"/>
  <c r="DJ49" i="3" s="1"/>
  <c r="H2062" i="1"/>
  <c r="DK45" i="3" s="1"/>
  <c r="F1946" i="1"/>
  <c r="O1945" i="1"/>
  <c r="DF42" i="3" s="1"/>
  <c r="I196" i="5"/>
  <c r="K196" i="5"/>
  <c r="L196" i="5" s="1"/>
  <c r="K197" i="5"/>
  <c r="J196" i="5"/>
  <c r="C196" i="5"/>
  <c r="E196" i="5"/>
  <c r="D196" i="5"/>
  <c r="K9" i="3"/>
  <c r="C175" i="5"/>
  <c r="I175" i="5"/>
  <c r="E2259" i="1"/>
  <c r="D2259" i="1"/>
  <c r="DS9" i="3"/>
  <c r="F2259" i="1"/>
  <c r="L2259" i="1"/>
  <c r="N2258" i="1"/>
  <c r="O2257" i="1"/>
  <c r="DS42" i="3" s="1"/>
  <c r="CV22" i="3"/>
  <c r="CV23" i="3" s="1"/>
  <c r="CV24" i="3" s="1"/>
  <c r="CQ20" i="3"/>
  <c r="F85" i="5"/>
  <c r="F41" i="3" s="1"/>
  <c r="E2379" i="1"/>
  <c r="G2379" i="1"/>
  <c r="M2378" i="1"/>
  <c r="L2378" i="1"/>
  <c r="E2378" i="1"/>
  <c r="H2378" i="1" s="1"/>
  <c r="DX29" i="3" s="1"/>
  <c r="G2378" i="1"/>
  <c r="D2378" i="1"/>
  <c r="K2379" i="1"/>
  <c r="F2378" i="1"/>
  <c r="L2379" i="1"/>
  <c r="N2378" i="1"/>
  <c r="K2283" i="1"/>
  <c r="N2282" i="1"/>
  <c r="BT22" i="3"/>
  <c r="BT23" i="3" s="1"/>
  <c r="BT24" i="3" s="1"/>
  <c r="B94" i="5"/>
  <c r="L151" i="5"/>
  <c r="I42" i="3"/>
  <c r="H2184" i="1"/>
  <c r="DP37" i="3" s="1"/>
  <c r="L2258" i="1"/>
  <c r="H22" i="3"/>
  <c r="H23" i="3" s="1"/>
  <c r="H24" i="3" s="1"/>
  <c r="K42" i="5"/>
  <c r="F127" i="5"/>
  <c r="H49" i="3" s="1"/>
  <c r="K43" i="5"/>
  <c r="J43" i="5"/>
  <c r="I42" i="5"/>
  <c r="O2182" i="1"/>
  <c r="DP46" i="3" s="1"/>
  <c r="O2184" i="1"/>
  <c r="DP38" i="3" s="1"/>
  <c r="E2258" i="1"/>
  <c r="BW23" i="3"/>
  <c r="BW24" i="3" s="1"/>
  <c r="O2304" i="1"/>
  <c r="DU38" i="3" s="1"/>
  <c r="O2352" i="1"/>
  <c r="DW38" i="3" s="1"/>
  <c r="CY20" i="3"/>
  <c r="BH22" i="3"/>
  <c r="BH23" i="3" s="1"/>
  <c r="BH24" i="3" s="1"/>
  <c r="DW76" i="3"/>
  <c r="DV76" i="3"/>
  <c r="O2377" i="1"/>
  <c r="DX42" i="3" s="1"/>
  <c r="O2399" i="1"/>
  <c r="O2401" i="1"/>
  <c r="B2387" i="1"/>
  <c r="K2403" i="1" s="1"/>
  <c r="EB76" i="3"/>
  <c r="EC55" i="3"/>
  <c r="EA76" i="3"/>
  <c r="O2496" i="1"/>
  <c r="EC38" i="3" s="1"/>
  <c r="DZ76" i="3"/>
  <c r="ED76" i="3"/>
  <c r="EC76" i="3"/>
  <c r="EF76" i="3"/>
  <c r="EG76" i="3"/>
  <c r="EH76" i="3"/>
  <c r="DX76" i="3"/>
  <c r="O2473" i="1"/>
  <c r="EB42" i="3" s="1"/>
  <c r="O2449" i="1"/>
  <c r="EA42" i="3" s="1"/>
  <c r="H2449" i="1"/>
  <c r="EA41" i="3" s="1"/>
  <c r="H2448" i="1"/>
  <c r="EA37" i="3" s="1"/>
  <c r="O2425" i="1"/>
  <c r="DZ42" i="3" s="1"/>
  <c r="H2425" i="1"/>
  <c r="DZ41" i="3" s="1"/>
  <c r="O2400" i="1"/>
  <c r="O2398" i="1"/>
  <c r="G2403" i="1"/>
  <c r="H2401" i="1"/>
  <c r="DY41" i="3" s="1"/>
  <c r="DY43" i="3" s="1"/>
  <c r="O2376" i="1"/>
  <c r="DX38" i="3" s="1"/>
  <c r="K2498" i="1"/>
  <c r="N2499" i="1"/>
  <c r="F2499" i="1"/>
  <c r="O2472" i="1"/>
  <c r="EB38" i="3" s="1"/>
  <c r="E2475" i="1"/>
  <c r="K2474" i="1"/>
  <c r="D2475" i="1"/>
  <c r="M2475" i="1"/>
  <c r="D2474" i="1"/>
  <c r="M2474" i="1"/>
  <c r="E2474" i="1"/>
  <c r="K2475" i="1"/>
  <c r="G2474" i="1"/>
  <c r="F2475" i="1"/>
  <c r="L2474" i="1"/>
  <c r="L2475" i="1"/>
  <c r="G2475" i="1"/>
  <c r="N2475" i="1"/>
  <c r="F2474" i="1"/>
  <c r="N2474" i="1"/>
  <c r="K2115" i="1"/>
  <c r="D1923" i="1"/>
  <c r="D1922" i="1"/>
  <c r="K1922" i="1"/>
  <c r="F1875" i="1"/>
  <c r="N1874" i="1"/>
  <c r="M1875" i="1"/>
  <c r="DC9" i="3"/>
  <c r="D2403" i="1"/>
  <c r="G1923" i="1"/>
  <c r="N1923" i="1"/>
  <c r="D1875" i="1"/>
  <c r="K1875" i="1"/>
  <c r="G1874" i="1"/>
  <c r="E1874" i="1"/>
  <c r="BT34" i="3"/>
  <c r="G2114" i="1"/>
  <c r="E2115" i="1"/>
  <c r="F2115" i="1"/>
  <c r="F2114" i="1"/>
  <c r="N2114" i="1"/>
  <c r="E2114" i="1"/>
  <c r="L1946" i="1"/>
  <c r="E1946" i="1"/>
  <c r="N1947" i="1"/>
  <c r="DM26" i="3"/>
  <c r="DM30" i="3" s="1"/>
  <c r="E21" i="1"/>
  <c r="BT35" i="3"/>
  <c r="G1922" i="1"/>
  <c r="L1874" i="1"/>
  <c r="L1875" i="1"/>
  <c r="CC31" i="3"/>
  <c r="BT33" i="3"/>
  <c r="CB34" i="3"/>
  <c r="D2138" i="1"/>
  <c r="CN22" i="3"/>
  <c r="CN23" i="3" s="1"/>
  <c r="CN24" i="3" s="1"/>
  <c r="BM55" i="3"/>
  <c r="K2067" i="1"/>
  <c r="F2066" i="1"/>
  <c r="DH22" i="3"/>
  <c r="DH23" i="3" s="1"/>
  <c r="DH24" i="3" s="1"/>
  <c r="O379" i="1"/>
  <c r="BM27" i="3"/>
  <c r="BM56" i="3"/>
  <c r="BF78" i="3"/>
  <c r="F34" i="3"/>
  <c r="CN27" i="3"/>
  <c r="CN56" i="3" s="1"/>
  <c r="DH26" i="3"/>
  <c r="AO51" i="3"/>
  <c r="AD68" i="3"/>
  <c r="DS43" i="3"/>
  <c r="K592" i="5"/>
  <c r="F1922" i="1"/>
  <c r="F1923" i="1"/>
  <c r="L1923" i="1"/>
  <c r="N1922" i="1"/>
  <c r="M1922" i="1"/>
  <c r="O1922" i="1" s="1"/>
  <c r="L1922" i="1"/>
  <c r="K1923" i="1"/>
  <c r="EA43" i="3"/>
  <c r="D593" i="5"/>
  <c r="AK27" i="3"/>
  <c r="AK56" i="3" s="1"/>
  <c r="AK26" i="3"/>
  <c r="L26" i="3"/>
  <c r="N27" i="3"/>
  <c r="N56" i="3" s="1"/>
  <c r="N26" i="3"/>
  <c r="F379" i="1"/>
  <c r="DZ43" i="3"/>
  <c r="E26" i="3"/>
  <c r="D592" i="5"/>
  <c r="O404" i="1"/>
  <c r="M2114" i="1"/>
  <c r="D2114" i="1"/>
  <c r="DM9" i="3"/>
  <c r="K479" i="1"/>
  <c r="C479" i="1"/>
  <c r="J478" i="1"/>
  <c r="K478" i="1"/>
  <c r="L478" i="1"/>
  <c r="O478" i="1" s="1"/>
  <c r="D478" i="1"/>
  <c r="E479" i="1"/>
  <c r="C478" i="1"/>
  <c r="J479" i="1"/>
  <c r="E478" i="1"/>
  <c r="D479" i="1"/>
  <c r="N1898" i="1"/>
  <c r="F1899" i="1"/>
  <c r="E1899" i="1"/>
  <c r="E1898" i="1"/>
  <c r="D1899" i="1"/>
  <c r="D1898" i="1"/>
  <c r="L27" i="3"/>
  <c r="L56" i="3" s="1"/>
  <c r="F403" i="1"/>
  <c r="AM27" i="3"/>
  <c r="AM56" i="3" s="1"/>
  <c r="AM26" i="3"/>
  <c r="D175" i="1"/>
  <c r="L174" i="1"/>
  <c r="D174" i="1"/>
  <c r="F174" i="1" s="1"/>
  <c r="K174" i="1"/>
  <c r="K175" i="1"/>
  <c r="L175" i="1"/>
  <c r="C174" i="1"/>
  <c r="J174" i="1"/>
  <c r="E174" i="1"/>
  <c r="E175" i="1"/>
  <c r="C175" i="1"/>
  <c r="J175" i="1"/>
  <c r="AK9" i="3"/>
  <c r="F22" i="3"/>
  <c r="F23" i="3" s="1"/>
  <c r="F24" i="3" s="1"/>
  <c r="F27" i="3"/>
  <c r="F56" i="3" s="1"/>
  <c r="CL43" i="3"/>
  <c r="K240" i="1"/>
  <c r="EC43" i="3"/>
  <c r="BB51" i="3"/>
  <c r="BB61" i="3" s="1"/>
  <c r="BB65" i="3" s="1"/>
  <c r="CJ27" i="3"/>
  <c r="CJ56" i="3" s="1"/>
  <c r="CQ68" i="3"/>
  <c r="CV68" i="3"/>
  <c r="J1276" i="1"/>
  <c r="DA51" i="3"/>
  <c r="DA61" i="3" s="1"/>
  <c r="DA65" i="3" s="1"/>
  <c r="AQ22" i="3"/>
  <c r="AQ23" i="3" s="1"/>
  <c r="AQ24" i="3" s="1"/>
  <c r="AQ26" i="3"/>
  <c r="AQ27" i="3"/>
  <c r="AQ56" i="3" s="1"/>
  <c r="BK31" i="3"/>
  <c r="CV27" i="3"/>
  <c r="CV56" i="3" s="1"/>
  <c r="CV26" i="3"/>
  <c r="E72" i="3"/>
  <c r="F2403" i="1"/>
  <c r="E22" i="3"/>
  <c r="E23" i="3" s="1"/>
  <c r="E24" i="3" s="1"/>
  <c r="E27" i="3"/>
  <c r="E56" i="3" s="1"/>
  <c r="CE22" i="3"/>
  <c r="CE23" i="3" s="1"/>
  <c r="CE24" i="3" s="1"/>
  <c r="CG72" i="3"/>
  <c r="N2091" i="1"/>
  <c r="E2090" i="1"/>
  <c r="F2091" i="1"/>
  <c r="DL9" i="3"/>
  <c r="M2091" i="1"/>
  <c r="K2091" i="1"/>
  <c r="D2090" i="1"/>
  <c r="L2091" i="1"/>
  <c r="G2090" i="1"/>
  <c r="L2090" i="1"/>
  <c r="G2091" i="1"/>
  <c r="H2091" i="1" s="1"/>
  <c r="K2090" i="1"/>
  <c r="D2091" i="1"/>
  <c r="F2090" i="1"/>
  <c r="E2091" i="1"/>
  <c r="M2090" i="1"/>
  <c r="DP39" i="3"/>
  <c r="F39" i="3"/>
  <c r="I908" i="1"/>
  <c r="BO9" i="3"/>
  <c r="H908" i="1"/>
  <c r="CK26" i="3"/>
  <c r="AC26" i="3"/>
  <c r="AC29" i="3" s="1"/>
  <c r="AC27" i="3"/>
  <c r="AC56" i="3" s="1"/>
  <c r="K1300" i="1"/>
  <c r="L1299" i="1"/>
  <c r="AU26" i="3"/>
  <c r="AC22" i="3"/>
  <c r="AC23" i="3" s="1"/>
  <c r="AC24" i="3" s="1"/>
  <c r="DA22" i="3"/>
  <c r="DA23" i="3" s="1"/>
  <c r="DA24" i="3" s="1"/>
  <c r="L483" i="5"/>
  <c r="H804" i="1"/>
  <c r="J804" i="1"/>
  <c r="H803" i="1"/>
  <c r="K803" i="1" s="1"/>
  <c r="O403" i="1"/>
  <c r="M2402" i="1"/>
  <c r="I803" i="1"/>
  <c r="F404" i="1"/>
  <c r="D1874" i="1"/>
  <c r="E1875" i="1"/>
  <c r="AF22" i="3"/>
  <c r="AF23" i="3" s="1"/>
  <c r="AF24" i="3" s="1"/>
  <c r="AF27" i="3"/>
  <c r="AF56" i="3" s="1"/>
  <c r="AF26" i="3"/>
  <c r="AF34" i="3" s="1"/>
  <c r="F43" i="5"/>
  <c r="M1635" i="1"/>
  <c r="F1635" i="1"/>
  <c r="E1635" i="1"/>
  <c r="D1635" i="1"/>
  <c r="D1634" i="1"/>
  <c r="K1634" i="1"/>
  <c r="CF51" i="3"/>
  <c r="F2402" i="1"/>
  <c r="L2402" i="1"/>
  <c r="BK9" i="3"/>
  <c r="V27" i="3"/>
  <c r="V56" i="3" s="1"/>
  <c r="F42" i="5"/>
  <c r="AT27" i="3"/>
  <c r="AT56" i="3" s="1"/>
  <c r="AT47" i="3"/>
  <c r="CF22" i="3"/>
  <c r="CF23" i="3" s="1"/>
  <c r="CF24" i="3" s="1"/>
  <c r="CF68" i="3"/>
  <c r="BB22" i="3"/>
  <c r="BB23" i="3" s="1"/>
  <c r="BB24" i="3" s="1"/>
  <c r="I26" i="3"/>
  <c r="I30" i="3" s="1"/>
  <c r="I27" i="3"/>
  <c r="I56" i="3" s="1"/>
  <c r="F72" i="3"/>
  <c r="CQ26" i="3"/>
  <c r="CQ29" i="3" s="1"/>
  <c r="CB60" i="3"/>
  <c r="C108" i="5"/>
  <c r="K108" i="5"/>
  <c r="D108" i="5"/>
  <c r="C109" i="5"/>
  <c r="I108" i="5"/>
  <c r="L108" i="5" s="1"/>
  <c r="K109" i="5"/>
  <c r="J108" i="5"/>
  <c r="I109" i="5"/>
  <c r="L109" i="5" s="1"/>
  <c r="E109" i="5"/>
  <c r="E108" i="5"/>
  <c r="J109" i="5"/>
  <c r="D109" i="5"/>
  <c r="G9" i="3"/>
  <c r="L1395" i="1"/>
  <c r="O1395" i="1" s="1"/>
  <c r="E1395" i="1"/>
  <c r="K1395" i="1"/>
  <c r="E1396" i="1"/>
  <c r="CI9" i="3"/>
  <c r="M1395" i="1"/>
  <c r="M1396" i="1"/>
  <c r="K1396" i="1"/>
  <c r="O1396" i="1" s="1"/>
  <c r="L1396" i="1"/>
  <c r="D1395" i="1"/>
  <c r="H1395" i="1" s="1"/>
  <c r="F1395" i="1"/>
  <c r="D1396" i="1"/>
  <c r="F1396" i="1"/>
  <c r="BF64" i="3"/>
  <c r="CR72" i="3"/>
  <c r="CQ72" i="3"/>
  <c r="CQ27" i="3"/>
  <c r="CQ56" i="3"/>
  <c r="I1108" i="1"/>
  <c r="J1107" i="1"/>
  <c r="J1108" i="1"/>
  <c r="I1107" i="1"/>
  <c r="H1107" i="1"/>
  <c r="K1107" i="1" s="1"/>
  <c r="BW9" i="3"/>
  <c r="H1108" i="1"/>
  <c r="K1108" i="1" s="1"/>
  <c r="DP47" i="3"/>
  <c r="K1058" i="1"/>
  <c r="BK64" i="3"/>
  <c r="O2187" i="1"/>
  <c r="J781" i="1"/>
  <c r="BJ9" i="3"/>
  <c r="J780" i="1"/>
  <c r="H781" i="1"/>
  <c r="I781" i="1"/>
  <c r="DH51" i="3"/>
  <c r="M1731" i="1"/>
  <c r="N1731" i="1"/>
  <c r="L1731" i="1"/>
  <c r="K1730" i="1"/>
  <c r="F1731" i="1"/>
  <c r="N1730" i="1"/>
  <c r="F1730" i="1"/>
  <c r="M1730" i="1"/>
  <c r="D1731" i="1"/>
  <c r="L1730" i="1"/>
  <c r="D1730" i="1"/>
  <c r="E1731" i="1"/>
  <c r="H1731" i="1" s="1"/>
  <c r="E1730" i="1"/>
  <c r="G1731" i="1"/>
  <c r="CW9" i="3"/>
  <c r="G1730" i="1"/>
  <c r="K1731" i="1"/>
  <c r="O1731" i="1" s="1"/>
  <c r="BR9" i="3"/>
  <c r="H982" i="1"/>
  <c r="H983" i="1"/>
  <c r="J982" i="1"/>
  <c r="J983" i="1"/>
  <c r="I982" i="1"/>
  <c r="I983" i="1"/>
  <c r="H51" i="3"/>
  <c r="H35" i="3" s="1"/>
  <c r="H2187" i="1"/>
  <c r="O1946" i="1"/>
  <c r="O1899" i="1"/>
  <c r="DY9" i="3"/>
  <c r="DJ51" i="3"/>
  <c r="DJ61" i="3" s="1"/>
  <c r="DJ65" i="3" s="1"/>
  <c r="BZ61" i="3"/>
  <c r="BZ65" i="3" s="1"/>
  <c r="CQ22" i="3"/>
  <c r="CQ23" i="3" s="1"/>
  <c r="CQ24" i="3" s="1"/>
  <c r="H1946" i="1"/>
  <c r="F65" i="5"/>
  <c r="L1587" i="1"/>
  <c r="K1587" i="1"/>
  <c r="E1587" i="1"/>
  <c r="CQ9" i="3"/>
  <c r="E1586" i="1"/>
  <c r="N1586" i="1"/>
  <c r="D1587" i="1"/>
  <c r="M1586" i="1"/>
  <c r="D1586" i="1"/>
  <c r="L1586" i="1"/>
  <c r="G1587" i="1"/>
  <c r="F1587" i="1"/>
  <c r="K1586" i="1"/>
  <c r="G1586" i="1"/>
  <c r="N1587" i="1"/>
  <c r="M1587" i="1"/>
  <c r="F1586" i="1"/>
  <c r="BP31" i="3"/>
  <c r="BP60" i="3"/>
  <c r="BL64" i="3"/>
  <c r="BL66" i="3" s="1"/>
  <c r="BL62" i="3"/>
  <c r="BK34" i="3"/>
  <c r="BK33" i="3"/>
  <c r="BE64" i="3"/>
  <c r="O1299" i="1"/>
  <c r="H1466" i="1"/>
  <c r="O2475" i="1"/>
  <c r="EB34" i="3" s="1"/>
  <c r="H2474" i="1"/>
  <c r="EB29" i="3" s="1"/>
  <c r="H1899" i="1"/>
  <c r="K908" i="1"/>
  <c r="DH30" i="3"/>
  <c r="AK29" i="3"/>
  <c r="F479" i="1"/>
  <c r="I29" i="3"/>
  <c r="I33" i="3"/>
  <c r="CP61" i="3"/>
  <c r="AQ29" i="3"/>
  <c r="AQ34" i="3"/>
  <c r="F108" i="5"/>
  <c r="CV61" i="3"/>
  <c r="CV65" i="3" s="1"/>
  <c r="CV35" i="3"/>
  <c r="AU30" i="3"/>
  <c r="AU33" i="3"/>
  <c r="CV34" i="3"/>
  <c r="CV33" i="3"/>
  <c r="CB64" i="3"/>
  <c r="BP64" i="3"/>
  <c r="AD9" i="3" l="1"/>
  <c r="C21" i="1"/>
  <c r="D21" i="1"/>
  <c r="K21" i="1"/>
  <c r="L21" i="1"/>
  <c r="J21" i="1"/>
  <c r="K20" i="1"/>
  <c r="C20" i="1"/>
  <c r="F20" i="1" s="1"/>
  <c r="D20" i="1"/>
  <c r="E20" i="1"/>
  <c r="L20" i="1"/>
  <c r="J20" i="1"/>
  <c r="O20" i="1" s="1"/>
  <c r="H1584" i="1"/>
  <c r="CQ37" i="3" s="1"/>
  <c r="K262" i="5"/>
  <c r="D263" i="5"/>
  <c r="C263" i="5"/>
  <c r="E263" i="5"/>
  <c r="C262" i="5"/>
  <c r="D262" i="5"/>
  <c r="I262" i="5"/>
  <c r="K263" i="5"/>
  <c r="J262" i="5"/>
  <c r="CG43" i="3"/>
  <c r="J240" i="1"/>
  <c r="J241" i="1"/>
  <c r="C241" i="1"/>
  <c r="D241" i="1"/>
  <c r="AN9" i="3"/>
  <c r="C240" i="1"/>
  <c r="E240" i="1"/>
  <c r="D26" i="3"/>
  <c r="F378" i="1"/>
  <c r="R55" i="3"/>
  <c r="AA76" i="3"/>
  <c r="AG22" i="3"/>
  <c r="AG23" i="3" s="1"/>
  <c r="AG24" i="3" s="1"/>
  <c r="AG27" i="3"/>
  <c r="AG56" i="3" s="1"/>
  <c r="AH27" i="3"/>
  <c r="AH56" i="3" s="1"/>
  <c r="AH26" i="3"/>
  <c r="AH22" i="3"/>
  <c r="AH23" i="3" s="1"/>
  <c r="AH24" i="3" s="1"/>
  <c r="C26" i="3"/>
  <c r="C22" i="3"/>
  <c r="C23" i="3" s="1"/>
  <c r="C24" i="3" s="1"/>
  <c r="C27" i="3"/>
  <c r="C56" i="3" s="1"/>
  <c r="F68" i="3"/>
  <c r="F78" i="3" s="1"/>
  <c r="J68" i="3"/>
  <c r="J755" i="1"/>
  <c r="J754" i="1"/>
  <c r="I754" i="1"/>
  <c r="H755" i="1"/>
  <c r="BI9" i="3"/>
  <c r="H754" i="1"/>
  <c r="K754" i="1" s="1"/>
  <c r="CN43" i="3"/>
  <c r="AU55" i="3"/>
  <c r="AU27" i="3"/>
  <c r="AU56" i="3" s="1"/>
  <c r="AG26" i="3"/>
  <c r="F45" i="4"/>
  <c r="H45" i="4"/>
  <c r="G45" i="4"/>
  <c r="BP33" i="3"/>
  <c r="BP34" i="3"/>
  <c r="E1348" i="1"/>
  <c r="M1348" i="1"/>
  <c r="F1348" i="1"/>
  <c r="M1347" i="1"/>
  <c r="D1348" i="1"/>
  <c r="H1348" i="1" s="1"/>
  <c r="CG68" i="3"/>
  <c r="CG78" i="3" s="1"/>
  <c r="CH68" i="3"/>
  <c r="CH78" i="3" s="1"/>
  <c r="CI68" i="3"/>
  <c r="CA68" i="3"/>
  <c r="CF72" i="3"/>
  <c r="CE72" i="3"/>
  <c r="BS72" i="3"/>
  <c r="BN22" i="3"/>
  <c r="BN23" i="3" s="1"/>
  <c r="CH72" i="3"/>
  <c r="BA27" i="3"/>
  <c r="BA56" i="3" s="1"/>
  <c r="BA22" i="3"/>
  <c r="BA23" i="3" s="1"/>
  <c r="BA24" i="3" s="1"/>
  <c r="BE66" i="3"/>
  <c r="AY22" i="3"/>
  <c r="AY23" i="3" s="1"/>
  <c r="AY24" i="3" s="1"/>
  <c r="AY27" i="3"/>
  <c r="AY56" i="3" s="1"/>
  <c r="AY26" i="3"/>
  <c r="G58" i="4"/>
  <c r="H58" i="4"/>
  <c r="G16" i="4"/>
  <c r="F16" i="4"/>
  <c r="H16" i="4"/>
  <c r="B942" i="1"/>
  <c r="CR7" i="3"/>
  <c r="CR26" i="3" s="1"/>
  <c r="CR30" i="3" s="1"/>
  <c r="B1595" i="1"/>
  <c r="DG27" i="3"/>
  <c r="DG56" i="3" s="1"/>
  <c r="DG55" i="3"/>
  <c r="DE22" i="3"/>
  <c r="DE23" i="3" s="1"/>
  <c r="DE24" i="3" s="1"/>
  <c r="DE27" i="3"/>
  <c r="DE56" i="3" s="1"/>
  <c r="DB27" i="3"/>
  <c r="DB56" i="3" s="1"/>
  <c r="DB22" i="3"/>
  <c r="DB23" i="3" s="1"/>
  <c r="DB24" i="3" s="1"/>
  <c r="DB26" i="3"/>
  <c r="CP27" i="3"/>
  <c r="CP56" i="3" s="1"/>
  <c r="CP22" i="3"/>
  <c r="CP23" i="3" s="1"/>
  <c r="CP24" i="3" s="1"/>
  <c r="CF26" i="3"/>
  <c r="CF27" i="3"/>
  <c r="CF56" i="3" s="1"/>
  <c r="Q22" i="3"/>
  <c r="Q23" i="3" s="1"/>
  <c r="Q24" i="3" s="1"/>
  <c r="Q27" i="3"/>
  <c r="Q56" i="3" s="1"/>
  <c r="AR51" i="3"/>
  <c r="AR61" i="3" s="1"/>
  <c r="AR65" i="3" s="1"/>
  <c r="N47" i="3"/>
  <c r="N60" i="3" s="1"/>
  <c r="N64" i="3" s="1"/>
  <c r="M2314" i="1"/>
  <c r="DV7" i="3"/>
  <c r="B2315" i="1"/>
  <c r="DA55" i="3"/>
  <c r="DA76" i="3"/>
  <c r="DD76" i="3"/>
  <c r="DE76" i="3"/>
  <c r="DP76" i="3"/>
  <c r="E7" i="7" s="1"/>
  <c r="DB76" i="3"/>
  <c r="DG76" i="3"/>
  <c r="DK76" i="3"/>
  <c r="DN76" i="3"/>
  <c r="DI76" i="3"/>
  <c r="DM76" i="3"/>
  <c r="DC76" i="3"/>
  <c r="DA27" i="3"/>
  <c r="DA56" i="3" s="1"/>
  <c r="DJ76" i="3"/>
  <c r="B610" i="1"/>
  <c r="M609" i="1"/>
  <c r="DP26" i="3"/>
  <c r="DP31" i="3" s="1"/>
  <c r="DP27" i="3"/>
  <c r="DP56" i="3" s="1"/>
  <c r="DP22" i="3"/>
  <c r="DP23" i="3" s="1"/>
  <c r="DP24" i="3" s="1"/>
  <c r="D68" i="3"/>
  <c r="D78" i="3" s="1"/>
  <c r="I263" i="5"/>
  <c r="I1083" i="1"/>
  <c r="H1082" i="1"/>
  <c r="I1082" i="1"/>
  <c r="J1083" i="1"/>
  <c r="BV9" i="3"/>
  <c r="J1082" i="1"/>
  <c r="H1083" i="1"/>
  <c r="K1083" i="1" s="1"/>
  <c r="CH31" i="3"/>
  <c r="CH34" i="3"/>
  <c r="CH29" i="3"/>
  <c r="CH30" i="3"/>
  <c r="DD26" i="3"/>
  <c r="J47" i="3"/>
  <c r="DP51" i="3"/>
  <c r="DP33" i="3"/>
  <c r="C68" i="3"/>
  <c r="C78" i="3" s="1"/>
  <c r="E262" i="5"/>
  <c r="DK43" i="3"/>
  <c r="F55" i="4"/>
  <c r="H55" i="4"/>
  <c r="BR34" i="3"/>
  <c r="BR33" i="3"/>
  <c r="BY34" i="3"/>
  <c r="BY33" i="3"/>
  <c r="M1235" i="1"/>
  <c r="CE34" i="3"/>
  <c r="DM22" i="3"/>
  <c r="DM23" i="3" s="1"/>
  <c r="DM24" i="3" s="1"/>
  <c r="DM27" i="3"/>
  <c r="DM56" i="3" s="1"/>
  <c r="E68" i="3"/>
  <c r="E78" i="3" s="1"/>
  <c r="N9" i="3"/>
  <c r="Z22" i="3"/>
  <c r="Z23" i="3" s="1"/>
  <c r="Z24" i="3" s="1"/>
  <c r="Z26" i="3"/>
  <c r="Z29" i="3" s="1"/>
  <c r="AV7" i="3"/>
  <c r="B414" i="1"/>
  <c r="B416" i="1" s="1"/>
  <c r="B413" i="1" s="1"/>
  <c r="K429" i="1" s="1"/>
  <c r="V26" i="3"/>
  <c r="J593" i="5"/>
  <c r="K593" i="5"/>
  <c r="I593" i="5"/>
  <c r="L593" i="5" s="1"/>
  <c r="E592" i="5"/>
  <c r="AC9" i="3"/>
  <c r="C592" i="5"/>
  <c r="I592" i="5"/>
  <c r="J592" i="5"/>
  <c r="C593" i="5"/>
  <c r="K20" i="5"/>
  <c r="C21" i="5"/>
  <c r="E21" i="5"/>
  <c r="J20" i="5"/>
  <c r="C9" i="3"/>
  <c r="K21" i="5"/>
  <c r="J21" i="5"/>
  <c r="L21" i="5" s="1"/>
  <c r="I20" i="5"/>
  <c r="L20" i="5" s="1"/>
  <c r="C20" i="5"/>
  <c r="F20" i="5" s="1"/>
  <c r="D21" i="5"/>
  <c r="E20" i="5"/>
  <c r="J263" i="5"/>
  <c r="L263" i="5" s="1"/>
  <c r="H1396" i="1"/>
  <c r="DD22" i="3"/>
  <c r="DD23" i="3" s="1"/>
  <c r="DD24" i="3" s="1"/>
  <c r="DD27" i="3"/>
  <c r="DD56" i="3" s="1"/>
  <c r="AI26" i="3"/>
  <c r="AI33" i="3" s="1"/>
  <c r="AI22" i="3"/>
  <c r="AI23" i="3" s="1"/>
  <c r="AI24" i="3" s="1"/>
  <c r="AI27" i="3"/>
  <c r="AI56" i="3" s="1"/>
  <c r="BX61" i="3"/>
  <c r="BX65" i="3" s="1"/>
  <c r="BX35" i="3"/>
  <c r="AH51" i="3"/>
  <c r="AH61" i="3" s="1"/>
  <c r="AH65" i="3" s="1"/>
  <c r="AI51" i="3"/>
  <c r="B561" i="1"/>
  <c r="E2282" i="1"/>
  <c r="D2282" i="1"/>
  <c r="G2283" i="1"/>
  <c r="D2283" i="1"/>
  <c r="E2283" i="1"/>
  <c r="L2283" i="1"/>
  <c r="O2283" i="1" s="1"/>
  <c r="DT34" i="3" s="1"/>
  <c r="F2283" i="1"/>
  <c r="M2283" i="1"/>
  <c r="N2283" i="1"/>
  <c r="H1730" i="1"/>
  <c r="H780" i="1"/>
  <c r="K780" i="1" s="1"/>
  <c r="I755" i="1"/>
  <c r="CE26" i="3"/>
  <c r="CE27" i="3"/>
  <c r="CE56" i="3" s="1"/>
  <c r="D27" i="3"/>
  <c r="D56" i="3" s="1"/>
  <c r="D22" i="3"/>
  <c r="D23" i="3" s="1"/>
  <c r="D24" i="3" s="1"/>
  <c r="E552" i="1"/>
  <c r="K553" i="1"/>
  <c r="S7" i="3"/>
  <c r="S26" i="3" s="1"/>
  <c r="B358" i="5"/>
  <c r="I1276" i="1"/>
  <c r="H1276" i="1"/>
  <c r="J1275" i="1"/>
  <c r="I1275" i="1"/>
  <c r="H1275" i="1"/>
  <c r="CD9" i="3"/>
  <c r="C30" i="3"/>
  <c r="BK35" i="3"/>
  <c r="BK61" i="3"/>
  <c r="CX43" i="3"/>
  <c r="E1634" i="1"/>
  <c r="G1635" i="1"/>
  <c r="H1635" i="1" s="1"/>
  <c r="CS9" i="3"/>
  <c r="G1634" i="1"/>
  <c r="M1634" i="1"/>
  <c r="O1634" i="1" s="1"/>
  <c r="K1635" i="1"/>
  <c r="N1634" i="1"/>
  <c r="L1635" i="1"/>
  <c r="N1635" i="1"/>
  <c r="L1634" i="1"/>
  <c r="F1634" i="1"/>
  <c r="O1657" i="1"/>
  <c r="CT42" i="3" s="1"/>
  <c r="CT43" i="3" s="1"/>
  <c r="K1971" i="1"/>
  <c r="F1970" i="1"/>
  <c r="E1971" i="1"/>
  <c r="E1970" i="1"/>
  <c r="K1970" i="1"/>
  <c r="DG9" i="3"/>
  <c r="G1970" i="1"/>
  <c r="O2015" i="1"/>
  <c r="DI50" i="3" s="1"/>
  <c r="O2038" i="1"/>
  <c r="DJ46" i="3" s="1"/>
  <c r="O2040" i="1"/>
  <c r="DJ38" i="3" s="1"/>
  <c r="O2065" i="1"/>
  <c r="DK42" i="3" s="1"/>
  <c r="O2086" i="1"/>
  <c r="DL46" i="3" s="1"/>
  <c r="O2088" i="1"/>
  <c r="DL38" i="3" s="1"/>
  <c r="DL39" i="3" s="1"/>
  <c r="O2111" i="1"/>
  <c r="DM50" i="3" s="1"/>
  <c r="K2139" i="1"/>
  <c r="L2139" i="1"/>
  <c r="N2139" i="1"/>
  <c r="L2138" i="1"/>
  <c r="K2138" i="1"/>
  <c r="E2138" i="1"/>
  <c r="H2138" i="1" s="1"/>
  <c r="G2139" i="1"/>
  <c r="F2138" i="1"/>
  <c r="G2138" i="1"/>
  <c r="M2139" i="1"/>
  <c r="E2139" i="1"/>
  <c r="H2139" i="1" s="1"/>
  <c r="N2138" i="1"/>
  <c r="DN9" i="3"/>
  <c r="M2138" i="1"/>
  <c r="F2139" i="1"/>
  <c r="D2139" i="1"/>
  <c r="S22" i="3"/>
  <c r="S23" i="3" s="1"/>
  <c r="S24" i="3" s="1"/>
  <c r="S27" i="3"/>
  <c r="S56" i="3" s="1"/>
  <c r="CL51" i="3"/>
  <c r="CR22" i="3"/>
  <c r="CR23" i="3" s="1"/>
  <c r="CR24" i="3" s="1"/>
  <c r="CT68" i="3"/>
  <c r="CU68" i="3"/>
  <c r="CR68" i="3"/>
  <c r="CR78" i="3" s="1"/>
  <c r="CR81" i="3" s="1"/>
  <c r="CS68" i="3"/>
  <c r="CW68" i="3"/>
  <c r="CX68" i="3"/>
  <c r="CC65" i="3"/>
  <c r="CC58" i="3"/>
  <c r="CW39" i="3"/>
  <c r="H1922" i="1"/>
  <c r="O1947" i="1"/>
  <c r="K175" i="5"/>
  <c r="V22" i="3"/>
  <c r="V23" i="3" s="1"/>
  <c r="V24" i="3" s="1"/>
  <c r="F370" i="5"/>
  <c r="S37" i="3" s="1"/>
  <c r="F458" i="5"/>
  <c r="W37" i="3" s="1"/>
  <c r="W39" i="3" s="1"/>
  <c r="F525" i="1"/>
  <c r="AZ49" i="3" s="1"/>
  <c r="K1003" i="1"/>
  <c r="BS47" i="3" s="1"/>
  <c r="K1202" i="1"/>
  <c r="CA43" i="3" s="1"/>
  <c r="M1594" i="1"/>
  <c r="H1319" i="1"/>
  <c r="CF45" i="3" s="1"/>
  <c r="O1346" i="1"/>
  <c r="CG42" i="3" s="1"/>
  <c r="O1584" i="1"/>
  <c r="CQ38" i="3" s="1"/>
  <c r="H1607" i="1"/>
  <c r="CR49" i="3" s="1"/>
  <c r="CR33" i="3" s="1"/>
  <c r="H1630" i="1"/>
  <c r="CS45" i="3" s="1"/>
  <c r="O1632" i="1"/>
  <c r="CS38" i="3" s="1"/>
  <c r="CS39" i="3" s="1"/>
  <c r="H1678" i="1"/>
  <c r="CU45" i="3" s="1"/>
  <c r="CU47" i="3" s="1"/>
  <c r="CU60" i="3" s="1"/>
  <c r="CU64" i="3" s="1"/>
  <c r="O1680" i="1"/>
  <c r="CU38" i="3" s="1"/>
  <c r="H1751" i="1"/>
  <c r="CX49" i="3" s="1"/>
  <c r="O1753" i="1"/>
  <c r="CX42" i="3" s="1"/>
  <c r="O1776" i="1"/>
  <c r="CY38" i="3" s="1"/>
  <c r="CY39" i="3" s="1"/>
  <c r="H1799" i="1"/>
  <c r="CZ49" i="3" s="1"/>
  <c r="O1801" i="1"/>
  <c r="CZ42" i="3" s="1"/>
  <c r="H1847" i="1"/>
  <c r="DB49" i="3" s="1"/>
  <c r="K1054" i="1"/>
  <c r="BU51" i="3" s="1"/>
  <c r="BU61" i="3" s="1"/>
  <c r="BU65" i="3" s="1"/>
  <c r="K1273" i="1"/>
  <c r="CD39" i="3" s="1"/>
  <c r="AB16" i="3"/>
  <c r="P16" i="3"/>
  <c r="H2281" i="1"/>
  <c r="DT41" i="3" s="1"/>
  <c r="O2474" i="1"/>
  <c r="EB30" i="3" s="1"/>
  <c r="CY51" i="3"/>
  <c r="CY61" i="3" s="1"/>
  <c r="CY65" i="3" s="1"/>
  <c r="J174" i="5"/>
  <c r="L238" i="5"/>
  <c r="M38" i="3" s="1"/>
  <c r="U43" i="3"/>
  <c r="L459" i="5"/>
  <c r="W42" i="3" s="1"/>
  <c r="L568" i="5"/>
  <c r="AB38" i="3" s="1"/>
  <c r="F261" i="1"/>
  <c r="AO41" i="3" s="1"/>
  <c r="O261" i="1"/>
  <c r="AO42" i="3" s="1"/>
  <c r="O284" i="1"/>
  <c r="O305" i="1"/>
  <c r="AQ42" i="3" s="1"/>
  <c r="O329" i="1"/>
  <c r="AR42" i="3" s="1"/>
  <c r="AR43" i="3" s="1"/>
  <c r="F236" i="5"/>
  <c r="M45" i="3" s="1"/>
  <c r="F259" i="5"/>
  <c r="N49" i="3" s="1"/>
  <c r="F283" i="5"/>
  <c r="O41" i="3" s="1"/>
  <c r="F325" i="5"/>
  <c r="Q49" i="3" s="1"/>
  <c r="Q51" i="3" s="1"/>
  <c r="Q61" i="3" s="1"/>
  <c r="Q65" i="3" s="1"/>
  <c r="F347" i="5"/>
  <c r="R49" i="3" s="1"/>
  <c r="F450" i="1"/>
  <c r="AW49" i="3" s="1"/>
  <c r="B315" i="1"/>
  <c r="C331" i="1" s="1"/>
  <c r="O1297" i="1"/>
  <c r="CE38" i="3" s="1"/>
  <c r="CE39" i="3" s="1"/>
  <c r="B1523" i="1"/>
  <c r="H2089" i="1"/>
  <c r="DL41" i="3" s="1"/>
  <c r="H2110" i="1"/>
  <c r="DM45" i="3" s="1"/>
  <c r="DM47" i="3" s="1"/>
  <c r="DM31" i="3" s="1"/>
  <c r="H2112" i="1"/>
  <c r="DM37" i="3" s="1"/>
  <c r="DM39" i="3" s="1"/>
  <c r="H2135" i="1"/>
  <c r="DN49" i="3" s="1"/>
  <c r="H2158" i="1"/>
  <c r="DO45" i="3" s="1"/>
  <c r="F16" i="5"/>
  <c r="C45" i="3" s="1"/>
  <c r="C29" i="3" s="1"/>
  <c r="E174" i="5"/>
  <c r="F148" i="1"/>
  <c r="AJ45" i="3" s="1"/>
  <c r="F500" i="5"/>
  <c r="Y45" i="3" s="1"/>
  <c r="Y47" i="3" s="1"/>
  <c r="Y60" i="3" s="1"/>
  <c r="O402" i="1"/>
  <c r="AU42" i="3" s="1"/>
  <c r="O450" i="1"/>
  <c r="AW50" i="3" s="1"/>
  <c r="K779" i="1"/>
  <c r="BJ43" i="3" s="1"/>
  <c r="K828" i="1"/>
  <c r="BL39" i="3" s="1"/>
  <c r="K854" i="1"/>
  <c r="BM39" i="3" s="1"/>
  <c r="K930" i="1"/>
  <c r="K953" i="1"/>
  <c r="BQ47" i="3" s="1"/>
  <c r="BQ31" i="3" s="1"/>
  <c r="K1127" i="1"/>
  <c r="BX47" i="3" s="1"/>
  <c r="O1608" i="1"/>
  <c r="CR38" i="3" s="1"/>
  <c r="H1943" i="1"/>
  <c r="DF49" i="3" s="1"/>
  <c r="H1966" i="1"/>
  <c r="DG45" i="3" s="1"/>
  <c r="DG47" i="3" s="1"/>
  <c r="DG60" i="3" s="1"/>
  <c r="DG64" i="3" s="1"/>
  <c r="L193" i="5"/>
  <c r="K50" i="3" s="1"/>
  <c r="F171" i="5"/>
  <c r="J49" i="3" s="1"/>
  <c r="DJ16" i="3"/>
  <c r="CI20" i="3"/>
  <c r="AR20" i="3"/>
  <c r="AO16" i="3"/>
  <c r="AA20" i="3"/>
  <c r="X20" i="3"/>
  <c r="U16" i="3"/>
  <c r="M16" i="3"/>
  <c r="O2545" i="1"/>
  <c r="EE42" i="3" s="1"/>
  <c r="DW39" i="3"/>
  <c r="K174" i="5"/>
  <c r="CM27" i="3"/>
  <c r="CM56" i="3" s="1"/>
  <c r="F214" i="5"/>
  <c r="L45" i="3" s="1"/>
  <c r="L47" i="3" s="1"/>
  <c r="L60" i="3" s="1"/>
  <c r="L64" i="3" s="1"/>
  <c r="CJ39" i="3"/>
  <c r="O1561" i="1"/>
  <c r="CP42" i="3" s="1"/>
  <c r="DR43" i="3"/>
  <c r="M1882" i="1"/>
  <c r="O1322" i="1"/>
  <c r="CF42" i="3" s="1"/>
  <c r="CF43" i="3" s="1"/>
  <c r="O1344" i="1"/>
  <c r="CG50" i="3" s="1"/>
  <c r="AZ20" i="3"/>
  <c r="H2374" i="1"/>
  <c r="DX45" i="3" s="1"/>
  <c r="EC39" i="3"/>
  <c r="D175" i="5"/>
  <c r="F149" i="1"/>
  <c r="AJ49" i="3" s="1"/>
  <c r="O1870" i="1"/>
  <c r="DC46" i="3" s="1"/>
  <c r="DC47" i="3" s="1"/>
  <c r="DC60" i="3" s="1"/>
  <c r="DC64" i="3" s="1"/>
  <c r="H1896" i="1"/>
  <c r="DD37" i="3" s="1"/>
  <c r="O1918" i="1"/>
  <c r="DE46" i="3" s="1"/>
  <c r="DE30" i="3" s="1"/>
  <c r="M1978" i="1"/>
  <c r="O2062" i="1"/>
  <c r="DK46" i="3" s="1"/>
  <c r="F17" i="5"/>
  <c r="C49" i="3" s="1"/>
  <c r="C33" i="3" s="1"/>
  <c r="H2304" i="1"/>
  <c r="DU37" i="3" s="1"/>
  <c r="O2329" i="1"/>
  <c r="DV42" i="3" s="1"/>
  <c r="H1947" i="1"/>
  <c r="N39" i="3"/>
  <c r="O83" i="1"/>
  <c r="AG50" i="3" s="1"/>
  <c r="O105" i="1"/>
  <c r="AH50" i="3" s="1"/>
  <c r="O127" i="1"/>
  <c r="AI50" i="3" s="1"/>
  <c r="AI34" i="3" s="1"/>
  <c r="O171" i="1"/>
  <c r="AK50" i="3" s="1"/>
  <c r="AK34" i="3" s="1"/>
  <c r="L478" i="5"/>
  <c r="X46" i="3" s="1"/>
  <c r="X47" i="3" s="1"/>
  <c r="X60" i="3" s="1"/>
  <c r="X64" i="3" s="1"/>
  <c r="O280" i="1"/>
  <c r="AP46" i="3" s="1"/>
  <c r="F501" i="5"/>
  <c r="Y49" i="3" s="1"/>
  <c r="F574" i="1"/>
  <c r="BB37" i="3" s="1"/>
  <c r="K675" i="1"/>
  <c r="BF39" i="3" s="1"/>
  <c r="M1259" i="1"/>
  <c r="CQ33" i="3"/>
  <c r="O1585" i="1"/>
  <c r="CQ42" i="3" s="1"/>
  <c r="CQ43" i="3" s="1"/>
  <c r="H1608" i="1"/>
  <c r="CR37" i="3" s="1"/>
  <c r="H1631" i="1"/>
  <c r="CS49" i="3" s="1"/>
  <c r="O1633" i="1"/>
  <c r="CS42" i="3" s="1"/>
  <c r="CS43" i="3" s="1"/>
  <c r="CT39" i="3"/>
  <c r="H1679" i="1"/>
  <c r="CU49" i="3" s="1"/>
  <c r="O1681" i="1"/>
  <c r="CU42" i="3" s="1"/>
  <c r="CU43" i="3" s="1"/>
  <c r="H1727" i="1"/>
  <c r="CW49" i="3" s="1"/>
  <c r="H1752" i="1"/>
  <c r="CX37" i="3" s="1"/>
  <c r="O1774" i="1"/>
  <c r="CY46" i="3" s="1"/>
  <c r="H1800" i="1"/>
  <c r="CZ37" i="3" s="1"/>
  <c r="O1822" i="1"/>
  <c r="DA46" i="3" s="1"/>
  <c r="O1825" i="1"/>
  <c r="DA42" i="3" s="1"/>
  <c r="DA43" i="3" s="1"/>
  <c r="H1848" i="1"/>
  <c r="DB37" i="3" s="1"/>
  <c r="DB39" i="3" s="1"/>
  <c r="CL16" i="3"/>
  <c r="BV27" i="3"/>
  <c r="BV56" i="3" s="1"/>
  <c r="AN20" i="3"/>
  <c r="AJ20" i="3"/>
  <c r="DU43" i="3"/>
  <c r="Z34" i="3"/>
  <c r="AF29" i="3"/>
  <c r="AC47" i="3"/>
  <c r="AC60" i="3" s="1"/>
  <c r="AC64" i="3" s="1"/>
  <c r="B204" i="1"/>
  <c r="J219" i="1" s="1"/>
  <c r="K1368" i="1"/>
  <c r="CH51" i="3" s="1"/>
  <c r="H2208" i="1"/>
  <c r="DQ37" i="3" s="1"/>
  <c r="DQ39" i="3" s="1"/>
  <c r="O2232" i="1"/>
  <c r="DR38" i="3" s="1"/>
  <c r="DO16" i="3"/>
  <c r="DO22" i="3" s="1"/>
  <c r="DO23" i="3" s="1"/>
  <c r="DO24" i="3" s="1"/>
  <c r="DL16" i="3"/>
  <c r="CW20" i="3"/>
  <c r="EA39" i="3"/>
  <c r="O378" i="1"/>
  <c r="B490" i="5"/>
  <c r="O400" i="1"/>
  <c r="AU50" i="3" s="1"/>
  <c r="F425" i="1"/>
  <c r="AV49" i="3" s="1"/>
  <c r="O451" i="1"/>
  <c r="AW38" i="3" s="1"/>
  <c r="AW39" i="3" s="1"/>
  <c r="K621" i="1"/>
  <c r="BD47" i="3" s="1"/>
  <c r="BD60" i="3" s="1"/>
  <c r="K881" i="1"/>
  <c r="BN43" i="3" s="1"/>
  <c r="BS26" i="3"/>
  <c r="H1391" i="1"/>
  <c r="CI45" i="3" s="1"/>
  <c r="H1558" i="1"/>
  <c r="CP45" i="3" s="1"/>
  <c r="M2554" i="1"/>
  <c r="H2326" i="1"/>
  <c r="DV45" i="3" s="1"/>
  <c r="F61" i="1"/>
  <c r="AF49" i="3" s="1"/>
  <c r="AF33" i="3" s="1"/>
  <c r="O151" i="1"/>
  <c r="K903" i="1"/>
  <c r="BO47" i="3" s="1"/>
  <c r="BO60" i="3" s="1"/>
  <c r="BO64" i="3" s="1"/>
  <c r="BO66" i="3" s="1"/>
  <c r="B1428" i="1"/>
  <c r="O1534" i="1"/>
  <c r="CO46" i="3" s="1"/>
  <c r="H1798" i="1"/>
  <c r="CZ45" i="3" s="1"/>
  <c r="CZ47" i="3" s="1"/>
  <c r="CZ60" i="3" s="1"/>
  <c r="CZ64" i="3" s="1"/>
  <c r="O1300" i="1"/>
  <c r="DP30" i="3"/>
  <c r="BE23" i="3"/>
  <c r="BE24" i="3" s="1"/>
  <c r="CX23" i="3"/>
  <c r="CX24" i="3" s="1"/>
  <c r="O193" i="1"/>
  <c r="AL50" i="3" s="1"/>
  <c r="O217" i="1"/>
  <c r="F415" i="5"/>
  <c r="U41" i="3" s="1"/>
  <c r="O550" i="1"/>
  <c r="BA38" i="3" s="1"/>
  <c r="K1177" i="1"/>
  <c r="K1200" i="1"/>
  <c r="CA51" i="3" s="1"/>
  <c r="CA61" i="3" s="1"/>
  <c r="CA65" i="3" s="1"/>
  <c r="H1321" i="1"/>
  <c r="CF37" i="3" s="1"/>
  <c r="H1343" i="1"/>
  <c r="CG45" i="3" s="1"/>
  <c r="B1404" i="1"/>
  <c r="H1535" i="1"/>
  <c r="CO49" i="3" s="1"/>
  <c r="CO51" i="3" s="1"/>
  <c r="CO61" i="3" s="1"/>
  <c r="CO65" i="3" s="1"/>
  <c r="H1849" i="1"/>
  <c r="DB41" i="3" s="1"/>
  <c r="DB43" i="3" s="1"/>
  <c r="K1030" i="1"/>
  <c r="BT39" i="3" s="1"/>
  <c r="B2339" i="1"/>
  <c r="H2468" i="1"/>
  <c r="ED16" i="3"/>
  <c r="H2398" i="1"/>
  <c r="DY45" i="3" s="1"/>
  <c r="H2090" i="1"/>
  <c r="H2475" i="1"/>
  <c r="EB33" i="3" s="1"/>
  <c r="AU24" i="3"/>
  <c r="DG24" i="3"/>
  <c r="F480" i="5"/>
  <c r="X37" i="3" s="1"/>
  <c r="F401" i="1"/>
  <c r="AU37" i="3" s="1"/>
  <c r="F426" i="1"/>
  <c r="AV37" i="3" s="1"/>
  <c r="F452" i="1"/>
  <c r="AW41" i="3" s="1"/>
  <c r="F475" i="1"/>
  <c r="AX49" i="3" s="1"/>
  <c r="AX51" i="3" s="1"/>
  <c r="M487" i="1"/>
  <c r="O500" i="1"/>
  <c r="AY50" i="3" s="1"/>
  <c r="AY34" i="3" s="1"/>
  <c r="H2134" i="1"/>
  <c r="DN45" i="3" s="1"/>
  <c r="H2159" i="1"/>
  <c r="DO49" i="3" s="1"/>
  <c r="H2161" i="1"/>
  <c r="DO41" i="3" s="1"/>
  <c r="B1979" i="1"/>
  <c r="L63" i="5"/>
  <c r="E42" i="3" s="1"/>
  <c r="F33" i="3"/>
  <c r="L128" i="5"/>
  <c r="H38" i="3" s="1"/>
  <c r="EF16" i="3"/>
  <c r="H2447" i="1"/>
  <c r="EA49" i="3" s="1"/>
  <c r="AM22" i="3"/>
  <c r="AM23" i="3" s="1"/>
  <c r="AM24" i="3" s="1"/>
  <c r="M2602" i="1"/>
  <c r="K804" i="1"/>
  <c r="EB43" i="3"/>
  <c r="I174" i="5"/>
  <c r="CR51" i="3"/>
  <c r="CF47" i="3"/>
  <c r="CB24" i="3"/>
  <c r="F104" i="1"/>
  <c r="AH45" i="3" s="1"/>
  <c r="O40" i="1"/>
  <c r="O260" i="1"/>
  <c r="AO38" i="3" s="1"/>
  <c r="AO39" i="3" s="1"/>
  <c r="F501" i="1"/>
  <c r="AY37" i="3" s="1"/>
  <c r="F551" i="1"/>
  <c r="BA41" i="3" s="1"/>
  <c r="H1296" i="1"/>
  <c r="CE49" i="3" s="1"/>
  <c r="CE51" i="3" s="1"/>
  <c r="CE35" i="3" s="1"/>
  <c r="B1236" i="1"/>
  <c r="K1370" i="1"/>
  <c r="CH43" i="3" s="1"/>
  <c r="K1272" i="1"/>
  <c r="F41" i="5"/>
  <c r="D41" i="3" s="1"/>
  <c r="D43" i="3" s="1"/>
  <c r="F193" i="5"/>
  <c r="K49" i="3" s="1"/>
  <c r="K51" i="3" s="1"/>
  <c r="K61" i="3" s="1"/>
  <c r="K65" i="3" s="1"/>
  <c r="CS20" i="3"/>
  <c r="CS72" i="3" s="1"/>
  <c r="CS78" i="3" s="1"/>
  <c r="CS81" i="3" s="1"/>
  <c r="H1874" i="1"/>
  <c r="O2091" i="1"/>
  <c r="E175" i="5"/>
  <c r="CM47" i="3"/>
  <c r="CM60" i="3" s="1"/>
  <c r="CM64" i="3" s="1"/>
  <c r="F84" i="1"/>
  <c r="L545" i="5"/>
  <c r="AA50" i="3" s="1"/>
  <c r="K598" i="1"/>
  <c r="BC39" i="3" s="1"/>
  <c r="K648" i="1"/>
  <c r="BE51" i="3" s="1"/>
  <c r="BE61" i="3" s="1"/>
  <c r="BE65" i="3" s="1"/>
  <c r="O1558" i="1"/>
  <c r="CP46" i="3" s="1"/>
  <c r="K981" i="1"/>
  <c r="BR43" i="3" s="1"/>
  <c r="K1031" i="1"/>
  <c r="BT43" i="3" s="1"/>
  <c r="J20" i="3"/>
  <c r="G20" i="3"/>
  <c r="D2472" i="1"/>
  <c r="H2472" i="1" s="1"/>
  <c r="EB37" i="3" s="1"/>
  <c r="EB39" i="3" s="1"/>
  <c r="M2530" i="1"/>
  <c r="O2422" i="1"/>
  <c r="DZ46" i="3" s="1"/>
  <c r="O2302" i="1"/>
  <c r="DU46" i="3" s="1"/>
  <c r="J218" i="1"/>
  <c r="E219" i="1"/>
  <c r="L219" i="1"/>
  <c r="K218" i="1"/>
  <c r="C219" i="1"/>
  <c r="E218" i="1"/>
  <c r="D218" i="1"/>
  <c r="AM9" i="3"/>
  <c r="C218" i="1"/>
  <c r="D219" i="1"/>
  <c r="AY51" i="3"/>
  <c r="BE69" i="3"/>
  <c r="BF69" i="3"/>
  <c r="BF70" i="3" s="1"/>
  <c r="BD69" i="3"/>
  <c r="BD70" i="3" s="1"/>
  <c r="BD64" i="3"/>
  <c r="CW64" i="3"/>
  <c r="O1587" i="1"/>
  <c r="G47" i="3"/>
  <c r="L42" i="5"/>
  <c r="CG9" i="3"/>
  <c r="L1347" i="1"/>
  <c r="E505" i="5"/>
  <c r="E504" i="5"/>
  <c r="I505" i="5"/>
  <c r="D505" i="5"/>
  <c r="J504" i="5"/>
  <c r="K504" i="5"/>
  <c r="L304" i="5"/>
  <c r="P38" i="3" s="1"/>
  <c r="CB61" i="3"/>
  <c r="CB65" i="3" s="1"/>
  <c r="CB66" i="3" s="1"/>
  <c r="CB35" i="3"/>
  <c r="H1586" i="1"/>
  <c r="G26" i="3"/>
  <c r="AO61" i="3"/>
  <c r="AO65" i="3" s="1"/>
  <c r="DN39" i="3"/>
  <c r="L9" i="3"/>
  <c r="D219" i="5"/>
  <c r="J219" i="5"/>
  <c r="D218" i="5"/>
  <c r="K218" i="5"/>
  <c r="E219" i="5"/>
  <c r="K219" i="5"/>
  <c r="C218" i="5"/>
  <c r="J218" i="5"/>
  <c r="E218" i="5"/>
  <c r="I218" i="5"/>
  <c r="L218" i="5" s="1"/>
  <c r="C219" i="5"/>
  <c r="O1586" i="1"/>
  <c r="C34" i="3"/>
  <c r="K1082" i="1"/>
  <c r="DA47" i="3"/>
  <c r="DA60" i="3" s="1"/>
  <c r="K373" i="5"/>
  <c r="E373" i="5"/>
  <c r="E9" i="3"/>
  <c r="K64" i="5"/>
  <c r="L64" i="5" s="1"/>
  <c r="D64" i="5"/>
  <c r="J65" i="5"/>
  <c r="L65" i="5" s="1"/>
  <c r="M1443" i="1"/>
  <c r="P1444" i="1"/>
  <c r="R76" i="3"/>
  <c r="W76" i="3"/>
  <c r="AB76" i="3"/>
  <c r="Q76" i="3"/>
  <c r="AC76" i="3"/>
  <c r="B7" i="7" s="1"/>
  <c r="L55" i="3"/>
  <c r="Z76" i="3"/>
  <c r="M76" i="3"/>
  <c r="T76" i="3"/>
  <c r="V76" i="3"/>
  <c r="L76" i="3"/>
  <c r="U76" i="3"/>
  <c r="N76" i="3"/>
  <c r="Y76" i="3"/>
  <c r="X76" i="3"/>
  <c r="O76" i="3"/>
  <c r="L30" i="3"/>
  <c r="H1587" i="1"/>
  <c r="CW72" i="3"/>
  <c r="CW78" i="3" s="1"/>
  <c r="CW81" i="3" s="1"/>
  <c r="I68" i="3"/>
  <c r="H1898" i="1"/>
  <c r="L43" i="5"/>
  <c r="F1610" i="1"/>
  <c r="E1610" i="1"/>
  <c r="G1611" i="1"/>
  <c r="K1611" i="1"/>
  <c r="L1611" i="1"/>
  <c r="F1611" i="1"/>
  <c r="O215" i="1"/>
  <c r="AM50" i="3" s="1"/>
  <c r="AM34" i="3"/>
  <c r="CW51" i="3"/>
  <c r="K2378" i="1"/>
  <c r="O2378" i="1" s="1"/>
  <c r="DX30" i="3" s="1"/>
  <c r="K549" i="5"/>
  <c r="I549" i="5"/>
  <c r="D549" i="5"/>
  <c r="F549" i="5" s="1"/>
  <c r="J549" i="5"/>
  <c r="E549" i="5"/>
  <c r="K548" i="5"/>
  <c r="I548" i="5"/>
  <c r="E548" i="5"/>
  <c r="D548" i="5"/>
  <c r="J548" i="5"/>
  <c r="AA9" i="3"/>
  <c r="G6" i="4"/>
  <c r="F6" i="4"/>
  <c r="E241" i="1"/>
  <c r="F241" i="1" s="1"/>
  <c r="K241" i="1"/>
  <c r="L240" i="1"/>
  <c r="D240" i="1"/>
  <c r="F240" i="1" s="1"/>
  <c r="L241" i="1"/>
  <c r="E577" i="1"/>
  <c r="D577" i="1"/>
  <c r="J577" i="1"/>
  <c r="BX34" i="3"/>
  <c r="BX33" i="3"/>
  <c r="AL55" i="3"/>
  <c r="AQ76" i="3"/>
  <c r="AN76" i="3"/>
  <c r="AP76" i="3"/>
  <c r="AS76" i="3"/>
  <c r="AM76" i="3"/>
  <c r="AR76" i="3"/>
  <c r="H2283" i="1"/>
  <c r="DT33" i="3" s="1"/>
  <c r="AV26" i="3"/>
  <c r="CT22" i="3"/>
  <c r="CT23" i="3" s="1"/>
  <c r="CT24" i="3" s="1"/>
  <c r="CT26" i="3"/>
  <c r="CT30" i="3" s="1"/>
  <c r="H44" i="4"/>
  <c r="F44" i="4"/>
  <c r="G44" i="4"/>
  <c r="H18" i="4"/>
  <c r="G18" i="4"/>
  <c r="F18" i="4"/>
  <c r="DI7" i="3"/>
  <c r="M2002" i="1"/>
  <c r="E1994" i="1"/>
  <c r="L1994" i="1"/>
  <c r="M1995" i="1"/>
  <c r="F1994" i="1"/>
  <c r="K1994" i="1"/>
  <c r="L1995" i="1"/>
  <c r="K1995" i="1"/>
  <c r="O2114" i="1"/>
  <c r="O17" i="1"/>
  <c r="AD50" i="3" s="1"/>
  <c r="H56" i="4"/>
  <c r="F56" i="4"/>
  <c r="G56" i="4"/>
  <c r="CC34" i="3"/>
  <c r="CC35" i="3"/>
  <c r="CC9" i="3"/>
  <c r="H1251" i="1"/>
  <c r="J1252" i="1"/>
  <c r="H1252" i="1"/>
  <c r="H1704" i="1"/>
  <c r="CV37" i="3" s="1"/>
  <c r="M1970" i="1"/>
  <c r="L1970" i="1"/>
  <c r="F1971" i="1"/>
  <c r="G1971" i="1"/>
  <c r="N1971" i="1"/>
  <c r="D1970" i="1"/>
  <c r="M1971" i="1"/>
  <c r="L1971" i="1"/>
  <c r="O1971" i="1" s="1"/>
  <c r="N1970" i="1"/>
  <c r="B2003" i="1"/>
  <c r="N2019" i="1" s="1"/>
  <c r="BB35" i="3"/>
  <c r="K781" i="1"/>
  <c r="H68" i="3"/>
  <c r="H2114" i="1"/>
  <c r="D30" i="3"/>
  <c r="H2115" i="1"/>
  <c r="F196" i="5"/>
  <c r="N2211" i="1"/>
  <c r="O2211" i="1" s="1"/>
  <c r="F2210" i="1"/>
  <c r="M2210" i="1"/>
  <c r="K2210" i="1"/>
  <c r="O2210" i="1" s="1"/>
  <c r="BU35" i="3"/>
  <c r="BU33" i="3"/>
  <c r="BU34" i="3"/>
  <c r="BF6" i="3"/>
  <c r="BF24" i="3" s="1"/>
  <c r="M659" i="1"/>
  <c r="B661" i="1"/>
  <c r="DM29" i="3"/>
  <c r="I907" i="1"/>
  <c r="H907" i="1"/>
  <c r="K907" i="1" s="1"/>
  <c r="O548" i="1"/>
  <c r="BA46" i="3" s="1"/>
  <c r="H1895" i="1"/>
  <c r="DD49" i="3" s="1"/>
  <c r="L34" i="3"/>
  <c r="M1163" i="1"/>
  <c r="B1164" i="1"/>
  <c r="H1132" i="1"/>
  <c r="I1131" i="1"/>
  <c r="H1131" i="1"/>
  <c r="J1131" i="1"/>
  <c r="I1132" i="1"/>
  <c r="CX51" i="3"/>
  <c r="DP60" i="3"/>
  <c r="AC31" i="3"/>
  <c r="BB33" i="3"/>
  <c r="CK33" i="3"/>
  <c r="F109" i="5"/>
  <c r="CK68" i="3"/>
  <c r="L68" i="3"/>
  <c r="F2379" i="1"/>
  <c r="J197" i="5"/>
  <c r="G2210" i="1"/>
  <c r="C64" i="5"/>
  <c r="F64" i="5" s="1"/>
  <c r="L479" i="1"/>
  <c r="O479" i="1" s="1"/>
  <c r="M552" i="1"/>
  <c r="J553" i="1"/>
  <c r="D552" i="1"/>
  <c r="M553" i="1"/>
  <c r="C552" i="1"/>
  <c r="F552" i="1" s="1"/>
  <c r="D553" i="1"/>
  <c r="C553" i="1"/>
  <c r="BA9" i="3"/>
  <c r="K552" i="1"/>
  <c r="L553" i="1"/>
  <c r="L552" i="1"/>
  <c r="J552" i="1"/>
  <c r="F13" i="4"/>
  <c r="G13" i="4"/>
  <c r="B94" i="1"/>
  <c r="N2186" i="1"/>
  <c r="O2186" i="1" s="1"/>
  <c r="F2186" i="1"/>
  <c r="H2186" i="1" s="1"/>
  <c r="CF33" i="3"/>
  <c r="BE58" i="3"/>
  <c r="BE57" i="3" s="1"/>
  <c r="K983" i="1"/>
  <c r="O1730" i="1"/>
  <c r="CF78" i="3"/>
  <c r="AT26" i="3"/>
  <c r="AV27" i="3"/>
  <c r="AV56" i="3" s="1"/>
  <c r="CG27" i="3"/>
  <c r="CG56" i="3" s="1"/>
  <c r="Z27" i="3"/>
  <c r="Z56" i="3" s="1"/>
  <c r="D2379" i="1"/>
  <c r="I197" i="5"/>
  <c r="L197" i="5" s="1"/>
  <c r="D2211" i="1"/>
  <c r="N1610" i="1"/>
  <c r="CG51" i="3"/>
  <c r="CG61" i="3" s="1"/>
  <c r="CG65" i="3" s="1"/>
  <c r="AX27" i="3"/>
  <c r="AX56" i="3" s="1"/>
  <c r="AX22" i="3"/>
  <c r="AX23" i="3" s="1"/>
  <c r="AX24" i="3" s="1"/>
  <c r="D576" i="1"/>
  <c r="L546" i="5"/>
  <c r="AA38" i="3" s="1"/>
  <c r="G38" i="4"/>
  <c r="F38" i="4"/>
  <c r="H38" i="4"/>
  <c r="H25" i="4"/>
  <c r="G25" i="4"/>
  <c r="F25" i="4"/>
  <c r="AC30" i="3"/>
  <c r="CV72" i="3"/>
  <c r="CV78" i="3" s="1"/>
  <c r="CV81" i="3" s="1"/>
  <c r="K982" i="1"/>
  <c r="CU72" i="3"/>
  <c r="CU78" i="3" s="1"/>
  <c r="CU81" i="3" s="1"/>
  <c r="BO62" i="3"/>
  <c r="CJ68" i="3"/>
  <c r="AT31" i="3"/>
  <c r="K68" i="3"/>
  <c r="O2138" i="1"/>
  <c r="DZ39" i="3"/>
  <c r="N2379" i="1"/>
  <c r="F43" i="3"/>
  <c r="E197" i="5"/>
  <c r="G2211" i="1"/>
  <c r="D1347" i="1"/>
  <c r="F1300" i="1"/>
  <c r="E1299" i="1"/>
  <c r="H1299" i="1" s="1"/>
  <c r="E1300" i="1"/>
  <c r="BT60" i="3"/>
  <c r="BT31" i="3"/>
  <c r="F51" i="4"/>
  <c r="G51" i="4"/>
  <c r="CI39" i="3"/>
  <c r="CR39" i="3"/>
  <c r="S61" i="3"/>
  <c r="S65" i="3" s="1"/>
  <c r="CG22" i="3"/>
  <c r="CG23" i="3" s="1"/>
  <c r="CG24" i="3" s="1"/>
  <c r="O1923" i="1"/>
  <c r="O1875" i="1"/>
  <c r="M2379" i="1"/>
  <c r="O2379" i="1" s="1"/>
  <c r="DX34" i="3" s="1"/>
  <c r="D197" i="5"/>
  <c r="F197" i="5" s="1"/>
  <c r="E1347" i="1"/>
  <c r="H6" i="4"/>
  <c r="B1835" i="1"/>
  <c r="E1850" i="1" s="1"/>
  <c r="AW6" i="3"/>
  <c r="AW55" i="3" s="1"/>
  <c r="B437" i="1"/>
  <c r="M435" i="1"/>
  <c r="BE62" i="3"/>
  <c r="CQ78" i="3"/>
  <c r="CQ81" i="3" s="1"/>
  <c r="AT22" i="3"/>
  <c r="AT23" i="3" s="1"/>
  <c r="AT24" i="3" s="1"/>
  <c r="G68" i="3"/>
  <c r="H1923" i="1"/>
  <c r="E2210" i="1"/>
  <c r="H2210" i="1" s="1"/>
  <c r="CG47" i="3"/>
  <c r="CG60" i="3" s="1"/>
  <c r="I219" i="5"/>
  <c r="O84" i="1"/>
  <c r="CW26" i="3"/>
  <c r="CW31" i="3" s="1"/>
  <c r="M1810" i="1"/>
  <c r="B1811" i="1"/>
  <c r="BZ72" i="3"/>
  <c r="BT72" i="3"/>
  <c r="BI27" i="3"/>
  <c r="BI56" i="3" s="1"/>
  <c r="CD72" i="3"/>
  <c r="BO72" i="3"/>
  <c r="BI22" i="3"/>
  <c r="BI23" i="3" s="1"/>
  <c r="BI24" i="3" s="1"/>
  <c r="BD68" i="3"/>
  <c r="BD78" i="3" s="1"/>
  <c r="BD22" i="3"/>
  <c r="BD23" i="3" s="1"/>
  <c r="BG68" i="3"/>
  <c r="BG78" i="3" s="1"/>
  <c r="BK68" i="3"/>
  <c r="BH68" i="3"/>
  <c r="BE68" i="3"/>
  <c r="BE78" i="3" s="1"/>
  <c r="BJ68" i="3"/>
  <c r="CC68" i="3"/>
  <c r="BI68" i="3"/>
  <c r="BO68" i="3"/>
  <c r="F41" i="1"/>
  <c r="L302" i="5"/>
  <c r="P46" i="3" s="1"/>
  <c r="F307" i="1"/>
  <c r="F523" i="5"/>
  <c r="Z49" i="3" s="1"/>
  <c r="AA26" i="3"/>
  <c r="X27" i="3"/>
  <c r="X56" i="3" s="1"/>
  <c r="U22" i="3"/>
  <c r="U23" i="3" s="1"/>
  <c r="U24" i="3" s="1"/>
  <c r="O68" i="3"/>
  <c r="I23" i="3"/>
  <c r="I24" i="3" s="1"/>
  <c r="D47" i="3"/>
  <c r="DG43" i="3"/>
  <c r="CE43" i="3"/>
  <c r="O424" i="1"/>
  <c r="AV46" i="3" s="1"/>
  <c r="O426" i="1"/>
  <c r="AV38" i="3" s="1"/>
  <c r="F126" i="1"/>
  <c r="AI45" i="3" s="1"/>
  <c r="AI29" i="3" s="1"/>
  <c r="L371" i="5"/>
  <c r="S42" i="3" s="1"/>
  <c r="S43" i="3" s="1"/>
  <c r="F326" i="5"/>
  <c r="Q37" i="3" s="1"/>
  <c r="O572" i="1"/>
  <c r="BB46" i="3" s="1"/>
  <c r="BB30" i="3" s="1"/>
  <c r="B992" i="1"/>
  <c r="M1331" i="1"/>
  <c r="CG7" i="3" s="1"/>
  <c r="CG26" i="3" s="1"/>
  <c r="H1415" i="1"/>
  <c r="CJ45" i="3" s="1"/>
  <c r="O1439" i="1"/>
  <c r="CK46" i="3" s="1"/>
  <c r="CK30" i="3" s="1"/>
  <c r="O1487" i="1"/>
  <c r="CM50" i="3" s="1"/>
  <c r="O1582" i="1"/>
  <c r="CQ46" i="3" s="1"/>
  <c r="CQ30" i="3" s="1"/>
  <c r="H1918" i="1"/>
  <c r="DE45" i="3" s="1"/>
  <c r="H1921" i="1"/>
  <c r="DE41" i="3" s="1"/>
  <c r="DE43" i="3" s="1"/>
  <c r="B1763" i="1"/>
  <c r="E1779" i="1" s="1"/>
  <c r="O2159" i="1"/>
  <c r="DO50" i="3" s="1"/>
  <c r="DO51" i="3" s="1"/>
  <c r="O2161" i="1"/>
  <c r="DO42" i="3" s="1"/>
  <c r="DO43" i="3" s="1"/>
  <c r="K1224" i="1"/>
  <c r="F40" i="5"/>
  <c r="D37" i="3" s="1"/>
  <c r="D39" i="3" s="1"/>
  <c r="DN20" i="3"/>
  <c r="DN51" i="3" s="1"/>
  <c r="AZ16" i="3"/>
  <c r="AZ22" i="3" s="1"/>
  <c r="AZ23" i="3" s="1"/>
  <c r="AW20" i="3"/>
  <c r="AR16" i="3"/>
  <c r="AD20" i="3"/>
  <c r="DY16" i="3"/>
  <c r="DY47" i="3" s="1"/>
  <c r="DY60" i="3" s="1"/>
  <c r="DY64" i="3" s="1"/>
  <c r="CH23" i="3"/>
  <c r="CH24" i="3" s="1"/>
  <c r="F107" i="1"/>
  <c r="O236" i="1"/>
  <c r="AN46" i="3" s="1"/>
  <c r="AN47" i="3" s="1"/>
  <c r="B336" i="5"/>
  <c r="L280" i="5"/>
  <c r="O46" i="3" s="1"/>
  <c r="O47" i="3" s="1"/>
  <c r="O60" i="3" s="1"/>
  <c r="O64" i="3" s="1"/>
  <c r="B402" i="5"/>
  <c r="F413" i="5"/>
  <c r="U49" i="3" s="1"/>
  <c r="F459" i="5"/>
  <c r="W41" i="3" s="1"/>
  <c r="W43" i="3" s="1"/>
  <c r="F476" i="1"/>
  <c r="AX37" i="3" s="1"/>
  <c r="K955" i="1"/>
  <c r="BQ39" i="3" s="1"/>
  <c r="M1738" i="1"/>
  <c r="H1873" i="1"/>
  <c r="DC41" i="3" s="1"/>
  <c r="DC43" i="3" s="1"/>
  <c r="O2017" i="1"/>
  <c r="DI42" i="3" s="1"/>
  <c r="O2113" i="1"/>
  <c r="DM42" i="3" s="1"/>
  <c r="BZ23" i="3"/>
  <c r="BZ24" i="3" s="1"/>
  <c r="H2231" i="1"/>
  <c r="DR49" i="3" s="1"/>
  <c r="AS51" i="3"/>
  <c r="AS61" i="3" s="1"/>
  <c r="AS65" i="3" s="1"/>
  <c r="DF47" i="3"/>
  <c r="DF60" i="3" s="1"/>
  <c r="DF64" i="3" s="1"/>
  <c r="F172" i="1"/>
  <c r="Q26" i="3"/>
  <c r="L349" i="5"/>
  <c r="R42" i="3" s="1"/>
  <c r="R43" i="3" s="1"/>
  <c r="F303" i="1"/>
  <c r="AQ49" i="3" s="1"/>
  <c r="AQ33" i="3" s="1"/>
  <c r="F280" i="1"/>
  <c r="AP45" i="3" s="1"/>
  <c r="AP47" i="3" s="1"/>
  <c r="AP60" i="3" s="1"/>
  <c r="F326" i="1"/>
  <c r="AR45" i="3" s="1"/>
  <c r="F192" i="1"/>
  <c r="AL45" i="3" s="1"/>
  <c r="O263" i="1"/>
  <c r="O302" i="1"/>
  <c r="AQ46" i="3" s="1"/>
  <c r="O307" i="1"/>
  <c r="O350" i="1"/>
  <c r="AS46" i="3" s="1"/>
  <c r="F238" i="5"/>
  <c r="M37" i="3" s="1"/>
  <c r="F261" i="5"/>
  <c r="N41" i="3" s="1"/>
  <c r="N43" i="3" s="1"/>
  <c r="F327" i="5"/>
  <c r="Q41" i="3" s="1"/>
  <c r="O376" i="1"/>
  <c r="AT38" i="3" s="1"/>
  <c r="AT39" i="3" s="1"/>
  <c r="O527" i="1"/>
  <c r="AZ42" i="3" s="1"/>
  <c r="K931" i="1"/>
  <c r="CI47" i="3"/>
  <c r="CI60" i="3" s="1"/>
  <c r="CI64" i="3" s="1"/>
  <c r="H1394" i="1"/>
  <c r="CI41" i="3" s="1"/>
  <c r="O1415" i="1"/>
  <c r="CJ46" i="3" s="1"/>
  <c r="H1418" i="1"/>
  <c r="CJ41" i="3" s="1"/>
  <c r="CJ43" i="3" s="1"/>
  <c r="B1017" i="1"/>
  <c r="H2185" i="1"/>
  <c r="DP41" i="3" s="1"/>
  <c r="DP43" i="3" s="1"/>
  <c r="I76" i="3"/>
  <c r="DN16" i="3"/>
  <c r="F105" i="5"/>
  <c r="G49" i="3" s="1"/>
  <c r="M2194" i="1"/>
  <c r="DO76" i="3"/>
  <c r="EE7" i="3"/>
  <c r="EK76" i="3"/>
  <c r="DV39" i="3"/>
  <c r="T47" i="3"/>
  <c r="T60" i="3" s="1"/>
  <c r="T64" i="3" s="1"/>
  <c r="F85" i="1"/>
  <c r="F106" i="1"/>
  <c r="O128" i="1"/>
  <c r="L525" i="5"/>
  <c r="Z42" i="3" s="1"/>
  <c r="F566" i="5"/>
  <c r="AB45" i="3" s="1"/>
  <c r="F589" i="5"/>
  <c r="AC49" i="3" s="1"/>
  <c r="AC33" i="3" s="1"/>
  <c r="B116" i="1"/>
  <c r="F399" i="1"/>
  <c r="AU45" i="3" s="1"/>
  <c r="AU29" i="3" s="1"/>
  <c r="O401" i="1"/>
  <c r="AU38" i="3" s="1"/>
  <c r="M787" i="1"/>
  <c r="B1667" i="1"/>
  <c r="M1834" i="1"/>
  <c r="H1488" i="1"/>
  <c r="CM37" i="3" s="1"/>
  <c r="O1537" i="1"/>
  <c r="CO42" i="3" s="1"/>
  <c r="CO43" i="3" s="1"/>
  <c r="H1560" i="1"/>
  <c r="CP37" i="3" s="1"/>
  <c r="CP39" i="3" s="1"/>
  <c r="O1704" i="1"/>
  <c r="CV38" i="3" s="1"/>
  <c r="O1729" i="1"/>
  <c r="CW42" i="3" s="1"/>
  <c r="CW43" i="3" s="1"/>
  <c r="O1777" i="1"/>
  <c r="CY42" i="3" s="1"/>
  <c r="CY43" i="3" s="1"/>
  <c r="F106" i="5"/>
  <c r="G37" i="3" s="1"/>
  <c r="G39" i="3" s="1"/>
  <c r="B138" i="5"/>
  <c r="K153" i="5" s="1"/>
  <c r="H2446" i="1"/>
  <c r="EA45" i="3" s="1"/>
  <c r="O2519" i="1"/>
  <c r="ED50" i="3" s="1"/>
  <c r="H2280" i="1"/>
  <c r="DT37" i="3" s="1"/>
  <c r="DT39" i="3" s="1"/>
  <c r="DJ39" i="3"/>
  <c r="CR27" i="3"/>
  <c r="CR56" i="3" s="1"/>
  <c r="F214" i="1"/>
  <c r="AM45" i="3" s="1"/>
  <c r="AM29" i="3" s="1"/>
  <c r="B512" i="5"/>
  <c r="F479" i="5"/>
  <c r="X49" i="3" s="1"/>
  <c r="F502" i="5"/>
  <c r="Y37" i="3" s="1"/>
  <c r="F590" i="5"/>
  <c r="AC37" i="3" s="1"/>
  <c r="AC39" i="3" s="1"/>
  <c r="O476" i="1"/>
  <c r="AX38" i="3" s="1"/>
  <c r="F502" i="1"/>
  <c r="AY41" i="3" s="1"/>
  <c r="BD26" i="3"/>
  <c r="K956" i="1"/>
  <c r="BQ43" i="3" s="1"/>
  <c r="H1510" i="1"/>
  <c r="CN45" i="3" s="1"/>
  <c r="CN47" i="3" s="1"/>
  <c r="CN60" i="3" s="1"/>
  <c r="CN64" i="3" s="1"/>
  <c r="O1512" i="1"/>
  <c r="CN38" i="3" s="1"/>
  <c r="CN39" i="3" s="1"/>
  <c r="L18" i="5"/>
  <c r="C38" i="3" s="1"/>
  <c r="H2639" i="1"/>
  <c r="EI49" i="3" s="1"/>
  <c r="O2470" i="1"/>
  <c r="EB46" i="3" s="1"/>
  <c r="O18" i="1"/>
  <c r="F63" i="1"/>
  <c r="F217" i="5"/>
  <c r="L41" i="3" s="1"/>
  <c r="L502" i="5"/>
  <c r="Y38" i="3" s="1"/>
  <c r="F304" i="1"/>
  <c r="AQ37" i="3" s="1"/>
  <c r="AQ39" i="3" s="1"/>
  <c r="F194" i="1"/>
  <c r="O1440" i="1"/>
  <c r="CK50" i="3" s="1"/>
  <c r="CK34" i="3" s="1"/>
  <c r="O1488" i="1"/>
  <c r="CM38" i="3" s="1"/>
  <c r="H1702" i="1"/>
  <c r="CV45" i="3" s="1"/>
  <c r="O1896" i="1"/>
  <c r="DD38" i="3" s="1"/>
  <c r="DD39" i="3" s="1"/>
  <c r="K1226" i="1"/>
  <c r="CB43" i="3" s="1"/>
  <c r="L194" i="5"/>
  <c r="K38" i="3" s="1"/>
  <c r="K39" i="3" s="1"/>
  <c r="B2291" i="1"/>
  <c r="H2329" i="1"/>
  <c r="DV41" i="3" s="1"/>
  <c r="DV43" i="3" s="1"/>
  <c r="I47" i="3"/>
  <c r="O16" i="1"/>
  <c r="AD46" i="3" s="1"/>
  <c r="F150" i="1"/>
  <c r="O172" i="1"/>
  <c r="L457" i="5"/>
  <c r="W50" i="3" s="1"/>
  <c r="L480" i="5"/>
  <c r="X38" i="3" s="1"/>
  <c r="L566" i="5"/>
  <c r="AB46" i="3" s="1"/>
  <c r="BV26" i="3"/>
  <c r="B1356" i="1"/>
  <c r="O1583" i="1"/>
  <c r="CQ50" i="3" s="1"/>
  <c r="CQ34" i="3" s="1"/>
  <c r="H1606" i="1"/>
  <c r="CR45" i="3" s="1"/>
  <c r="H1609" i="1"/>
  <c r="CR41" i="3" s="1"/>
  <c r="CR43" i="3" s="1"/>
  <c r="H1894" i="1"/>
  <c r="DD45" i="3" s="1"/>
  <c r="DD29" i="3" s="1"/>
  <c r="AP20" i="3"/>
  <c r="AP22" i="3" s="1"/>
  <c r="AP23" i="3" s="1"/>
  <c r="AP24" i="3" s="1"/>
  <c r="B2627" i="1"/>
  <c r="EI9" i="3" s="1"/>
  <c r="EG20" i="3"/>
  <c r="H2518" i="1"/>
  <c r="ED45" i="3" s="1"/>
  <c r="DQ20" i="3"/>
  <c r="F282" i="1"/>
  <c r="AP37" i="3" s="1"/>
  <c r="AP39" i="3" s="1"/>
  <c r="AR39" i="3"/>
  <c r="F38" i="1"/>
  <c r="AE45" i="3" s="1"/>
  <c r="O192" i="1"/>
  <c r="AL46" i="3" s="1"/>
  <c r="F503" i="5"/>
  <c r="Y41" i="3" s="1"/>
  <c r="O474" i="1"/>
  <c r="AX46" i="3" s="1"/>
  <c r="AX47" i="3" s="1"/>
  <c r="M584" i="1"/>
  <c r="BC7" i="3" s="1"/>
  <c r="BC26" i="3" s="1"/>
  <c r="K753" i="1"/>
  <c r="BI43" i="3" s="1"/>
  <c r="K1175" i="1"/>
  <c r="BZ47" i="3" s="1"/>
  <c r="M1690" i="1"/>
  <c r="H1392" i="1"/>
  <c r="CI49" i="3" s="1"/>
  <c r="CI51" i="3" s="1"/>
  <c r="O1702" i="1"/>
  <c r="CV46" i="3" s="1"/>
  <c r="CV30" i="3" s="1"/>
  <c r="O2158" i="1"/>
  <c r="DO46" i="3" s="1"/>
  <c r="DO47" i="3" s="1"/>
  <c r="K1055" i="1"/>
  <c r="BU39" i="3" s="1"/>
  <c r="L82" i="5"/>
  <c r="F46" i="3" s="1"/>
  <c r="F30" i="3" s="1"/>
  <c r="L107" i="5"/>
  <c r="G42" i="3" s="1"/>
  <c r="H2399" i="1"/>
  <c r="DY49" i="3" s="1"/>
  <c r="DW20" i="3"/>
  <c r="DT20" i="3"/>
  <c r="CH33" i="3"/>
  <c r="E593" i="5"/>
  <c r="F593" i="5" s="1"/>
  <c r="F128" i="1"/>
  <c r="L346" i="5"/>
  <c r="R46" i="3" s="1"/>
  <c r="L368" i="5"/>
  <c r="S46" i="3" s="1"/>
  <c r="S30" i="3" s="1"/>
  <c r="L503" i="5"/>
  <c r="Y42" i="3" s="1"/>
  <c r="L544" i="5"/>
  <c r="AA46" i="3" s="1"/>
  <c r="AA47" i="3" s="1"/>
  <c r="AA60" i="3" s="1"/>
  <c r="AA64" i="3" s="1"/>
  <c r="K1151" i="1"/>
  <c r="BY47" i="3" s="1"/>
  <c r="B1308" i="1"/>
  <c r="D1324" i="1" s="1"/>
  <c r="H1801" i="1"/>
  <c r="CZ41" i="3" s="1"/>
  <c r="CZ43" i="3" s="1"/>
  <c r="O1846" i="1"/>
  <c r="DB46" i="3" s="1"/>
  <c r="H1897" i="1"/>
  <c r="DD41" i="3" s="1"/>
  <c r="K1006" i="1"/>
  <c r="BS43" i="3" s="1"/>
  <c r="L39" i="5"/>
  <c r="D50" i="3" s="1"/>
  <c r="D34" i="3" s="1"/>
  <c r="O2662" i="1"/>
  <c r="O2494" i="1"/>
  <c r="EC46" i="3" s="1"/>
  <c r="EB20" i="3"/>
  <c r="CU39" i="3"/>
  <c r="DM34" i="3"/>
  <c r="DL51" i="3"/>
  <c r="DL61" i="3" s="1"/>
  <c r="DL65" i="3" s="1"/>
  <c r="O104" i="1"/>
  <c r="AH46" i="3" s="1"/>
  <c r="O239" i="1"/>
  <c r="AN42" i="3" s="1"/>
  <c r="AN43" i="3" s="1"/>
  <c r="F63" i="5"/>
  <c r="E41" i="3" s="1"/>
  <c r="E43" i="3" s="1"/>
  <c r="L173" i="5"/>
  <c r="J42" i="3" s="1"/>
  <c r="J43" i="3" s="1"/>
  <c r="M2362" i="1"/>
  <c r="H2351" i="1"/>
  <c r="DW49" i="3" s="1"/>
  <c r="F17" i="1"/>
  <c r="AD49" i="3" s="1"/>
  <c r="F151" i="1"/>
  <c r="F171" i="1"/>
  <c r="AK49" i="3" s="1"/>
  <c r="L324" i="5"/>
  <c r="Q46" i="3" s="1"/>
  <c r="L481" i="5"/>
  <c r="X42" i="3" s="1"/>
  <c r="X43" i="3" s="1"/>
  <c r="K879" i="1"/>
  <c r="BN51" i="3" s="1"/>
  <c r="BN61" i="3" s="1"/>
  <c r="BN65" i="3" s="1"/>
  <c r="H2015" i="1"/>
  <c r="DI49" i="3" s="1"/>
  <c r="DI51" i="3" s="1"/>
  <c r="DI61" i="3" s="1"/>
  <c r="DI65" i="3" s="1"/>
  <c r="H2040" i="1"/>
  <c r="DJ37" i="3" s="1"/>
  <c r="H2063" i="1"/>
  <c r="DK49" i="3" s="1"/>
  <c r="H2113" i="1"/>
  <c r="DM41" i="3" s="1"/>
  <c r="DM43" i="3" s="1"/>
  <c r="B2027" i="1"/>
  <c r="K1105" i="1"/>
  <c r="BW39" i="3" s="1"/>
  <c r="M2242" i="1"/>
  <c r="H2470" i="1"/>
  <c r="EB45" i="3" s="1"/>
  <c r="DZ16" i="3"/>
  <c r="EE20" i="3"/>
  <c r="DX39" i="3"/>
  <c r="C43" i="3"/>
  <c r="F40" i="1"/>
  <c r="L436" i="5"/>
  <c r="V38" i="3" s="1"/>
  <c r="V39" i="3" s="1"/>
  <c r="L237" i="5"/>
  <c r="M50" i="3" s="1"/>
  <c r="M51" i="3" s="1"/>
  <c r="M61" i="3" s="1"/>
  <c r="M65" i="3" s="1"/>
  <c r="F375" i="1"/>
  <c r="AT49" i="3" s="1"/>
  <c r="AT51" i="3" s="1"/>
  <c r="F550" i="1"/>
  <c r="BA37" i="3" s="1"/>
  <c r="K1078" i="1"/>
  <c r="BV47" i="3" s="1"/>
  <c r="M1403" i="1"/>
  <c r="CJ7" i="3" s="1"/>
  <c r="CJ26" i="3" s="1"/>
  <c r="H1439" i="1"/>
  <c r="CK45" i="3" s="1"/>
  <c r="CK29" i="3" s="1"/>
  <c r="H1967" i="1"/>
  <c r="DG49" i="3" s="1"/>
  <c r="H1990" i="1"/>
  <c r="DH45" i="3" s="1"/>
  <c r="DH29" i="3" s="1"/>
  <c r="H1992" i="1"/>
  <c r="DH37" i="3" s="1"/>
  <c r="DH39" i="3" s="1"/>
  <c r="AE16" i="3"/>
  <c r="O2254" i="1"/>
  <c r="DS46" i="3" s="1"/>
  <c r="DQ16" i="3"/>
  <c r="DU20" i="3"/>
  <c r="O2231" i="1"/>
  <c r="DR50" i="3" s="1"/>
  <c r="DS16" i="3"/>
  <c r="O2206" i="1"/>
  <c r="DQ46" i="3" s="1"/>
  <c r="E51" i="3"/>
  <c r="E61" i="3" s="1"/>
  <c r="E65" i="3" s="1"/>
  <c r="M536" i="1"/>
  <c r="BA7" i="3" s="1"/>
  <c r="BA26" i="3" s="1"/>
  <c r="L437" i="5"/>
  <c r="V42" i="3" s="1"/>
  <c r="F546" i="5"/>
  <c r="AA37" i="3" s="1"/>
  <c r="F569" i="5"/>
  <c r="AB41" i="3" s="1"/>
  <c r="B488" i="1"/>
  <c r="K503" i="1" s="1"/>
  <c r="F527" i="1"/>
  <c r="AZ41" i="3" s="1"/>
  <c r="AZ43" i="3" s="1"/>
  <c r="K596" i="1"/>
  <c r="BC47" i="3" s="1"/>
  <c r="K698" i="1"/>
  <c r="BG47" i="3" s="1"/>
  <c r="K724" i="1"/>
  <c r="BH47" i="3" s="1"/>
  <c r="BH60" i="3" s="1"/>
  <c r="BH64" i="3" s="1"/>
  <c r="M1474" i="1"/>
  <c r="CM7" i="3" s="1"/>
  <c r="CM26" i="3" s="1"/>
  <c r="H1487" i="1"/>
  <c r="CM49" i="3" s="1"/>
  <c r="H1534" i="1"/>
  <c r="CO45" i="3" s="1"/>
  <c r="K1079" i="1"/>
  <c r="BV51" i="3" s="1"/>
  <c r="EF20" i="3"/>
  <c r="O2592" i="1"/>
  <c r="EG38" i="3" s="1"/>
  <c r="H2614" i="1"/>
  <c r="EH45" i="3" s="1"/>
  <c r="Q34" i="3"/>
  <c r="Q33" i="3"/>
  <c r="Q35" i="3"/>
  <c r="AP64" i="3"/>
  <c r="CE31" i="3"/>
  <c r="CE60" i="3"/>
  <c r="DR7" i="3"/>
  <c r="M2218" i="1"/>
  <c r="CP65" i="3"/>
  <c r="M47" i="3"/>
  <c r="U26" i="3"/>
  <c r="BR60" i="3"/>
  <c r="BR31" i="3"/>
  <c r="D1778" i="1"/>
  <c r="CY9" i="3"/>
  <c r="K1779" i="1"/>
  <c r="L1779" i="1"/>
  <c r="K1778" i="1"/>
  <c r="M1778" i="1"/>
  <c r="L1778" i="1"/>
  <c r="G1778" i="1"/>
  <c r="M2019" i="1"/>
  <c r="D2019" i="1"/>
  <c r="L2019" i="1"/>
  <c r="D2018" i="1"/>
  <c r="K2019" i="1"/>
  <c r="O2019" i="1" s="1"/>
  <c r="G2018" i="1"/>
  <c r="N2018" i="1"/>
  <c r="M2018" i="1"/>
  <c r="L2018" i="1"/>
  <c r="K2018" i="1"/>
  <c r="R20" i="3"/>
  <c r="R51" i="3"/>
  <c r="N68" i="3"/>
  <c r="M68" i="3"/>
  <c r="M26" i="3"/>
  <c r="Q68" i="3"/>
  <c r="AH33" i="3"/>
  <c r="X26" i="3"/>
  <c r="K1276" i="1"/>
  <c r="AA27" i="3"/>
  <c r="AA56" i="3" s="1"/>
  <c r="AA22" i="3"/>
  <c r="AA23" i="3" s="1"/>
  <c r="AA24" i="3" s="1"/>
  <c r="U27" i="3"/>
  <c r="U56" i="3" s="1"/>
  <c r="B1499" i="1"/>
  <c r="M1498" i="1"/>
  <c r="CN7" i="3" s="1"/>
  <c r="CN26" i="3" s="1"/>
  <c r="P68" i="3"/>
  <c r="M27" i="3"/>
  <c r="M56" i="3" s="1"/>
  <c r="G2426" i="1"/>
  <c r="K2427" i="1"/>
  <c r="E2427" i="1"/>
  <c r="M2426" i="1"/>
  <c r="F2427" i="1"/>
  <c r="N2427" i="1"/>
  <c r="D2427" i="1"/>
  <c r="DZ9" i="3"/>
  <c r="L2426" i="1"/>
  <c r="M2427" i="1"/>
  <c r="K2426" i="1"/>
  <c r="G2427" i="1"/>
  <c r="E2426" i="1"/>
  <c r="L2427" i="1"/>
  <c r="N2426" i="1"/>
  <c r="D2426" i="1"/>
  <c r="X22" i="3"/>
  <c r="X23" i="3" s="1"/>
  <c r="X24" i="3" s="1"/>
  <c r="O240" i="1"/>
  <c r="AA30" i="3"/>
  <c r="DK47" i="3"/>
  <c r="M22" i="3"/>
  <c r="M23" i="3" s="1"/>
  <c r="M24" i="3" s="1"/>
  <c r="F175" i="1"/>
  <c r="AA29" i="3"/>
  <c r="Y64" i="3"/>
  <c r="AA34" i="3"/>
  <c r="AM33" i="3"/>
  <c r="H61" i="3"/>
  <c r="AA33" i="3"/>
  <c r="CW34" i="3"/>
  <c r="CX61" i="3"/>
  <c r="CX65" i="3" s="1"/>
  <c r="BN60" i="3"/>
  <c r="H33" i="3"/>
  <c r="K27" i="3"/>
  <c r="K56" i="3" s="1"/>
  <c r="L72" i="3"/>
  <c r="L78" i="3" s="1"/>
  <c r="L81" i="3" s="1"/>
  <c r="K72" i="3"/>
  <c r="K78" i="3" s="1"/>
  <c r="K26" i="3"/>
  <c r="K22" i="3"/>
  <c r="K23" i="3" s="1"/>
  <c r="K24" i="3" s="1"/>
  <c r="H29" i="3"/>
  <c r="K570" i="5"/>
  <c r="C570" i="5"/>
  <c r="AB9" i="3"/>
  <c r="I571" i="5"/>
  <c r="J571" i="5"/>
  <c r="J570" i="5"/>
  <c r="D571" i="5"/>
  <c r="E570" i="5"/>
  <c r="E571" i="5"/>
  <c r="D570" i="5"/>
  <c r="C571" i="5"/>
  <c r="F571" i="5" s="1"/>
  <c r="I570" i="5"/>
  <c r="BQ35" i="3"/>
  <c r="BQ61" i="3"/>
  <c r="DO26" i="3"/>
  <c r="DO27" i="3"/>
  <c r="DO56" i="3" s="1"/>
  <c r="AH29" i="3"/>
  <c r="AH34" i="3"/>
  <c r="BE9" i="3"/>
  <c r="H652" i="1"/>
  <c r="J652" i="1"/>
  <c r="I652" i="1"/>
  <c r="I651" i="1"/>
  <c r="J651" i="1"/>
  <c r="H651" i="1"/>
  <c r="H1634" i="1"/>
  <c r="U47" i="3"/>
  <c r="CF29" i="3"/>
  <c r="F2426" i="1"/>
  <c r="CF60" i="3"/>
  <c r="CF64" i="3" s="1"/>
  <c r="CF31" i="3"/>
  <c r="G43" i="3"/>
  <c r="L39" i="3"/>
  <c r="L331" i="1"/>
  <c r="K330" i="1"/>
  <c r="J330" i="1"/>
  <c r="J331" i="1"/>
  <c r="E330" i="1"/>
  <c r="AR9" i="3"/>
  <c r="E331" i="1"/>
  <c r="C330" i="1"/>
  <c r="D330" i="1"/>
  <c r="D331" i="1"/>
  <c r="F331" i="1" s="1"/>
  <c r="K331" i="1"/>
  <c r="L330" i="1"/>
  <c r="M866" i="1"/>
  <c r="BN7" i="3" s="1"/>
  <c r="BN26" i="3" s="1"/>
  <c r="B1140" i="1"/>
  <c r="M1139" i="1"/>
  <c r="DI43" i="3"/>
  <c r="BW68" i="3"/>
  <c r="CB68" i="3"/>
  <c r="BU68" i="3"/>
  <c r="BQ68" i="3"/>
  <c r="BX68" i="3"/>
  <c r="BS68" i="3"/>
  <c r="BS78" i="3" s="1"/>
  <c r="CE68" i="3"/>
  <c r="CE78" i="3" s="1"/>
  <c r="CD68" i="3"/>
  <c r="CD78" i="3" s="1"/>
  <c r="BY68" i="3"/>
  <c r="BP68" i="3"/>
  <c r="BP78" i="3" s="1"/>
  <c r="BR68" i="3"/>
  <c r="BN68" i="3"/>
  <c r="BZ68" i="3"/>
  <c r="BZ78" i="3" s="1"/>
  <c r="BT68" i="3"/>
  <c r="BT78" i="3" s="1"/>
  <c r="BL68" i="3"/>
  <c r="BM68" i="3"/>
  <c r="BV68" i="3"/>
  <c r="BK72" i="3"/>
  <c r="BH27" i="3"/>
  <c r="BH56" i="3" s="1"/>
  <c r="CA72" i="3"/>
  <c r="CA78" i="3" s="1"/>
  <c r="BP72" i="3"/>
  <c r="BM72" i="3"/>
  <c r="BU72" i="3"/>
  <c r="BL72" i="3"/>
  <c r="BR72" i="3"/>
  <c r="CB72" i="3"/>
  <c r="BV72" i="3"/>
  <c r="BN72" i="3"/>
  <c r="BW72" i="3"/>
  <c r="BY72" i="3"/>
  <c r="BQ72" i="3"/>
  <c r="BX72" i="3"/>
  <c r="CC72" i="3"/>
  <c r="BJ72" i="3"/>
  <c r="BI72" i="3"/>
  <c r="AW76" i="3"/>
  <c r="AU76" i="3"/>
  <c r="AV76" i="3"/>
  <c r="CO39" i="3"/>
  <c r="AZ51" i="3"/>
  <c r="B2219" i="1"/>
  <c r="F51" i="3"/>
  <c r="K240" i="5"/>
  <c r="E241" i="5"/>
  <c r="C241" i="5"/>
  <c r="D241" i="5"/>
  <c r="C240" i="5"/>
  <c r="E240" i="5"/>
  <c r="I241" i="5"/>
  <c r="D240" i="5"/>
  <c r="I240" i="5"/>
  <c r="M9" i="3"/>
  <c r="CZ39" i="3"/>
  <c r="X51" i="3"/>
  <c r="B380" i="5"/>
  <c r="T7" i="3"/>
  <c r="H23" i="4"/>
  <c r="G23" i="4"/>
  <c r="F23" i="4"/>
  <c r="H11" i="4"/>
  <c r="G11" i="4"/>
  <c r="F11" i="4"/>
  <c r="F352" i="1"/>
  <c r="AS37" i="3" s="1"/>
  <c r="AS39" i="3" s="1"/>
  <c r="DH27" i="3"/>
  <c r="DH56" i="3" s="1"/>
  <c r="BN27" i="3"/>
  <c r="BN56" i="3" s="1"/>
  <c r="BN55" i="3"/>
  <c r="M2403" i="1"/>
  <c r="N2402" i="1"/>
  <c r="CK51" i="3"/>
  <c r="AP51" i="3"/>
  <c r="AP61" i="3" s="1"/>
  <c r="AP65" i="3" s="1"/>
  <c r="AZ6" i="3"/>
  <c r="BB76" i="3" s="1"/>
  <c r="M510" i="1"/>
  <c r="EB26" i="3"/>
  <c r="AE47" i="3"/>
  <c r="BC34" i="3"/>
  <c r="BC33" i="3"/>
  <c r="L592" i="5"/>
  <c r="E2402" i="1"/>
  <c r="D2402" i="1"/>
  <c r="F1347" i="1"/>
  <c r="F219" i="5"/>
  <c r="M512" i="1"/>
  <c r="AZ7" i="3" s="1"/>
  <c r="AZ26" i="3" s="1"/>
  <c r="B513" i="1"/>
  <c r="AD51" i="3"/>
  <c r="L435" i="5"/>
  <c r="V50" i="3" s="1"/>
  <c r="DH33" i="3"/>
  <c r="E2403" i="1"/>
  <c r="H2403" i="1" s="1"/>
  <c r="DY33" i="3" s="1"/>
  <c r="M2282" i="1"/>
  <c r="M2258" i="1"/>
  <c r="J9" i="3"/>
  <c r="G1875" i="1"/>
  <c r="H1875" i="1" s="1"/>
  <c r="C372" i="5"/>
  <c r="I39" i="3"/>
  <c r="AG51" i="3"/>
  <c r="G57" i="4"/>
  <c r="F57" i="4"/>
  <c r="H46" i="4"/>
  <c r="G46" i="4"/>
  <c r="BN35" i="3"/>
  <c r="M916" i="1"/>
  <c r="B917" i="1"/>
  <c r="CP7" i="3"/>
  <c r="CP26" i="3" s="1"/>
  <c r="B1547" i="1"/>
  <c r="K2402" i="1"/>
  <c r="O175" i="1"/>
  <c r="O2115" i="1"/>
  <c r="K2258" i="1"/>
  <c r="O2258" i="1" s="1"/>
  <c r="L2282" i="1"/>
  <c r="D2258" i="1"/>
  <c r="C174" i="5"/>
  <c r="F174" i="5" s="1"/>
  <c r="K1874" i="1"/>
  <c r="O1874" i="1" s="1"/>
  <c r="C373" i="5"/>
  <c r="N2067" i="1"/>
  <c r="D2066" i="1"/>
  <c r="D2067" i="1"/>
  <c r="M2066" i="1"/>
  <c r="E2067" i="1"/>
  <c r="E2066" i="1"/>
  <c r="DK9" i="3"/>
  <c r="M2067" i="1"/>
  <c r="L2067" i="1"/>
  <c r="H30" i="4"/>
  <c r="G30" i="4"/>
  <c r="F30" i="4"/>
  <c r="G19" i="4"/>
  <c r="F19" i="4"/>
  <c r="H7" i="4"/>
  <c r="G7" i="4"/>
  <c r="F7" i="4"/>
  <c r="H1872" i="1"/>
  <c r="DC37" i="3" s="1"/>
  <c r="DC39" i="3" s="1"/>
  <c r="G2402" i="1"/>
  <c r="F219" i="1"/>
  <c r="M2259" i="1"/>
  <c r="J175" i="5"/>
  <c r="L175" i="5" s="1"/>
  <c r="J372" i="5"/>
  <c r="F478" i="1"/>
  <c r="DT9" i="3"/>
  <c r="G2258" i="1"/>
  <c r="H1971" i="1"/>
  <c r="K1057" i="1"/>
  <c r="BJ61" i="3"/>
  <c r="I373" i="5"/>
  <c r="CJ47" i="3"/>
  <c r="I43" i="3"/>
  <c r="DR39" i="3"/>
  <c r="K1348" i="1"/>
  <c r="AV43" i="3"/>
  <c r="AB43" i="3"/>
  <c r="L504" i="1"/>
  <c r="CS47" i="3"/>
  <c r="N2403" i="1"/>
  <c r="F2258" i="1"/>
  <c r="G2282" i="1"/>
  <c r="G2259" i="1"/>
  <c r="H2259" i="1" s="1"/>
  <c r="F482" i="5"/>
  <c r="E372" i="5"/>
  <c r="J51" i="3"/>
  <c r="CF39" i="3"/>
  <c r="M39" i="3"/>
  <c r="F1995" i="1"/>
  <c r="K1347" i="1"/>
  <c r="O1347" i="1" s="1"/>
  <c r="DU39" i="3"/>
  <c r="G42" i="4"/>
  <c r="H42" i="4"/>
  <c r="F42" i="4"/>
  <c r="F1490" i="1"/>
  <c r="F1491" i="1"/>
  <c r="D1491" i="1"/>
  <c r="L1491" i="1"/>
  <c r="K1490" i="1"/>
  <c r="L1490" i="1"/>
  <c r="CR34" i="3"/>
  <c r="L2403" i="1"/>
  <c r="DH34" i="3"/>
  <c r="F2282" i="1"/>
  <c r="K2259" i="1"/>
  <c r="S9" i="3"/>
  <c r="G1995" i="1"/>
  <c r="L1348" i="1"/>
  <c r="F2067" i="1"/>
  <c r="BZ26" i="3"/>
  <c r="DT43" i="3"/>
  <c r="O2090" i="1"/>
  <c r="K2282" i="1"/>
  <c r="CT33" i="3"/>
  <c r="DW43" i="3"/>
  <c r="L2066" i="1"/>
  <c r="G53" i="4"/>
  <c r="H53" i="4"/>
  <c r="F53" i="4"/>
  <c r="BA43" i="3"/>
  <c r="AT43" i="3"/>
  <c r="F391" i="5"/>
  <c r="T49" i="3" s="1"/>
  <c r="F525" i="5"/>
  <c r="Z41" i="3" s="1"/>
  <c r="Z43" i="3" s="1"/>
  <c r="O1871" i="1"/>
  <c r="DC50" i="3" s="1"/>
  <c r="O1967" i="1"/>
  <c r="DG50" i="3" s="1"/>
  <c r="DG51" i="3" s="1"/>
  <c r="DG61" i="3" s="1"/>
  <c r="L62" i="5"/>
  <c r="E38" i="3" s="1"/>
  <c r="E39" i="3" s="1"/>
  <c r="AU43" i="3"/>
  <c r="T43" i="3"/>
  <c r="O39" i="1"/>
  <c r="AE50" i="3" s="1"/>
  <c r="F62" i="1"/>
  <c r="F215" i="5"/>
  <c r="L49" i="3" s="1"/>
  <c r="L370" i="5"/>
  <c r="S38" i="3" s="1"/>
  <c r="S39" i="3" s="1"/>
  <c r="F324" i="5"/>
  <c r="Q45" i="3" s="1"/>
  <c r="F414" i="5"/>
  <c r="U37" i="3" s="1"/>
  <c r="F548" i="1"/>
  <c r="BA45" i="3" s="1"/>
  <c r="BA29" i="3" s="1"/>
  <c r="K1248" i="1"/>
  <c r="F18" i="5"/>
  <c r="C37" i="3" s="1"/>
  <c r="O2590" i="1"/>
  <c r="EG46" i="3" s="1"/>
  <c r="O2423" i="1"/>
  <c r="DZ50" i="3" s="1"/>
  <c r="M2506" i="1"/>
  <c r="H2521" i="1"/>
  <c r="ED41" i="3" s="1"/>
  <c r="H2422" i="1"/>
  <c r="DZ45" i="3" s="1"/>
  <c r="DZ47" i="3" s="1"/>
  <c r="H2279" i="1"/>
  <c r="DT49" i="3" s="1"/>
  <c r="AW43" i="3"/>
  <c r="F16" i="1"/>
  <c r="AD45" i="3" s="1"/>
  <c r="O63" i="1"/>
  <c r="O237" i="1"/>
  <c r="AN50" i="3" s="1"/>
  <c r="AN51" i="3" s="1"/>
  <c r="AN61" i="3" s="1"/>
  <c r="L303" i="5"/>
  <c r="P50" i="3" s="1"/>
  <c r="L348" i="5"/>
  <c r="R38" i="3" s="1"/>
  <c r="R39" i="3" s="1"/>
  <c r="AA51" i="3"/>
  <c r="F392" i="5"/>
  <c r="T37" i="3" s="1"/>
  <c r="O499" i="1"/>
  <c r="AY46" i="3" s="1"/>
  <c r="F575" i="1"/>
  <c r="BB41" i="3" s="1"/>
  <c r="K750" i="1"/>
  <c r="BI47" i="3" s="1"/>
  <c r="O1655" i="1"/>
  <c r="CT50" i="3" s="1"/>
  <c r="CT34" i="3" s="1"/>
  <c r="H1945" i="1"/>
  <c r="DF41" i="3" s="1"/>
  <c r="DF43" i="3" s="1"/>
  <c r="B116" i="5"/>
  <c r="CY16" i="3"/>
  <c r="CY47" i="3" s="1"/>
  <c r="K2618" i="1"/>
  <c r="O2303" i="1"/>
  <c r="DU50" i="3" s="1"/>
  <c r="DU51" i="3" s="1"/>
  <c r="H27" i="3"/>
  <c r="H56" i="3" s="1"/>
  <c r="AX26" i="3"/>
  <c r="DJ43" i="3"/>
  <c r="F129" i="1"/>
  <c r="L217" i="5"/>
  <c r="L42" i="3" s="1"/>
  <c r="L43" i="3" s="1"/>
  <c r="L326" i="5"/>
  <c r="Q38" i="3" s="1"/>
  <c r="Q39" i="3" s="1"/>
  <c r="L522" i="5"/>
  <c r="Z46" i="3" s="1"/>
  <c r="F457" i="5"/>
  <c r="W49" i="3" s="1"/>
  <c r="W51" i="3" s="1"/>
  <c r="W61" i="3" s="1"/>
  <c r="W65" i="3" s="1"/>
  <c r="F567" i="5"/>
  <c r="AB49" i="3" s="1"/>
  <c r="B28" i="1"/>
  <c r="K597" i="1"/>
  <c r="BC51" i="3" s="1"/>
  <c r="B1739" i="1"/>
  <c r="G1755" i="1" s="1"/>
  <c r="DA7" i="3"/>
  <c r="DA26" i="3" s="1"/>
  <c r="DQ7" i="3"/>
  <c r="DQ26" i="3" s="1"/>
  <c r="R16" i="3"/>
  <c r="V68" i="3" s="1"/>
  <c r="O20" i="3"/>
  <c r="T72" i="3" s="1"/>
  <c r="H2617" i="1"/>
  <c r="EH41" i="3" s="1"/>
  <c r="O2326" i="1"/>
  <c r="DV46" i="3" s="1"/>
  <c r="H2302" i="1"/>
  <c r="DU45" i="3" s="1"/>
  <c r="N22" i="3"/>
  <c r="N23" i="3" s="1"/>
  <c r="N24" i="3" s="1"/>
  <c r="AV39" i="3"/>
  <c r="AM51" i="3"/>
  <c r="L281" i="5"/>
  <c r="O50" i="3" s="1"/>
  <c r="B1188" i="1"/>
  <c r="DN26" i="3"/>
  <c r="DN30" i="3" s="1"/>
  <c r="CC27" i="3"/>
  <c r="CC56" i="3" s="1"/>
  <c r="CC57" i="3" s="1"/>
  <c r="BH72" i="3"/>
  <c r="BH78" i="3" s="1"/>
  <c r="DV16" i="3"/>
  <c r="O2495" i="1"/>
  <c r="EC50" i="3" s="1"/>
  <c r="DZ20" i="3"/>
  <c r="O2375" i="1"/>
  <c r="DX50" i="3" s="1"/>
  <c r="C47" i="3"/>
  <c r="CV43" i="3"/>
  <c r="DG39" i="3"/>
  <c r="F18" i="1"/>
  <c r="O170" i="1"/>
  <c r="AK46" i="3" s="1"/>
  <c r="AK30" i="3" s="1"/>
  <c r="F216" i="1"/>
  <c r="B270" i="5"/>
  <c r="B424" i="5"/>
  <c r="O449" i="1"/>
  <c r="AW46" i="3" s="1"/>
  <c r="B339" i="1"/>
  <c r="J354" i="1" s="1"/>
  <c r="K1153" i="1"/>
  <c r="BY39" i="3" s="1"/>
  <c r="M1522" i="1"/>
  <c r="CO7" i="3" s="1"/>
  <c r="CX7" i="3"/>
  <c r="CX26" i="3" s="1"/>
  <c r="CX35" i="3" s="1"/>
  <c r="H1489" i="1"/>
  <c r="CM41" i="3" s="1"/>
  <c r="CM43" i="3" s="1"/>
  <c r="O1894" i="1"/>
  <c r="DD46" i="3" s="1"/>
  <c r="AL76" i="3"/>
  <c r="T20" i="3"/>
  <c r="O2521" i="1"/>
  <c r="ED42" i="3" s="1"/>
  <c r="H2544" i="1"/>
  <c r="EE37" i="3" s="1"/>
  <c r="M2578" i="1"/>
  <c r="O2615" i="1"/>
  <c r="EH50" i="3" s="1"/>
  <c r="EE16" i="3"/>
  <c r="H2254" i="1"/>
  <c r="DS45" i="3" s="1"/>
  <c r="H2543" i="1"/>
  <c r="EE49" i="3" s="1"/>
  <c r="EC20" i="3"/>
  <c r="DX20" i="3"/>
  <c r="BB43" i="3"/>
  <c r="O150" i="1"/>
  <c r="O195" i="1"/>
  <c r="L327" i="5"/>
  <c r="Q42" i="3" s="1"/>
  <c r="Q43" i="3" s="1"/>
  <c r="B50" i="1"/>
  <c r="D65" i="1" s="1"/>
  <c r="O549" i="1"/>
  <c r="BA50" i="3" s="1"/>
  <c r="BA51" i="3" s="1"/>
  <c r="BA61" i="3" s="1"/>
  <c r="BA65" i="3" s="1"/>
  <c r="H1920" i="1"/>
  <c r="DE37" i="3" s="1"/>
  <c r="DE39" i="3" s="1"/>
  <c r="C55" i="3"/>
  <c r="L195" i="5"/>
  <c r="K42" i="3" s="1"/>
  <c r="K43" i="3" s="1"/>
  <c r="BS22" i="3"/>
  <c r="BS23" i="3" s="1"/>
  <c r="BS24" i="3" s="1"/>
  <c r="B2579" i="1"/>
  <c r="N2595" i="1" s="1"/>
  <c r="EH20" i="3"/>
  <c r="EB16" i="3"/>
  <c r="O2278" i="1"/>
  <c r="DT46" i="3" s="1"/>
  <c r="DQ51" i="3"/>
  <c r="V47" i="3"/>
  <c r="CX39" i="3"/>
  <c r="AO27" i="3"/>
  <c r="AO56" i="3" s="1"/>
  <c r="AO43" i="3"/>
  <c r="F82" i="1"/>
  <c r="AG45" i="3" s="1"/>
  <c r="B292" i="5"/>
  <c r="B446" i="5"/>
  <c r="L259" i="5"/>
  <c r="N50" i="3" s="1"/>
  <c r="N51" i="3" s="1"/>
  <c r="L305" i="5"/>
  <c r="P42" i="3" s="1"/>
  <c r="P43" i="3" s="1"/>
  <c r="L456" i="5"/>
  <c r="W46" i="3" s="1"/>
  <c r="F568" i="5"/>
  <c r="AB37" i="3" s="1"/>
  <c r="AB39" i="3" s="1"/>
  <c r="B72" i="1"/>
  <c r="B585" i="1"/>
  <c r="K1103" i="1"/>
  <c r="BW47" i="3" s="1"/>
  <c r="B1643" i="1"/>
  <c r="CT9" i="3" s="1"/>
  <c r="W16" i="3"/>
  <c r="W27" i="3" s="1"/>
  <c r="W56" i="3" s="1"/>
  <c r="O2544" i="1"/>
  <c r="EE38" i="3" s="1"/>
  <c r="H2495" i="1"/>
  <c r="EC49" i="3" s="1"/>
  <c r="H2423" i="1"/>
  <c r="DZ49" i="3" s="1"/>
  <c r="DZ51" i="3" s="1"/>
  <c r="DR20" i="3"/>
  <c r="F263" i="1"/>
  <c r="F591" i="5"/>
  <c r="AC41" i="3" s="1"/>
  <c r="O2230" i="1"/>
  <c r="DR46" i="3" s="1"/>
  <c r="H2375" i="1"/>
  <c r="DX49" i="3" s="1"/>
  <c r="O2327" i="1"/>
  <c r="DV50" i="3" s="1"/>
  <c r="CU26" i="3"/>
  <c r="CU30" i="3" s="1"/>
  <c r="O43" i="3"/>
  <c r="O148" i="1"/>
  <c r="AJ46" i="3" s="1"/>
  <c r="K1225" i="1"/>
  <c r="CB39" i="3" s="1"/>
  <c r="F128" i="5"/>
  <c r="H37" i="3" s="1"/>
  <c r="H39" i="3" s="1"/>
  <c r="H2520" i="1"/>
  <c r="ED37" i="3" s="1"/>
  <c r="O2616" i="1"/>
  <c r="EH38" i="3" s="1"/>
  <c r="EA20" i="3"/>
  <c r="DV20" i="3"/>
  <c r="BH26" i="3"/>
  <c r="BH33" i="3" s="1"/>
  <c r="O60" i="1"/>
  <c r="AF46" i="3" s="1"/>
  <c r="AF30" i="3" s="1"/>
  <c r="L413" i="5"/>
  <c r="U50" i="3" s="1"/>
  <c r="U34" i="3" s="1"/>
  <c r="H2038" i="1"/>
  <c r="DJ45" i="3" s="1"/>
  <c r="EC16" i="3"/>
  <c r="O2374" i="1"/>
  <c r="DX46" i="3" s="1"/>
  <c r="DW16" i="3"/>
  <c r="DU16" i="3"/>
  <c r="L192" i="5"/>
  <c r="K46" i="3" s="1"/>
  <c r="K30" i="3" s="1"/>
  <c r="H2545" i="1"/>
  <c r="EE41" i="3" s="1"/>
  <c r="EE43" i="3" s="1"/>
  <c r="O2614" i="1"/>
  <c r="EH46" i="3" s="1"/>
  <c r="EA16" i="3"/>
  <c r="H2350" i="1"/>
  <c r="DW45" i="3" s="1"/>
  <c r="ED20" i="3"/>
  <c r="ED27" i="3" s="1"/>
  <c r="ED56" i="3" s="1"/>
  <c r="DY20" i="3"/>
  <c r="DS20" i="3"/>
  <c r="O39" i="3"/>
  <c r="O214" i="1"/>
  <c r="AM46" i="3" s="1"/>
  <c r="AM30" i="3" s="1"/>
  <c r="O216" i="1"/>
  <c r="B314" i="5"/>
  <c r="I328" i="5" s="1"/>
  <c r="L414" i="5"/>
  <c r="U38" i="3" s="1"/>
  <c r="B138" i="1"/>
  <c r="D153" i="1" s="1"/>
  <c r="BA39" i="3"/>
  <c r="M1546" i="1"/>
  <c r="M1618" i="1"/>
  <c r="O1895" i="1"/>
  <c r="DD50" i="3" s="1"/>
  <c r="DD51" i="3" s="1"/>
  <c r="DI16" i="3"/>
  <c r="DI47" i="3" s="1"/>
  <c r="DF20" i="3"/>
  <c r="DF22" i="3" s="1"/>
  <c r="DF23" i="3" s="1"/>
  <c r="DF24" i="3" s="1"/>
  <c r="AS16" i="3"/>
  <c r="AS47" i="3" s="1"/>
  <c r="AS60" i="3" s="1"/>
  <c r="AL20" i="3"/>
  <c r="Y20" i="3"/>
  <c r="H2664" i="1"/>
  <c r="EH16" i="3"/>
  <c r="H2255" i="1"/>
  <c r="DS49" i="3" s="1"/>
  <c r="BN24" i="3"/>
  <c r="M437" i="1"/>
  <c r="CQ39" i="3"/>
  <c r="O126" i="1"/>
  <c r="AI46" i="3" s="1"/>
  <c r="AI30" i="3" s="1"/>
  <c r="O149" i="1"/>
  <c r="AJ50" i="3" s="1"/>
  <c r="F303" i="5"/>
  <c r="P49" i="3" s="1"/>
  <c r="F437" i="5"/>
  <c r="V41" i="3" s="1"/>
  <c r="K852" i="1"/>
  <c r="BM47" i="3" s="1"/>
  <c r="BM60" i="3" s="1"/>
  <c r="O1919" i="1"/>
  <c r="DE50" i="3" s="1"/>
  <c r="DE34" i="3" s="1"/>
  <c r="F82" i="5"/>
  <c r="F45" i="3" s="1"/>
  <c r="O2520" i="1"/>
  <c r="ED38" i="3" s="1"/>
  <c r="O2641" i="1"/>
  <c r="EI42" i="3" s="1"/>
  <c r="H2494" i="1"/>
  <c r="EC45" i="3" s="1"/>
  <c r="DH43" i="3"/>
  <c r="AD22" i="3"/>
  <c r="AD23" i="3" s="1"/>
  <c r="AD24" i="3" s="1"/>
  <c r="O85" i="1"/>
  <c r="L392" i="5"/>
  <c r="T38" i="3" s="1"/>
  <c r="L524" i="5"/>
  <c r="Z38" i="3" s="1"/>
  <c r="Z39" i="3" s="1"/>
  <c r="F304" i="5"/>
  <c r="P37" i="3" s="1"/>
  <c r="P39" i="3" s="1"/>
  <c r="B182" i="1"/>
  <c r="O501" i="1"/>
  <c r="AY38" i="3" s="1"/>
  <c r="AY39" i="3" s="1"/>
  <c r="O574" i="1"/>
  <c r="BB38" i="3" s="1"/>
  <c r="BB39" i="3" s="1"/>
  <c r="M738" i="1"/>
  <c r="BI7" i="3" s="1"/>
  <c r="BI26" i="3" s="1"/>
  <c r="K1056" i="1"/>
  <c r="BU43" i="3" s="1"/>
  <c r="L149" i="5"/>
  <c r="I50" i="3" s="1"/>
  <c r="DK20" i="3"/>
  <c r="DK26" i="3" s="1"/>
  <c r="M2626" i="1"/>
  <c r="EG16" i="3"/>
  <c r="EG26" i="3" s="1"/>
  <c r="EJ76" i="3"/>
  <c r="O2446" i="1"/>
  <c r="EA46" i="3" s="1"/>
  <c r="EA47" i="3" s="1"/>
  <c r="DX16" i="3"/>
  <c r="O2543" i="1"/>
  <c r="EE50" i="3" s="1"/>
  <c r="H2519" i="1"/>
  <c r="ED49" i="3" s="1"/>
  <c r="ED51" i="3" s="1"/>
  <c r="O2351" i="1"/>
  <c r="DW50" i="3" s="1"/>
  <c r="DW51" i="3" s="1"/>
  <c r="H2615" i="1"/>
  <c r="EH49" i="3" s="1"/>
  <c r="H2616" i="1"/>
  <c r="EH37" i="3" s="1"/>
  <c r="EJ66" i="3"/>
  <c r="BA33" i="3"/>
  <c r="BA30" i="3"/>
  <c r="CF61" i="3"/>
  <c r="CF35" i="3"/>
  <c r="N30" i="3"/>
  <c r="N33" i="3"/>
  <c r="N29" i="3"/>
  <c r="N34" i="3"/>
  <c r="N31" i="3"/>
  <c r="J429" i="1"/>
  <c r="M428" i="1"/>
  <c r="E429" i="1"/>
  <c r="J428" i="1"/>
  <c r="D428" i="1"/>
  <c r="L428" i="1"/>
  <c r="AV9" i="3"/>
  <c r="C429" i="1"/>
  <c r="D429" i="1"/>
  <c r="K428" i="1"/>
  <c r="L429" i="1"/>
  <c r="E428" i="1"/>
  <c r="C428" i="1"/>
  <c r="M429" i="1"/>
  <c r="DP64" i="3"/>
  <c r="AT60" i="3"/>
  <c r="DH61" i="3"/>
  <c r="DH35" i="3"/>
  <c r="E35" i="3"/>
  <c r="E34" i="3"/>
  <c r="E33" i="3"/>
  <c r="E29" i="3"/>
  <c r="E30" i="3"/>
  <c r="O174" i="1"/>
  <c r="F262" i="5"/>
  <c r="DD33" i="3"/>
  <c r="K329" i="5"/>
  <c r="D328" i="5"/>
  <c r="C328" i="5"/>
  <c r="H1228" i="1"/>
  <c r="CB9" i="3"/>
  <c r="J1227" i="1"/>
  <c r="I1227" i="1"/>
  <c r="J1228" i="1"/>
  <c r="H1227" i="1"/>
  <c r="I1228" i="1"/>
  <c r="DX43" i="3"/>
  <c r="BI65" i="3"/>
  <c r="O21" i="1"/>
  <c r="E1803" i="1"/>
  <c r="L1802" i="1"/>
  <c r="K1802" i="1"/>
  <c r="M1803" i="1"/>
  <c r="L1803" i="1"/>
  <c r="K1803" i="1"/>
  <c r="D1803" i="1"/>
  <c r="F1803" i="1"/>
  <c r="G1802" i="1"/>
  <c r="G1803" i="1"/>
  <c r="F1802" i="1"/>
  <c r="CZ9" i="3"/>
  <c r="E1802" i="1"/>
  <c r="N1802" i="1"/>
  <c r="D1802" i="1"/>
  <c r="N1803" i="1"/>
  <c r="AX61" i="3"/>
  <c r="AX35" i="3"/>
  <c r="BD61" i="3"/>
  <c r="BD35" i="3"/>
  <c r="D1850" i="1"/>
  <c r="G1851" i="1"/>
  <c r="G1850" i="1"/>
  <c r="DB9" i="3"/>
  <c r="N1850" i="1"/>
  <c r="M1850" i="1"/>
  <c r="L1851" i="1"/>
  <c r="D1851" i="1"/>
  <c r="K1850" i="1"/>
  <c r="K1851" i="1"/>
  <c r="F1850" i="1"/>
  <c r="M1851" i="1"/>
  <c r="E1851" i="1"/>
  <c r="N1851" i="1"/>
  <c r="BP35" i="3"/>
  <c r="BP61" i="3"/>
  <c r="CU51" i="3"/>
  <c r="AR47" i="3"/>
  <c r="AR22" i="3"/>
  <c r="AR23" i="3" s="1"/>
  <c r="AR24" i="3" s="1"/>
  <c r="BJ31" i="3"/>
  <c r="BJ34" i="3"/>
  <c r="BJ33" i="3"/>
  <c r="CG39" i="3"/>
  <c r="CJ51" i="3"/>
  <c r="F21" i="1"/>
  <c r="I958" i="1"/>
  <c r="BQ9" i="3"/>
  <c r="I957" i="1"/>
  <c r="H957" i="1"/>
  <c r="J957" i="1"/>
  <c r="J958" i="1"/>
  <c r="H958" i="1"/>
  <c r="CL47" i="3"/>
  <c r="CA60" i="3"/>
  <c r="DA39" i="3"/>
  <c r="BY61" i="3"/>
  <c r="BY35" i="3"/>
  <c r="BU31" i="3"/>
  <c r="BU60" i="3"/>
  <c r="EC9" i="3"/>
  <c r="D2499" i="1"/>
  <c r="M2499" i="1"/>
  <c r="F2498" i="1"/>
  <c r="E2499" i="1"/>
  <c r="D2498" i="1"/>
  <c r="L2499" i="1"/>
  <c r="M2498" i="1"/>
  <c r="G2499" i="1"/>
  <c r="N2498" i="1"/>
  <c r="K2499" i="1"/>
  <c r="G2498" i="1"/>
  <c r="L2498" i="1"/>
  <c r="E2498" i="1"/>
  <c r="DN29" i="3"/>
  <c r="DN47" i="3"/>
  <c r="BS31" i="3"/>
  <c r="BS60" i="3"/>
  <c r="CD60" i="3"/>
  <c r="CD31" i="3"/>
  <c r="BG60" i="3"/>
  <c r="BE31" i="3"/>
  <c r="H883" i="1"/>
  <c r="J883" i="1"/>
  <c r="BN9" i="3"/>
  <c r="I882" i="1"/>
  <c r="H882" i="1"/>
  <c r="J882" i="1"/>
  <c r="I883" i="1"/>
  <c r="BZ60" i="3"/>
  <c r="CC64" i="3"/>
  <c r="CC66" i="3" s="1"/>
  <c r="CC62" i="3"/>
  <c r="CP43" i="3"/>
  <c r="BH34" i="3"/>
  <c r="BH31" i="3"/>
  <c r="CK27" i="3"/>
  <c r="CK56" i="3" s="1"/>
  <c r="CK22" i="3"/>
  <c r="CK23" i="3" s="1"/>
  <c r="CK24" i="3" s="1"/>
  <c r="BE35" i="3"/>
  <c r="BE33" i="3"/>
  <c r="BE34" i="3"/>
  <c r="BH61" i="3"/>
  <c r="BF61" i="3"/>
  <c r="F64" i="4"/>
  <c r="E47" i="3"/>
  <c r="O2139" i="1"/>
  <c r="L108" i="1"/>
  <c r="EG27" i="3"/>
  <c r="EG56" i="3" s="1"/>
  <c r="EG22" i="3"/>
  <c r="EG23" i="3" s="1"/>
  <c r="EG24" i="3" s="1"/>
  <c r="J108" i="1"/>
  <c r="DL43" i="3"/>
  <c r="CI43" i="3"/>
  <c r="E108" i="1"/>
  <c r="BA47" i="3"/>
  <c r="E109" i="1"/>
  <c r="O106" i="1"/>
  <c r="L589" i="5"/>
  <c r="AC50" i="3" s="1"/>
  <c r="E1324" i="1"/>
  <c r="L219" i="5"/>
  <c r="AM47" i="3"/>
  <c r="AE9" i="3"/>
  <c r="K42" i="1"/>
  <c r="K43" i="1"/>
  <c r="BC61" i="3"/>
  <c r="BC35" i="3"/>
  <c r="E153" i="5"/>
  <c r="C153" i="5"/>
  <c r="D152" i="5"/>
  <c r="I152" i="5"/>
  <c r="I9" i="3"/>
  <c r="C152" i="5"/>
  <c r="J153" i="5"/>
  <c r="E152" i="5"/>
  <c r="DD43" i="3"/>
  <c r="K284" i="5"/>
  <c r="E284" i="5"/>
  <c r="L355" i="1"/>
  <c r="K354" i="1"/>
  <c r="L354" i="1"/>
  <c r="E355" i="1"/>
  <c r="C355" i="1"/>
  <c r="D354" i="1"/>
  <c r="AS43" i="3"/>
  <c r="L65" i="1"/>
  <c r="D64" i="1"/>
  <c r="AF9" i="3"/>
  <c r="E65" i="1"/>
  <c r="E64" i="1"/>
  <c r="J64" i="1"/>
  <c r="L64" i="1"/>
  <c r="C64" i="1"/>
  <c r="AH9" i="3"/>
  <c r="AQ43" i="3"/>
  <c r="AU39" i="3"/>
  <c r="G1658" i="1"/>
  <c r="C108" i="1"/>
  <c r="CN51" i="3"/>
  <c r="AQ51" i="3"/>
  <c r="AY43" i="3"/>
  <c r="AC43" i="3"/>
  <c r="AP26" i="3"/>
  <c r="AP27" i="3"/>
  <c r="AP56" i="3" s="1"/>
  <c r="J109" i="1"/>
  <c r="U51" i="3"/>
  <c r="D109" i="1"/>
  <c r="L548" i="5"/>
  <c r="E351" i="5"/>
  <c r="K351" i="5"/>
  <c r="K350" i="5"/>
  <c r="J351" i="5"/>
  <c r="I350" i="5"/>
  <c r="I351" i="5"/>
  <c r="R9" i="3"/>
  <c r="D351" i="5"/>
  <c r="J350" i="5"/>
  <c r="C351" i="5"/>
  <c r="E350" i="5"/>
  <c r="E1490" i="1"/>
  <c r="K1491" i="1"/>
  <c r="D1490" i="1"/>
  <c r="CM9" i="3"/>
  <c r="O1490" i="1"/>
  <c r="O1491" i="1"/>
  <c r="M1491" i="1"/>
  <c r="E1491" i="1"/>
  <c r="AX39" i="3"/>
  <c r="N1754" i="1"/>
  <c r="M1754" i="1"/>
  <c r="G1754" i="1"/>
  <c r="D1755" i="1"/>
  <c r="F1755" i="1"/>
  <c r="F1754" i="1"/>
  <c r="O2063" i="1"/>
  <c r="DK50" i="3" s="1"/>
  <c r="M2650" i="1"/>
  <c r="EJ7" i="3"/>
  <c r="EJ26" i="3" s="1"/>
  <c r="ED22" i="3"/>
  <c r="ED23" i="3" s="1"/>
  <c r="ED24" i="3" s="1"/>
  <c r="W7" i="3"/>
  <c r="BL6" i="3"/>
  <c r="M812" i="1"/>
  <c r="B814" i="1"/>
  <c r="O2640" i="1"/>
  <c r="EI38" i="3" s="1"/>
  <c r="O2617" i="1"/>
  <c r="EH42" i="3" s="1"/>
  <c r="E553" i="1"/>
  <c r="F553" i="1" s="1"/>
  <c r="E576" i="1"/>
  <c r="H76" i="3"/>
  <c r="P76" i="3"/>
  <c r="G76" i="3"/>
  <c r="F76" i="3"/>
  <c r="F81" i="3" s="1"/>
  <c r="J76" i="3"/>
  <c r="S76" i="3"/>
  <c r="D76" i="3"/>
  <c r="E76" i="3"/>
  <c r="E81" i="3" s="1"/>
  <c r="F2546" i="1"/>
  <c r="L2547" i="1"/>
  <c r="G2547" i="1"/>
  <c r="D2546" i="1"/>
  <c r="L2546" i="1"/>
  <c r="K2546" i="1"/>
  <c r="M2546" i="1"/>
  <c r="F2547" i="1"/>
  <c r="EE9" i="3"/>
  <c r="D2547" i="1"/>
  <c r="E2546" i="1"/>
  <c r="N2547" i="1"/>
  <c r="K2547" i="1"/>
  <c r="M2547" i="1"/>
  <c r="N2546" i="1"/>
  <c r="H1750" i="1"/>
  <c r="CX45" i="3" s="1"/>
  <c r="H2016" i="1"/>
  <c r="DI37" i="3" s="1"/>
  <c r="DI39" i="3" s="1"/>
  <c r="BZ27" i="3"/>
  <c r="BZ56" i="3" s="1"/>
  <c r="AL16" i="3"/>
  <c r="H2327" i="1"/>
  <c r="DV49" i="3" s="1"/>
  <c r="M2618" i="1"/>
  <c r="N2618" i="1"/>
  <c r="EH9" i="3"/>
  <c r="K2619" i="1"/>
  <c r="L2619" i="1"/>
  <c r="M2619" i="1"/>
  <c r="D2618" i="1"/>
  <c r="N2619" i="1"/>
  <c r="E2618" i="1"/>
  <c r="F2618" i="1"/>
  <c r="G2618" i="1"/>
  <c r="D2619" i="1"/>
  <c r="F2619" i="1"/>
  <c r="G2619" i="1"/>
  <c r="L2618" i="1"/>
  <c r="O2471" i="1"/>
  <c r="EB50" i="3" s="1"/>
  <c r="O425" i="1"/>
  <c r="AV50" i="3" s="1"/>
  <c r="AV34" i="3" s="1"/>
  <c r="BC27" i="3"/>
  <c r="BC56" i="3" s="1"/>
  <c r="E2547" i="1"/>
  <c r="EF9" i="3"/>
  <c r="D2571" i="1"/>
  <c r="N2571" i="1"/>
  <c r="G2570" i="1"/>
  <c r="E2570" i="1"/>
  <c r="M2570" i="1"/>
  <c r="L2571" i="1"/>
  <c r="L2570" i="1"/>
  <c r="K2570" i="1"/>
  <c r="F2571" i="1"/>
  <c r="M2571" i="1"/>
  <c r="K2571" i="1"/>
  <c r="F2570" i="1"/>
  <c r="E2571" i="1"/>
  <c r="O2542" i="1"/>
  <c r="EE46" i="3" s="1"/>
  <c r="H2230" i="1"/>
  <c r="DR45" i="3" s="1"/>
  <c r="H1944" i="1"/>
  <c r="DF37" i="3" s="1"/>
  <c r="DF39" i="3" s="1"/>
  <c r="B2507" i="1"/>
  <c r="ED7" i="3"/>
  <c r="ED26" i="3" s="1"/>
  <c r="EH26" i="3"/>
  <c r="EE26" i="3"/>
  <c r="EE27" i="3"/>
  <c r="EE56" i="3" s="1"/>
  <c r="EE22" i="3"/>
  <c r="EE23" i="3" s="1"/>
  <c r="EE24" i="3" s="1"/>
  <c r="F526" i="1"/>
  <c r="AZ37" i="3" s="1"/>
  <c r="AZ39" i="3" s="1"/>
  <c r="CH55" i="3"/>
  <c r="CH27" i="3"/>
  <c r="CH56" i="3" s="1"/>
  <c r="BO6" i="3"/>
  <c r="BO24" i="3" s="1"/>
  <c r="M889" i="1"/>
  <c r="BO7" i="3" s="1"/>
  <c r="BO26" i="3" s="1"/>
  <c r="BY22" i="3"/>
  <c r="BY23" i="3" s="1"/>
  <c r="BY24" i="3" s="1"/>
  <c r="BY27" i="3"/>
  <c r="BY56" i="3" s="1"/>
  <c r="DT51" i="3"/>
  <c r="AS7" i="3"/>
  <c r="AS26" i="3" s="1"/>
  <c r="H2160" i="1"/>
  <c r="DO37" i="3" s="1"/>
  <c r="DO39" i="3" s="1"/>
  <c r="BS27" i="3"/>
  <c r="BS56" i="3" s="1"/>
  <c r="BK22" i="3"/>
  <c r="BK23" i="3" s="1"/>
  <c r="BK24" i="3" s="1"/>
  <c r="BK27" i="3"/>
  <c r="BK56" i="3" s="1"/>
  <c r="ED39" i="3"/>
  <c r="DV47" i="3"/>
  <c r="F524" i="1"/>
  <c r="AZ45" i="3" s="1"/>
  <c r="F572" i="1"/>
  <c r="BB45" i="3" s="1"/>
  <c r="M1762" i="1"/>
  <c r="H1919" i="1"/>
  <c r="DE49" i="3" s="1"/>
  <c r="M1954" i="1"/>
  <c r="DG7" i="3"/>
  <c r="DG26" i="3" s="1"/>
  <c r="O2064" i="1"/>
  <c r="DK38" i="3" s="1"/>
  <c r="DK39" i="3" s="1"/>
  <c r="M684" i="1"/>
  <c r="BG6" i="3"/>
  <c r="B686" i="1"/>
  <c r="AO76" i="3"/>
  <c r="B2435" i="1"/>
  <c r="H2471" i="1"/>
  <c r="EB49" i="3" s="1"/>
  <c r="EF27" i="3"/>
  <c r="EF56" i="3" s="1"/>
  <c r="EF22" i="3"/>
  <c r="EF23" i="3" s="1"/>
  <c r="EF24" i="3" s="1"/>
  <c r="H2542" i="1"/>
  <c r="EE45" i="3" s="1"/>
  <c r="DS47" i="3"/>
  <c r="CU27" i="3"/>
  <c r="CU56" i="3" s="1"/>
  <c r="B1691" i="1"/>
  <c r="B2147" i="1"/>
  <c r="G2571" i="1"/>
  <c r="EB47" i="3"/>
  <c r="L1755" i="1"/>
  <c r="K76" i="3"/>
  <c r="L126" i="5"/>
  <c r="H46" i="3" s="1"/>
  <c r="H30" i="3" s="1"/>
  <c r="N2570" i="1"/>
  <c r="EH27" i="3"/>
  <c r="EH56" i="3" s="1"/>
  <c r="EH22" i="3"/>
  <c r="EH23" i="3" s="1"/>
  <c r="EH24" i="3" s="1"/>
  <c r="BB9" i="3"/>
  <c r="K241" i="5"/>
  <c r="L241" i="5" s="1"/>
  <c r="B713" i="1"/>
  <c r="H2111" i="1"/>
  <c r="DM49" i="3" s="1"/>
  <c r="AG76" i="3"/>
  <c r="B72" i="5"/>
  <c r="DL76" i="3"/>
  <c r="DH76" i="3"/>
  <c r="BW27" i="3"/>
  <c r="BW56" i="3" s="1"/>
  <c r="M838" i="1"/>
  <c r="B840" i="1"/>
  <c r="D2570" i="1"/>
  <c r="H2663" i="1"/>
  <c r="DW47" i="3"/>
  <c r="H1654" i="1"/>
  <c r="CT45" i="3" s="1"/>
  <c r="K1250" i="1"/>
  <c r="CC43" i="3" s="1"/>
  <c r="F192" i="5"/>
  <c r="K45" i="3" s="1"/>
  <c r="BD6" i="3"/>
  <c r="M607" i="1"/>
  <c r="CZ20" i="3"/>
  <c r="CZ51" i="3" s="1"/>
  <c r="CO16" i="3"/>
  <c r="G2594" i="1"/>
  <c r="L2594" i="1"/>
  <c r="EG9" i="3"/>
  <c r="K2595" i="1"/>
  <c r="M2595" i="1"/>
  <c r="D2594" i="1"/>
  <c r="E2595" i="1"/>
  <c r="EE76" i="3"/>
  <c r="O2447" i="1"/>
  <c r="EA50" i="3" s="1"/>
  <c r="EA51" i="3" s="1"/>
  <c r="DR51" i="3"/>
  <c r="K1754" i="1"/>
  <c r="C76" i="3"/>
  <c r="DC20" i="3"/>
  <c r="CA27" i="3"/>
  <c r="CA56" i="3" s="1"/>
  <c r="CA26" i="3"/>
  <c r="AK76" i="3"/>
  <c r="AH76" i="3"/>
  <c r="O2518" i="1"/>
  <c r="ED46" i="3" s="1"/>
  <c r="ED47" i="3" s="1"/>
  <c r="H2206" i="1"/>
  <c r="DQ45" i="3" s="1"/>
  <c r="H2640" i="1"/>
  <c r="EI37" i="3" s="1"/>
  <c r="H2665" i="1"/>
  <c r="O2638" i="1"/>
  <c r="EI46" i="3" s="1"/>
  <c r="B2651" i="1"/>
  <c r="EJ9" i="3" s="1"/>
  <c r="H2590" i="1"/>
  <c r="EG45" i="3" s="1"/>
  <c r="O2663" i="1"/>
  <c r="O2665" i="1"/>
  <c r="H2641" i="1"/>
  <c r="EI41" i="3" s="1"/>
  <c r="DT14" i="3"/>
  <c r="DT16" i="3" s="1"/>
  <c r="EJ68" i="3" s="1"/>
  <c r="EF7" i="3"/>
  <c r="EF26" i="3" s="1"/>
  <c r="H2662" i="1"/>
  <c r="EI55" i="3"/>
  <c r="O2639" i="1"/>
  <c r="EI50" i="3" s="1"/>
  <c r="EI51" i="3" s="1"/>
  <c r="G2278" i="1"/>
  <c r="F2278" i="1"/>
  <c r="E2278" i="1"/>
  <c r="H2591" i="1"/>
  <c r="EG49" i="3" s="1"/>
  <c r="H2638" i="1"/>
  <c r="EI45" i="3" s="1"/>
  <c r="O2664" i="1"/>
  <c r="EJ24" i="3"/>
  <c r="EJ27" i="3"/>
  <c r="EJ56" i="3" s="1"/>
  <c r="EJ57" i="3" s="1"/>
  <c r="EI24" i="3"/>
  <c r="O2591" i="1"/>
  <c r="EG50" i="3" s="1"/>
  <c r="EG51" i="3" s="1"/>
  <c r="EG61" i="3" s="1"/>
  <c r="O2593" i="1"/>
  <c r="EG42" i="3" s="1"/>
  <c r="H2593" i="1"/>
  <c r="EG41" i="3" s="1"/>
  <c r="L2642" i="1"/>
  <c r="N2643" i="1"/>
  <c r="F2643" i="1"/>
  <c r="N2642" i="1"/>
  <c r="D2642" i="1"/>
  <c r="G2642" i="1"/>
  <c r="F2642" i="1"/>
  <c r="D2643" i="1"/>
  <c r="E2643" i="1"/>
  <c r="L2643" i="1"/>
  <c r="G2643" i="1"/>
  <c r="K2643" i="1"/>
  <c r="M2642" i="1"/>
  <c r="E2642" i="1"/>
  <c r="M2643" i="1"/>
  <c r="K2642" i="1"/>
  <c r="O2568" i="1"/>
  <c r="EF38" i="3" s="1"/>
  <c r="O2567" i="1"/>
  <c r="EF50" i="3" s="1"/>
  <c r="O2569" i="1"/>
  <c r="EF42" i="3" s="1"/>
  <c r="O2566" i="1"/>
  <c r="EF46" i="3" s="1"/>
  <c r="H2592" i="1"/>
  <c r="EG37" i="3" s="1"/>
  <c r="EG39" i="3" s="1"/>
  <c r="H2567" i="1"/>
  <c r="EF49" i="3" s="1"/>
  <c r="H2569" i="1"/>
  <c r="EF41" i="3" s="1"/>
  <c r="H2566" i="1"/>
  <c r="EF45" i="3" s="1"/>
  <c r="H2568" i="1"/>
  <c r="EF37" i="3" s="1"/>
  <c r="EI47" i="3" l="1"/>
  <c r="EI31" i="3" s="1"/>
  <c r="AT61" i="3"/>
  <c r="AT65" i="3" s="1"/>
  <c r="AT35" i="3"/>
  <c r="AN60" i="3"/>
  <c r="AN64" i="3" s="1"/>
  <c r="F64" i="1"/>
  <c r="DX47" i="3"/>
  <c r="O2018" i="1"/>
  <c r="CM33" i="3"/>
  <c r="P30" i="3"/>
  <c r="H1610" i="1"/>
  <c r="F2354" i="1"/>
  <c r="D2354" i="1"/>
  <c r="F2355" i="1"/>
  <c r="M2355" i="1"/>
  <c r="M2354" i="1"/>
  <c r="N2355" i="1"/>
  <c r="N2354" i="1"/>
  <c r="K2354" i="1"/>
  <c r="E2355" i="1"/>
  <c r="L2355" i="1"/>
  <c r="L2354" i="1"/>
  <c r="D2355" i="1"/>
  <c r="G2354" i="1"/>
  <c r="G2355" i="1"/>
  <c r="DW9" i="3"/>
  <c r="K2355" i="1"/>
  <c r="E2354" i="1"/>
  <c r="CI22" i="3"/>
  <c r="CI23" i="3" s="1"/>
  <c r="CI24" i="3" s="1"/>
  <c r="CI27" i="3"/>
  <c r="CI56" i="3" s="1"/>
  <c r="CI26" i="3"/>
  <c r="CL72" i="3"/>
  <c r="CO72" i="3"/>
  <c r="CK72" i="3"/>
  <c r="AJ29" i="3"/>
  <c r="AB22" i="3"/>
  <c r="AB23" i="3" s="1"/>
  <c r="AB24" i="3" s="1"/>
  <c r="AB27" i="3"/>
  <c r="AB56" i="3" s="1"/>
  <c r="K372" i="5"/>
  <c r="I372" i="5"/>
  <c r="D373" i="5"/>
  <c r="F373" i="5" s="1"/>
  <c r="J373" i="5"/>
  <c r="L373" i="5" s="1"/>
  <c r="D372" i="5"/>
  <c r="CF30" i="3"/>
  <c r="CF34" i="3"/>
  <c r="CI72" i="3"/>
  <c r="CI78" i="3" s="1"/>
  <c r="EJ35" i="3"/>
  <c r="EJ31" i="3"/>
  <c r="CS51" i="3"/>
  <c r="DJ26" i="3"/>
  <c r="DJ22" i="3"/>
  <c r="DJ23" i="3" s="1"/>
  <c r="DJ24" i="3" s="1"/>
  <c r="DJ27" i="3"/>
  <c r="DJ56" i="3" s="1"/>
  <c r="S33" i="3"/>
  <c r="S29" i="3"/>
  <c r="S34" i="3"/>
  <c r="DP35" i="3"/>
  <c r="DP61" i="3"/>
  <c r="CR61" i="3"/>
  <c r="CR65" i="3" s="1"/>
  <c r="CR35" i="3"/>
  <c r="AU51" i="3"/>
  <c r="AU34" i="3"/>
  <c r="AJ26" i="3"/>
  <c r="AJ22" i="3"/>
  <c r="AJ23" i="3" s="1"/>
  <c r="AJ24" i="3" s="1"/>
  <c r="AJ27" i="3"/>
  <c r="AJ56" i="3" s="1"/>
  <c r="F592" i="5"/>
  <c r="S35" i="3"/>
  <c r="CP72" i="3"/>
  <c r="D11" i="7" s="1"/>
  <c r="AG30" i="3"/>
  <c r="AG33" i="3"/>
  <c r="C504" i="5"/>
  <c r="F504" i="5" s="1"/>
  <c r="D504" i="5"/>
  <c r="I504" i="5"/>
  <c r="L504" i="5" s="1"/>
  <c r="C505" i="5"/>
  <c r="AN27" i="3"/>
  <c r="AN56" i="3" s="1"/>
  <c r="AN22" i="3"/>
  <c r="AN23" i="3" s="1"/>
  <c r="AN24" i="3" s="1"/>
  <c r="DB51" i="3"/>
  <c r="DB61" i="3" s="1"/>
  <c r="DB65" i="3" s="1"/>
  <c r="DB33" i="3"/>
  <c r="J60" i="3"/>
  <c r="J64" i="3" s="1"/>
  <c r="DB35" i="3"/>
  <c r="DB34" i="3"/>
  <c r="AY29" i="3"/>
  <c r="AY33" i="3"/>
  <c r="EJ72" i="3"/>
  <c r="EJ78" i="3" s="1"/>
  <c r="EJ81" i="3" s="1"/>
  <c r="BR78" i="3"/>
  <c r="H78" i="3"/>
  <c r="F1420" i="1"/>
  <c r="F1419" i="1"/>
  <c r="L1419" i="1"/>
  <c r="E1419" i="1"/>
  <c r="CJ9" i="3"/>
  <c r="D1420" i="1"/>
  <c r="K1419" i="1"/>
  <c r="M1419" i="1"/>
  <c r="O1419" i="1" s="1"/>
  <c r="L1420" i="1"/>
  <c r="D1419" i="1"/>
  <c r="H1419" i="1" s="1"/>
  <c r="M1420" i="1"/>
  <c r="K1420" i="1"/>
  <c r="E1420" i="1"/>
  <c r="F1443" i="1"/>
  <c r="L1444" i="1"/>
  <c r="K1443" i="1"/>
  <c r="CK9" i="3"/>
  <c r="L1443" i="1"/>
  <c r="F1444" i="1"/>
  <c r="O1444" i="1"/>
  <c r="M1444" i="1"/>
  <c r="D1444" i="1"/>
  <c r="D1443" i="1"/>
  <c r="K1444" i="1"/>
  <c r="CL27" i="3"/>
  <c r="CL56" i="3" s="1"/>
  <c r="CL22" i="3"/>
  <c r="CL23" i="3" s="1"/>
  <c r="CL24" i="3" s="1"/>
  <c r="CN68" i="3"/>
  <c r="DP34" i="3"/>
  <c r="DP29" i="3"/>
  <c r="CM68" i="3"/>
  <c r="CM78" i="3" s="1"/>
  <c r="BC76" i="3"/>
  <c r="C7" i="7" s="1"/>
  <c r="O241" i="1"/>
  <c r="CX72" i="3"/>
  <c r="CX78" i="3" s="1"/>
  <c r="CX81" i="3" s="1"/>
  <c r="F218" i="1"/>
  <c r="H72" i="3"/>
  <c r="J72" i="3"/>
  <c r="J78" i="3" s="1"/>
  <c r="J81" i="3" s="1"/>
  <c r="N72" i="3"/>
  <c r="N78" i="3" s="1"/>
  <c r="N81" i="3" s="1"/>
  <c r="M72" i="3"/>
  <c r="M78" i="3" s="1"/>
  <c r="M81" i="3" s="1"/>
  <c r="I72" i="3"/>
  <c r="I78" i="3" s="1"/>
  <c r="I81" i="3" s="1"/>
  <c r="G72" i="3"/>
  <c r="G78" i="3" s="1"/>
  <c r="G81" i="3" s="1"/>
  <c r="G22" i="3"/>
  <c r="G23" i="3" s="1"/>
  <c r="G24" i="3" s="1"/>
  <c r="BK65" i="3"/>
  <c r="BK66" i="3" s="1"/>
  <c r="BK58" i="3"/>
  <c r="BK57" i="3" s="1"/>
  <c r="BK62" i="3"/>
  <c r="G2331" i="1"/>
  <c r="L2331" i="1"/>
  <c r="D2331" i="1"/>
  <c r="N2330" i="1"/>
  <c r="DV9" i="3"/>
  <c r="F2331" i="1"/>
  <c r="M2330" i="1"/>
  <c r="K2330" i="1"/>
  <c r="F2330" i="1"/>
  <c r="E2331" i="1"/>
  <c r="N2331" i="1"/>
  <c r="D2330" i="1"/>
  <c r="L2330" i="1"/>
  <c r="O2330" i="1" s="1"/>
  <c r="DV30" i="3" s="1"/>
  <c r="E2330" i="1"/>
  <c r="G2330" i="1"/>
  <c r="K2331" i="1"/>
  <c r="M2331" i="1"/>
  <c r="H1300" i="1"/>
  <c r="J27" i="3"/>
  <c r="J56" i="3" s="1"/>
  <c r="J22" i="3"/>
  <c r="J23" i="3" s="1"/>
  <c r="J24" i="3" s="1"/>
  <c r="CW22" i="3"/>
  <c r="CW23" i="3" s="1"/>
  <c r="CW24" i="3" s="1"/>
  <c r="CW27" i="3"/>
  <c r="CW56" i="3" s="1"/>
  <c r="BX60" i="3"/>
  <c r="BX31" i="3"/>
  <c r="CL61" i="3"/>
  <c r="CL65" i="3" s="1"/>
  <c r="K576" i="1"/>
  <c r="C576" i="1"/>
  <c r="H626" i="1"/>
  <c r="H625" i="1"/>
  <c r="I626" i="1"/>
  <c r="BD9" i="3"/>
  <c r="J626" i="1"/>
  <c r="J625" i="1"/>
  <c r="I625" i="1"/>
  <c r="G27" i="3"/>
  <c r="G56" i="3" s="1"/>
  <c r="EI43" i="3"/>
  <c r="AN30" i="3"/>
  <c r="CQ47" i="3"/>
  <c r="CY72" i="3"/>
  <c r="I1251" i="1"/>
  <c r="K1251" i="1" s="1"/>
  <c r="J1251" i="1"/>
  <c r="I1252" i="1"/>
  <c r="K1252" i="1" s="1"/>
  <c r="C51" i="3"/>
  <c r="DL27" i="3"/>
  <c r="DL56" i="3" s="1"/>
  <c r="DL26" i="3"/>
  <c r="DL22" i="3"/>
  <c r="DL23" i="3" s="1"/>
  <c r="DL24" i="3" s="1"/>
  <c r="K1538" i="1"/>
  <c r="M1539" i="1"/>
  <c r="N1539" i="1"/>
  <c r="E1538" i="1"/>
  <c r="D1539" i="1"/>
  <c r="D1538" i="1"/>
  <c r="F1539" i="1"/>
  <c r="F1538" i="1"/>
  <c r="O1538" i="1"/>
  <c r="O1539" i="1"/>
  <c r="K1539" i="1"/>
  <c r="L1539" i="1"/>
  <c r="CO9" i="3"/>
  <c r="L1538" i="1"/>
  <c r="M1538" i="1"/>
  <c r="N1538" i="1"/>
  <c r="E1539" i="1"/>
  <c r="CE33" i="3"/>
  <c r="CE29" i="3"/>
  <c r="AI61" i="3"/>
  <c r="AI65" i="3" s="1"/>
  <c r="AI35" i="3"/>
  <c r="V33" i="3"/>
  <c r="V30" i="3"/>
  <c r="V29" i="3"/>
  <c r="L153" i="1"/>
  <c r="AJ33" i="3"/>
  <c r="CN72" i="3"/>
  <c r="K755" i="1"/>
  <c r="L262" i="5"/>
  <c r="EI39" i="3"/>
  <c r="M355" i="1"/>
  <c r="CN31" i="3"/>
  <c r="CK47" i="3"/>
  <c r="C152" i="1"/>
  <c r="C39" i="3"/>
  <c r="P47" i="3"/>
  <c r="E503" i="1"/>
  <c r="AX76" i="3"/>
  <c r="G2019" i="1"/>
  <c r="BQ60" i="3"/>
  <c r="BQ64" i="3" s="1"/>
  <c r="H2379" i="1"/>
  <c r="DX33" i="3" s="1"/>
  <c r="DM60" i="3"/>
  <c r="DM64" i="3" s="1"/>
  <c r="E1444" i="1"/>
  <c r="H1444" i="1" s="1"/>
  <c r="CL26" i="3"/>
  <c r="L174" i="5"/>
  <c r="K1275" i="1"/>
  <c r="D1611" i="1"/>
  <c r="E1611" i="1"/>
  <c r="G1610" i="1"/>
  <c r="D1610" i="1"/>
  <c r="CR9" i="3"/>
  <c r="K1610" i="1"/>
  <c r="O1610" i="1" s="1"/>
  <c r="L1610" i="1"/>
  <c r="N1611" i="1"/>
  <c r="M1610" i="1"/>
  <c r="M1611" i="1"/>
  <c r="H81" i="3"/>
  <c r="DV51" i="3"/>
  <c r="D355" i="1"/>
  <c r="W22" i="3"/>
  <c r="W23" i="3" s="1"/>
  <c r="W24" i="3" s="1"/>
  <c r="DN33" i="3"/>
  <c r="D152" i="1"/>
  <c r="AY9" i="3"/>
  <c r="AY76" i="3"/>
  <c r="F570" i="5"/>
  <c r="DI9" i="3"/>
  <c r="N1778" i="1"/>
  <c r="EH47" i="3"/>
  <c r="EH60" i="3" s="1"/>
  <c r="EH64" i="3" s="1"/>
  <c r="X39" i="3"/>
  <c r="Y39" i="3"/>
  <c r="CJ29" i="3"/>
  <c r="H1970" i="1"/>
  <c r="L576" i="1"/>
  <c r="E1443" i="1"/>
  <c r="CP47" i="3"/>
  <c r="CP60" i="3" s="1"/>
  <c r="F175" i="5"/>
  <c r="CS22" i="3"/>
  <c r="CS23" i="3" s="1"/>
  <c r="CS24" i="3" s="1"/>
  <c r="CM72" i="3"/>
  <c r="J355" i="1"/>
  <c r="I153" i="5"/>
  <c r="BH35" i="3"/>
  <c r="F1851" i="1"/>
  <c r="E153" i="1"/>
  <c r="AJ30" i="3"/>
  <c r="J504" i="1"/>
  <c r="BI78" i="3"/>
  <c r="E2018" i="1"/>
  <c r="H2018" i="1" s="1"/>
  <c r="E1778" i="1"/>
  <c r="H1778" i="1" s="1"/>
  <c r="CM39" i="3"/>
  <c r="CT72" i="3"/>
  <c r="CT78" i="3" s="1"/>
  <c r="CT81" i="3" s="1"/>
  <c r="L577" i="1"/>
  <c r="H1611" i="1"/>
  <c r="O1443" i="1"/>
  <c r="L218" i="1"/>
  <c r="O218" i="1" s="1"/>
  <c r="CH61" i="3"/>
  <c r="CH35" i="3"/>
  <c r="CS27" i="3"/>
  <c r="CS56" i="3" s="1"/>
  <c r="D29" i="3"/>
  <c r="D33" i="3"/>
  <c r="M354" i="1"/>
  <c r="K152" i="1"/>
  <c r="V43" i="3"/>
  <c r="L503" i="1"/>
  <c r="BJ78" i="3"/>
  <c r="BK78" i="3"/>
  <c r="F2018" i="1"/>
  <c r="F1778" i="1"/>
  <c r="AF51" i="3"/>
  <c r="AF61" i="3" s="1"/>
  <c r="AF65" i="3" s="1"/>
  <c r="CE30" i="3"/>
  <c r="K577" i="1"/>
  <c r="Y9" i="3"/>
  <c r="L31" i="3"/>
  <c r="D1994" i="1"/>
  <c r="M1994" i="1"/>
  <c r="O1994" i="1" s="1"/>
  <c r="N1994" i="1"/>
  <c r="N1995" i="1"/>
  <c r="DH9" i="3"/>
  <c r="E1995" i="1"/>
  <c r="BS33" i="3"/>
  <c r="BS34" i="3"/>
  <c r="BS35" i="3"/>
  <c r="DL47" i="3"/>
  <c r="F21" i="5"/>
  <c r="F263" i="5"/>
  <c r="F576" i="1"/>
  <c r="L1754" i="1"/>
  <c r="K64" i="1"/>
  <c r="AS9" i="3"/>
  <c r="J152" i="1"/>
  <c r="W47" i="3"/>
  <c r="W60" i="3" s="1"/>
  <c r="EE39" i="3"/>
  <c r="AU47" i="3"/>
  <c r="O2403" i="1"/>
  <c r="J503" i="1"/>
  <c r="L372" i="5"/>
  <c r="CC78" i="3"/>
  <c r="E2019" i="1"/>
  <c r="G1779" i="1"/>
  <c r="CS33" i="3"/>
  <c r="DS27" i="3"/>
  <c r="DS56" i="3" s="1"/>
  <c r="Q30" i="3"/>
  <c r="AW27" i="3"/>
  <c r="AW56" i="3" s="1"/>
  <c r="AH35" i="3"/>
  <c r="CK78" i="3"/>
  <c r="D1995" i="1"/>
  <c r="J576" i="1"/>
  <c r="J505" i="5"/>
  <c r="K219" i="1"/>
  <c r="O219" i="1" s="1"/>
  <c r="CL68" i="3"/>
  <c r="CL78" i="3" s="1"/>
  <c r="AG34" i="3"/>
  <c r="AO22" i="3"/>
  <c r="AO23" i="3" s="1"/>
  <c r="AO24" i="3" s="1"/>
  <c r="AO47" i="3"/>
  <c r="AO26" i="3"/>
  <c r="J26" i="3"/>
  <c r="L29" i="3"/>
  <c r="CJ72" i="3"/>
  <c r="CJ78" i="3" s="1"/>
  <c r="CS26" i="3"/>
  <c r="C65" i="1"/>
  <c r="E354" i="1"/>
  <c r="L1850" i="1"/>
  <c r="L152" i="1"/>
  <c r="P34" i="3"/>
  <c r="S47" i="3"/>
  <c r="CE61" i="3"/>
  <c r="CE65" i="3" s="1"/>
  <c r="K33" i="3"/>
  <c r="F2019" i="1"/>
  <c r="AB26" i="3"/>
  <c r="AB34" i="3" s="1"/>
  <c r="DB29" i="3"/>
  <c r="CB58" i="3"/>
  <c r="CB57" i="3" s="1"/>
  <c r="O1970" i="1"/>
  <c r="G1994" i="1"/>
  <c r="C577" i="1"/>
  <c r="F577" i="1" s="1"/>
  <c r="K505" i="5"/>
  <c r="P26" i="3"/>
  <c r="P29" i="3" s="1"/>
  <c r="P27" i="3"/>
  <c r="P56" i="3" s="1"/>
  <c r="P22" i="3"/>
  <c r="P23" i="3" s="1"/>
  <c r="P24" i="3" s="1"/>
  <c r="O1635" i="1"/>
  <c r="AN26" i="3"/>
  <c r="EI35" i="3"/>
  <c r="EI61" i="3"/>
  <c r="DO31" i="3"/>
  <c r="DO60" i="3"/>
  <c r="CI61" i="3"/>
  <c r="CI35" i="3"/>
  <c r="BV61" i="3"/>
  <c r="BV65" i="3" s="1"/>
  <c r="BV35" i="3"/>
  <c r="I526" i="5"/>
  <c r="J527" i="5"/>
  <c r="K527" i="5"/>
  <c r="Z9" i="3"/>
  <c r="D527" i="5"/>
  <c r="E527" i="5"/>
  <c r="J526" i="5"/>
  <c r="C527" i="5"/>
  <c r="F527" i="5" s="1"/>
  <c r="I527" i="5"/>
  <c r="L527" i="5" s="1"/>
  <c r="K526" i="5"/>
  <c r="C526" i="5"/>
  <c r="E526" i="5"/>
  <c r="D526" i="5"/>
  <c r="CG64" i="3"/>
  <c r="CG66" i="3" s="1"/>
  <c r="CG58" i="3"/>
  <c r="CG57" i="3" s="1"/>
  <c r="T39" i="3"/>
  <c r="CW61" i="3"/>
  <c r="CW35" i="3"/>
  <c r="AK51" i="3"/>
  <c r="AK33" i="3"/>
  <c r="AD72" i="3"/>
  <c r="AD78" i="3" s="1"/>
  <c r="AD81" i="3" s="1"/>
  <c r="AD27" i="3"/>
  <c r="AD56" i="3" s="1"/>
  <c r="AJ72" i="3"/>
  <c r="AE72" i="3"/>
  <c r="AK72" i="3"/>
  <c r="AF72" i="3"/>
  <c r="AG72" i="3"/>
  <c r="AH72" i="3"/>
  <c r="AI72" i="3"/>
  <c r="AD26" i="3"/>
  <c r="AD34" i="3" s="1"/>
  <c r="CG34" i="3"/>
  <c r="CG30" i="3"/>
  <c r="BT58" i="3"/>
  <c r="BT57" i="3" s="1"/>
  <c r="BT64" i="3"/>
  <c r="BT66" i="3" s="1"/>
  <c r="BT62" i="3"/>
  <c r="CG31" i="3"/>
  <c r="CM30" i="3"/>
  <c r="CM29" i="3"/>
  <c r="CM31" i="3"/>
  <c r="AR27" i="3"/>
  <c r="AR56" i="3" s="1"/>
  <c r="AR26" i="3"/>
  <c r="AR29" i="3" s="1"/>
  <c r="I1007" i="1"/>
  <c r="J1008" i="1"/>
  <c r="J1007" i="1"/>
  <c r="H1008" i="1"/>
  <c r="I1008" i="1"/>
  <c r="BS9" i="3"/>
  <c r="H1007" i="1"/>
  <c r="AA31" i="3"/>
  <c r="DA58" i="3"/>
  <c r="DA57" i="3" s="1"/>
  <c r="DA64" i="3"/>
  <c r="DA66" i="3" s="1"/>
  <c r="DA62" i="3"/>
  <c r="DX51" i="3"/>
  <c r="AZ24" i="3"/>
  <c r="H2019" i="1"/>
  <c r="EK68" i="3"/>
  <c r="EK78" i="3" s="1"/>
  <c r="EK81" i="3" s="1"/>
  <c r="DR68" i="3"/>
  <c r="DQ68" i="3"/>
  <c r="DQ78" i="3" s="1"/>
  <c r="DQ81" i="3" s="1"/>
  <c r="DQ27" i="3"/>
  <c r="DQ56" i="3" s="1"/>
  <c r="DS68" i="3"/>
  <c r="DQ22" i="3"/>
  <c r="DQ23" i="3" s="1"/>
  <c r="DQ24" i="3" s="1"/>
  <c r="AD33" i="3"/>
  <c r="EK72" i="3"/>
  <c r="DQ72" i="3"/>
  <c r="L1683" i="1"/>
  <c r="D1682" i="1"/>
  <c r="L1682" i="1"/>
  <c r="G1682" i="1"/>
  <c r="G1683" i="1"/>
  <c r="N1682" i="1"/>
  <c r="N1683" i="1"/>
  <c r="K1683" i="1"/>
  <c r="CU9" i="3"/>
  <c r="M1682" i="1"/>
  <c r="F1683" i="1"/>
  <c r="F1682" i="1"/>
  <c r="E1682" i="1"/>
  <c r="K1682" i="1"/>
  <c r="D1683" i="1"/>
  <c r="E1683" i="1"/>
  <c r="M1683" i="1"/>
  <c r="AW22" i="3"/>
  <c r="AW23" i="3" s="1"/>
  <c r="AW24" i="3" s="1"/>
  <c r="F505" i="5"/>
  <c r="EH51" i="3"/>
  <c r="EH61" i="3" s="1"/>
  <c r="EH65" i="3" s="1"/>
  <c r="U39" i="3"/>
  <c r="DU47" i="3"/>
  <c r="H64" i="4"/>
  <c r="CT51" i="3"/>
  <c r="DB30" i="3"/>
  <c r="DB47" i="3"/>
  <c r="I31" i="3"/>
  <c r="I60" i="3"/>
  <c r="I64" i="3" s="1"/>
  <c r="G33" i="3"/>
  <c r="G51" i="3"/>
  <c r="O553" i="1"/>
  <c r="L505" i="5"/>
  <c r="K1228" i="1"/>
  <c r="O2066" i="1"/>
  <c r="H1995" i="1"/>
  <c r="K651" i="1"/>
  <c r="H2427" i="1"/>
  <c r="DZ33" i="3" s="1"/>
  <c r="BC60" i="3"/>
  <c r="BC64" i="3" s="1"/>
  <c r="BC31" i="3"/>
  <c r="AE68" i="3"/>
  <c r="AE78" i="3" s="1"/>
  <c r="AE81" i="3" s="1"/>
  <c r="AI68" i="3"/>
  <c r="AI78" i="3" s="1"/>
  <c r="AI81" i="3" s="1"/>
  <c r="AJ68" i="3"/>
  <c r="AJ78" i="3" s="1"/>
  <c r="AJ81" i="3" s="1"/>
  <c r="AF68" i="3"/>
  <c r="AE22" i="3"/>
  <c r="AE23" i="3" s="1"/>
  <c r="AE24" i="3" s="1"/>
  <c r="AK68" i="3"/>
  <c r="AH68" i="3"/>
  <c r="AG68" i="3"/>
  <c r="AE26" i="3"/>
  <c r="AE27" i="3"/>
  <c r="AE56" i="3" s="1"/>
  <c r="DN22" i="3"/>
  <c r="DN23" i="3" s="1"/>
  <c r="DN24" i="3" s="1"/>
  <c r="DN27" i="3"/>
  <c r="DN56" i="3" s="1"/>
  <c r="AQ47" i="3"/>
  <c r="AQ30" i="3"/>
  <c r="Z51" i="3"/>
  <c r="Z33" i="3"/>
  <c r="F548" i="5"/>
  <c r="E1323" i="1"/>
  <c r="D1323" i="1"/>
  <c r="K1323" i="1"/>
  <c r="K1324" i="1"/>
  <c r="L1324" i="1"/>
  <c r="M1324" i="1"/>
  <c r="CF9" i="3"/>
  <c r="F1324" i="1"/>
  <c r="L1323" i="1"/>
  <c r="M1323" i="1"/>
  <c r="F1323" i="1"/>
  <c r="L2306" i="1"/>
  <c r="D2306" i="1"/>
  <c r="D2307" i="1"/>
  <c r="N2307" i="1"/>
  <c r="M2306" i="1"/>
  <c r="DU9" i="3"/>
  <c r="E2307" i="1"/>
  <c r="N2306" i="1"/>
  <c r="L2307" i="1"/>
  <c r="M2307" i="1"/>
  <c r="F2307" i="1"/>
  <c r="E2306" i="1"/>
  <c r="K2306" i="1"/>
  <c r="K2307" i="1"/>
  <c r="G2307" i="1"/>
  <c r="G2306" i="1"/>
  <c r="F2306" i="1"/>
  <c r="O503" i="1"/>
  <c r="D504" i="1"/>
  <c r="D503" i="1"/>
  <c r="K504" i="1"/>
  <c r="O504" i="1" s="1"/>
  <c r="E504" i="1"/>
  <c r="F504" i="1" s="1"/>
  <c r="C503" i="1"/>
  <c r="C504" i="1"/>
  <c r="BY31" i="3"/>
  <c r="BY60" i="3"/>
  <c r="BY64" i="3" s="1"/>
  <c r="K131" i="1"/>
  <c r="L131" i="1"/>
  <c r="J131" i="1"/>
  <c r="AI9" i="3"/>
  <c r="C130" i="1"/>
  <c r="L130" i="1"/>
  <c r="C131" i="1"/>
  <c r="D131" i="1"/>
  <c r="K130" i="1"/>
  <c r="E131" i="1"/>
  <c r="D130" i="1"/>
  <c r="J130" i="1"/>
  <c r="O130" i="1" s="1"/>
  <c r="E130" i="1"/>
  <c r="H2211" i="1"/>
  <c r="C109" i="1"/>
  <c r="F109" i="1" s="1"/>
  <c r="D108" i="1"/>
  <c r="L109" i="1"/>
  <c r="K108" i="1"/>
  <c r="K109" i="1"/>
  <c r="O109" i="1" s="1"/>
  <c r="K1131" i="1"/>
  <c r="G30" i="3"/>
  <c r="G29" i="3"/>
  <c r="G34" i="3"/>
  <c r="BY78" i="3"/>
  <c r="CG29" i="3"/>
  <c r="BT9" i="3"/>
  <c r="H1033" i="1"/>
  <c r="J1033" i="1"/>
  <c r="J1032" i="1"/>
  <c r="I1033" i="1"/>
  <c r="I1032" i="1"/>
  <c r="H1032" i="1"/>
  <c r="AV47" i="3"/>
  <c r="AV30" i="3"/>
  <c r="O1611" i="1"/>
  <c r="BE70" i="3"/>
  <c r="D2595" i="1"/>
  <c r="K2667" i="1"/>
  <c r="F2594" i="1"/>
  <c r="C153" i="1"/>
  <c r="F153" i="1" s="1"/>
  <c r="E329" i="5"/>
  <c r="EC51" i="3"/>
  <c r="L240" i="5"/>
  <c r="BL78" i="3"/>
  <c r="F330" i="1"/>
  <c r="AA39" i="3"/>
  <c r="M2042" i="1"/>
  <c r="L2042" i="1"/>
  <c r="K2042" i="1"/>
  <c r="O2042" i="1" s="1"/>
  <c r="M2043" i="1"/>
  <c r="D2043" i="1"/>
  <c r="F2043" i="1"/>
  <c r="E2042" i="1"/>
  <c r="G2043" i="1"/>
  <c r="F2042" i="1"/>
  <c r="E2043" i="1"/>
  <c r="G2042" i="1"/>
  <c r="N2043" i="1"/>
  <c r="D2042" i="1"/>
  <c r="N2042" i="1"/>
  <c r="L2043" i="1"/>
  <c r="DJ9" i="3"/>
  <c r="K2043" i="1"/>
  <c r="AH47" i="3"/>
  <c r="AH30" i="3"/>
  <c r="BD33" i="3"/>
  <c r="BD34" i="3"/>
  <c r="AB47" i="3"/>
  <c r="AB29" i="3"/>
  <c r="BO78" i="3"/>
  <c r="K1132" i="1"/>
  <c r="O1995" i="1"/>
  <c r="AV33" i="3"/>
  <c r="AV29" i="3"/>
  <c r="CQ51" i="3"/>
  <c r="D2666" i="1"/>
  <c r="G2595" i="1"/>
  <c r="F351" i="5"/>
  <c r="O354" i="1"/>
  <c r="O1850" i="1"/>
  <c r="H1802" i="1"/>
  <c r="J153" i="1"/>
  <c r="DD34" i="3"/>
  <c r="BA34" i="3"/>
  <c r="EC47" i="3"/>
  <c r="O2067" i="1"/>
  <c r="H1347" i="1"/>
  <c r="BA76" i="3"/>
  <c r="O2427" i="1"/>
  <c r="DZ34" i="3" s="1"/>
  <c r="CJ33" i="3"/>
  <c r="CJ34" i="3"/>
  <c r="CR47" i="3"/>
  <c r="CR29" i="3"/>
  <c r="CV47" i="3"/>
  <c r="CV29" i="3"/>
  <c r="J152" i="5"/>
  <c r="L152" i="5" s="1"/>
  <c r="K152" i="5"/>
  <c r="D153" i="5"/>
  <c r="F153" i="5" s="1"/>
  <c r="CJ30" i="3"/>
  <c r="D416" i="5"/>
  <c r="J416" i="5"/>
  <c r="J417" i="5"/>
  <c r="I416" i="5"/>
  <c r="I417" i="5"/>
  <c r="U9" i="3"/>
  <c r="C416" i="5"/>
  <c r="K416" i="5"/>
  <c r="E416" i="5"/>
  <c r="C417" i="5"/>
  <c r="E417" i="5"/>
  <c r="D417" i="5"/>
  <c r="K417" i="5"/>
  <c r="M1779" i="1"/>
  <c r="N1779" i="1"/>
  <c r="D1779" i="1"/>
  <c r="F1779" i="1"/>
  <c r="N1827" i="1"/>
  <c r="L1827" i="1"/>
  <c r="N1826" i="1"/>
  <c r="K1826" i="1"/>
  <c r="G1826" i="1"/>
  <c r="L1826" i="1"/>
  <c r="F1827" i="1"/>
  <c r="D1827" i="1"/>
  <c r="F1826" i="1"/>
  <c r="E1826" i="1"/>
  <c r="D1826" i="1"/>
  <c r="DA9" i="3"/>
  <c r="M1827" i="1"/>
  <c r="G1827" i="1"/>
  <c r="K1827" i="1"/>
  <c r="M1826" i="1"/>
  <c r="E1827" i="1"/>
  <c r="AW7" i="3"/>
  <c r="AW26" i="3" s="1"/>
  <c r="AW30" i="3" s="1"/>
  <c r="B438" i="1"/>
  <c r="O552" i="1"/>
  <c r="I1180" i="1"/>
  <c r="J1179" i="1"/>
  <c r="I1179" i="1"/>
  <c r="H1180" i="1"/>
  <c r="J1180" i="1"/>
  <c r="H1179" i="1"/>
  <c r="BZ9" i="3"/>
  <c r="M661" i="1"/>
  <c r="BF7" i="3" s="1"/>
  <c r="BF26" i="3" s="1"/>
  <c r="B662" i="1"/>
  <c r="L549" i="5"/>
  <c r="AY61" i="3"/>
  <c r="AY65" i="3" s="1"/>
  <c r="AY35" i="3"/>
  <c r="E2667" i="1"/>
  <c r="E2594" i="1"/>
  <c r="H2594" i="1" s="1"/>
  <c r="EG29" i="3" s="1"/>
  <c r="K153" i="1"/>
  <c r="CG33" i="3"/>
  <c r="BV31" i="3"/>
  <c r="BV60" i="3"/>
  <c r="F218" i="5"/>
  <c r="E152" i="1"/>
  <c r="H2282" i="1"/>
  <c r="DT29" i="3" s="1"/>
  <c r="AW47" i="3"/>
  <c r="AW60" i="3" s="1"/>
  <c r="BX78" i="3"/>
  <c r="CG35" i="3"/>
  <c r="CG62" i="3"/>
  <c r="H1372" i="1"/>
  <c r="CH9" i="3"/>
  <c r="I1371" i="1"/>
  <c r="H1371" i="1"/>
  <c r="J1371" i="1"/>
  <c r="J1372" i="1"/>
  <c r="I1372" i="1"/>
  <c r="D350" i="5"/>
  <c r="C350" i="5"/>
  <c r="F350" i="5" s="1"/>
  <c r="DE47" i="3"/>
  <c r="DE29" i="3"/>
  <c r="CW29" i="3"/>
  <c r="CW30" i="3"/>
  <c r="AW51" i="3"/>
  <c r="BF27" i="3"/>
  <c r="BF56" i="3" s="1"/>
  <c r="BF55" i="3"/>
  <c r="D51" i="3"/>
  <c r="G31" i="3"/>
  <c r="G60" i="3"/>
  <c r="CB62" i="3"/>
  <c r="N2594" i="1"/>
  <c r="K958" i="1"/>
  <c r="AJ9" i="3"/>
  <c r="O1348" i="1"/>
  <c r="O2402" i="1"/>
  <c r="BQ78" i="3"/>
  <c r="BV33" i="3"/>
  <c r="BV34" i="3"/>
  <c r="D31" i="3"/>
  <c r="D60" i="3"/>
  <c r="CW33" i="3"/>
  <c r="M2666" i="1"/>
  <c r="G2666" i="1"/>
  <c r="L2595" i="1"/>
  <c r="O2595" i="1" s="1"/>
  <c r="EG34" i="3" s="1"/>
  <c r="EH43" i="3"/>
  <c r="L351" i="5"/>
  <c r="F108" i="1"/>
  <c r="J65" i="1"/>
  <c r="AI47" i="3"/>
  <c r="AI31" i="3" s="1"/>
  <c r="BA35" i="3"/>
  <c r="L571" i="5"/>
  <c r="Y43" i="3"/>
  <c r="CV39" i="3"/>
  <c r="CM51" i="3"/>
  <c r="CM34" i="3"/>
  <c r="BD31" i="3"/>
  <c r="AT33" i="3"/>
  <c r="AT29" i="3"/>
  <c r="AT30" i="3"/>
  <c r="AT34" i="3"/>
  <c r="DH47" i="3"/>
  <c r="DK33" i="3"/>
  <c r="DK30" i="3"/>
  <c r="DK29" i="3"/>
  <c r="W64" i="3"/>
  <c r="W66" i="3" s="1"/>
  <c r="W62" i="3"/>
  <c r="W58" i="3"/>
  <c r="W57" i="3" s="1"/>
  <c r="DI60" i="3"/>
  <c r="AS64" i="3"/>
  <c r="AS66" i="3" s="1"/>
  <c r="AS62" i="3"/>
  <c r="AS58" i="3"/>
  <c r="N61" i="3"/>
  <c r="N35" i="3"/>
  <c r="EG47" i="3"/>
  <c r="EG31" i="3" s="1"/>
  <c r="V78" i="3"/>
  <c r="V81" i="3" s="1"/>
  <c r="EA60" i="3"/>
  <c r="EA64" i="3" s="1"/>
  <c r="DA29" i="3"/>
  <c r="DA34" i="3"/>
  <c r="DA31" i="3"/>
  <c r="DA35" i="3"/>
  <c r="DA30" i="3"/>
  <c r="DA33" i="3"/>
  <c r="DW61" i="3"/>
  <c r="DW65" i="3" s="1"/>
  <c r="BN34" i="3"/>
  <c r="BN33" i="3"/>
  <c r="F65" i="1"/>
  <c r="O152" i="1"/>
  <c r="EC22" i="3"/>
  <c r="EC23" i="3" s="1"/>
  <c r="EC24" i="3" s="1"/>
  <c r="EC27" i="3"/>
  <c r="EC56" i="3" s="1"/>
  <c r="AA61" i="3"/>
  <c r="AA35" i="3"/>
  <c r="EE72" i="3"/>
  <c r="BN78" i="3"/>
  <c r="AA68" i="3"/>
  <c r="DS51" i="3"/>
  <c r="DJ47" i="3"/>
  <c r="DJ29" i="3"/>
  <c r="W9" i="3"/>
  <c r="J461" i="5"/>
  <c r="E461" i="5"/>
  <c r="E460" i="5"/>
  <c r="D461" i="5"/>
  <c r="C460" i="5"/>
  <c r="J460" i="5"/>
  <c r="I460" i="5"/>
  <c r="K460" i="5"/>
  <c r="I461" i="5"/>
  <c r="K461" i="5"/>
  <c r="D460" i="5"/>
  <c r="C461" i="5"/>
  <c r="AU60" i="3"/>
  <c r="AU31" i="3"/>
  <c r="BZ33" i="3"/>
  <c r="BZ34" i="3"/>
  <c r="BZ35" i="3"/>
  <c r="AC68" i="3"/>
  <c r="DX22" i="3"/>
  <c r="DX23" i="3" s="1"/>
  <c r="DX24" i="3" s="1"/>
  <c r="DX27" i="3"/>
  <c r="DX56" i="3" s="1"/>
  <c r="D306" i="5"/>
  <c r="J307" i="5"/>
  <c r="K306" i="5"/>
  <c r="J306" i="5"/>
  <c r="I306" i="5"/>
  <c r="P9" i="3"/>
  <c r="C307" i="5"/>
  <c r="I307" i="5"/>
  <c r="C306" i="5"/>
  <c r="E307" i="5"/>
  <c r="K307" i="5"/>
  <c r="D307" i="5"/>
  <c r="E306" i="5"/>
  <c r="T27" i="3"/>
  <c r="T56" i="3" s="1"/>
  <c r="T22" i="3"/>
  <c r="T23" i="3" s="1"/>
  <c r="T24" i="3" s="1"/>
  <c r="T51" i="3"/>
  <c r="J35" i="3"/>
  <c r="J61" i="3"/>
  <c r="H2258" i="1"/>
  <c r="DF27" i="3"/>
  <c r="DF56" i="3" s="1"/>
  <c r="R47" i="3"/>
  <c r="AB68" i="3"/>
  <c r="M33" i="3"/>
  <c r="M30" i="3"/>
  <c r="M34" i="3"/>
  <c r="M35" i="3"/>
  <c r="M29" i="3"/>
  <c r="K81" i="3"/>
  <c r="H47" i="3"/>
  <c r="Q9" i="3"/>
  <c r="DV72" i="3"/>
  <c r="DS72" i="3"/>
  <c r="DT72" i="3"/>
  <c r="ED72" i="3"/>
  <c r="DZ72" i="3"/>
  <c r="DY72" i="3"/>
  <c r="EH72" i="3"/>
  <c r="EC72" i="3"/>
  <c r="DR72" i="3"/>
  <c r="DR27" i="3"/>
  <c r="DR56" i="3" s="1"/>
  <c r="EB72" i="3"/>
  <c r="DR22" i="3"/>
  <c r="DR23" i="3" s="1"/>
  <c r="DR24" i="3" s="1"/>
  <c r="EG72" i="3"/>
  <c r="DW72" i="3"/>
  <c r="DX72" i="3"/>
  <c r="EA72" i="3"/>
  <c r="EI72" i="3"/>
  <c r="EF72" i="3"/>
  <c r="DU72" i="3"/>
  <c r="AG47" i="3"/>
  <c r="AG29" i="3"/>
  <c r="C31" i="3"/>
  <c r="C60" i="3"/>
  <c r="AN65" i="3"/>
  <c r="AN66" i="3" s="1"/>
  <c r="AN62" i="3"/>
  <c r="AN58" i="3"/>
  <c r="AE31" i="3"/>
  <c r="AE60" i="3"/>
  <c r="F240" i="5"/>
  <c r="DN34" i="3"/>
  <c r="O1778" i="1"/>
  <c r="DX26" i="3"/>
  <c r="Y51" i="3"/>
  <c r="Y26" i="3"/>
  <c r="Y22" i="3"/>
  <c r="Y23" i="3" s="1"/>
  <c r="Y24" i="3" s="1"/>
  <c r="Y27" i="3"/>
  <c r="Y56" i="3" s="1"/>
  <c r="DS26" i="3"/>
  <c r="DS33" i="3" s="1"/>
  <c r="DS22" i="3"/>
  <c r="DS23" i="3" s="1"/>
  <c r="DS24" i="3" s="1"/>
  <c r="DD47" i="3"/>
  <c r="DD30" i="3"/>
  <c r="DU61" i="3"/>
  <c r="DU65" i="3" s="1"/>
  <c r="AX33" i="3"/>
  <c r="AX29" i="3"/>
  <c r="AX30" i="3"/>
  <c r="AX34" i="3"/>
  <c r="Q47" i="3"/>
  <c r="Q29" i="3"/>
  <c r="AG35" i="3"/>
  <c r="AG61" i="3"/>
  <c r="AG65" i="3" s="1"/>
  <c r="Y68" i="3"/>
  <c r="R68" i="3"/>
  <c r="AP72" i="3"/>
  <c r="AM72" i="3"/>
  <c r="AZ72" i="3"/>
  <c r="AW72" i="3"/>
  <c r="BC72" i="3"/>
  <c r="C11" i="7" s="1"/>
  <c r="AQ72" i="3"/>
  <c r="AL72" i="3"/>
  <c r="AR72" i="3"/>
  <c r="AU72" i="3"/>
  <c r="AV72" i="3"/>
  <c r="BB72" i="3"/>
  <c r="AO72" i="3"/>
  <c r="AN72" i="3"/>
  <c r="AY72" i="3"/>
  <c r="AX72" i="3"/>
  <c r="AS72" i="3"/>
  <c r="BA72" i="3"/>
  <c r="AT72" i="3"/>
  <c r="DY22" i="3"/>
  <c r="DY23" i="3" s="1"/>
  <c r="DY24" i="3" s="1"/>
  <c r="DY26" i="3"/>
  <c r="DY31" i="3" s="1"/>
  <c r="DY27" i="3"/>
  <c r="DY56" i="3" s="1"/>
  <c r="AD47" i="3"/>
  <c r="AD29" i="3"/>
  <c r="AX31" i="3"/>
  <c r="AX60" i="3"/>
  <c r="AX64" i="3" s="1"/>
  <c r="V51" i="3"/>
  <c r="V34" i="3"/>
  <c r="F241" i="5"/>
  <c r="S68" i="3"/>
  <c r="DO30" i="3"/>
  <c r="DO29" i="3"/>
  <c r="DO33" i="3"/>
  <c r="AJ47" i="3"/>
  <c r="X68" i="3"/>
  <c r="DR26" i="3"/>
  <c r="AP62" i="3"/>
  <c r="H2499" i="1"/>
  <c r="EC33" i="3" s="1"/>
  <c r="H1851" i="1"/>
  <c r="AS22" i="3"/>
  <c r="AS23" i="3" s="1"/>
  <c r="AS24" i="3" s="1"/>
  <c r="AS27" i="3"/>
  <c r="AS56" i="3" s="1"/>
  <c r="CX34" i="3"/>
  <c r="CX33" i="3"/>
  <c r="DZ22" i="3"/>
  <c r="DZ23" i="3" s="1"/>
  <c r="DZ24" i="3" s="1"/>
  <c r="DZ27" i="3"/>
  <c r="DZ56" i="3" s="1"/>
  <c r="DZ26" i="3"/>
  <c r="O26" i="3"/>
  <c r="O27" i="3"/>
  <c r="O56" i="3" s="1"/>
  <c r="V72" i="3"/>
  <c r="P72" i="3"/>
  <c r="P78" i="3" s="1"/>
  <c r="P81" i="3" s="1"/>
  <c r="S72" i="3"/>
  <c r="AA72" i="3"/>
  <c r="AB72" i="3"/>
  <c r="R72" i="3"/>
  <c r="Q72" i="3"/>
  <c r="Q78" i="3" s="1"/>
  <c r="Q81" i="3" s="1"/>
  <c r="O22" i="3"/>
  <c r="O23" i="3" s="1"/>
  <c r="O24" i="3" s="1"/>
  <c r="O72" i="3"/>
  <c r="O78" i="3" s="1"/>
  <c r="O81" i="3" s="1"/>
  <c r="AC72" i="3"/>
  <c r="B11" i="7" s="1"/>
  <c r="L51" i="3"/>
  <c r="L33" i="3"/>
  <c r="AD61" i="3"/>
  <c r="W68" i="3"/>
  <c r="H65" i="3"/>
  <c r="R61" i="3"/>
  <c r="R65" i="3" s="1"/>
  <c r="AP58" i="3"/>
  <c r="AP57" i="3" s="1"/>
  <c r="Z30" i="3"/>
  <c r="Z47" i="3"/>
  <c r="I329" i="5"/>
  <c r="F429" i="1"/>
  <c r="F29" i="3"/>
  <c r="F47" i="3"/>
  <c r="V60" i="3"/>
  <c r="V31" i="3"/>
  <c r="DK27" i="3"/>
  <c r="DK56" i="3" s="1"/>
  <c r="R26" i="3"/>
  <c r="R35" i="3" s="1"/>
  <c r="R22" i="3"/>
  <c r="R23" i="3" s="1"/>
  <c r="R24" i="3" s="1"/>
  <c r="R27" i="3"/>
  <c r="R56" i="3" s="1"/>
  <c r="T68" i="3"/>
  <c r="T78" i="3" s="1"/>
  <c r="T81" i="3" s="1"/>
  <c r="F372" i="5"/>
  <c r="C528" i="1"/>
  <c r="L528" i="1"/>
  <c r="J528" i="1"/>
  <c r="D529" i="1"/>
  <c r="K528" i="1"/>
  <c r="D528" i="1"/>
  <c r="M529" i="1"/>
  <c r="L529" i="1"/>
  <c r="K529" i="1"/>
  <c r="J529" i="1"/>
  <c r="E529" i="1"/>
  <c r="AZ9" i="3"/>
  <c r="C529" i="1"/>
  <c r="E528" i="1"/>
  <c r="M528" i="1"/>
  <c r="AZ55" i="3"/>
  <c r="AZ27" i="3"/>
  <c r="AZ56" i="3" s="1"/>
  <c r="AZ76" i="3"/>
  <c r="BQ65" i="3"/>
  <c r="BQ66" i="3" s="1"/>
  <c r="BQ58" i="3"/>
  <c r="BQ57" i="3" s="1"/>
  <c r="BQ62" i="3"/>
  <c r="X31" i="3"/>
  <c r="X33" i="3"/>
  <c r="X29" i="3"/>
  <c r="X34" i="3"/>
  <c r="X30" i="3"/>
  <c r="AP66" i="3"/>
  <c r="J328" i="5"/>
  <c r="I51" i="3"/>
  <c r="I34" i="3"/>
  <c r="DI22" i="3"/>
  <c r="DI23" i="3" s="1"/>
  <c r="DI24" i="3" s="1"/>
  <c r="DI27" i="3"/>
  <c r="DI56" i="3" s="1"/>
  <c r="DI26" i="3"/>
  <c r="DI31" i="3" s="1"/>
  <c r="EA26" i="3"/>
  <c r="EA31" i="3" s="1"/>
  <c r="EA22" i="3"/>
  <c r="EA23" i="3" s="1"/>
  <c r="EA24" i="3" s="1"/>
  <c r="EA27" i="3"/>
  <c r="EA56" i="3" s="1"/>
  <c r="M1659" i="1"/>
  <c r="F1658" i="1"/>
  <c r="K1659" i="1"/>
  <c r="F1659" i="1"/>
  <c r="D1659" i="1"/>
  <c r="N1659" i="1"/>
  <c r="L1658" i="1"/>
  <c r="N1658" i="1"/>
  <c r="M1658" i="1"/>
  <c r="D1658" i="1"/>
  <c r="E1658" i="1"/>
  <c r="L1659" i="1"/>
  <c r="K1658" i="1"/>
  <c r="E1659" i="1"/>
  <c r="G1659" i="1"/>
  <c r="DQ61" i="3"/>
  <c r="DQ35" i="3"/>
  <c r="DK22" i="3"/>
  <c r="DK23" i="3" s="1"/>
  <c r="DK24" i="3" s="1"/>
  <c r="DV26" i="3"/>
  <c r="DV31" i="3" s="1"/>
  <c r="DV22" i="3"/>
  <c r="DV23" i="3" s="1"/>
  <c r="DV24" i="3" s="1"/>
  <c r="DV27" i="3"/>
  <c r="DV56" i="3" s="1"/>
  <c r="DQ30" i="3"/>
  <c r="DQ34" i="3"/>
  <c r="DQ33" i="3"/>
  <c r="DO68" i="3"/>
  <c r="DA68" i="3"/>
  <c r="DB68" i="3"/>
  <c r="DP68" i="3"/>
  <c r="E10" i="7" s="1"/>
  <c r="DH68" i="3"/>
  <c r="DF68" i="3"/>
  <c r="DN68" i="3"/>
  <c r="DC68" i="3"/>
  <c r="DJ68" i="3"/>
  <c r="DL68" i="3"/>
  <c r="DM68" i="3"/>
  <c r="CY27" i="3"/>
  <c r="CY56" i="3" s="1"/>
  <c r="CZ68" i="3"/>
  <c r="CY26" i="3"/>
  <c r="CY68" i="3"/>
  <c r="CY78" i="3" s="1"/>
  <c r="CY81" i="3" s="1"/>
  <c r="DI68" i="3"/>
  <c r="DD68" i="3"/>
  <c r="DE68" i="3"/>
  <c r="CY22" i="3"/>
  <c r="CY23" i="3" s="1"/>
  <c r="CY24" i="3" s="1"/>
  <c r="DG68" i="3"/>
  <c r="DK68" i="3"/>
  <c r="AE51" i="3"/>
  <c r="AE34" i="3"/>
  <c r="S31" i="3"/>
  <c r="S60" i="3"/>
  <c r="AZ30" i="3"/>
  <c r="AZ34" i="3"/>
  <c r="AZ33" i="3"/>
  <c r="T26" i="3"/>
  <c r="Y72" i="3"/>
  <c r="E328" i="5"/>
  <c r="BM58" i="3"/>
  <c r="BM57" i="3" s="1"/>
  <c r="BM62" i="3"/>
  <c r="BM64" i="3"/>
  <c r="BM66" i="3" s="1"/>
  <c r="DD35" i="3"/>
  <c r="DD61" i="3"/>
  <c r="DD65" i="3" s="1"/>
  <c r="E130" i="5"/>
  <c r="C130" i="5"/>
  <c r="E131" i="5"/>
  <c r="K131" i="5"/>
  <c r="J130" i="5"/>
  <c r="H9" i="3"/>
  <c r="C131" i="5"/>
  <c r="F131" i="5" s="1"/>
  <c r="D130" i="5"/>
  <c r="D131" i="5"/>
  <c r="K130" i="5"/>
  <c r="J131" i="5"/>
  <c r="I131" i="5"/>
  <c r="I130" i="5"/>
  <c r="DF26" i="3"/>
  <c r="I394" i="5"/>
  <c r="T9" i="3"/>
  <c r="D394" i="5"/>
  <c r="C395" i="5"/>
  <c r="I395" i="5"/>
  <c r="K394" i="5"/>
  <c r="J395" i="5"/>
  <c r="C394" i="5"/>
  <c r="E395" i="5"/>
  <c r="E394" i="5"/>
  <c r="K395" i="5"/>
  <c r="J394" i="5"/>
  <c r="D395" i="5"/>
  <c r="F61" i="3"/>
  <c r="F35" i="3"/>
  <c r="BU78" i="3"/>
  <c r="O330" i="1"/>
  <c r="L570" i="5"/>
  <c r="H2426" i="1"/>
  <c r="DZ29" i="3" s="1"/>
  <c r="CN30" i="3"/>
  <c r="CN33" i="3"/>
  <c r="CN34" i="3"/>
  <c r="CN29" i="3"/>
  <c r="DO34" i="3"/>
  <c r="BR64" i="3"/>
  <c r="BR66" i="3" s="1"/>
  <c r="BR62" i="3"/>
  <c r="BR58" i="3"/>
  <c r="BR57" i="3" s="1"/>
  <c r="O2571" i="1"/>
  <c r="EF34" i="3" s="1"/>
  <c r="H2546" i="1"/>
  <c r="EE29" i="3" s="1"/>
  <c r="K65" i="1"/>
  <c r="O51" i="3"/>
  <c r="BZ31" i="3"/>
  <c r="C329" i="5"/>
  <c r="BI34" i="3"/>
  <c r="BI33" i="3"/>
  <c r="BI35" i="3"/>
  <c r="BW60" i="3"/>
  <c r="BW31" i="3"/>
  <c r="EB22" i="3"/>
  <c r="EB23" i="3" s="1"/>
  <c r="EB24" i="3" s="1"/>
  <c r="EB27" i="3"/>
  <c r="EB56" i="3" s="1"/>
  <c r="CX9" i="3"/>
  <c r="K1755" i="1"/>
  <c r="N1755" i="1"/>
  <c r="E1754" i="1"/>
  <c r="M1755" i="1"/>
  <c r="E1755" i="1"/>
  <c r="D1754" i="1"/>
  <c r="DZ60" i="3"/>
  <c r="DZ64" i="3" s="1"/>
  <c r="DZ31" i="3"/>
  <c r="P60" i="3"/>
  <c r="P31" i="3"/>
  <c r="CJ60" i="3"/>
  <c r="CJ64" i="3" s="1"/>
  <c r="CJ31" i="3"/>
  <c r="CK61" i="3"/>
  <c r="CK65" i="3" s="1"/>
  <c r="CK35" i="3"/>
  <c r="AK47" i="3"/>
  <c r="CB78" i="3"/>
  <c r="U31" i="3"/>
  <c r="U60" i="3"/>
  <c r="U64" i="3" s="1"/>
  <c r="X72" i="3"/>
  <c r="L1515" i="1"/>
  <c r="O1515" i="1"/>
  <c r="K1514" i="1"/>
  <c r="M1515" i="1"/>
  <c r="L1514" i="1"/>
  <c r="F1515" i="1"/>
  <c r="D1515" i="1"/>
  <c r="F1514" i="1"/>
  <c r="K1515" i="1"/>
  <c r="E1514" i="1"/>
  <c r="CN9" i="3"/>
  <c r="M1514" i="1"/>
  <c r="D1514" i="1"/>
  <c r="E1515" i="1"/>
  <c r="O1514" i="1"/>
  <c r="DO35" i="3"/>
  <c r="DO61" i="3"/>
  <c r="DO65" i="3" s="1"/>
  <c r="U33" i="3"/>
  <c r="U29" i="3"/>
  <c r="U30" i="3"/>
  <c r="CE58" i="3"/>
  <c r="CE57" i="3" s="1"/>
  <c r="CE62" i="3"/>
  <c r="CE64" i="3"/>
  <c r="CE66" i="3" s="1"/>
  <c r="O2618" i="1"/>
  <c r="EH30" i="3" s="1"/>
  <c r="AL26" i="3"/>
  <c r="AL33" i="3" s="1"/>
  <c r="O2498" i="1"/>
  <c r="EC30" i="3" s="1"/>
  <c r="D329" i="5"/>
  <c r="F329" i="5" s="1"/>
  <c r="O428" i="1"/>
  <c r="P51" i="3"/>
  <c r="P33" i="3"/>
  <c r="EC26" i="3"/>
  <c r="I600" i="1"/>
  <c r="J601" i="1"/>
  <c r="H601" i="1"/>
  <c r="H600" i="1"/>
  <c r="BC9" i="3"/>
  <c r="J600" i="1"/>
  <c r="I601" i="1"/>
  <c r="EE51" i="3"/>
  <c r="EE61" i="3" s="1"/>
  <c r="EE65" i="3" s="1"/>
  <c r="I439" i="5"/>
  <c r="E438" i="5"/>
  <c r="E439" i="5"/>
  <c r="D438" i="5"/>
  <c r="C438" i="5"/>
  <c r="D439" i="5"/>
  <c r="C439" i="5"/>
  <c r="V9" i="3"/>
  <c r="K439" i="5"/>
  <c r="J438" i="5"/>
  <c r="K438" i="5"/>
  <c r="I438" i="5"/>
  <c r="J439" i="5"/>
  <c r="ED43" i="3"/>
  <c r="DF51" i="3"/>
  <c r="O2259" i="1"/>
  <c r="CS60" i="3"/>
  <c r="CS31" i="3"/>
  <c r="H2067" i="1"/>
  <c r="D1563" i="1"/>
  <c r="G1562" i="1"/>
  <c r="F1563" i="1"/>
  <c r="CP9" i="3"/>
  <c r="E1563" i="1"/>
  <c r="E1562" i="1"/>
  <c r="L1563" i="1"/>
  <c r="D1562" i="1"/>
  <c r="G1563" i="1"/>
  <c r="K1562" i="1"/>
  <c r="M1563" i="1"/>
  <c r="K1563" i="1"/>
  <c r="N1562" i="1"/>
  <c r="F1562" i="1"/>
  <c r="L1562" i="1"/>
  <c r="N1563" i="1"/>
  <c r="M1562" i="1"/>
  <c r="K2235" i="1"/>
  <c r="O2235" i="1" s="1"/>
  <c r="N2235" i="1"/>
  <c r="M2234" i="1"/>
  <c r="F2234" i="1"/>
  <c r="E2235" i="1"/>
  <c r="K2234" i="1"/>
  <c r="L2235" i="1"/>
  <c r="D2234" i="1"/>
  <c r="G2234" i="1"/>
  <c r="E2234" i="1"/>
  <c r="M2235" i="1"/>
  <c r="N2234" i="1"/>
  <c r="F2235" i="1"/>
  <c r="L2234" i="1"/>
  <c r="D2235" i="1"/>
  <c r="G2235" i="1"/>
  <c r="DR9" i="3"/>
  <c r="BV78" i="3"/>
  <c r="BW78" i="3"/>
  <c r="O331" i="1"/>
  <c r="Z68" i="3"/>
  <c r="W72" i="3"/>
  <c r="DK31" i="3"/>
  <c r="DK60" i="3"/>
  <c r="DK64" i="3" s="1"/>
  <c r="O2426" i="1"/>
  <c r="DZ30" i="3" s="1"/>
  <c r="M60" i="3"/>
  <c r="M31" i="3"/>
  <c r="F2667" i="1"/>
  <c r="O65" i="1"/>
  <c r="H1491" i="1"/>
  <c r="K1227" i="1"/>
  <c r="J329" i="5"/>
  <c r="D81" i="3"/>
  <c r="AJ51" i="3"/>
  <c r="AJ34" i="3"/>
  <c r="J86" i="1"/>
  <c r="E87" i="1"/>
  <c r="L87" i="1"/>
  <c r="J87" i="1"/>
  <c r="L86" i="1"/>
  <c r="C86" i="1"/>
  <c r="D86" i="1"/>
  <c r="AG9" i="3"/>
  <c r="K86" i="1"/>
  <c r="K87" i="1"/>
  <c r="E86" i="1"/>
  <c r="D87" i="1"/>
  <c r="C87" i="1"/>
  <c r="F87" i="1" s="1"/>
  <c r="M2594" i="1"/>
  <c r="F2595" i="1"/>
  <c r="K2594" i="1"/>
  <c r="D284" i="5"/>
  <c r="J284" i="5"/>
  <c r="J285" i="5"/>
  <c r="K285" i="5"/>
  <c r="C285" i="5"/>
  <c r="C284" i="5"/>
  <c r="O9" i="3"/>
  <c r="D285" i="5"/>
  <c r="I285" i="5"/>
  <c r="L285" i="5" s="1"/>
  <c r="I284" i="5"/>
  <c r="L284" i="5" s="1"/>
  <c r="E285" i="5"/>
  <c r="H1203" i="1"/>
  <c r="CA9" i="3"/>
  <c r="J1204" i="1"/>
  <c r="J1203" i="1"/>
  <c r="I1204" i="1"/>
  <c r="H1204" i="1"/>
  <c r="I1203" i="1"/>
  <c r="D43" i="1"/>
  <c r="D42" i="1"/>
  <c r="C42" i="1"/>
  <c r="E42" i="1"/>
  <c r="J43" i="1"/>
  <c r="J42" i="1"/>
  <c r="C43" i="1"/>
  <c r="L43" i="1"/>
  <c r="O43" i="1" s="1"/>
  <c r="E43" i="1"/>
  <c r="L42" i="1"/>
  <c r="O42" i="1" s="1"/>
  <c r="BI60" i="3"/>
  <c r="CE69" i="3" s="1"/>
  <c r="BI31" i="3"/>
  <c r="DY51" i="3"/>
  <c r="AF47" i="3"/>
  <c r="BJ65" i="3"/>
  <c r="BJ66" i="3" s="1"/>
  <c r="BJ62" i="3"/>
  <c r="BJ58" i="3"/>
  <c r="BJ57" i="3" s="1"/>
  <c r="H2066" i="1"/>
  <c r="CP31" i="3"/>
  <c r="CP33" i="3"/>
  <c r="CP29" i="3"/>
  <c r="CP35" i="3"/>
  <c r="CP34" i="3"/>
  <c r="CP30" i="3"/>
  <c r="X61" i="3"/>
  <c r="X35" i="3"/>
  <c r="AZ61" i="3"/>
  <c r="AZ65" i="3" s="1"/>
  <c r="AZ35" i="3"/>
  <c r="BM78" i="3"/>
  <c r="K652" i="1"/>
  <c r="Z72" i="3"/>
  <c r="AM61" i="3"/>
  <c r="AM65" i="3" s="1"/>
  <c r="AM35" i="3"/>
  <c r="D2667" i="1"/>
  <c r="K2666" i="1"/>
  <c r="O2570" i="1"/>
  <c r="EF30" i="3" s="1"/>
  <c r="C354" i="1"/>
  <c r="O2499" i="1"/>
  <c r="EC34" i="3" s="1"/>
  <c r="K328" i="5"/>
  <c r="EH39" i="3"/>
  <c r="L196" i="1"/>
  <c r="O196" i="1" s="1"/>
  <c r="K197" i="1"/>
  <c r="E196" i="1"/>
  <c r="J197" i="1"/>
  <c r="C196" i="1"/>
  <c r="D197" i="1"/>
  <c r="AL9" i="3"/>
  <c r="L197" i="1"/>
  <c r="D196" i="1"/>
  <c r="C197" i="1"/>
  <c r="E197" i="1"/>
  <c r="K196" i="1"/>
  <c r="J196" i="1"/>
  <c r="DU26" i="3"/>
  <c r="DU31" i="3" s="1"/>
  <c r="DU22" i="3"/>
  <c r="DU23" i="3" s="1"/>
  <c r="DU24" i="3" s="1"/>
  <c r="DU27" i="3"/>
  <c r="DU56" i="3" s="1"/>
  <c r="CU33" i="3"/>
  <c r="CU29" i="3"/>
  <c r="CU34" i="3"/>
  <c r="CU31" i="3"/>
  <c r="AB51" i="3"/>
  <c r="AB33" i="3"/>
  <c r="O2282" i="1"/>
  <c r="DT30" i="3" s="1"/>
  <c r="I932" i="1"/>
  <c r="BP9" i="3"/>
  <c r="J932" i="1"/>
  <c r="H932" i="1"/>
  <c r="I933" i="1"/>
  <c r="J933" i="1"/>
  <c r="H933" i="1"/>
  <c r="K933" i="1" s="1"/>
  <c r="H2402" i="1"/>
  <c r="DY29" i="3" s="1"/>
  <c r="K35" i="3"/>
  <c r="K34" i="3"/>
  <c r="BN31" i="3"/>
  <c r="U68" i="3"/>
  <c r="H2570" i="1"/>
  <c r="EF29" i="3" s="1"/>
  <c r="H2571" i="1"/>
  <c r="EF33" i="3" s="1"/>
  <c r="G2667" i="1"/>
  <c r="L2666" i="1"/>
  <c r="E2666" i="1"/>
  <c r="H2278" i="1"/>
  <c r="DT45" i="3" s="1"/>
  <c r="DT47" i="3" s="1"/>
  <c r="DT60" i="3" s="1"/>
  <c r="L2667" i="1"/>
  <c r="W26" i="3"/>
  <c r="W34" i="3" s="1"/>
  <c r="K355" i="1"/>
  <c r="O355" i="1" s="1"/>
  <c r="O108" i="1"/>
  <c r="O429" i="1"/>
  <c r="AL51" i="3"/>
  <c r="AL61" i="3" s="1"/>
  <c r="AL65" i="3" s="1"/>
  <c r="DW27" i="3"/>
  <c r="DW56" i="3" s="1"/>
  <c r="DW22" i="3"/>
  <c r="DW23" i="3" s="1"/>
  <c r="DW24" i="3" s="1"/>
  <c r="DW26" i="3"/>
  <c r="DW35" i="3" s="1"/>
  <c r="AY47" i="3"/>
  <c r="AY30" i="3"/>
  <c r="DG65" i="3"/>
  <c r="DG66" i="3" s="1"/>
  <c r="DG58" i="3"/>
  <c r="DG57" i="3" s="1"/>
  <c r="DG62" i="3"/>
  <c r="G64" i="4"/>
  <c r="J1156" i="1"/>
  <c r="H1155" i="1"/>
  <c r="J1155" i="1"/>
  <c r="I1155" i="1"/>
  <c r="H1156" i="1"/>
  <c r="BY9" i="3"/>
  <c r="I1156" i="1"/>
  <c r="U72" i="3"/>
  <c r="BN58" i="3"/>
  <c r="BN57" i="3" s="1"/>
  <c r="BN62" i="3"/>
  <c r="BN64" i="3"/>
  <c r="BN66" i="3" s="1"/>
  <c r="CX30" i="3"/>
  <c r="EG65" i="3"/>
  <c r="ED60" i="3"/>
  <c r="ED31" i="3"/>
  <c r="EA61" i="3"/>
  <c r="AL29" i="3"/>
  <c r="AL30" i="3"/>
  <c r="AI60" i="3"/>
  <c r="BC65" i="3"/>
  <c r="BS64" i="3"/>
  <c r="BS66" i="3" s="1"/>
  <c r="BS58" i="3"/>
  <c r="BS57" i="3" s="1"/>
  <c r="BS62" i="3"/>
  <c r="H31" i="3"/>
  <c r="H60" i="3"/>
  <c r="O1802" i="1"/>
  <c r="DK34" i="3"/>
  <c r="DK51" i="3"/>
  <c r="C81" i="3"/>
  <c r="AP29" i="3"/>
  <c r="AP31" i="3"/>
  <c r="AP35" i="3"/>
  <c r="AP34" i="3"/>
  <c r="AP33" i="3"/>
  <c r="AP30" i="3"/>
  <c r="BZ58" i="3"/>
  <c r="BZ57" i="3" s="1"/>
  <c r="BZ64" i="3"/>
  <c r="BZ66" i="3" s="1"/>
  <c r="BZ62" i="3"/>
  <c r="DN31" i="3"/>
  <c r="DN60" i="3"/>
  <c r="CL60" i="3"/>
  <c r="CL31" i="3"/>
  <c r="O1851" i="1"/>
  <c r="AX65" i="3"/>
  <c r="AX66" i="3" s="1"/>
  <c r="AX58" i="3"/>
  <c r="AX57" i="3" s="1"/>
  <c r="AX62" i="3"/>
  <c r="F328" i="5"/>
  <c r="DV61" i="3"/>
  <c r="DV65" i="3" s="1"/>
  <c r="O2546" i="1"/>
  <c r="EE30" i="3" s="1"/>
  <c r="DX60" i="3"/>
  <c r="DX31" i="3"/>
  <c r="BU58" i="3"/>
  <c r="BU57" i="3" s="1"/>
  <c r="BU62" i="3"/>
  <c r="BU64" i="3"/>
  <c r="BU66" i="3" s="1"/>
  <c r="CZ61" i="3"/>
  <c r="H1755" i="1"/>
  <c r="AM60" i="3"/>
  <c r="AM31" i="3"/>
  <c r="BO34" i="3"/>
  <c r="BO33" i="3"/>
  <c r="BO35" i="3"/>
  <c r="BO31" i="3"/>
  <c r="BB47" i="3"/>
  <c r="BB29" i="3"/>
  <c r="DN35" i="3"/>
  <c r="DN61" i="3"/>
  <c r="DN65" i="3" s="1"/>
  <c r="EC61" i="3"/>
  <c r="EC65" i="3" s="1"/>
  <c r="DS60" i="3"/>
  <c r="DS31" i="3"/>
  <c r="EC60" i="3"/>
  <c r="EC31" i="3"/>
  <c r="K882" i="1"/>
  <c r="BY65" i="3"/>
  <c r="BY66" i="3" s="1"/>
  <c r="BY58" i="3"/>
  <c r="BY57" i="3" s="1"/>
  <c r="BY62" i="3"/>
  <c r="CA34" i="3"/>
  <c r="CA33" i="3"/>
  <c r="CA35" i="3"/>
  <c r="EH31" i="3"/>
  <c r="K957" i="1"/>
  <c r="AQ61" i="3"/>
  <c r="AQ35" i="3"/>
  <c r="O1754" i="1"/>
  <c r="B841" i="1"/>
  <c r="M840" i="1"/>
  <c r="BM7" i="3" s="1"/>
  <c r="BM26" i="3" s="1"/>
  <c r="EA9" i="3"/>
  <c r="N2450" i="1"/>
  <c r="K2450" i="1"/>
  <c r="M2451" i="1"/>
  <c r="M2450" i="1"/>
  <c r="L2451" i="1"/>
  <c r="D2451" i="1"/>
  <c r="G2450" i="1"/>
  <c r="K2451" i="1"/>
  <c r="N2451" i="1"/>
  <c r="F2450" i="1"/>
  <c r="D2450" i="1"/>
  <c r="L2450" i="1"/>
  <c r="F2451" i="1"/>
  <c r="E2451" i="1"/>
  <c r="E2450" i="1"/>
  <c r="G2451" i="1"/>
  <c r="CX47" i="3"/>
  <c r="CX29" i="3"/>
  <c r="F355" i="1"/>
  <c r="CY60" i="3"/>
  <c r="BO55" i="3"/>
  <c r="BO58" i="3" s="1"/>
  <c r="BO27" i="3"/>
  <c r="BO56" i="3" s="1"/>
  <c r="AL27" i="3"/>
  <c r="AL56" i="3" s="1"/>
  <c r="AL22" i="3"/>
  <c r="AL23" i="3" s="1"/>
  <c r="AL24" i="3" s="1"/>
  <c r="BC68" i="3"/>
  <c r="AT68" i="3"/>
  <c r="AZ68" i="3"/>
  <c r="AP68" i="3"/>
  <c r="AR68" i="3"/>
  <c r="AR78" i="3" s="1"/>
  <c r="AR81" i="3" s="1"/>
  <c r="BB68" i="3"/>
  <c r="BB78" i="3" s="1"/>
  <c r="BB81" i="3" s="1"/>
  <c r="BA68" i="3"/>
  <c r="BA78" i="3" s="1"/>
  <c r="BA81" i="3" s="1"/>
  <c r="AX68" i="3"/>
  <c r="AX78" i="3" s="1"/>
  <c r="AX81" i="3" s="1"/>
  <c r="AL68" i="3"/>
  <c r="AQ68" i="3"/>
  <c r="AM68" i="3"/>
  <c r="AU68" i="3"/>
  <c r="AS68" i="3"/>
  <c r="AS78" i="3" s="1"/>
  <c r="AS81" i="3" s="1"/>
  <c r="AW68" i="3"/>
  <c r="AN68" i="3"/>
  <c r="AN78" i="3" s="1"/>
  <c r="AN81" i="3" s="1"/>
  <c r="AY68" i="3"/>
  <c r="AY78" i="3" s="1"/>
  <c r="AY81" i="3" s="1"/>
  <c r="AO68" i="3"/>
  <c r="AO78" i="3" s="1"/>
  <c r="AO81" i="3" s="1"/>
  <c r="AV68" i="3"/>
  <c r="AV78" i="3" s="1"/>
  <c r="AV81" i="3" s="1"/>
  <c r="DO64" i="3"/>
  <c r="AR60" i="3"/>
  <c r="AR31" i="3"/>
  <c r="BL27" i="3"/>
  <c r="BL56" i="3" s="1"/>
  <c r="BL55" i="3"/>
  <c r="BL58" i="3" s="1"/>
  <c r="BL57" i="3" s="1"/>
  <c r="L153" i="5"/>
  <c r="E60" i="3"/>
  <c r="E31" i="3"/>
  <c r="CU61" i="3"/>
  <c r="CU35" i="3"/>
  <c r="DW60" i="3"/>
  <c r="O64" i="1"/>
  <c r="DU68" i="3"/>
  <c r="DU78" i="3" s="1"/>
  <c r="DU81" i="3" s="1"/>
  <c r="DT26" i="3"/>
  <c r="DX68" i="3"/>
  <c r="DX78" i="3" s="1"/>
  <c r="DX81" i="3" s="1"/>
  <c r="DT68" i="3"/>
  <c r="DT78" i="3" s="1"/>
  <c r="DT81" i="3" s="1"/>
  <c r="DT27" i="3"/>
  <c r="DT56" i="3" s="1"/>
  <c r="DY68" i="3"/>
  <c r="DY78" i="3" s="1"/>
  <c r="DY81" i="3" s="1"/>
  <c r="EH68" i="3"/>
  <c r="EA68" i="3"/>
  <c r="EA78" i="3" s="1"/>
  <c r="EA81" i="3" s="1"/>
  <c r="DT22" i="3"/>
  <c r="DT23" i="3" s="1"/>
  <c r="DT24" i="3" s="1"/>
  <c r="EB68" i="3"/>
  <c r="EB78" i="3" s="1"/>
  <c r="EB81" i="3" s="1"/>
  <c r="ED68" i="3"/>
  <c r="EG68" i="3"/>
  <c r="DZ68" i="3"/>
  <c r="DW68" i="3"/>
  <c r="DW78" i="3" s="1"/>
  <c r="DW81" i="3" s="1"/>
  <c r="EI68" i="3"/>
  <c r="EI78" i="3" s="1"/>
  <c r="EI81" i="3" s="1"/>
  <c r="EC68" i="3"/>
  <c r="EF68" i="3"/>
  <c r="EF78" i="3" s="1"/>
  <c r="EF81" i="3" s="1"/>
  <c r="DV68" i="3"/>
  <c r="DV78" i="3" s="1"/>
  <c r="DV81" i="3" s="1"/>
  <c r="EE68" i="3"/>
  <c r="H2619" i="1"/>
  <c r="EH33" i="3" s="1"/>
  <c r="DX61" i="3"/>
  <c r="DX65" i="3" s="1"/>
  <c r="DX35" i="3"/>
  <c r="M686" i="1"/>
  <c r="BG7" i="3" s="1"/>
  <c r="BG26" i="3" s="1"/>
  <c r="B687" i="1"/>
  <c r="W29" i="3"/>
  <c r="AC51" i="3"/>
  <c r="AC34" i="3"/>
  <c r="K883" i="1"/>
  <c r="BP65" i="3"/>
  <c r="BP66" i="3" s="1"/>
  <c r="BP58" i="3"/>
  <c r="BP57" i="3" s="1"/>
  <c r="BP62" i="3"/>
  <c r="CF65" i="3"/>
  <c r="CF66" i="3" s="1"/>
  <c r="CF58" i="3"/>
  <c r="CF57" i="3" s="1"/>
  <c r="CF62" i="3"/>
  <c r="D1706" i="1"/>
  <c r="CV9" i="3"/>
  <c r="D1707" i="1"/>
  <c r="E1706" i="1"/>
  <c r="E1707" i="1"/>
  <c r="K1706" i="1"/>
  <c r="K1707" i="1"/>
  <c r="G1706" i="1"/>
  <c r="F1706" i="1"/>
  <c r="M1706" i="1"/>
  <c r="N1707" i="1"/>
  <c r="F1707" i="1"/>
  <c r="G1707" i="1"/>
  <c r="M1707" i="1"/>
  <c r="L1706" i="1"/>
  <c r="L1707" i="1"/>
  <c r="N1706" i="1"/>
  <c r="ED61" i="3"/>
  <c r="ED65" i="3" s="1"/>
  <c r="ED35" i="3"/>
  <c r="EB51" i="3"/>
  <c r="CN61" i="3"/>
  <c r="CN35" i="3"/>
  <c r="DR61" i="3"/>
  <c r="CO26" i="3"/>
  <c r="CO22" i="3"/>
  <c r="CO23" i="3" s="1"/>
  <c r="CO24" i="3" s="1"/>
  <c r="CO27" i="3"/>
  <c r="CO56" i="3" s="1"/>
  <c r="CO68" i="3"/>
  <c r="CO78" i="3" s="1"/>
  <c r="CP68" i="3"/>
  <c r="DZ61" i="3"/>
  <c r="DZ35" i="3"/>
  <c r="F428" i="1"/>
  <c r="L350" i="5"/>
  <c r="BG55" i="3"/>
  <c r="BG58" i="3" s="1"/>
  <c r="BG27" i="3"/>
  <c r="BG56" i="3" s="1"/>
  <c r="N2666" i="1"/>
  <c r="DK72" i="3"/>
  <c r="DK78" i="3" s="1"/>
  <c r="DK81" i="3" s="1"/>
  <c r="DM72" i="3"/>
  <c r="DM78" i="3" s="1"/>
  <c r="DM81" i="3" s="1"/>
  <c r="CZ27" i="3"/>
  <c r="CZ56" i="3" s="1"/>
  <c r="DE72" i="3"/>
  <c r="DO72" i="3"/>
  <c r="DF72" i="3"/>
  <c r="DC72" i="3"/>
  <c r="DJ72" i="3"/>
  <c r="DH72" i="3"/>
  <c r="CZ26" i="3"/>
  <c r="DD72" i="3"/>
  <c r="DD78" i="3" s="1"/>
  <c r="DD81" i="3" s="1"/>
  <c r="DI72" i="3"/>
  <c r="DI78" i="3" s="1"/>
  <c r="DI81" i="3" s="1"/>
  <c r="DG72" i="3"/>
  <c r="DG78" i="3" s="1"/>
  <c r="DG81" i="3" s="1"/>
  <c r="DN72" i="3"/>
  <c r="DN78" i="3" s="1"/>
  <c r="DN81" i="3" s="1"/>
  <c r="DL72" i="3"/>
  <c r="DL78" i="3" s="1"/>
  <c r="DL81" i="3" s="1"/>
  <c r="CZ72" i="3"/>
  <c r="DA72" i="3"/>
  <c r="DP72" i="3"/>
  <c r="CZ22" i="3"/>
  <c r="CZ23" i="3" s="1"/>
  <c r="CZ24" i="3" s="1"/>
  <c r="DB72" i="3"/>
  <c r="EB60" i="3"/>
  <c r="EB31" i="3"/>
  <c r="AS34" i="3"/>
  <c r="AS30" i="3"/>
  <c r="AS33" i="3"/>
  <c r="AS29" i="3"/>
  <c r="AS31" i="3"/>
  <c r="AS35" i="3"/>
  <c r="H2618" i="1"/>
  <c r="EH29" i="3" s="1"/>
  <c r="O2547" i="1"/>
  <c r="EE34" i="3" s="1"/>
  <c r="AL47" i="3"/>
  <c r="BL24" i="3"/>
  <c r="H2498" i="1"/>
  <c r="EC29" i="3" s="1"/>
  <c r="BG24" i="3"/>
  <c r="H1803" i="1"/>
  <c r="DE33" i="3"/>
  <c r="DE51" i="3"/>
  <c r="CT47" i="3"/>
  <c r="CT29" i="3"/>
  <c r="EE47" i="3"/>
  <c r="DC51" i="3"/>
  <c r="DC27" i="3"/>
  <c r="DC56" i="3" s="1"/>
  <c r="DC26" i="3"/>
  <c r="DC22" i="3"/>
  <c r="DC23" i="3" s="1"/>
  <c r="DC24" i="3" s="1"/>
  <c r="DU60" i="3"/>
  <c r="H1324" i="1"/>
  <c r="J87" i="5"/>
  <c r="F9" i="3"/>
  <c r="K86" i="5"/>
  <c r="C86" i="5"/>
  <c r="K87" i="5"/>
  <c r="I86" i="5"/>
  <c r="J86" i="5"/>
  <c r="D87" i="5"/>
  <c r="D86" i="5"/>
  <c r="I87" i="5"/>
  <c r="E87" i="5"/>
  <c r="E86" i="5"/>
  <c r="C87" i="5"/>
  <c r="DT61" i="3"/>
  <c r="DT65" i="3" s="1"/>
  <c r="N2522" i="1"/>
  <c r="F2522" i="1"/>
  <c r="L2523" i="1"/>
  <c r="G2522" i="1"/>
  <c r="F2523" i="1"/>
  <c r="M2523" i="1"/>
  <c r="E2522" i="1"/>
  <c r="K2522" i="1"/>
  <c r="D2523" i="1"/>
  <c r="E2523" i="1"/>
  <c r="ED9" i="3"/>
  <c r="M2522" i="1"/>
  <c r="N2523" i="1"/>
  <c r="K2523" i="1"/>
  <c r="D2522" i="1"/>
  <c r="G2523" i="1"/>
  <c r="L2522" i="1"/>
  <c r="AV51" i="3"/>
  <c r="BA60" i="3"/>
  <c r="BA31" i="3"/>
  <c r="BF65" i="3"/>
  <c r="BF66" i="3" s="1"/>
  <c r="BF58" i="3"/>
  <c r="BF57" i="3" s="1"/>
  <c r="BF62" i="3"/>
  <c r="BG64" i="3"/>
  <c r="BG66" i="3" s="1"/>
  <c r="BG69" i="3"/>
  <c r="BH69" i="3"/>
  <c r="BG62" i="3"/>
  <c r="CO47" i="3"/>
  <c r="H1850" i="1"/>
  <c r="O1803" i="1"/>
  <c r="DH65" i="3"/>
  <c r="BH9" i="3"/>
  <c r="I729" i="1"/>
  <c r="J729" i="1"/>
  <c r="H729" i="1"/>
  <c r="J728" i="1"/>
  <c r="I728" i="1"/>
  <c r="H728" i="1"/>
  <c r="AZ47" i="3"/>
  <c r="AZ29" i="3"/>
  <c r="DV60" i="3"/>
  <c r="EF43" i="3"/>
  <c r="B815" i="1"/>
  <c r="M814" i="1"/>
  <c r="BL7" i="3" s="1"/>
  <c r="BL26" i="3" s="1"/>
  <c r="BD55" i="3"/>
  <c r="BD58" i="3" s="1"/>
  <c r="BD76" i="3"/>
  <c r="BD81" i="3" s="1"/>
  <c r="BR76" i="3"/>
  <c r="BR81" i="3" s="1"/>
  <c r="CC76" i="3"/>
  <c r="CC81" i="3" s="1"/>
  <c r="BI76" i="3"/>
  <c r="BI81" i="3" s="1"/>
  <c r="BD27" i="3"/>
  <c r="BD56" i="3" s="1"/>
  <c r="BN76" i="3"/>
  <c r="BN81" i="3" s="1"/>
  <c r="CL76" i="3"/>
  <c r="CL81" i="3" s="1"/>
  <c r="CB76" i="3"/>
  <c r="BG76" i="3"/>
  <c r="BG81" i="3" s="1"/>
  <c r="BU76" i="3"/>
  <c r="BU81" i="3" s="1"/>
  <c r="BF76" i="3"/>
  <c r="BF81" i="3" s="1"/>
  <c r="BH76" i="3"/>
  <c r="BH81" i="3" s="1"/>
  <c r="BW76" i="3"/>
  <c r="BW81" i="3" s="1"/>
  <c r="BE76" i="3"/>
  <c r="BE81" i="3" s="1"/>
  <c r="BS76" i="3"/>
  <c r="BS81" i="3" s="1"/>
  <c r="CP76" i="3"/>
  <c r="D7" i="7" s="1"/>
  <c r="H7" i="7" s="1"/>
  <c r="BV76" i="3"/>
  <c r="BQ76" i="3"/>
  <c r="BM76" i="3"/>
  <c r="BL76" i="3"/>
  <c r="BL81" i="3" s="1"/>
  <c r="CH76" i="3"/>
  <c r="CH81" i="3" s="1"/>
  <c r="CJ76" i="3"/>
  <c r="BK76" i="3"/>
  <c r="BK81" i="3" s="1"/>
  <c r="BJ76" i="3"/>
  <c r="BJ81" i="3" s="1"/>
  <c r="BD24" i="3"/>
  <c r="CF76" i="3"/>
  <c r="CF81" i="3" s="1"/>
  <c r="BT76" i="3"/>
  <c r="BT81" i="3" s="1"/>
  <c r="CI76" i="3"/>
  <c r="CI81" i="3" s="1"/>
  <c r="CO76" i="3"/>
  <c r="CD76" i="3"/>
  <c r="CD81" i="3" s="1"/>
  <c r="BP76" i="3"/>
  <c r="BP81" i="3" s="1"/>
  <c r="CK76" i="3"/>
  <c r="CK81" i="3" s="1"/>
  <c r="BX76" i="3"/>
  <c r="CN76" i="3"/>
  <c r="CE76" i="3"/>
  <c r="CE81" i="3" s="1"/>
  <c r="CG76" i="3"/>
  <c r="CG81" i="3" s="1"/>
  <c r="BZ76" i="3"/>
  <c r="BZ81" i="3" s="1"/>
  <c r="BO76" i="3"/>
  <c r="BO81" i="3" s="1"/>
  <c r="CA76" i="3"/>
  <c r="CA81" i="3" s="1"/>
  <c r="CM76" i="3"/>
  <c r="CM81" i="3" s="1"/>
  <c r="BY76" i="3"/>
  <c r="BY81" i="3" s="1"/>
  <c r="DG33" i="3"/>
  <c r="DG34" i="3"/>
  <c r="DG29" i="3"/>
  <c r="DG30" i="3"/>
  <c r="DG35" i="3"/>
  <c r="DG31" i="3"/>
  <c r="H1490" i="1"/>
  <c r="CA31" i="3"/>
  <c r="CK60" i="3"/>
  <c r="CK31" i="3"/>
  <c r="F152" i="5"/>
  <c r="F2666" i="1"/>
  <c r="M2667" i="1"/>
  <c r="N2667" i="1"/>
  <c r="EG43" i="3"/>
  <c r="DQ47" i="3"/>
  <c r="DQ29" i="3"/>
  <c r="K47" i="3"/>
  <c r="K29" i="3"/>
  <c r="DM51" i="3"/>
  <c r="DM33" i="3"/>
  <c r="N2163" i="1"/>
  <c r="K2163" i="1"/>
  <c r="E2162" i="1"/>
  <c r="D2162" i="1"/>
  <c r="M2163" i="1"/>
  <c r="L2162" i="1"/>
  <c r="F2163" i="1"/>
  <c r="D2163" i="1"/>
  <c r="G2162" i="1"/>
  <c r="N2162" i="1"/>
  <c r="L2163" i="1"/>
  <c r="M2162" i="1"/>
  <c r="E2163" i="1"/>
  <c r="G2163" i="1"/>
  <c r="K2162" i="1"/>
  <c r="F2162" i="1"/>
  <c r="DO9" i="3"/>
  <c r="DR47" i="3"/>
  <c r="O2619" i="1"/>
  <c r="EH34" i="3" s="1"/>
  <c r="H2547" i="1"/>
  <c r="EE33" i="3" s="1"/>
  <c r="U61" i="3"/>
  <c r="U35" i="3"/>
  <c r="F354" i="1"/>
  <c r="O61" i="3"/>
  <c r="O35" i="3"/>
  <c r="BH65" i="3"/>
  <c r="BH66" i="3" s="1"/>
  <c r="BH58" i="3"/>
  <c r="BH57" i="3" s="1"/>
  <c r="BH62" i="3"/>
  <c r="CD58" i="3"/>
  <c r="CD57" i="3" s="1"/>
  <c r="CD64" i="3"/>
  <c r="CD66" i="3" s="1"/>
  <c r="CD62" i="3"/>
  <c r="CA58" i="3"/>
  <c r="CA57" i="3" s="1"/>
  <c r="CA64" i="3"/>
  <c r="CA66" i="3" s="1"/>
  <c r="CA62" i="3"/>
  <c r="CJ35" i="3"/>
  <c r="CJ61" i="3"/>
  <c r="CK73" i="3" s="1"/>
  <c r="CK74" i="3" s="1"/>
  <c r="BT73" i="3"/>
  <c r="BT74" i="3" s="1"/>
  <c r="BE73" i="3"/>
  <c r="BQ73" i="3"/>
  <c r="BQ74" i="3" s="1"/>
  <c r="BD62" i="3"/>
  <c r="CD73" i="3"/>
  <c r="CD74" i="3" s="1"/>
  <c r="BV73" i="3"/>
  <c r="BV74" i="3" s="1"/>
  <c r="BG73" i="3"/>
  <c r="BG74" i="3" s="1"/>
  <c r="BH73" i="3"/>
  <c r="BH74" i="3" s="1"/>
  <c r="BY73" i="3"/>
  <c r="BY74" i="3" s="1"/>
  <c r="BM73" i="3"/>
  <c r="BM74" i="3" s="1"/>
  <c r="BZ73" i="3"/>
  <c r="BZ74" i="3" s="1"/>
  <c r="CA73" i="3"/>
  <c r="CA74" i="3" s="1"/>
  <c r="BF73" i="3"/>
  <c r="BD73" i="3"/>
  <c r="BL73" i="3"/>
  <c r="BL74" i="3" s="1"/>
  <c r="CB73" i="3"/>
  <c r="CB74" i="3" s="1"/>
  <c r="BI73" i="3"/>
  <c r="BI74" i="3" s="1"/>
  <c r="BJ73" i="3"/>
  <c r="BJ74" i="3" s="1"/>
  <c r="BS73" i="3"/>
  <c r="BS74" i="3" s="1"/>
  <c r="BD65" i="3"/>
  <c r="BD66" i="3" s="1"/>
  <c r="BR73" i="3"/>
  <c r="BR74" i="3" s="1"/>
  <c r="BX73" i="3"/>
  <c r="BX74" i="3" s="1"/>
  <c r="BU73" i="3"/>
  <c r="BU74" i="3" s="1"/>
  <c r="BN73" i="3"/>
  <c r="BN74" i="3" s="1"/>
  <c r="BK73" i="3"/>
  <c r="BK74" i="3" s="1"/>
  <c r="BW73" i="3"/>
  <c r="BW74" i="3" s="1"/>
  <c r="BO73" i="3"/>
  <c r="BO74" i="3" s="1"/>
  <c r="BP73" i="3"/>
  <c r="BP74" i="3" s="1"/>
  <c r="CG73" i="3"/>
  <c r="CG74" i="3" s="1"/>
  <c r="CF73" i="3"/>
  <c r="CF74" i="3" s="1"/>
  <c r="CI73" i="3"/>
  <c r="CI74" i="3" s="1"/>
  <c r="CE73" i="3"/>
  <c r="CE74" i="3" s="1"/>
  <c r="CC73" i="3"/>
  <c r="CC74" i="3" s="1"/>
  <c r="CH73" i="3"/>
  <c r="CH74" i="3" s="1"/>
  <c r="AT62" i="3"/>
  <c r="AT64" i="3"/>
  <c r="AT66" i="3" s="1"/>
  <c r="AT58" i="3"/>
  <c r="AT57" i="3" s="1"/>
  <c r="EG35" i="3"/>
  <c r="EF51" i="3"/>
  <c r="EF61" i="3" s="1"/>
  <c r="EF39" i="3"/>
  <c r="O2642" i="1"/>
  <c r="EI30" i="3" s="1"/>
  <c r="O2643" i="1"/>
  <c r="EI34" i="3" s="1"/>
  <c r="H2643" i="1"/>
  <c r="EI33" i="3" s="1"/>
  <c r="H2642" i="1"/>
  <c r="EI29" i="3" s="1"/>
  <c r="EF47" i="3"/>
  <c r="EF60" i="3" s="1"/>
  <c r="EG60" i="3"/>
  <c r="H2667" i="1" l="1"/>
  <c r="EJ33" i="3" s="1"/>
  <c r="EI60" i="3"/>
  <c r="EI58" i="3" s="1"/>
  <c r="EI57" i="3" s="1"/>
  <c r="O2666" i="1"/>
  <c r="EJ30" i="3" s="1"/>
  <c r="EI65" i="3"/>
  <c r="EL73" i="3"/>
  <c r="EL74" i="3" s="1"/>
  <c r="EM73" i="3"/>
  <c r="EM74" i="3" s="1"/>
  <c r="F503" i="1"/>
  <c r="CS34" i="3"/>
  <c r="CS29" i="3"/>
  <c r="CS30" i="3"/>
  <c r="CI29" i="3"/>
  <c r="CI34" i="3"/>
  <c r="CI31" i="3"/>
  <c r="CI30" i="3"/>
  <c r="O197" i="1"/>
  <c r="F438" i="5"/>
  <c r="C35" i="3"/>
  <c r="C61" i="3"/>
  <c r="AU61" i="3"/>
  <c r="AU65" i="3" s="1"/>
  <c r="AU35" i="3"/>
  <c r="CP64" i="3"/>
  <c r="CP66" i="3" s="1"/>
  <c r="CP58" i="3"/>
  <c r="CP57" i="3" s="1"/>
  <c r="CP62" i="3"/>
  <c r="CL34" i="3"/>
  <c r="CL30" i="3"/>
  <c r="CL33" i="3"/>
  <c r="CL29" i="3"/>
  <c r="H2354" i="1"/>
  <c r="DW29" i="3" s="1"/>
  <c r="J29" i="3"/>
  <c r="J34" i="3"/>
  <c r="J30" i="3"/>
  <c r="DL60" i="3"/>
  <c r="DL31" i="3"/>
  <c r="CL35" i="3"/>
  <c r="H2330" i="1"/>
  <c r="DV29" i="3" s="1"/>
  <c r="CN78" i="3"/>
  <c r="CN81" i="3" s="1"/>
  <c r="AO34" i="3"/>
  <c r="AO33" i="3"/>
  <c r="AO35" i="3"/>
  <c r="AO29" i="3"/>
  <c r="AO30" i="3"/>
  <c r="O2355" i="1"/>
  <c r="DW34" i="3" s="1"/>
  <c r="AO60" i="3"/>
  <c r="AO31" i="3"/>
  <c r="O1420" i="1"/>
  <c r="O1827" i="1"/>
  <c r="H1779" i="1"/>
  <c r="F131" i="1"/>
  <c r="AF35" i="3"/>
  <c r="CQ60" i="3"/>
  <c r="CQ31" i="3"/>
  <c r="BX64" i="3"/>
  <c r="BX66" i="3" s="1"/>
  <c r="BX58" i="3"/>
  <c r="BX57" i="3" s="1"/>
  <c r="BX62" i="3"/>
  <c r="DP65" i="3"/>
  <c r="DP66" i="3" s="1"/>
  <c r="DP62" i="3"/>
  <c r="DP58" i="3"/>
  <c r="DP57" i="3" s="1"/>
  <c r="O153" i="1"/>
  <c r="H1443" i="1"/>
  <c r="CI69" i="3"/>
  <c r="EA35" i="3"/>
  <c r="K1155" i="1"/>
  <c r="H1658" i="1"/>
  <c r="O1779" i="1"/>
  <c r="L526" i="5"/>
  <c r="H1538" i="1"/>
  <c r="H1420" i="1"/>
  <c r="H2355" i="1"/>
  <c r="DW33" i="3" s="1"/>
  <c r="BV69" i="3"/>
  <c r="BV70" i="3" s="1"/>
  <c r="H1539" i="1"/>
  <c r="EH78" i="3"/>
  <c r="EH81" i="3" s="1"/>
  <c r="CD69" i="3"/>
  <c r="K932" i="1"/>
  <c r="H1754" i="1"/>
  <c r="AB30" i="3"/>
  <c r="F152" i="1"/>
  <c r="O131" i="1"/>
  <c r="K1007" i="1"/>
  <c r="AN29" i="3"/>
  <c r="AN34" i="3"/>
  <c r="AN33" i="3"/>
  <c r="AN35" i="3"/>
  <c r="BW69" i="3"/>
  <c r="DW31" i="3"/>
  <c r="K1032" i="1"/>
  <c r="O576" i="1"/>
  <c r="J31" i="3"/>
  <c r="AN31" i="3"/>
  <c r="CG69" i="3"/>
  <c r="H1994" i="1"/>
  <c r="K626" i="1"/>
  <c r="H2331" i="1"/>
  <c r="DV33" i="3" s="1"/>
  <c r="J33" i="3"/>
  <c r="O2354" i="1"/>
  <c r="DW30" i="3" s="1"/>
  <c r="CJ81" i="3"/>
  <c r="BG57" i="3"/>
  <c r="BS69" i="3"/>
  <c r="BS70" i="3" s="1"/>
  <c r="DZ78" i="3"/>
  <c r="DZ81" i="3" s="1"/>
  <c r="DJ30" i="3"/>
  <c r="DJ34" i="3"/>
  <c r="DJ33" i="3"/>
  <c r="DJ35" i="3"/>
  <c r="AM78" i="3"/>
  <c r="AM81" i="3" s="1"/>
  <c r="EC35" i="3"/>
  <c r="AN57" i="3"/>
  <c r="CI33" i="3"/>
  <c r="CH65" i="3"/>
  <c r="CH66" i="3" s="1"/>
  <c r="CH62" i="3"/>
  <c r="CS61" i="3"/>
  <c r="CS65" i="3" s="1"/>
  <c r="CS35" i="3"/>
  <c r="O2667" i="1"/>
  <c r="EJ34" i="3" s="1"/>
  <c r="ED78" i="3"/>
  <c r="ED81" i="3" s="1"/>
  <c r="DR78" i="3"/>
  <c r="DR81" i="3" s="1"/>
  <c r="CH58" i="3"/>
  <c r="CH57" i="3" s="1"/>
  <c r="O577" i="1"/>
  <c r="DL30" i="3"/>
  <c r="DL35" i="3"/>
  <c r="DL34" i="3"/>
  <c r="DL33" i="3"/>
  <c r="DL29" i="3"/>
  <c r="K625" i="1"/>
  <c r="O2331" i="1"/>
  <c r="DV34" i="3" s="1"/>
  <c r="H2666" i="1"/>
  <c r="EJ29" i="3" s="1"/>
  <c r="EH66" i="3"/>
  <c r="EH58" i="3"/>
  <c r="EH57" i="3" s="1"/>
  <c r="EH62" i="3"/>
  <c r="EH35" i="3"/>
  <c r="CM61" i="3"/>
  <c r="CN73" i="3" s="1"/>
  <c r="CN74" i="3" s="1"/>
  <c r="CM35" i="3"/>
  <c r="AW35" i="3"/>
  <c r="AW61" i="3"/>
  <c r="AW65" i="3" s="1"/>
  <c r="H1323" i="1"/>
  <c r="AK35" i="3"/>
  <c r="AK61" i="3"/>
  <c r="AK65" i="3" s="1"/>
  <c r="K1156" i="1"/>
  <c r="J677" i="1"/>
  <c r="J678" i="1"/>
  <c r="BF9" i="3"/>
  <c r="I678" i="1"/>
  <c r="H677" i="1"/>
  <c r="K677" i="1" s="1"/>
  <c r="I677" i="1"/>
  <c r="H678" i="1"/>
  <c r="K678" i="1" s="1"/>
  <c r="AB60" i="3"/>
  <c r="AB64" i="3" s="1"/>
  <c r="AB31" i="3"/>
  <c r="DB60" i="3"/>
  <c r="DB31" i="3"/>
  <c r="DE60" i="3"/>
  <c r="DE64" i="3" s="1"/>
  <c r="DE31" i="3"/>
  <c r="BF34" i="3"/>
  <c r="BF31" i="3"/>
  <c r="BF33" i="3"/>
  <c r="BF35" i="3"/>
  <c r="H2043" i="1"/>
  <c r="H2307" i="1"/>
  <c r="DU33" i="3" s="1"/>
  <c r="Z61" i="3"/>
  <c r="Z65" i="3" s="1"/>
  <c r="Z35" i="3"/>
  <c r="K1008" i="1"/>
  <c r="H1826" i="1"/>
  <c r="CT61" i="3"/>
  <c r="CT65" i="3" s="1"/>
  <c r="CT35" i="3"/>
  <c r="O1683" i="1"/>
  <c r="CW65" i="3"/>
  <c r="CW66" i="3" s="1"/>
  <c r="CW62" i="3"/>
  <c r="CW58" i="3"/>
  <c r="CW57" i="3" s="1"/>
  <c r="BU69" i="3"/>
  <c r="L306" i="5"/>
  <c r="BV62" i="3"/>
  <c r="BV64" i="3"/>
  <c r="BV66" i="3" s="1"/>
  <c r="BV58" i="3"/>
  <c r="BV57" i="3" s="1"/>
  <c r="CV60" i="3"/>
  <c r="CV31" i="3"/>
  <c r="AQ60" i="3"/>
  <c r="AQ64" i="3" s="1"/>
  <c r="AQ31" i="3"/>
  <c r="F417" i="5"/>
  <c r="AH60" i="3"/>
  <c r="AH31" i="3"/>
  <c r="CP73" i="3"/>
  <c r="D16" i="7" s="1"/>
  <c r="F528" i="1"/>
  <c r="K1180" i="1"/>
  <c r="BZ43" i="3" s="1"/>
  <c r="H1827" i="1"/>
  <c r="CR60" i="3"/>
  <c r="CR31" i="3"/>
  <c r="O2043" i="1"/>
  <c r="AV60" i="3"/>
  <c r="AV64" i="3" s="1"/>
  <c r="AV31" i="3"/>
  <c r="F130" i="1"/>
  <c r="AR30" i="3"/>
  <c r="AR34" i="3"/>
  <c r="AR33" i="3"/>
  <c r="AR35" i="3"/>
  <c r="BQ81" i="3"/>
  <c r="DV35" i="3"/>
  <c r="DH60" i="3"/>
  <c r="DH31" i="3"/>
  <c r="K1179" i="1"/>
  <c r="BZ39" i="3" s="1"/>
  <c r="O2307" i="1"/>
  <c r="DU34" i="3" s="1"/>
  <c r="BX81" i="3"/>
  <c r="BX69" i="3"/>
  <c r="DH78" i="3"/>
  <c r="DH81" i="3" s="1"/>
  <c r="L438" i="5"/>
  <c r="W78" i="3"/>
  <c r="W81" i="3" s="1"/>
  <c r="F416" i="5"/>
  <c r="O2306" i="1"/>
  <c r="DU30" i="3" s="1"/>
  <c r="AE33" i="3"/>
  <c r="AE30" i="3"/>
  <c r="DJ78" i="3"/>
  <c r="DJ81" i="3" s="1"/>
  <c r="L130" i="5"/>
  <c r="AD35" i="3"/>
  <c r="DS78" i="3"/>
  <c r="DS81" i="3" s="1"/>
  <c r="G64" i="3"/>
  <c r="K1371" i="1"/>
  <c r="H2306" i="1"/>
  <c r="DU29" i="3" s="1"/>
  <c r="AG78" i="3"/>
  <c r="AG81" i="3" s="1"/>
  <c r="H1682" i="1"/>
  <c r="AE29" i="3"/>
  <c r="BP69" i="3"/>
  <c r="BP70" i="3" s="1"/>
  <c r="DC78" i="3"/>
  <c r="DC81" i="3" s="1"/>
  <c r="BC58" i="3"/>
  <c r="BC57" i="3" s="1"/>
  <c r="L131" i="5"/>
  <c r="L328" i="5"/>
  <c r="F529" i="1"/>
  <c r="AS57" i="3"/>
  <c r="O1826" i="1"/>
  <c r="L417" i="5"/>
  <c r="CQ35" i="3"/>
  <c r="CQ61" i="3"/>
  <c r="H2042" i="1"/>
  <c r="AH78" i="3"/>
  <c r="AH81" i="3" s="1"/>
  <c r="BL69" i="3"/>
  <c r="BL70" i="3" s="1"/>
  <c r="DF78" i="3"/>
  <c r="DF81" i="3" s="1"/>
  <c r="AU78" i="3"/>
  <c r="AU81" i="3" s="1"/>
  <c r="BC62" i="3"/>
  <c r="K1204" i="1"/>
  <c r="O86" i="1"/>
  <c r="AW31" i="3"/>
  <c r="D61" i="3"/>
  <c r="D62" i="3" s="1"/>
  <c r="D35" i="3"/>
  <c r="AW9" i="3"/>
  <c r="L453" i="1"/>
  <c r="D454" i="1"/>
  <c r="K454" i="1"/>
  <c r="L454" i="1"/>
  <c r="C454" i="1"/>
  <c r="J453" i="1"/>
  <c r="K453" i="1"/>
  <c r="E454" i="1"/>
  <c r="J454" i="1"/>
  <c r="C453" i="1"/>
  <c r="D453" i="1"/>
  <c r="E453" i="1"/>
  <c r="L416" i="5"/>
  <c r="AK78" i="3"/>
  <c r="AK81" i="3" s="1"/>
  <c r="AD30" i="3"/>
  <c r="CI65" i="3"/>
  <c r="CI66" i="3" s="1"/>
  <c r="CI62" i="3"/>
  <c r="CI58" i="3"/>
  <c r="CI57" i="3" s="1"/>
  <c r="BC66" i="3"/>
  <c r="O2594" i="1"/>
  <c r="EG30" i="3" s="1"/>
  <c r="H2234" i="1"/>
  <c r="K1372" i="1"/>
  <c r="AW29" i="3"/>
  <c r="AW33" i="3"/>
  <c r="AW34" i="3"/>
  <c r="K1033" i="1"/>
  <c r="O1324" i="1"/>
  <c r="H1683" i="1"/>
  <c r="F526" i="5"/>
  <c r="AQ78" i="3"/>
  <c r="AQ81" i="3" s="1"/>
  <c r="H2595" i="1"/>
  <c r="EG33" i="3" s="1"/>
  <c r="F439" i="5"/>
  <c r="O1755" i="1"/>
  <c r="H1659" i="1"/>
  <c r="D64" i="3"/>
  <c r="O1323" i="1"/>
  <c r="AF78" i="3"/>
  <c r="AF81" i="3" s="1"/>
  <c r="G61" i="3"/>
  <c r="G65" i="3" s="1"/>
  <c r="G35" i="3"/>
  <c r="O1682" i="1"/>
  <c r="U78" i="3"/>
  <c r="U81" i="3" s="1"/>
  <c r="AF31" i="3"/>
  <c r="AF60" i="3"/>
  <c r="F65" i="3"/>
  <c r="F73" i="3"/>
  <c r="F74" i="3" s="1"/>
  <c r="AD60" i="3"/>
  <c r="AD31" i="3"/>
  <c r="AE64" i="3"/>
  <c r="AC78" i="3"/>
  <c r="AC81" i="3" s="1"/>
  <c r="B10" i="7"/>
  <c r="AL78" i="3"/>
  <c r="AL81" i="3" s="1"/>
  <c r="O2450" i="1"/>
  <c r="EA30" i="3" s="1"/>
  <c r="DY61" i="3"/>
  <c r="DY35" i="3"/>
  <c r="AJ61" i="3"/>
  <c r="AJ65" i="3" s="1"/>
  <c r="AJ35" i="3"/>
  <c r="I61" i="3"/>
  <c r="I35" i="3"/>
  <c r="DU35" i="3"/>
  <c r="P61" i="3"/>
  <c r="P65" i="3" s="1"/>
  <c r="P35" i="3"/>
  <c r="BI62" i="3"/>
  <c r="BI64" i="3"/>
  <c r="BI66" i="3" s="1"/>
  <c r="BI58" i="3"/>
  <c r="BI57" i="3" s="1"/>
  <c r="DR33" i="3"/>
  <c r="DR34" i="3"/>
  <c r="N65" i="3"/>
  <c r="N66" i="3" s="1"/>
  <c r="N58" i="3"/>
  <c r="N57" i="3" s="1"/>
  <c r="N62" i="3"/>
  <c r="H2523" i="1"/>
  <c r="ED33" i="3" s="1"/>
  <c r="O2522" i="1"/>
  <c r="ED30" i="3" s="1"/>
  <c r="K1203" i="1"/>
  <c r="H1563" i="1"/>
  <c r="AK60" i="3"/>
  <c r="AK31" i="3"/>
  <c r="CY35" i="3"/>
  <c r="CY33" i="3"/>
  <c r="CY29" i="3"/>
  <c r="CY34" i="3"/>
  <c r="CY30" i="3"/>
  <c r="X78" i="3"/>
  <c r="X81" i="3" s="1"/>
  <c r="DD60" i="3"/>
  <c r="DD31" i="3"/>
  <c r="DJ31" i="3"/>
  <c r="DJ60" i="3"/>
  <c r="AJ31" i="3"/>
  <c r="AJ60" i="3"/>
  <c r="C64" i="3"/>
  <c r="D69" i="3"/>
  <c r="C69" i="3"/>
  <c r="C58" i="3"/>
  <c r="C57" i="3" s="1"/>
  <c r="F306" i="5"/>
  <c r="AU64" i="3"/>
  <c r="AU66" i="3" s="1"/>
  <c r="AU62" i="3"/>
  <c r="AU58" i="3"/>
  <c r="AU57" i="3" s="1"/>
  <c r="H2235" i="1"/>
  <c r="BY69" i="3"/>
  <c r="DO62" i="3"/>
  <c r="AP78" i="3"/>
  <c r="AP81" i="3" s="1"/>
  <c r="H1514" i="1"/>
  <c r="F394" i="5"/>
  <c r="EE35" i="3"/>
  <c r="DS29" i="3"/>
  <c r="DS30" i="3"/>
  <c r="DS34" i="3"/>
  <c r="AB78" i="3"/>
  <c r="AB81" i="3" s="1"/>
  <c r="L307" i="5"/>
  <c r="F461" i="5"/>
  <c r="DS61" i="3"/>
  <c r="DS65" i="3" s="1"/>
  <c r="DS35" i="3"/>
  <c r="CF69" i="3"/>
  <c r="CF79" i="3" s="1"/>
  <c r="CB81" i="3"/>
  <c r="BR69" i="3"/>
  <c r="DO78" i="3"/>
  <c r="DO81" i="3" s="1"/>
  <c r="DT31" i="3"/>
  <c r="DO66" i="3"/>
  <c r="AZ78" i="3"/>
  <c r="AZ81" i="3" s="1"/>
  <c r="F43" i="1"/>
  <c r="CS64" i="3"/>
  <c r="CS66" i="3" s="1"/>
  <c r="CS58" i="3"/>
  <c r="CS57" i="3" s="1"/>
  <c r="CS62" i="3"/>
  <c r="CS69" i="3"/>
  <c r="L439" i="5"/>
  <c r="BW64" i="3"/>
  <c r="BW66" i="3" s="1"/>
  <c r="BW62" i="3"/>
  <c r="BW58" i="3"/>
  <c r="BW57" i="3" s="1"/>
  <c r="O1659" i="1"/>
  <c r="O529" i="1"/>
  <c r="R78" i="3"/>
  <c r="R81" i="3" s="1"/>
  <c r="F307" i="5"/>
  <c r="BT69" i="3"/>
  <c r="BT70" i="3" s="1"/>
  <c r="L394" i="5"/>
  <c r="V64" i="3"/>
  <c r="V62" i="3"/>
  <c r="AD65" i="3"/>
  <c r="AD73" i="3"/>
  <c r="AD74" i="3" s="1"/>
  <c r="O30" i="3"/>
  <c r="O34" i="3"/>
  <c r="O33" i="3"/>
  <c r="O29" i="3"/>
  <c r="O31" i="3"/>
  <c r="Y78" i="3"/>
  <c r="Y81" i="3" s="1"/>
  <c r="AG60" i="3"/>
  <c r="AG31" i="3"/>
  <c r="R60" i="3"/>
  <c r="R31" i="3"/>
  <c r="AA78" i="3"/>
  <c r="AA81" i="3" s="1"/>
  <c r="DI64" i="3"/>
  <c r="DI66" i="3" s="1"/>
  <c r="DI58" i="3"/>
  <c r="DI57" i="3" s="1"/>
  <c r="DI62" i="3"/>
  <c r="CB69" i="3"/>
  <c r="BI69" i="3"/>
  <c r="BI70" i="3" s="1"/>
  <c r="EC78" i="3"/>
  <c r="EC81" i="3" s="1"/>
  <c r="F197" i="1"/>
  <c r="O1563" i="1"/>
  <c r="DF35" i="3"/>
  <c r="DF61" i="3"/>
  <c r="K601" i="1"/>
  <c r="H1515" i="1"/>
  <c r="L395" i="5"/>
  <c r="S64" i="3"/>
  <c r="S66" i="3" s="1"/>
  <c r="S62" i="3"/>
  <c r="S58" i="3"/>
  <c r="S57" i="3" s="1"/>
  <c r="F31" i="3"/>
  <c r="F60" i="3"/>
  <c r="F69" i="3" s="1"/>
  <c r="S78" i="3"/>
  <c r="S81" i="3" s="1"/>
  <c r="Y33" i="3"/>
  <c r="Y30" i="3"/>
  <c r="Y29" i="3"/>
  <c r="Y34" i="3"/>
  <c r="Y31" i="3"/>
  <c r="L461" i="5"/>
  <c r="K729" i="1"/>
  <c r="CC69" i="3"/>
  <c r="CC70" i="3" s="1"/>
  <c r="BQ69" i="3"/>
  <c r="BQ70" i="3" s="1"/>
  <c r="O1706" i="1"/>
  <c r="W35" i="3"/>
  <c r="F42" i="1"/>
  <c r="F284" i="5"/>
  <c r="F86" i="1"/>
  <c r="M58" i="3"/>
  <c r="M57" i="3" s="1"/>
  <c r="M64" i="3"/>
  <c r="M66" i="3" s="1"/>
  <c r="M62" i="3"/>
  <c r="P64" i="3"/>
  <c r="F395" i="5"/>
  <c r="F130" i="5"/>
  <c r="DQ65" i="3"/>
  <c r="DQ73" i="3"/>
  <c r="DQ74" i="3" s="1"/>
  <c r="AW64" i="3"/>
  <c r="AW66" i="3" s="1"/>
  <c r="AW58" i="3"/>
  <c r="AW57" i="3" s="1"/>
  <c r="AW62" i="3"/>
  <c r="Y61" i="3"/>
  <c r="Y35" i="3"/>
  <c r="BO69" i="3"/>
  <c r="BO70" i="3" s="1"/>
  <c r="DB78" i="3"/>
  <c r="DB81" i="3" s="1"/>
  <c r="H2162" i="1"/>
  <c r="CH69" i="3"/>
  <c r="CH79" i="3" s="1"/>
  <c r="DT35" i="3"/>
  <c r="DA78" i="3"/>
  <c r="DA81" i="3" s="1"/>
  <c r="W31" i="3"/>
  <c r="F285" i="5"/>
  <c r="O1562" i="1"/>
  <c r="J65" i="3"/>
  <c r="J66" i="3" s="1"/>
  <c r="J58" i="3"/>
  <c r="J57" i="3" s="1"/>
  <c r="J62" i="3"/>
  <c r="L460" i="5"/>
  <c r="R33" i="3"/>
  <c r="R30" i="3"/>
  <c r="R29" i="3"/>
  <c r="R34" i="3"/>
  <c r="DR35" i="3"/>
  <c r="AT78" i="3"/>
  <c r="AT81" i="3" s="1"/>
  <c r="DR29" i="3"/>
  <c r="BM81" i="3"/>
  <c r="BM69" i="3"/>
  <c r="BM70" i="3" s="1"/>
  <c r="BN69" i="3"/>
  <c r="BN79" i="3" s="1"/>
  <c r="CZ78" i="3"/>
  <c r="CZ81" i="3" s="1"/>
  <c r="W33" i="3"/>
  <c r="AW78" i="3"/>
  <c r="AW81" i="3" s="1"/>
  <c r="AL34" i="3"/>
  <c r="O87" i="1"/>
  <c r="K600" i="1"/>
  <c r="AE61" i="3"/>
  <c r="AH73" i="3" s="1"/>
  <c r="AH74" i="3" s="1"/>
  <c r="AE35" i="3"/>
  <c r="L329" i="5"/>
  <c r="L61" i="3"/>
  <c r="L35" i="3"/>
  <c r="V61" i="3"/>
  <c r="V65" i="3" s="1"/>
  <c r="V35" i="3"/>
  <c r="Q60" i="3"/>
  <c r="Q31" i="3"/>
  <c r="Z78" i="3"/>
  <c r="Z81" i="3" s="1"/>
  <c r="DO58" i="3"/>
  <c r="DO57" i="3" s="1"/>
  <c r="X65" i="3"/>
  <c r="X66" i="3" s="1"/>
  <c r="X62" i="3"/>
  <c r="X58" i="3"/>
  <c r="X57" i="3" s="1"/>
  <c r="T34" i="3"/>
  <c r="T31" i="3"/>
  <c r="T30" i="3"/>
  <c r="T29" i="3"/>
  <c r="F86" i="5"/>
  <c r="BJ69" i="3"/>
  <c r="BJ70" i="3" s="1"/>
  <c r="DE78" i="3"/>
  <c r="DE81" i="3" s="1"/>
  <c r="BZ69" i="3"/>
  <c r="BZ70" i="3" s="1"/>
  <c r="W30" i="3"/>
  <c r="EG78" i="3"/>
  <c r="EG81" i="3" s="1"/>
  <c r="AY60" i="3"/>
  <c r="AY31" i="3"/>
  <c r="H1562" i="1"/>
  <c r="O1658" i="1"/>
  <c r="DI29" i="3"/>
  <c r="DI34" i="3"/>
  <c r="DI35" i="3"/>
  <c r="DI30" i="3"/>
  <c r="DI33" i="3"/>
  <c r="T33" i="3"/>
  <c r="F460" i="5"/>
  <c r="AA65" i="3"/>
  <c r="AA66" i="3" s="1"/>
  <c r="AA58" i="3"/>
  <c r="AA57" i="3" s="1"/>
  <c r="AA62" i="3"/>
  <c r="CO81" i="3"/>
  <c r="CJ69" i="3"/>
  <c r="CJ70" i="3" s="1"/>
  <c r="BV81" i="3"/>
  <c r="CA69" i="3"/>
  <c r="CA70" i="3" s="1"/>
  <c r="BK69" i="3"/>
  <c r="BK70" i="3" s="1"/>
  <c r="CY31" i="3"/>
  <c r="AL35" i="3"/>
  <c r="AB61" i="3"/>
  <c r="AB35" i="3"/>
  <c r="F196" i="1"/>
  <c r="O2234" i="1"/>
  <c r="DF29" i="3"/>
  <c r="DF34" i="3"/>
  <c r="DF33" i="3"/>
  <c r="DF30" i="3"/>
  <c r="DF31" i="3"/>
  <c r="O528" i="1"/>
  <c r="Z60" i="3"/>
  <c r="Z31" i="3"/>
  <c r="T61" i="3"/>
  <c r="T35" i="3"/>
  <c r="DR30" i="3"/>
  <c r="EG64" i="3"/>
  <c r="EG66" i="3" s="1"/>
  <c r="CZ30" i="3"/>
  <c r="CZ29" i="3"/>
  <c r="CZ31" i="3"/>
  <c r="CZ34" i="3"/>
  <c r="CZ33" i="3"/>
  <c r="DZ58" i="3"/>
  <c r="DZ57" i="3" s="1"/>
  <c r="DZ62" i="3"/>
  <c r="DZ65" i="3"/>
  <c r="DZ66" i="3" s="1"/>
  <c r="CX31" i="3"/>
  <c r="CX60" i="3"/>
  <c r="AI64" i="3"/>
  <c r="AI66" i="3" s="1"/>
  <c r="AI62" i="3"/>
  <c r="AI58" i="3"/>
  <c r="AI57" i="3" s="1"/>
  <c r="CP78" i="3"/>
  <c r="CP81" i="3" s="1"/>
  <c r="D10" i="7"/>
  <c r="BR70" i="3"/>
  <c r="BR79" i="3"/>
  <c r="AM64" i="3"/>
  <c r="AM66" i="3" s="1"/>
  <c r="AM62" i="3"/>
  <c r="AM58" i="3"/>
  <c r="AM57" i="3" s="1"/>
  <c r="AR64" i="3"/>
  <c r="AR66" i="3" s="1"/>
  <c r="AR58" i="3"/>
  <c r="AR57" i="3" s="1"/>
  <c r="AR62" i="3"/>
  <c r="BM34" i="3"/>
  <c r="BM31" i="3"/>
  <c r="BM33" i="3"/>
  <c r="BM35" i="3"/>
  <c r="EC64" i="3"/>
  <c r="EC66" i="3" s="1"/>
  <c r="EC58" i="3"/>
  <c r="EC57" i="3" s="1"/>
  <c r="EC62" i="3"/>
  <c r="CB70" i="3"/>
  <c r="CB79" i="3"/>
  <c r="I856" i="1"/>
  <c r="H857" i="1"/>
  <c r="H856" i="1"/>
  <c r="I857" i="1"/>
  <c r="J857" i="1"/>
  <c r="J856" i="1"/>
  <c r="BM9" i="3"/>
  <c r="BS79" i="3"/>
  <c r="L86" i="5"/>
  <c r="O2163" i="1"/>
  <c r="CK58" i="3"/>
  <c r="CK57" i="3" s="1"/>
  <c r="CK62" i="3"/>
  <c r="CK64" i="3"/>
  <c r="CK66" i="3" s="1"/>
  <c r="CC79" i="3"/>
  <c r="BJ79" i="3"/>
  <c r="EB64" i="3"/>
  <c r="EB66" i="3" s="1"/>
  <c r="EB62" i="3"/>
  <c r="CO29" i="3"/>
  <c r="CO33" i="3"/>
  <c r="CO35" i="3"/>
  <c r="CO30" i="3"/>
  <c r="CO34" i="3"/>
  <c r="EE78" i="3"/>
  <c r="EE81" i="3" s="1"/>
  <c r="DS64" i="3"/>
  <c r="CZ65" i="3"/>
  <c r="CZ66" i="3" s="1"/>
  <c r="CZ58" i="3"/>
  <c r="CZ57" i="3" s="1"/>
  <c r="CZ62" i="3"/>
  <c r="CZ73" i="3"/>
  <c r="CZ74" i="3" s="1"/>
  <c r="BE74" i="3"/>
  <c r="BE79" i="3"/>
  <c r="EF35" i="3"/>
  <c r="BA64" i="3"/>
  <c r="BA66" i="3" s="1"/>
  <c r="BA62" i="3"/>
  <c r="BA58" i="3"/>
  <c r="BA57" i="3" s="1"/>
  <c r="CZ35" i="3"/>
  <c r="CL69" i="3"/>
  <c r="AV61" i="3"/>
  <c r="AV35" i="3"/>
  <c r="DR65" i="3"/>
  <c r="DR73" i="3"/>
  <c r="DR74" i="3" s="1"/>
  <c r="O1707" i="1"/>
  <c r="AC61" i="3"/>
  <c r="AC35" i="3"/>
  <c r="H2450" i="1"/>
  <c r="EA29" i="3" s="1"/>
  <c r="AQ65" i="3"/>
  <c r="AQ66" i="3" s="1"/>
  <c r="AQ58" i="3"/>
  <c r="AQ57" i="3" s="1"/>
  <c r="BL31" i="3"/>
  <c r="BL34" i="3"/>
  <c r="BL33" i="3"/>
  <c r="BL35" i="3"/>
  <c r="BH70" i="3"/>
  <c r="BH79" i="3"/>
  <c r="E11" i="7"/>
  <c r="DP78" i="3"/>
  <c r="DP81" i="3" s="1"/>
  <c r="C10" i="7"/>
  <c r="BC78" i="3"/>
  <c r="BC81" i="3" s="1"/>
  <c r="H62" i="3"/>
  <c r="H64" i="3"/>
  <c r="H66" i="3" s="1"/>
  <c r="H58" i="3"/>
  <c r="H57" i="3" s="1"/>
  <c r="EA65" i="3"/>
  <c r="EA66" i="3" s="1"/>
  <c r="EA62" i="3"/>
  <c r="EA58" i="3"/>
  <c r="EA57" i="3" s="1"/>
  <c r="CT60" i="3"/>
  <c r="CT31" i="3"/>
  <c r="BF74" i="3"/>
  <c r="BF79" i="3"/>
  <c r="CN65" i="3"/>
  <c r="CN66" i="3" s="1"/>
  <c r="CN58" i="3"/>
  <c r="CN57" i="3" s="1"/>
  <c r="CN62" i="3"/>
  <c r="BD74" i="3"/>
  <c r="BD79" i="3"/>
  <c r="BD57" i="3"/>
  <c r="CO73" i="3"/>
  <c r="CO74" i="3" s="1"/>
  <c r="CO60" i="3"/>
  <c r="CO69" i="3" s="1"/>
  <c r="CO31" i="3"/>
  <c r="H2522" i="1"/>
  <c r="ED29" i="3" s="1"/>
  <c r="DU62" i="3"/>
  <c r="DU64" i="3"/>
  <c r="DU66" i="3" s="1"/>
  <c r="DU58" i="3"/>
  <c r="DU57" i="3" s="1"/>
  <c r="EB61" i="3"/>
  <c r="EB65" i="3" s="1"/>
  <c r="EB35" i="3"/>
  <c r="DW62" i="3"/>
  <c r="DW64" i="3"/>
  <c r="DW66" i="3" s="1"/>
  <c r="DW58" i="3"/>
  <c r="DW57" i="3" s="1"/>
  <c r="O2451" i="1"/>
  <c r="EA34" i="3" s="1"/>
  <c r="DK35" i="3"/>
  <c r="DK61" i="3"/>
  <c r="DT62" i="3"/>
  <c r="DT64" i="3"/>
  <c r="DT66" i="3" s="1"/>
  <c r="DT58" i="3"/>
  <c r="DT57" i="3" s="1"/>
  <c r="CF70" i="3"/>
  <c r="U65" i="3"/>
  <c r="U66" i="3" s="1"/>
  <c r="U58" i="3"/>
  <c r="U57" i="3" s="1"/>
  <c r="U62" i="3"/>
  <c r="BU70" i="3"/>
  <c r="BU79" i="3"/>
  <c r="CL73" i="3"/>
  <c r="CL74" i="3" s="1"/>
  <c r="K60" i="3"/>
  <c r="AB69" i="3" s="1"/>
  <c r="K31" i="3"/>
  <c r="O2523" i="1"/>
  <c r="ED34" i="3" s="1"/>
  <c r="H1707" i="1"/>
  <c r="BB60" i="3"/>
  <c r="BB31" i="3"/>
  <c r="DX58" i="3"/>
  <c r="DX57" i="3" s="1"/>
  <c r="DX62" i="3"/>
  <c r="DX64" i="3"/>
  <c r="DX66" i="3" s="1"/>
  <c r="O2162" i="1"/>
  <c r="J831" i="1"/>
  <c r="H831" i="1"/>
  <c r="I831" i="1"/>
  <c r="BL9" i="3"/>
  <c r="H830" i="1"/>
  <c r="J830" i="1"/>
  <c r="I830" i="1"/>
  <c r="F87" i="5"/>
  <c r="CM73" i="3"/>
  <c r="CM74" i="3" s="1"/>
  <c r="DQ60" i="3"/>
  <c r="DQ31" i="3"/>
  <c r="DV62" i="3"/>
  <c r="DV64" i="3"/>
  <c r="DV66" i="3" s="1"/>
  <c r="DV58" i="3"/>
  <c r="DV57" i="3" s="1"/>
  <c r="CE79" i="3"/>
  <c r="CE70" i="3"/>
  <c r="DC29" i="3"/>
  <c r="DC30" i="3"/>
  <c r="DC33" i="3"/>
  <c r="DC34" i="3"/>
  <c r="DC31" i="3"/>
  <c r="CU65" i="3"/>
  <c r="CU66" i="3" s="1"/>
  <c r="CU58" i="3"/>
  <c r="CU57" i="3" s="1"/>
  <c r="CU62" i="3"/>
  <c r="BO57" i="3"/>
  <c r="H2451" i="1"/>
  <c r="EA33" i="3" s="1"/>
  <c r="CV73" i="3"/>
  <c r="CV74" i="3" s="1"/>
  <c r="ED58" i="3"/>
  <c r="ED57" i="3" s="1"/>
  <c r="ED64" i="3"/>
  <c r="ED66" i="3" s="1"/>
  <c r="ED62" i="3"/>
  <c r="CP74" i="3"/>
  <c r="DR60" i="3"/>
  <c r="DR31" i="3"/>
  <c r="AL60" i="3"/>
  <c r="AL31" i="3"/>
  <c r="CM69" i="3"/>
  <c r="CD70" i="3"/>
  <c r="CD79" i="3"/>
  <c r="BX70" i="3"/>
  <c r="BX79" i="3"/>
  <c r="H1706" i="1"/>
  <c r="CL64" i="3"/>
  <c r="CL66" i="3" s="1"/>
  <c r="CL62" i="3"/>
  <c r="CL58" i="3"/>
  <c r="CL57" i="3" s="1"/>
  <c r="DE61" i="3"/>
  <c r="DE35" i="3"/>
  <c r="O65" i="3"/>
  <c r="O66" i="3" s="1"/>
  <c r="O62" i="3"/>
  <c r="O58" i="3"/>
  <c r="O57" i="3" s="1"/>
  <c r="AZ31" i="3"/>
  <c r="AZ60" i="3"/>
  <c r="CI70" i="3"/>
  <c r="CI79" i="3"/>
  <c r="BW70" i="3"/>
  <c r="BW79" i="3"/>
  <c r="BG79" i="3"/>
  <c r="BG70" i="3"/>
  <c r="L87" i="5"/>
  <c r="DC61" i="3"/>
  <c r="DC35" i="3"/>
  <c r="J703" i="1"/>
  <c r="H703" i="1"/>
  <c r="J702" i="1"/>
  <c r="BG9" i="3"/>
  <c r="H702" i="1"/>
  <c r="I702" i="1"/>
  <c r="I703" i="1"/>
  <c r="E69" i="3"/>
  <c r="H69" i="3"/>
  <c r="G69" i="3"/>
  <c r="J69" i="3"/>
  <c r="E64" i="3"/>
  <c r="E66" i="3" s="1"/>
  <c r="E58" i="3"/>
  <c r="E57" i="3" s="1"/>
  <c r="E62" i="3"/>
  <c r="CY64" i="3"/>
  <c r="CY66" i="3" s="1"/>
  <c r="CY62" i="3"/>
  <c r="CY58" i="3"/>
  <c r="CY57" i="3" s="1"/>
  <c r="DN64" i="3"/>
  <c r="DN66" i="3" s="1"/>
  <c r="DN62" i="3"/>
  <c r="DN58" i="3"/>
  <c r="DN57" i="3" s="1"/>
  <c r="BY70" i="3"/>
  <c r="BY79" i="3"/>
  <c r="CJ65" i="3"/>
  <c r="CJ66" i="3" s="1"/>
  <c r="CJ62" i="3"/>
  <c r="CJ58" i="3"/>
  <c r="CJ57" i="3" s="1"/>
  <c r="BO79" i="3"/>
  <c r="CJ73" i="3"/>
  <c r="CJ74" i="3" s="1"/>
  <c r="DM35" i="3"/>
  <c r="DM61" i="3"/>
  <c r="CK69" i="3"/>
  <c r="H2163" i="1"/>
  <c r="K728" i="1"/>
  <c r="CN69" i="3"/>
  <c r="CG79" i="3"/>
  <c r="CG70" i="3"/>
  <c r="EE31" i="3"/>
  <c r="EE60" i="3"/>
  <c r="EK69" i="3" s="1"/>
  <c r="BG35" i="3"/>
  <c r="BG33" i="3"/>
  <c r="BG34" i="3"/>
  <c r="BG31" i="3"/>
  <c r="EF65" i="3"/>
  <c r="EF31" i="3"/>
  <c r="EF58" i="3"/>
  <c r="EF57" i="3" s="1"/>
  <c r="EF62" i="3"/>
  <c r="EF64" i="3"/>
  <c r="EG58" i="3"/>
  <c r="EG57" i="3" s="1"/>
  <c r="EG62" i="3"/>
  <c r="EI62" i="3" l="1"/>
  <c r="EM69" i="3"/>
  <c r="EM79" i="3" s="1"/>
  <c r="EL69" i="3"/>
  <c r="EL70" i="3" s="1"/>
  <c r="EI64" i="3"/>
  <c r="EI66" i="3" s="1"/>
  <c r="AQ69" i="3"/>
  <c r="CQ69" i="3"/>
  <c r="CQ70" i="3" s="1"/>
  <c r="CQ64" i="3"/>
  <c r="C65" i="3"/>
  <c r="C73" i="3"/>
  <c r="C74" i="3" s="1"/>
  <c r="DL62" i="3"/>
  <c r="DL58" i="3"/>
  <c r="DL57" i="3" s="1"/>
  <c r="DL64" i="3"/>
  <c r="DL66" i="3" s="1"/>
  <c r="DT73" i="3"/>
  <c r="DT74" i="3" s="1"/>
  <c r="C66" i="3"/>
  <c r="DW73" i="3"/>
  <c r="DW74" i="3" s="1"/>
  <c r="V58" i="3"/>
  <c r="V57" i="3" s="1"/>
  <c r="C62" i="3"/>
  <c r="O454" i="1"/>
  <c r="DS73" i="3"/>
  <c r="DS74" i="3" s="1"/>
  <c r="F454" i="1"/>
  <c r="AO58" i="3"/>
  <c r="AO57" i="3" s="1"/>
  <c r="AO64" i="3"/>
  <c r="AO66" i="3" s="1"/>
  <c r="AO62" i="3"/>
  <c r="BK79" i="3"/>
  <c r="N73" i="3"/>
  <c r="N74" i="3" s="1"/>
  <c r="O453" i="1"/>
  <c r="DL73" i="3"/>
  <c r="DL74" i="3" s="1"/>
  <c r="AS73" i="3"/>
  <c r="AS74" i="3" s="1"/>
  <c r="AQ73" i="3"/>
  <c r="AQ74" i="3" s="1"/>
  <c r="D58" i="3"/>
  <c r="D57" i="3" s="1"/>
  <c r="BV79" i="3"/>
  <c r="BV80" i="3" s="1"/>
  <c r="CU73" i="3"/>
  <c r="CU74" i="3" s="1"/>
  <c r="AV69" i="3"/>
  <c r="AV70" i="3" s="1"/>
  <c r="AM69" i="3"/>
  <c r="AM70" i="3" s="1"/>
  <c r="AQ62" i="3"/>
  <c r="AR69" i="3"/>
  <c r="AR70" i="3" s="1"/>
  <c r="EK70" i="3"/>
  <c r="AE73" i="3"/>
  <c r="AE74" i="3" s="1"/>
  <c r="F453" i="1"/>
  <c r="AO73" i="3"/>
  <c r="AO74" i="3" s="1"/>
  <c r="AK73" i="3"/>
  <c r="AK74" i="3" s="1"/>
  <c r="CV64" i="3"/>
  <c r="CV66" i="3" s="1"/>
  <c r="CV58" i="3"/>
  <c r="CV57" i="3" s="1"/>
  <c r="CV62" i="3"/>
  <c r="K830" i="1"/>
  <c r="BP39" i="3" s="1"/>
  <c r="AP73" i="3"/>
  <c r="AP74" i="3" s="1"/>
  <c r="G73" i="3"/>
  <c r="G74" i="3" s="1"/>
  <c r="DD73" i="3"/>
  <c r="DD74" i="3" s="1"/>
  <c r="I73" i="3"/>
  <c r="I74" i="3" s="1"/>
  <c r="P73" i="3"/>
  <c r="P74" i="3" s="1"/>
  <c r="H73" i="3"/>
  <c r="H74" i="3" s="1"/>
  <c r="CS73" i="3"/>
  <c r="CS74" i="3" s="1"/>
  <c r="CQ65" i="3"/>
  <c r="CQ73" i="3"/>
  <c r="CR73" i="3"/>
  <c r="CR74" i="3" s="1"/>
  <c r="CT73" i="3"/>
  <c r="CT74" i="3" s="1"/>
  <c r="CW73" i="3"/>
  <c r="CW74" i="3" s="1"/>
  <c r="DB73" i="3"/>
  <c r="DB74" i="3" s="1"/>
  <c r="DA73" i="3"/>
  <c r="DA74" i="3" s="1"/>
  <c r="CQ62" i="3"/>
  <c r="CQ58" i="3"/>
  <c r="CQ57" i="3" s="1"/>
  <c r="CX73" i="3"/>
  <c r="CX74" i="3" s="1"/>
  <c r="G66" i="3"/>
  <c r="DU73" i="3"/>
  <c r="DU74" i="3" s="1"/>
  <c r="DG73" i="3"/>
  <c r="DG74" i="3" s="1"/>
  <c r="P58" i="3"/>
  <c r="P57" i="3" s="1"/>
  <c r="G58" i="3"/>
  <c r="G57" i="3" s="1"/>
  <c r="DE73" i="3"/>
  <c r="DE74" i="3" s="1"/>
  <c r="G62" i="3"/>
  <c r="Z73" i="3"/>
  <c r="Z74" i="3" s="1"/>
  <c r="DY73" i="3"/>
  <c r="DY74" i="3" s="1"/>
  <c r="BL79" i="3"/>
  <c r="BL82" i="3" s="1"/>
  <c r="EF69" i="3"/>
  <c r="EF70" i="3" s="1"/>
  <c r="AY73" i="3"/>
  <c r="AY74" i="3" s="1"/>
  <c r="DX73" i="3"/>
  <c r="DX74" i="3" s="1"/>
  <c r="P62" i="3"/>
  <c r="AM73" i="3"/>
  <c r="AM74" i="3" s="1"/>
  <c r="BQ79" i="3"/>
  <c r="BQ82" i="3" s="1"/>
  <c r="BP79" i="3"/>
  <c r="BP80" i="3" s="1"/>
  <c r="DS62" i="3"/>
  <c r="DS66" i="3"/>
  <c r="AX73" i="3"/>
  <c r="AX74" i="3" s="1"/>
  <c r="O73" i="3"/>
  <c r="O74" i="3" s="1"/>
  <c r="CY73" i="3"/>
  <c r="CY74" i="3" s="1"/>
  <c r="AT73" i="3"/>
  <c r="AT74" i="3" s="1"/>
  <c r="DZ73" i="3"/>
  <c r="DZ74" i="3" s="1"/>
  <c r="AL73" i="3"/>
  <c r="AL74" i="3" s="1"/>
  <c r="V73" i="3"/>
  <c r="V74" i="3" s="1"/>
  <c r="AU73" i="3"/>
  <c r="AU74" i="3" s="1"/>
  <c r="DN73" i="3"/>
  <c r="DN74" i="3" s="1"/>
  <c r="AG73" i="3"/>
  <c r="AG74" i="3" s="1"/>
  <c r="D65" i="3"/>
  <c r="D66" i="3" s="1"/>
  <c r="E73" i="3"/>
  <c r="E74" i="3" s="1"/>
  <c r="D73" i="3"/>
  <c r="D74" i="3" s="1"/>
  <c r="DH64" i="3"/>
  <c r="DH66" i="3" s="1"/>
  <c r="DH58" i="3"/>
  <c r="DH57" i="3" s="1"/>
  <c r="DH62" i="3"/>
  <c r="DB64" i="3"/>
  <c r="DB66" i="3" s="1"/>
  <c r="DB58" i="3"/>
  <c r="DB57" i="3" s="1"/>
  <c r="DB62" i="3"/>
  <c r="DS58" i="3"/>
  <c r="DS57" i="3" s="1"/>
  <c r="AT69" i="3"/>
  <c r="AT70" i="3" s="1"/>
  <c r="BA69" i="3"/>
  <c r="EI73" i="3"/>
  <c r="EA73" i="3"/>
  <c r="EA74" i="3" s="1"/>
  <c r="CP69" i="3"/>
  <c r="D15" i="7" s="1"/>
  <c r="DK73" i="3"/>
  <c r="DK74" i="3" s="1"/>
  <c r="AZ73" i="3"/>
  <c r="AZ74" i="3" s="1"/>
  <c r="V66" i="3"/>
  <c r="AN73" i="3"/>
  <c r="AN74" i="3" s="1"/>
  <c r="CM65" i="3"/>
  <c r="CM66" i="3" s="1"/>
  <c r="CM58" i="3"/>
  <c r="CM57" i="3" s="1"/>
  <c r="CM62" i="3"/>
  <c r="CR64" i="3"/>
  <c r="CR66" i="3" s="1"/>
  <c r="CR62" i="3"/>
  <c r="CR58" i="3"/>
  <c r="CR57" i="3" s="1"/>
  <c r="CR69" i="3"/>
  <c r="AL69" i="3"/>
  <c r="EH69" i="3"/>
  <c r="EG69" i="3"/>
  <c r="AW73" i="3"/>
  <c r="AW74" i="3" s="1"/>
  <c r="DV73" i="3"/>
  <c r="DV74" i="3" s="1"/>
  <c r="AF73" i="3"/>
  <c r="AF74" i="3" s="1"/>
  <c r="AH64" i="3"/>
  <c r="AH66" i="3" s="1"/>
  <c r="AH58" i="3"/>
  <c r="AH57" i="3" s="1"/>
  <c r="AH62" i="3"/>
  <c r="EK73" i="3"/>
  <c r="EK74" i="3" s="1"/>
  <c r="DF58" i="3"/>
  <c r="DF57" i="3" s="1"/>
  <c r="DF62" i="3"/>
  <c r="DF65" i="3"/>
  <c r="DF66" i="3" s="1"/>
  <c r="CS70" i="3"/>
  <c r="C70" i="3"/>
  <c r="AY64" i="3"/>
  <c r="AY66" i="3" s="1"/>
  <c r="AY58" i="3"/>
  <c r="AY57" i="3" s="1"/>
  <c r="AY62" i="3"/>
  <c r="D70" i="3"/>
  <c r="AD62" i="3"/>
  <c r="AD64" i="3"/>
  <c r="AD66" i="3" s="1"/>
  <c r="AD69" i="3"/>
  <c r="AD58" i="3"/>
  <c r="AD57" i="3" s="1"/>
  <c r="AE69" i="3"/>
  <c r="AG69" i="3"/>
  <c r="AF69" i="3"/>
  <c r="AH69" i="3"/>
  <c r="AK69" i="3"/>
  <c r="Q64" i="3"/>
  <c r="Q66" i="3" s="1"/>
  <c r="Q58" i="3"/>
  <c r="Q57" i="3" s="1"/>
  <c r="Q62" i="3"/>
  <c r="AK64" i="3"/>
  <c r="AK66" i="3" s="1"/>
  <c r="AK62" i="3"/>
  <c r="AK58" i="3"/>
  <c r="AK57" i="3" s="1"/>
  <c r="BN70" i="3"/>
  <c r="K73" i="3"/>
  <c r="K74" i="3" s="1"/>
  <c r="T65" i="3"/>
  <c r="T66" i="3" s="1"/>
  <c r="T62" i="3"/>
  <c r="T58" i="3"/>
  <c r="T57" i="3" s="1"/>
  <c r="BZ79" i="3"/>
  <c r="BZ80" i="3" s="1"/>
  <c r="L62" i="3"/>
  <c r="L58" i="3"/>
  <c r="L57" i="3" s="1"/>
  <c r="L65" i="3"/>
  <c r="L66" i="3" s="1"/>
  <c r="M73" i="3"/>
  <c r="M74" i="3" s="1"/>
  <c r="Z58" i="3"/>
  <c r="Z57" i="3" s="1"/>
  <c r="Z64" i="3"/>
  <c r="Z66" i="3" s="1"/>
  <c r="Z62" i="3"/>
  <c r="DO73" i="3"/>
  <c r="DO74" i="3" s="1"/>
  <c r="L73" i="3"/>
  <c r="L74" i="3" s="1"/>
  <c r="F62" i="3"/>
  <c r="F58" i="3"/>
  <c r="F57" i="3" s="1"/>
  <c r="F64" i="3"/>
  <c r="F66" i="3" s="1"/>
  <c r="DJ62" i="3"/>
  <c r="DJ58" i="3"/>
  <c r="DJ57" i="3" s="1"/>
  <c r="DJ64" i="3"/>
  <c r="DJ66" i="3" s="1"/>
  <c r="J73" i="3"/>
  <c r="J74" i="3" s="1"/>
  <c r="T73" i="3"/>
  <c r="T74" i="3" s="1"/>
  <c r="P66" i="3"/>
  <c r="AY69" i="3"/>
  <c r="AY79" i="3" s="1"/>
  <c r="AJ69" i="3"/>
  <c r="U73" i="3"/>
  <c r="U74" i="3" s="1"/>
  <c r="AA73" i="3"/>
  <c r="AA74" i="3" s="1"/>
  <c r="CA79" i="3"/>
  <c r="BI79" i="3"/>
  <c r="BI82" i="3" s="1"/>
  <c r="DY62" i="3"/>
  <c r="DY65" i="3"/>
  <c r="DY66" i="3" s="1"/>
  <c r="DY58" i="3"/>
  <c r="DY57" i="3" s="1"/>
  <c r="AB73" i="3"/>
  <c r="AB74" i="3" s="1"/>
  <c r="BM79" i="3"/>
  <c r="BM80" i="3" s="1"/>
  <c r="BT79" i="3"/>
  <c r="BT80" i="3" s="1"/>
  <c r="AE58" i="3"/>
  <c r="AE57" i="3" s="1"/>
  <c r="AE65" i="3"/>
  <c r="AE66" i="3" s="1"/>
  <c r="Y65" i="3"/>
  <c r="Y66" i="3" s="1"/>
  <c r="Y62" i="3"/>
  <c r="Y58" i="3"/>
  <c r="Y57" i="3" s="1"/>
  <c r="AI73" i="3"/>
  <c r="AI74" i="3" s="1"/>
  <c r="AI69" i="3"/>
  <c r="AI70" i="3" s="1"/>
  <c r="AW69" i="3"/>
  <c r="S73" i="3"/>
  <c r="S74" i="3" s="1"/>
  <c r="L69" i="3"/>
  <c r="L70" i="3" s="1"/>
  <c r="AR73" i="3"/>
  <c r="AR74" i="3" s="1"/>
  <c r="CH70" i="3"/>
  <c r="EJ69" i="3"/>
  <c r="EJ70" i="3" s="1"/>
  <c r="AB62" i="3"/>
  <c r="AB65" i="3"/>
  <c r="AB66" i="3" s="1"/>
  <c r="AB58" i="3"/>
  <c r="AB57" i="3" s="1"/>
  <c r="DD64" i="3"/>
  <c r="DD66" i="3" s="1"/>
  <c r="DD58" i="3"/>
  <c r="DD57" i="3" s="1"/>
  <c r="DD62" i="3"/>
  <c r="AF64" i="3"/>
  <c r="AF66" i="3" s="1"/>
  <c r="AF62" i="3"/>
  <c r="AF58" i="3"/>
  <c r="AF57" i="3" s="1"/>
  <c r="N69" i="3"/>
  <c r="N70" i="3" s="1"/>
  <c r="X73" i="3"/>
  <c r="X74" i="3" s="1"/>
  <c r="AJ58" i="3"/>
  <c r="AJ57" i="3" s="1"/>
  <c r="AJ64" i="3"/>
  <c r="AJ66" i="3" s="1"/>
  <c r="AJ62" i="3"/>
  <c r="I65" i="3"/>
  <c r="I66" i="3" s="1"/>
  <c r="I62" i="3"/>
  <c r="I58" i="3"/>
  <c r="I57" i="3" s="1"/>
  <c r="R64" i="3"/>
  <c r="R66" i="3" s="1"/>
  <c r="R62" i="3"/>
  <c r="R58" i="3"/>
  <c r="R57" i="3" s="1"/>
  <c r="B12" i="7"/>
  <c r="B27" i="7" s="1"/>
  <c r="W73" i="3"/>
  <c r="W74" i="3" s="1"/>
  <c r="Q73" i="3"/>
  <c r="Q74" i="3" s="1"/>
  <c r="Y73" i="3"/>
  <c r="Y74" i="3" s="1"/>
  <c r="AJ73" i="3"/>
  <c r="AJ74" i="3" s="1"/>
  <c r="AC73" i="3"/>
  <c r="AC74" i="3" s="1"/>
  <c r="I69" i="3"/>
  <c r="I70" i="3" s="1"/>
  <c r="R73" i="3"/>
  <c r="R74" i="3" s="1"/>
  <c r="AG64" i="3"/>
  <c r="AG66" i="3" s="1"/>
  <c r="AG62" i="3"/>
  <c r="AG58" i="3"/>
  <c r="AG57" i="3" s="1"/>
  <c r="AE62" i="3"/>
  <c r="EJ73" i="3"/>
  <c r="EJ74" i="3" s="1"/>
  <c r="EG70" i="3"/>
  <c r="AB70" i="3"/>
  <c r="AL70" i="3"/>
  <c r="AL79" i="3"/>
  <c r="CC80" i="3"/>
  <c r="CC82" i="3"/>
  <c r="CG82" i="3"/>
  <c r="CG80" i="3"/>
  <c r="BK80" i="3"/>
  <c r="BK82" i="3"/>
  <c r="CN70" i="3"/>
  <c r="CN79" i="3"/>
  <c r="AZ64" i="3"/>
  <c r="AZ66" i="3" s="1"/>
  <c r="AZ62" i="3"/>
  <c r="AZ58" i="3"/>
  <c r="AZ57" i="3" s="1"/>
  <c r="CE82" i="3"/>
  <c r="CE80" i="3"/>
  <c r="AC62" i="3"/>
  <c r="AC65" i="3"/>
  <c r="AC66" i="3" s="1"/>
  <c r="AC58" i="3"/>
  <c r="AC57" i="3" s="1"/>
  <c r="BI80" i="3"/>
  <c r="K856" i="1"/>
  <c r="BN82" i="3"/>
  <c r="BN80" i="3"/>
  <c r="C12" i="7"/>
  <c r="H10" i="7"/>
  <c r="K857" i="1"/>
  <c r="W69" i="3"/>
  <c r="BX80" i="3"/>
  <c r="BX82" i="3"/>
  <c r="E70" i="3"/>
  <c r="CM70" i="3"/>
  <c r="CM79" i="3"/>
  <c r="CF82" i="3"/>
  <c r="CF80" i="3"/>
  <c r="EE73" i="3"/>
  <c r="AV62" i="3"/>
  <c r="AV58" i="3"/>
  <c r="AV57" i="3" s="1"/>
  <c r="AV65" i="3"/>
  <c r="AV66" i="3" s="1"/>
  <c r="AT79" i="3"/>
  <c r="CX62" i="3"/>
  <c r="CX58" i="3"/>
  <c r="CX57" i="3" s="1"/>
  <c r="CX64" i="3"/>
  <c r="CX66" i="3" s="1"/>
  <c r="CK70" i="3"/>
  <c r="CK79" i="3"/>
  <c r="CD80" i="3"/>
  <c r="CD82" i="3"/>
  <c r="BD82" i="3"/>
  <c r="BD80" i="3"/>
  <c r="BV82" i="3"/>
  <c r="BJ82" i="3"/>
  <c r="BJ80" i="3"/>
  <c r="DM65" i="3"/>
  <c r="DM66" i="3" s="1"/>
  <c r="DM62" i="3"/>
  <c r="DM58" i="3"/>
  <c r="DM57" i="3" s="1"/>
  <c r="AC69" i="3"/>
  <c r="Z69" i="3"/>
  <c r="AL64" i="3"/>
  <c r="AL66" i="3" s="1"/>
  <c r="AL62" i="3"/>
  <c r="AL58" i="3"/>
  <c r="AL57" i="3" s="1"/>
  <c r="BC69" i="3"/>
  <c r="AS69" i="3"/>
  <c r="AX69" i="3"/>
  <c r="BH80" i="3"/>
  <c r="BH82" i="3"/>
  <c r="BC73" i="3"/>
  <c r="F12" i="7"/>
  <c r="F27" i="7" s="1"/>
  <c r="AQ70" i="3"/>
  <c r="K831" i="1"/>
  <c r="BP43" i="3" s="1"/>
  <c r="V69" i="3"/>
  <c r="CB80" i="3"/>
  <c r="CB82" i="3"/>
  <c r="CJ79" i="3"/>
  <c r="F70" i="3"/>
  <c r="F79" i="3"/>
  <c r="K703" i="1"/>
  <c r="DE65" i="3"/>
  <c r="DE66" i="3" s="1"/>
  <c r="DE58" i="3"/>
  <c r="DE57" i="3" s="1"/>
  <c r="DE62" i="3"/>
  <c r="CA82" i="3"/>
  <c r="CA80" i="3"/>
  <c r="EE69" i="3"/>
  <c r="DT69" i="3"/>
  <c r="EA69" i="3"/>
  <c r="DZ69" i="3"/>
  <c r="DU69" i="3"/>
  <c r="DS69" i="3"/>
  <c r="DW69" i="3"/>
  <c r="DV69" i="3"/>
  <c r="EC69" i="3"/>
  <c r="DQ64" i="3"/>
  <c r="DQ66" i="3" s="1"/>
  <c r="DR69" i="3"/>
  <c r="DQ69" i="3"/>
  <c r="DQ58" i="3"/>
  <c r="DQ57" i="3" s="1"/>
  <c r="DX69" i="3"/>
  <c r="ED69" i="3"/>
  <c r="DQ62" i="3"/>
  <c r="DY69" i="3"/>
  <c r="EB69" i="3"/>
  <c r="BF82" i="3"/>
  <c r="BF80" i="3"/>
  <c r="CL79" i="3"/>
  <c r="CL70" i="3"/>
  <c r="EF73" i="3"/>
  <c r="EF74" i="3" s="1"/>
  <c r="AN69" i="3"/>
  <c r="K58" i="3"/>
  <c r="K57" i="3" s="1"/>
  <c r="K62" i="3"/>
  <c r="K64" i="3"/>
  <c r="K66" i="3" s="1"/>
  <c r="BO80" i="3"/>
  <c r="BO82" i="3"/>
  <c r="BZ82" i="3"/>
  <c r="BB73" i="3"/>
  <c r="BB74" i="3" s="1"/>
  <c r="EC73" i="3"/>
  <c r="EC74" i="3" s="1"/>
  <c r="EG73" i="3"/>
  <c r="BE80" i="3"/>
  <c r="BE82" i="3"/>
  <c r="AZ69" i="3"/>
  <c r="BR82" i="3"/>
  <c r="BR80" i="3"/>
  <c r="T69" i="3"/>
  <c r="BA70" i="3"/>
  <c r="K69" i="3"/>
  <c r="AW70" i="3"/>
  <c r="AW79" i="3"/>
  <c r="AM79" i="3"/>
  <c r="ED73" i="3"/>
  <c r="ED74" i="3" s="1"/>
  <c r="BB64" i="3"/>
  <c r="BB66" i="3" s="1"/>
  <c r="BB62" i="3"/>
  <c r="BB58" i="3"/>
  <c r="BB57" i="3" s="1"/>
  <c r="EB73" i="3"/>
  <c r="EB74" i="3" s="1"/>
  <c r="G70" i="3"/>
  <c r="H70" i="3"/>
  <c r="K702" i="1"/>
  <c r="O69" i="3"/>
  <c r="E12" i="7"/>
  <c r="E28" i="7" s="1"/>
  <c r="H11" i="7"/>
  <c r="X69" i="3"/>
  <c r="EF66" i="3"/>
  <c r="R69" i="3"/>
  <c r="M69" i="3"/>
  <c r="J70" i="3"/>
  <c r="DC65" i="3"/>
  <c r="DC66" i="3" s="1"/>
  <c r="DC58" i="3"/>
  <c r="DC57" i="3" s="1"/>
  <c r="DC62" i="3"/>
  <c r="DH73" i="3"/>
  <c r="DH74" i="3" s="1"/>
  <c r="DI73" i="3"/>
  <c r="DI74" i="3" s="1"/>
  <c r="DP73" i="3"/>
  <c r="DM73" i="3"/>
  <c r="DM74" i="3" s="1"/>
  <c r="DJ73" i="3"/>
  <c r="DJ74" i="3" s="1"/>
  <c r="AP69" i="3"/>
  <c r="DR64" i="3"/>
  <c r="DR66" i="3" s="1"/>
  <c r="DR58" i="3"/>
  <c r="DR57" i="3" s="1"/>
  <c r="DR62" i="3"/>
  <c r="CO62" i="3"/>
  <c r="CO64" i="3"/>
  <c r="CO66" i="3" s="1"/>
  <c r="CO58" i="3"/>
  <c r="CO57" i="3" s="1"/>
  <c r="CT69" i="3"/>
  <c r="CT62" i="3"/>
  <c r="CT58" i="3"/>
  <c r="CT57" i="3" s="1"/>
  <c r="CT64" i="3"/>
  <c r="CT66" i="3" s="1"/>
  <c r="DM69" i="3"/>
  <c r="DH69" i="3"/>
  <c r="DJ69" i="3"/>
  <c r="DO69" i="3"/>
  <c r="DN69" i="3"/>
  <c r="DK69" i="3"/>
  <c r="DP69" i="3"/>
  <c r="CY69" i="3"/>
  <c r="DI69" i="3"/>
  <c r="DD69" i="3"/>
  <c r="CV69" i="3"/>
  <c r="CZ69" i="3"/>
  <c r="DE69" i="3"/>
  <c r="DC69" i="3"/>
  <c r="CX69" i="3"/>
  <c r="CW69" i="3"/>
  <c r="DA69" i="3"/>
  <c r="DB69" i="3"/>
  <c r="DF69" i="3"/>
  <c r="DL69" i="3"/>
  <c r="CU69" i="3"/>
  <c r="DG69" i="3"/>
  <c r="BA73" i="3"/>
  <c r="BA74" i="3" s="1"/>
  <c r="AU69" i="3"/>
  <c r="BS82" i="3"/>
  <c r="BS80" i="3"/>
  <c r="D12" i="7"/>
  <c r="D27" i="7"/>
  <c r="BG80" i="3"/>
  <c r="BG82" i="3"/>
  <c r="BU80" i="3"/>
  <c r="BU82" i="3"/>
  <c r="CI80" i="3"/>
  <c r="CI82" i="3"/>
  <c r="Y69" i="3"/>
  <c r="EE64" i="3"/>
  <c r="EE66" i="3" s="1"/>
  <c r="EE62" i="3"/>
  <c r="EE58" i="3"/>
  <c r="EE57" i="3" s="1"/>
  <c r="CO70" i="3"/>
  <c r="CO79" i="3"/>
  <c r="AA69" i="3"/>
  <c r="S69" i="3"/>
  <c r="D22" i="7"/>
  <c r="DK65" i="3"/>
  <c r="DK66" i="3" s="1"/>
  <c r="DK58" i="3"/>
  <c r="DK57" i="3" s="1"/>
  <c r="DK62" i="3"/>
  <c r="BB69" i="3"/>
  <c r="DC73" i="3"/>
  <c r="DC74" i="3" s="1"/>
  <c r="BW82" i="3"/>
  <c r="BW80" i="3"/>
  <c r="AJ79" i="3"/>
  <c r="AJ70" i="3"/>
  <c r="CH82" i="3"/>
  <c r="CH80" i="3"/>
  <c r="U69" i="3"/>
  <c r="Q69" i="3"/>
  <c r="EI69" i="3"/>
  <c r="BY80" i="3"/>
  <c r="BY82" i="3"/>
  <c r="P69" i="3"/>
  <c r="AV73" i="3"/>
  <c r="AV74" i="3" s="1"/>
  <c r="DF73" i="3"/>
  <c r="DF74" i="3" s="1"/>
  <c r="EB58" i="3"/>
  <c r="EB57" i="3" s="1"/>
  <c r="AO69" i="3"/>
  <c r="EH73" i="3"/>
  <c r="EM70" i="3" l="1"/>
  <c r="EL79" i="3"/>
  <c r="EL80" i="3" s="1"/>
  <c r="EI74" i="3"/>
  <c r="F16" i="7"/>
  <c r="EM80" i="3"/>
  <c r="EM82" i="3"/>
  <c r="EI70" i="3"/>
  <c r="F15" i="7"/>
  <c r="B16" i="7"/>
  <c r="N79" i="3"/>
  <c r="N80" i="3" s="1"/>
  <c r="AQ79" i="3"/>
  <c r="CS79" i="3"/>
  <c r="AI79" i="3"/>
  <c r="AY70" i="3"/>
  <c r="BM82" i="3"/>
  <c r="C79" i="3"/>
  <c r="C80" i="3" s="1"/>
  <c r="CQ66" i="3"/>
  <c r="EH70" i="3"/>
  <c r="EH74" i="3"/>
  <c r="D79" i="3"/>
  <c r="D80" i="3" s="1"/>
  <c r="G79" i="3"/>
  <c r="G82" i="3" s="1"/>
  <c r="CP70" i="3"/>
  <c r="J79" i="3"/>
  <c r="L79" i="3"/>
  <c r="CQ74" i="3"/>
  <c r="CQ79" i="3"/>
  <c r="I79" i="3"/>
  <c r="I82" i="3" s="1"/>
  <c r="BQ80" i="3"/>
  <c r="CP79" i="3"/>
  <c r="CP80" i="3" s="1"/>
  <c r="BP82" i="3"/>
  <c r="EK79" i="3"/>
  <c r="H79" i="3"/>
  <c r="H80" i="3" s="1"/>
  <c r="BT82" i="3"/>
  <c r="BL80" i="3"/>
  <c r="CR70" i="3"/>
  <c r="CR79" i="3"/>
  <c r="E79" i="3"/>
  <c r="E82" i="3" s="1"/>
  <c r="EJ79" i="3"/>
  <c r="EJ80" i="3" s="1"/>
  <c r="AD79" i="3"/>
  <c r="AD70" i="3"/>
  <c r="AV79" i="3"/>
  <c r="AV82" i="3" s="1"/>
  <c r="AR79" i="3"/>
  <c r="AR80" i="3" s="1"/>
  <c r="AK70" i="3"/>
  <c r="AK79" i="3"/>
  <c r="CS82" i="3"/>
  <c r="CS80" i="3"/>
  <c r="AH70" i="3"/>
  <c r="AH79" i="3"/>
  <c r="AB79" i="3"/>
  <c r="AB80" i="3" s="1"/>
  <c r="AF79" i="3"/>
  <c r="AF70" i="3"/>
  <c r="AG79" i="3"/>
  <c r="AG70" i="3"/>
  <c r="B29" i="7"/>
  <c r="B20" i="7"/>
  <c r="B28" i="7"/>
  <c r="AE70" i="3"/>
  <c r="AE79" i="3"/>
  <c r="EH79" i="3"/>
  <c r="EH82" i="3" s="1"/>
  <c r="EG74" i="3"/>
  <c r="CN82" i="3"/>
  <c r="CN80" i="3"/>
  <c r="DH70" i="3"/>
  <c r="DH79" i="3"/>
  <c r="DZ79" i="3"/>
  <c r="DZ70" i="3"/>
  <c r="DM70" i="3"/>
  <c r="DM79" i="3"/>
  <c r="CW79" i="3"/>
  <c r="CW70" i="3"/>
  <c r="CL80" i="3"/>
  <c r="CL82" i="3"/>
  <c r="CM80" i="3"/>
  <c r="CM82" i="3"/>
  <c r="X70" i="3"/>
  <c r="X79" i="3"/>
  <c r="Q79" i="3"/>
  <c r="Q70" i="3"/>
  <c r="CX79" i="3"/>
  <c r="CX70" i="3"/>
  <c r="U79" i="3"/>
  <c r="U70" i="3"/>
  <c r="C29" i="7"/>
  <c r="C28" i="7"/>
  <c r="H12" i="7"/>
  <c r="H28" i="7" s="1"/>
  <c r="C20" i="7"/>
  <c r="DU79" i="3"/>
  <c r="DU70" i="3"/>
  <c r="AY80" i="3"/>
  <c r="AY82" i="3"/>
  <c r="CK80" i="3"/>
  <c r="CK82" i="3"/>
  <c r="Z70" i="3"/>
  <c r="Z79" i="3"/>
  <c r="V70" i="3"/>
  <c r="V79" i="3"/>
  <c r="DE79" i="3"/>
  <c r="DE70" i="3"/>
  <c r="B22" i="7"/>
  <c r="D29" i="7"/>
  <c r="D20" i="7"/>
  <c r="D28" i="7"/>
  <c r="O70" i="3"/>
  <c r="O79" i="3"/>
  <c r="DT79" i="3"/>
  <c r="DT70" i="3"/>
  <c r="L80" i="3"/>
  <c r="L82" i="3"/>
  <c r="CO80" i="3"/>
  <c r="CO82" i="3"/>
  <c r="DY70" i="3"/>
  <c r="DY79" i="3"/>
  <c r="CV70" i="3"/>
  <c r="CV79" i="3"/>
  <c r="N82" i="3"/>
  <c r="ED79" i="3"/>
  <c r="ED70" i="3"/>
  <c r="AI82" i="3"/>
  <c r="AI80" i="3"/>
  <c r="CY70" i="3"/>
  <c r="CY79" i="3"/>
  <c r="BA79" i="3"/>
  <c r="W70" i="3"/>
  <c r="W79" i="3"/>
  <c r="E15" i="7"/>
  <c r="DP70" i="3"/>
  <c r="DP79" i="3"/>
  <c r="J82" i="3"/>
  <c r="J80" i="3"/>
  <c r="T70" i="3"/>
  <c r="T79" i="3"/>
  <c r="DQ79" i="3"/>
  <c r="DQ70" i="3"/>
  <c r="AX79" i="3"/>
  <c r="AX70" i="3"/>
  <c r="DB79" i="3"/>
  <c r="DB70" i="3"/>
  <c r="AP79" i="3"/>
  <c r="AP70" i="3"/>
  <c r="DS70" i="3"/>
  <c r="DS79" i="3"/>
  <c r="EG79" i="3"/>
  <c r="DC70" i="3"/>
  <c r="DC79" i="3"/>
  <c r="EA79" i="3"/>
  <c r="EA70" i="3"/>
  <c r="CT70" i="3"/>
  <c r="CT79" i="3"/>
  <c r="AM82" i="3"/>
  <c r="AM80" i="3"/>
  <c r="AQ80" i="3"/>
  <c r="AQ82" i="3"/>
  <c r="CZ70" i="3"/>
  <c r="CZ79" i="3"/>
  <c r="AW82" i="3"/>
  <c r="AW80" i="3"/>
  <c r="EE79" i="3"/>
  <c r="EE70" i="3"/>
  <c r="AT80" i="3"/>
  <c r="AT82" i="3"/>
  <c r="AU70" i="3"/>
  <c r="AU79" i="3"/>
  <c r="BC74" i="3"/>
  <c r="C16" i="7"/>
  <c r="AO79" i="3"/>
  <c r="AO70" i="3"/>
  <c r="DG70" i="3"/>
  <c r="DG79" i="3"/>
  <c r="DK70" i="3"/>
  <c r="DK79" i="3"/>
  <c r="D21" i="7"/>
  <c r="D17" i="7"/>
  <c r="M79" i="3"/>
  <c r="M70" i="3"/>
  <c r="DR70" i="3"/>
  <c r="DR79" i="3"/>
  <c r="AS70" i="3"/>
  <c r="AS79" i="3"/>
  <c r="AL80" i="3"/>
  <c r="AL82" i="3"/>
  <c r="DP74" i="3"/>
  <c r="E16" i="7"/>
  <c r="AJ82" i="3"/>
  <c r="AJ80" i="3"/>
  <c r="K70" i="3"/>
  <c r="K79" i="3"/>
  <c r="DX70" i="3"/>
  <c r="DX79" i="3"/>
  <c r="CU70" i="3"/>
  <c r="CU79" i="3"/>
  <c r="AN70" i="3"/>
  <c r="AN79" i="3"/>
  <c r="F82" i="3"/>
  <c r="F80" i="3"/>
  <c r="BC70" i="3"/>
  <c r="C15" i="7"/>
  <c r="BC79" i="3"/>
  <c r="EE74" i="3"/>
  <c r="DW79" i="3"/>
  <c r="DW70" i="3"/>
  <c r="DA79" i="3"/>
  <c r="DA70" i="3"/>
  <c r="B15" i="7"/>
  <c r="AC70" i="3"/>
  <c r="AC79" i="3"/>
  <c r="S79" i="3"/>
  <c r="S70" i="3"/>
  <c r="E20" i="7"/>
  <c r="E29" i="7"/>
  <c r="E27" i="7"/>
  <c r="AA70" i="3"/>
  <c r="AA79" i="3"/>
  <c r="EB70" i="3"/>
  <c r="EB79" i="3"/>
  <c r="F29" i="7"/>
  <c r="F20" i="7"/>
  <c r="F28" i="7"/>
  <c r="EF79" i="3"/>
  <c r="DD79" i="3"/>
  <c r="DD70" i="3"/>
  <c r="EI79" i="3"/>
  <c r="EI82" i="3" s="1"/>
  <c r="DI70" i="3"/>
  <c r="DI79" i="3"/>
  <c r="Y70" i="3"/>
  <c r="Y79" i="3"/>
  <c r="DN70" i="3"/>
  <c r="DN79" i="3"/>
  <c r="BB79" i="3"/>
  <c r="BB70" i="3"/>
  <c r="DL70" i="3"/>
  <c r="DL79" i="3"/>
  <c r="DO70" i="3"/>
  <c r="DO79" i="3"/>
  <c r="AZ70" i="3"/>
  <c r="AZ79" i="3"/>
  <c r="EC70" i="3"/>
  <c r="EC79" i="3"/>
  <c r="P79" i="3"/>
  <c r="P70" i="3"/>
  <c r="DF70" i="3"/>
  <c r="DF79" i="3"/>
  <c r="DJ79" i="3"/>
  <c r="DJ70" i="3"/>
  <c r="R79" i="3"/>
  <c r="R70" i="3"/>
  <c r="DV79" i="3"/>
  <c r="DV70" i="3"/>
  <c r="CJ82" i="3"/>
  <c r="CJ80" i="3"/>
  <c r="C27" i="7"/>
  <c r="EL82" i="3" l="1"/>
  <c r="C82" i="3"/>
  <c r="E80" i="3"/>
  <c r="AR82" i="3"/>
  <c r="D82" i="3"/>
  <c r="G80" i="3"/>
  <c r="CP82" i="3"/>
  <c r="EJ82" i="3"/>
  <c r="EK80" i="3"/>
  <c r="EK82" i="3"/>
  <c r="H82" i="3"/>
  <c r="CQ82" i="3"/>
  <c r="CQ80" i="3"/>
  <c r="I80" i="3"/>
  <c r="CR82" i="3"/>
  <c r="CR80" i="3"/>
  <c r="AF80" i="3"/>
  <c r="AF82" i="3"/>
  <c r="AH82" i="3"/>
  <c r="AH80" i="3"/>
  <c r="AK80" i="3"/>
  <c r="AK82" i="3"/>
  <c r="AB82" i="3"/>
  <c r="EI80" i="3"/>
  <c r="AE80" i="3"/>
  <c r="AE82" i="3"/>
  <c r="AV80" i="3"/>
  <c r="AG80" i="3"/>
  <c r="AG82" i="3"/>
  <c r="AD82" i="3"/>
  <c r="AD80" i="3"/>
  <c r="EH80" i="3"/>
  <c r="H27" i="7"/>
  <c r="DR82" i="3"/>
  <c r="DR80" i="3"/>
  <c r="DW80" i="3"/>
  <c r="DW82" i="3"/>
  <c r="AU80" i="3"/>
  <c r="AU82" i="3"/>
  <c r="DQ82" i="3"/>
  <c r="DQ80" i="3"/>
  <c r="ED82" i="3"/>
  <c r="ED80" i="3"/>
  <c r="DT82" i="3"/>
  <c r="DT80" i="3"/>
  <c r="R80" i="3"/>
  <c r="R82" i="3"/>
  <c r="BB80" i="3"/>
  <c r="BB82" i="3"/>
  <c r="AA82" i="3"/>
  <c r="AA80" i="3"/>
  <c r="K82" i="3"/>
  <c r="K80" i="3"/>
  <c r="T82" i="3"/>
  <c r="T80" i="3"/>
  <c r="O80" i="3"/>
  <c r="O82" i="3"/>
  <c r="EB80" i="3"/>
  <c r="EB82" i="3"/>
  <c r="DN80" i="3"/>
  <c r="DN82" i="3"/>
  <c r="M82" i="3"/>
  <c r="M80" i="3"/>
  <c r="EA80" i="3"/>
  <c r="EA82" i="3"/>
  <c r="DJ82" i="3"/>
  <c r="DJ80" i="3"/>
  <c r="F22" i="7"/>
  <c r="D23" i="7"/>
  <c r="D24" i="7"/>
  <c r="D34" i="7"/>
  <c r="D33" i="7"/>
  <c r="DC82" i="3"/>
  <c r="DC80" i="3"/>
  <c r="X82" i="3"/>
  <c r="X80" i="3"/>
  <c r="DF80" i="3"/>
  <c r="DF82" i="3"/>
  <c r="Y80" i="3"/>
  <c r="Y82" i="3"/>
  <c r="BC80" i="3"/>
  <c r="BC82" i="3"/>
  <c r="D32" i="7"/>
  <c r="DU80" i="3"/>
  <c r="DU82" i="3"/>
  <c r="C17" i="7"/>
  <c r="C21" i="7"/>
  <c r="EE82" i="3"/>
  <c r="EE80" i="3"/>
  <c r="EG80" i="3"/>
  <c r="EG82" i="3"/>
  <c r="DP80" i="3"/>
  <c r="DP82" i="3"/>
  <c r="CV82" i="3"/>
  <c r="CV80" i="3"/>
  <c r="DK82" i="3"/>
  <c r="DK80" i="3"/>
  <c r="F21" i="7"/>
  <c r="F17" i="7"/>
  <c r="H29" i="7"/>
  <c r="H20" i="7"/>
  <c r="CW82" i="3"/>
  <c r="CW80" i="3"/>
  <c r="P82" i="3"/>
  <c r="P80" i="3"/>
  <c r="E22" i="7"/>
  <c r="DS82" i="3"/>
  <c r="DS80" i="3"/>
  <c r="E17" i="7"/>
  <c r="E33" i="7" s="1"/>
  <c r="E21" i="7"/>
  <c r="H16" i="7"/>
  <c r="DM82" i="3"/>
  <c r="DM80" i="3"/>
  <c r="DX82" i="3"/>
  <c r="DX80" i="3"/>
  <c r="EC82" i="3"/>
  <c r="EC80" i="3"/>
  <c r="DG82" i="3"/>
  <c r="DG80" i="3"/>
  <c r="W80" i="3"/>
  <c r="W82" i="3"/>
  <c r="S82" i="3"/>
  <c r="S80" i="3"/>
  <c r="AN80" i="3"/>
  <c r="AN82" i="3"/>
  <c r="CZ82" i="3"/>
  <c r="CZ80" i="3"/>
  <c r="DY82" i="3"/>
  <c r="DY80" i="3"/>
  <c r="DV82" i="3"/>
  <c r="DV80" i="3"/>
  <c r="AZ82" i="3"/>
  <c r="AZ80" i="3"/>
  <c r="DD80" i="3"/>
  <c r="DD82" i="3"/>
  <c r="AC82" i="3"/>
  <c r="AC80" i="3"/>
  <c r="AP82" i="3"/>
  <c r="AP80" i="3"/>
  <c r="BA82" i="3"/>
  <c r="BA80" i="3"/>
  <c r="DE82" i="3"/>
  <c r="DE80" i="3"/>
  <c r="U82" i="3"/>
  <c r="U80" i="3"/>
  <c r="DZ82" i="3"/>
  <c r="DZ80" i="3"/>
  <c r="EF82" i="3"/>
  <c r="EF80" i="3"/>
  <c r="AO82" i="3"/>
  <c r="AO80" i="3"/>
  <c r="CY80" i="3"/>
  <c r="CY82" i="3"/>
  <c r="V82" i="3"/>
  <c r="V80" i="3"/>
  <c r="DH82" i="3"/>
  <c r="DH80" i="3"/>
  <c r="DI80" i="3"/>
  <c r="DI82" i="3"/>
  <c r="DO82" i="3"/>
  <c r="DO80" i="3"/>
  <c r="H15" i="7"/>
  <c r="B21" i="7"/>
  <c r="B17" i="7"/>
  <c r="DB82" i="3"/>
  <c r="DB80" i="3"/>
  <c r="CX82" i="3"/>
  <c r="CX80" i="3"/>
  <c r="CT80" i="3"/>
  <c r="CT82" i="3"/>
  <c r="CU80" i="3"/>
  <c r="CU82" i="3"/>
  <c r="AS80" i="3"/>
  <c r="AS82" i="3"/>
  <c r="Z80" i="3"/>
  <c r="Z82" i="3"/>
  <c r="DL80" i="3"/>
  <c r="DL82" i="3"/>
  <c r="DA80" i="3"/>
  <c r="DA82" i="3"/>
  <c r="C22" i="7"/>
  <c r="C33" i="7"/>
  <c r="AX82" i="3"/>
  <c r="AX80" i="3"/>
  <c r="Q80" i="3"/>
  <c r="Q82" i="3"/>
  <c r="H21" i="7" l="1"/>
  <c r="B24" i="7"/>
  <c r="B23" i="7"/>
  <c r="B34" i="7"/>
  <c r="H17" i="7"/>
  <c r="H32" i="7" s="1"/>
  <c r="B33" i="7"/>
  <c r="C34" i="7"/>
  <c r="C23" i="7"/>
  <c r="C24" i="7"/>
  <c r="B32" i="7"/>
  <c r="C32" i="7"/>
  <c r="F23" i="7"/>
  <c r="F24" i="7"/>
  <c r="F34" i="7"/>
  <c r="H22" i="7"/>
  <c r="F32" i="7"/>
  <c r="F33" i="7"/>
  <c r="E24" i="7"/>
  <c r="E34" i="7"/>
  <c r="E23" i="7"/>
  <c r="E32" i="7"/>
  <c r="H33" i="7" l="1"/>
  <c r="H23" i="7"/>
  <c r="H34" i="7"/>
  <c r="H24" i="7"/>
</calcChain>
</file>

<file path=xl/comments1.xml><?xml version="1.0" encoding="utf-8"?>
<comments xmlns="http://schemas.openxmlformats.org/spreadsheetml/2006/main">
  <authors>
    <author>User</author>
  </authors>
  <commentList>
    <comment ref="B2132" authorId="0" shapeId="0">
      <text>
        <r>
          <rPr>
            <b/>
            <sz val="9"/>
            <color rgb="FF000000"/>
            <rFont val="Tahoma"/>
            <family val="2"/>
          </rPr>
          <t>User:</t>
        </r>
        <r>
          <rPr>
            <sz val="9"/>
            <color rgb="FF000000"/>
            <rFont val="Tahoma"/>
            <family val="2"/>
          </rPr>
          <t xml:space="preserve">
</t>
        </r>
        <r>
          <rPr>
            <sz val="9"/>
            <color rgb="FF000000"/>
            <rFont val="Tahoma"/>
            <family val="2"/>
          </rPr>
          <t>150bags of KF spawn</t>
        </r>
      </text>
    </comment>
    <comment ref="I2132" authorId="0" shapeId="0">
      <text>
        <r>
          <rPr>
            <b/>
            <sz val="9"/>
            <color indexed="81"/>
            <rFont val="Tahoma"/>
            <family val="2"/>
          </rPr>
          <t>User:</t>
        </r>
        <r>
          <rPr>
            <sz val="9"/>
            <color indexed="81"/>
            <rFont val="Tahoma"/>
            <family val="2"/>
          </rPr>
          <t xml:space="preserve">
150bags of KF spawn</t>
        </r>
      </text>
    </comment>
    <comment ref="B2156" authorId="0" shapeId="0">
      <text>
        <r>
          <rPr>
            <b/>
            <sz val="9"/>
            <color indexed="81"/>
            <rFont val="Tahoma"/>
            <family val="2"/>
          </rPr>
          <t>User:</t>
        </r>
        <r>
          <rPr>
            <sz val="9"/>
            <color indexed="81"/>
            <rFont val="Tahoma"/>
            <family val="2"/>
          </rPr>
          <t xml:space="preserve">
150bags of KF  spawn</t>
        </r>
      </text>
    </comment>
    <comment ref="I2156" authorId="0" shapeId="0">
      <text>
        <r>
          <rPr>
            <b/>
            <sz val="9"/>
            <color indexed="81"/>
            <rFont val="Tahoma"/>
            <family val="2"/>
          </rPr>
          <t>User:</t>
        </r>
        <r>
          <rPr>
            <sz val="9"/>
            <color indexed="81"/>
            <rFont val="Tahoma"/>
            <family val="2"/>
          </rPr>
          <t xml:space="preserve">
150bags of KF spawn</t>
        </r>
      </text>
    </comment>
    <comment ref="B2180" authorId="0" shapeId="0">
      <text>
        <r>
          <rPr>
            <b/>
            <sz val="9"/>
            <color indexed="81"/>
            <rFont val="Tahoma"/>
            <family val="2"/>
          </rPr>
          <t>User:</t>
        </r>
        <r>
          <rPr>
            <sz val="9"/>
            <color indexed="81"/>
            <rFont val="Tahoma"/>
            <family val="2"/>
          </rPr>
          <t xml:space="preserve">
60bags of KF spawn</t>
        </r>
      </text>
    </comment>
    <comment ref="I2180" authorId="0" shapeId="0">
      <text>
        <r>
          <rPr>
            <b/>
            <sz val="9"/>
            <color indexed="81"/>
            <rFont val="Tahoma"/>
            <family val="2"/>
          </rPr>
          <t>User:</t>
        </r>
        <r>
          <rPr>
            <sz val="9"/>
            <color indexed="81"/>
            <rFont val="Tahoma"/>
            <family val="2"/>
          </rPr>
          <t xml:space="preserve">
58bags of KF spawn</t>
        </r>
      </text>
    </comment>
    <comment ref="B2276" authorId="0" shapeId="0">
      <text>
        <r>
          <rPr>
            <b/>
            <sz val="9"/>
            <color indexed="81"/>
            <rFont val="Tahoma"/>
            <family val="2"/>
          </rPr>
          <t>User:</t>
        </r>
        <r>
          <rPr>
            <sz val="9"/>
            <color indexed="81"/>
            <rFont val="Tahoma"/>
            <family val="2"/>
          </rPr>
          <t xml:space="preserve">
148bags evacuated because of contamination</t>
        </r>
      </text>
    </comment>
  </commentList>
</comments>
</file>

<file path=xl/comments2.xml><?xml version="1.0" encoding="utf-8"?>
<comments xmlns="http://schemas.openxmlformats.org/spreadsheetml/2006/main">
  <authors>
    <author>User</author>
  </authors>
  <commentList>
    <comment ref="DY5" authorId="0" shapeId="0">
      <text>
        <r>
          <rPr>
            <b/>
            <sz val="9"/>
            <color rgb="FF000000"/>
            <rFont val="Tahoma"/>
            <family val="2"/>
          </rPr>
          <t>User:</t>
        </r>
        <r>
          <rPr>
            <sz val="9"/>
            <color rgb="FF000000"/>
            <rFont val="Tahoma"/>
            <family val="2"/>
          </rPr>
          <t xml:space="preserve">
</t>
        </r>
        <r>
          <rPr>
            <sz val="9"/>
            <color rgb="FF000000"/>
            <rFont val="Tahoma"/>
            <family val="2"/>
          </rPr>
          <t>une partie a ete jete en avance suite la non colonisation du mycelium</t>
        </r>
      </text>
    </comment>
  </commentList>
</comments>
</file>

<file path=xl/sharedStrings.xml><?xml version="1.0" encoding="utf-8"?>
<sst xmlns="http://schemas.openxmlformats.org/spreadsheetml/2006/main" count="10503" uniqueCount="755">
  <si>
    <t>Batches A &amp; B</t>
    <phoneticPr fontId="14" type="noConversion"/>
  </si>
  <si>
    <t>Batch B</t>
    <phoneticPr fontId="14" type="noConversion"/>
  </si>
  <si>
    <t>Batches A&amp; B</t>
    <phoneticPr fontId="14" type="noConversion"/>
  </si>
  <si>
    <t>Compost score</t>
    <phoneticPr fontId="14" type="noConversion"/>
  </si>
  <si>
    <t>Batch A</t>
    <phoneticPr fontId="14" type="noConversion"/>
  </si>
  <si>
    <t>Yield/m2 (WHITE)</t>
    <phoneticPr fontId="14" type="noConversion"/>
  </si>
  <si>
    <t>Yield/m2 (BROWN)</t>
    <phoneticPr fontId="14" type="noConversion"/>
  </si>
  <si>
    <t>Kg/bag (WHITE)</t>
    <phoneticPr fontId="14" type="noConversion"/>
  </si>
  <si>
    <t>Kg/bag (BROWN)</t>
    <phoneticPr fontId="14" type="noConversion"/>
  </si>
  <si>
    <t># bags (WHITE)</t>
    <phoneticPr fontId="14" type="noConversion"/>
  </si>
  <si>
    <t># bags (BROWN)</t>
    <phoneticPr fontId="14" type="noConversion"/>
  </si>
  <si>
    <t>Pre-wetting date</t>
    <phoneticPr fontId="14" type="noConversion"/>
  </si>
  <si>
    <t>Evacuation date (B)</t>
    <phoneticPr fontId="14" type="noConversion"/>
  </si>
  <si>
    <t>Dry straw at lay-out (T)</t>
    <phoneticPr fontId="14" type="noConversion"/>
  </si>
  <si>
    <t>Yield/dry straw (kg) (WHITE)</t>
    <phoneticPr fontId="14" type="noConversion"/>
  </si>
  <si>
    <t>Yield/dry straw (kg) (BROWN)</t>
    <phoneticPr fontId="14" type="noConversion"/>
  </si>
  <si>
    <t>Lay-out dry straw/bag (A&amp;B) (kg)</t>
    <phoneticPr fontId="14" type="noConversion"/>
  </si>
  <si>
    <t>Scorecard Batch 4</t>
  </si>
  <si>
    <t>Average pH=6.9</t>
  </si>
  <si>
    <t>Scorecard Batch 5</t>
  </si>
  <si>
    <t>Ammonia Smell</t>
  </si>
  <si>
    <t>Less than 7ppm before cooling</t>
  </si>
  <si>
    <t>Average pH=6.6</t>
  </si>
  <si>
    <t>Scorecard Batch 6</t>
  </si>
  <si>
    <t>Average pH=6.23</t>
  </si>
  <si>
    <t>Scorecard Batch 7</t>
  </si>
  <si>
    <t>Scorecard Batch 8</t>
  </si>
  <si>
    <t>strong in the tunnel and few are visible in bags after spawning</t>
  </si>
  <si>
    <t>Medium and Compact</t>
  </si>
  <si>
    <t>Agreed as 70.5%, the moisture meter is not reliable</t>
  </si>
  <si>
    <t>Nice softness with few spikiness</t>
  </si>
  <si>
    <t>Less than 5ppm before cooling</t>
  </si>
  <si>
    <t>Average pH=</t>
  </si>
  <si>
    <t>Agreed as 72%, the moisture meter is not reliable</t>
  </si>
  <si>
    <t>Average pH=6.13</t>
  </si>
  <si>
    <t>Batch 9</t>
  </si>
  <si>
    <t>Yields/flush</t>
  </si>
  <si>
    <t>1st Flush</t>
  </si>
  <si>
    <t>2nd Flush</t>
  </si>
  <si>
    <t>3rd Flush</t>
  </si>
  <si>
    <t>Batch 1 A</t>
  </si>
  <si>
    <t>Batch 1B</t>
  </si>
  <si>
    <t>Batch 2 A</t>
  </si>
  <si>
    <t>Batch 2 B</t>
  </si>
  <si>
    <t>Batch 3 A</t>
  </si>
  <si>
    <t>Batch 3 B</t>
  </si>
  <si>
    <t>Batch 4 A</t>
  </si>
  <si>
    <t>Batch 4 B</t>
  </si>
  <si>
    <t>Batch 5 A</t>
  </si>
  <si>
    <t>Batch 5 B</t>
  </si>
  <si>
    <t>Batch 6 A</t>
  </si>
  <si>
    <t>Batch 6 B</t>
  </si>
  <si>
    <t>Batch 7 A</t>
  </si>
  <si>
    <t>Batch 7 B</t>
  </si>
  <si>
    <t>Batch 8 A</t>
  </si>
  <si>
    <t>Batch 8 B</t>
  </si>
  <si>
    <t xml:space="preserve">Almost zero, </t>
  </si>
  <si>
    <t>Agreed as 71+%, the moisture meter is not reliable</t>
  </si>
  <si>
    <t>Scorecard Batch 9</t>
  </si>
  <si>
    <t>Batch 9A</t>
  </si>
  <si>
    <t>Batch 9B</t>
  </si>
  <si>
    <t>Scorecard Batch 10</t>
  </si>
  <si>
    <t>Batch 10</t>
  </si>
  <si>
    <t>Batch 10A</t>
  </si>
  <si>
    <t>Batch 10B</t>
  </si>
  <si>
    <t>Batch 11</t>
  </si>
  <si>
    <t>Scorecard Batch 11</t>
  </si>
  <si>
    <t>Batch 12</t>
  </si>
  <si>
    <t>Scorecard Batch 12</t>
  </si>
  <si>
    <t>Batch 13</t>
  </si>
  <si>
    <t>Batch 14</t>
  </si>
  <si>
    <t>Batch 15</t>
  </si>
  <si>
    <t>Scorecard Batch 13</t>
  </si>
  <si>
    <t>Scorecard Batch 14</t>
  </si>
  <si>
    <t>Scorecard Batch 15</t>
  </si>
  <si>
    <t>strong in the tunnel and well visible in bags after spawning</t>
  </si>
  <si>
    <t>short and open</t>
  </si>
  <si>
    <t xml:space="preserve">Agreed as 68.3%, </t>
  </si>
  <si>
    <t>Average pH=7.05</t>
  </si>
  <si>
    <t>8.5</t>
  </si>
  <si>
    <t xml:space="preserve">Agreed as 68.5%, </t>
  </si>
  <si>
    <t>Average pH=7.3</t>
  </si>
  <si>
    <t>MOISTURE target (69-70%)</t>
  </si>
  <si>
    <t xml:space="preserve">Agreed as 67+%, </t>
  </si>
  <si>
    <t>Less than 3ppm before cooling</t>
  </si>
  <si>
    <t>strong in the tunnel but not well visible in bags after spawning</t>
  </si>
  <si>
    <t xml:space="preserve">Agreed as 69+%, </t>
  </si>
  <si>
    <t>Average pH=7.5</t>
  </si>
  <si>
    <t>Batch 11A</t>
  </si>
  <si>
    <t>Batch 11B</t>
  </si>
  <si>
    <t>New batch size (20 tons)</t>
  </si>
  <si>
    <t>Maize Husk</t>
  </si>
  <si>
    <t>1 st flush</t>
  </si>
  <si>
    <t>2 nd flush</t>
  </si>
  <si>
    <t>3 rd flush</t>
  </si>
  <si>
    <t>white</t>
  </si>
  <si>
    <t>brown</t>
  </si>
  <si>
    <t xml:space="preserve"> </t>
  </si>
  <si>
    <t>N0 of bags</t>
  </si>
  <si>
    <t>Total</t>
  </si>
  <si>
    <t>Kg/bag</t>
  </si>
  <si>
    <t>Kg/Bag</t>
  </si>
  <si>
    <t>Variety</t>
  </si>
  <si>
    <t>variety</t>
  </si>
  <si>
    <t>Yield/m2</t>
  </si>
  <si>
    <t>Yied/m2</t>
  </si>
  <si>
    <t>Straw weight (Tons)</t>
  </si>
  <si>
    <t>Dry matter</t>
  </si>
  <si>
    <t>Conversion</t>
  </si>
  <si>
    <t>Moisture phase II</t>
  </si>
  <si>
    <t>Spawn rate</t>
  </si>
  <si>
    <t>Fill bag rate</t>
  </si>
  <si>
    <t>Moisture content</t>
  </si>
  <si>
    <t>Weight P II</t>
  </si>
  <si>
    <t>Spawn rate (ml)</t>
  </si>
  <si>
    <t>Compost</t>
  </si>
  <si>
    <t>Batch 1</t>
  </si>
  <si>
    <t>Batch 2</t>
  </si>
  <si>
    <t>Batch 3</t>
  </si>
  <si>
    <t>Batch 4</t>
  </si>
  <si>
    <t>Batch 5</t>
  </si>
  <si>
    <t>Batch 6</t>
  </si>
  <si>
    <t>Dry matter P II</t>
  </si>
  <si>
    <t>Dry matter PII</t>
  </si>
  <si>
    <t>Dry matter II</t>
  </si>
  <si>
    <t>Batch 7</t>
  </si>
  <si>
    <t>Batch 8</t>
  </si>
  <si>
    <t>Batch A</t>
  </si>
  <si>
    <t>Batch B</t>
  </si>
  <si>
    <t>White</t>
  </si>
  <si>
    <t>Brown</t>
  </si>
  <si>
    <t>Moisture content PII</t>
  </si>
  <si>
    <t>Conversion rate</t>
  </si>
  <si>
    <t>Change of Schedule</t>
  </si>
  <si>
    <t>Average of yield/dry straw</t>
  </si>
  <si>
    <t>Yield/Dry straw</t>
  </si>
  <si>
    <t xml:space="preserve">New lime </t>
  </si>
  <si>
    <t>New lime</t>
  </si>
  <si>
    <t>New schedule</t>
  </si>
  <si>
    <t>Parameter</t>
  </si>
  <si>
    <t xml:space="preserve">Point(0-10), </t>
  </si>
  <si>
    <t>average: 5/10</t>
  </si>
  <si>
    <t>Comment</t>
  </si>
  <si>
    <t>FF</t>
  </si>
  <si>
    <t>Only visible in the tunnel but not visible in bags after spawning</t>
  </si>
  <si>
    <t>LENGTH</t>
  </si>
  <si>
    <t>Medium, not short nor long</t>
  </si>
  <si>
    <t>COLOR</t>
  </si>
  <si>
    <t>This score is based on the temp in caramelization phase</t>
  </si>
  <si>
    <t>MOISTURE target</t>
  </si>
  <si>
    <t>(69-70%)</t>
  </si>
  <si>
    <t>Agreed as 70%, the moisture meter is not reliable</t>
  </si>
  <si>
    <t>DIGESTION</t>
  </si>
  <si>
    <t xml:space="preserve">Nice softness </t>
  </si>
  <si>
    <t>SMELL</t>
  </si>
  <si>
    <t>Very nice clear smell</t>
  </si>
  <si>
    <t>NH3</t>
  </si>
  <si>
    <t>Less than 5ppm</t>
  </si>
  <si>
    <t>pH (as target)</t>
  </si>
  <si>
    <t>9.5</t>
  </si>
  <si>
    <t>Average pH=7.55</t>
  </si>
  <si>
    <t>Scorecard Batch 1</t>
  </si>
  <si>
    <t>Scorecard Batch 2</t>
  </si>
  <si>
    <t>Very strong in the tunnel and visible in bags after spawning</t>
  </si>
  <si>
    <t>Long and open</t>
  </si>
  <si>
    <t>Agreed as 68-69%, the moisture meter is not reliable</t>
  </si>
  <si>
    <t>Nice softness but not well digested</t>
  </si>
  <si>
    <t>Less than 3ppm</t>
  </si>
  <si>
    <t>Average pH=7.4</t>
  </si>
  <si>
    <t>Scorecard Batch 3</t>
  </si>
  <si>
    <t>Average pH=7.14</t>
  </si>
  <si>
    <t>New batch size</t>
  </si>
  <si>
    <t>Batch 16</t>
  </si>
  <si>
    <t>Scorecard Batch 16</t>
  </si>
  <si>
    <t>Maize leaves</t>
  </si>
  <si>
    <t xml:space="preserve"> white </t>
  </si>
  <si>
    <t xml:space="preserve"> brown </t>
  </si>
  <si>
    <t xml:space="preserve"> Kg/bag </t>
  </si>
  <si>
    <t xml:space="preserve"> Yied/m2 </t>
  </si>
  <si>
    <t xml:space="preserve"> Yied/Dry straw </t>
  </si>
  <si>
    <t>Batch 17</t>
  </si>
  <si>
    <t>Scorecard Batch 17</t>
  </si>
  <si>
    <t>Batch 18</t>
  </si>
  <si>
    <t>Scorecard Batch 18</t>
  </si>
  <si>
    <t>Batch 19</t>
  </si>
  <si>
    <t>Scorecard Batch 19</t>
  </si>
  <si>
    <t>Batch 20</t>
  </si>
  <si>
    <t>Scorecard Batch 20</t>
  </si>
  <si>
    <t>Batch 21</t>
  </si>
  <si>
    <t>Scorecard Batch 21</t>
  </si>
  <si>
    <t>Batch 22</t>
  </si>
  <si>
    <t>Scorecard Batch 22</t>
  </si>
  <si>
    <t>Batch 23</t>
  </si>
  <si>
    <t>Scorecard Batch 23</t>
  </si>
  <si>
    <t>Batch 24</t>
  </si>
  <si>
    <t>Scorecard Batch 24</t>
  </si>
  <si>
    <t>Batch 25</t>
  </si>
  <si>
    <t>Scorecard Batch 25</t>
  </si>
  <si>
    <t>Batch 26</t>
  </si>
  <si>
    <t>Scorecard Batch 26</t>
  </si>
  <si>
    <t>Batch 27</t>
  </si>
  <si>
    <t>Scorecard Batch 27</t>
  </si>
  <si>
    <t>Bach B</t>
  </si>
  <si>
    <t>Point(0-10), average: 5/10</t>
  </si>
  <si>
    <t xml:space="preserve">pH </t>
  </si>
  <si>
    <t>-</t>
  </si>
  <si>
    <t>pH (7.4 as target)</t>
  </si>
  <si>
    <t xml:space="preserve">          81.2%</t>
  </si>
  <si>
    <t>pH (7.5 as target)</t>
  </si>
  <si>
    <t xml:space="preserve">          76.2%</t>
  </si>
  <si>
    <t xml:space="preserve">     78.75%</t>
  </si>
  <si>
    <t>Batch 2018</t>
  </si>
  <si>
    <t>Batch 2019</t>
  </si>
  <si>
    <t>Batch11A</t>
  </si>
  <si>
    <t>Batch 12A</t>
  </si>
  <si>
    <t>Batch 12B</t>
  </si>
  <si>
    <t>Batch 13A</t>
  </si>
  <si>
    <t>Batch 13B</t>
  </si>
  <si>
    <t>Batch 14B</t>
  </si>
  <si>
    <t>Batch 14A</t>
  </si>
  <si>
    <t>Batch 15A</t>
  </si>
  <si>
    <t>Batch 15B</t>
  </si>
  <si>
    <t>Batch 16A</t>
  </si>
  <si>
    <t>Batch 16B</t>
  </si>
  <si>
    <t>Batch 17A</t>
  </si>
  <si>
    <t>Batch 17B</t>
  </si>
  <si>
    <t>Batch 18A</t>
  </si>
  <si>
    <t>Batch 18B</t>
  </si>
  <si>
    <t>Batch 19A</t>
  </si>
  <si>
    <t>Batch 19B</t>
  </si>
  <si>
    <t>Batch 20A</t>
  </si>
  <si>
    <t>Batch 20B</t>
  </si>
  <si>
    <t>Batch 21A</t>
  </si>
  <si>
    <t>Batch 21B</t>
  </si>
  <si>
    <t>Batch 22A</t>
  </si>
  <si>
    <t>Batch 22B</t>
  </si>
  <si>
    <t>Batch 23A</t>
  </si>
  <si>
    <t>Batch 23B</t>
  </si>
  <si>
    <t>Batch 24B</t>
  </si>
  <si>
    <t>Batch 24A</t>
  </si>
  <si>
    <t>Batch 25A</t>
  </si>
  <si>
    <t>Batch 25B</t>
  </si>
  <si>
    <t>Batch 26A</t>
  </si>
  <si>
    <t>Batch 26B</t>
  </si>
  <si>
    <t>Batch 27A</t>
  </si>
  <si>
    <t>Batch 27B</t>
  </si>
  <si>
    <t>Bach Number</t>
  </si>
  <si>
    <t>5.5</t>
  </si>
  <si>
    <t xml:space="preserve">Agreed as 70%, </t>
  </si>
  <si>
    <t>Nice softness with 7% of spikiness</t>
  </si>
  <si>
    <t>75.6 %</t>
  </si>
  <si>
    <t>Bach 12A</t>
  </si>
  <si>
    <t>%1st flush</t>
  </si>
  <si>
    <t>%2nd flush</t>
  </si>
  <si>
    <t>%3rd flush</t>
  </si>
  <si>
    <t xml:space="preserve"> Moyenne </t>
  </si>
  <si>
    <t>4t th flush</t>
  </si>
  <si>
    <t xml:space="preserve">Agreed as 69%, </t>
  </si>
  <si>
    <t xml:space="preserve"> nice strong in the tunnel and well visible in bags after spawning</t>
  </si>
  <si>
    <t>medium to long</t>
  </si>
  <si>
    <t>Dark-brown</t>
  </si>
  <si>
    <t xml:space="preserve">poor digestion but nice toughness </t>
  </si>
  <si>
    <t>strong amonia smell</t>
  </si>
  <si>
    <t xml:space="preserve">     60.5/80</t>
  </si>
  <si>
    <t>Change of schedule to 24 days</t>
  </si>
  <si>
    <t xml:space="preserve">Not homogeneous compost, first part is 67% and the second is 70%, </t>
  </si>
  <si>
    <t>Tough compost 8% of spikiness</t>
  </si>
  <si>
    <t>nice clear smell</t>
  </si>
  <si>
    <t>Less than 8ppm before cooling</t>
  </si>
  <si>
    <t xml:space="preserve">Scorecard Batch 18 </t>
  </si>
  <si>
    <t>Average pH=7.59</t>
  </si>
  <si>
    <t>long and open</t>
  </si>
  <si>
    <t xml:space="preserve">Agreed as 70 Homonegeous </t>
  </si>
  <si>
    <t>Comments</t>
  </si>
  <si>
    <t>MOISTURE target 69-70%</t>
  </si>
  <si>
    <t>Chlorine problem with room 2 (no good dilution)</t>
  </si>
  <si>
    <t xml:space="preserve">Batch A </t>
  </si>
  <si>
    <t>Change in schedule (20 days)</t>
  </si>
  <si>
    <t>4th flush</t>
  </si>
  <si>
    <t>4 th flush</t>
  </si>
  <si>
    <t>date of spawning</t>
  </si>
  <si>
    <t xml:space="preserve"> Batch 16</t>
  </si>
  <si>
    <t>Date of spawning</t>
  </si>
  <si>
    <t xml:space="preserve">Date of spawing </t>
  </si>
  <si>
    <r>
      <t>Homogeneous compost is 69</t>
    </r>
    <r>
      <rPr>
        <b/>
        <vertAlign val="superscript"/>
        <sz val="11"/>
        <color theme="1"/>
        <rFont val="Times New Roman"/>
        <family val="1"/>
      </rPr>
      <t>+</t>
    </r>
    <r>
      <rPr>
        <b/>
        <sz val="11"/>
        <color theme="1"/>
        <rFont val="Times New Roman"/>
        <family val="1"/>
      </rPr>
      <t xml:space="preserve">%, </t>
    </r>
  </si>
  <si>
    <t xml:space="preserve">Date of spawning </t>
  </si>
  <si>
    <r>
      <t>Homogeneous compost is 68</t>
    </r>
    <r>
      <rPr>
        <b/>
        <vertAlign val="superscript"/>
        <sz val="11"/>
        <color theme="1"/>
        <rFont val="Times New Roman"/>
        <family val="1"/>
      </rPr>
      <t>+</t>
    </r>
    <r>
      <rPr>
        <b/>
        <sz val="11"/>
        <color theme="1"/>
        <rFont val="Times New Roman"/>
        <family val="1"/>
      </rPr>
      <t xml:space="preserve">%, </t>
    </r>
  </si>
  <si>
    <t xml:space="preserve">use of conveyor belt for second and last flip. spawning delay because of plastic bags issue.  Low yields </t>
  </si>
  <si>
    <t xml:space="preserve">Use of conveyor belt from CM1. Problem for the first flush yields : mismanagement no increase in temperatures after the first flush harvesting leads to a lack of energy of the compst. </t>
  </si>
  <si>
    <t>we had a delay in pinning. The profile was strange, because a lack of decomposition of the compost.</t>
  </si>
  <si>
    <t xml:space="preserve">7.65 a little bit too high </t>
  </si>
  <si>
    <t>Very low yields on batch A . We still have a lack of digestion of the compost.  For batch B : the second flush was lost because of a too important decrease of the compost's temperatures</t>
  </si>
  <si>
    <t>We tend to have a normal first flush for A and B.</t>
  </si>
  <si>
    <t>Nice in the tunnel and not visible in bags after spawning</t>
  </si>
  <si>
    <t>Tough compost 9% of spikiness</t>
  </si>
  <si>
    <t>7.56</t>
  </si>
  <si>
    <t>Few in the tunnel and not visible in bags after spawning</t>
  </si>
  <si>
    <t>Medium from Pelagie and open</t>
  </si>
  <si>
    <t xml:space="preserve">Homogeneous compost is 68%, </t>
  </si>
  <si>
    <t>Tough compost 10% of spikiness</t>
  </si>
  <si>
    <t>Batch 1/20</t>
  </si>
  <si>
    <t xml:space="preserve">First weekly schedule batch. The compost was reaaly bad (though, almost no FF, spikinees, cold and not digested at all). Spawn run and Case run reallu slow. Little biologic activity (few golden water). Delay in first flush  (3 days) probably due to lack of digestion in the compost. The fewer mushrooms that we have are light due to lake of food in the compost </t>
  </si>
  <si>
    <t xml:space="preserve">First weekly schedule batch. At spawning, the compost was really bad (though, almost no FF, spikinees, cold and not digested at all and we had a excess of compost even with a filling weight of 15kg ). Spawn run and Case run reallu slow. Little biologic activity (few golden water). Delay in first flush  (3 days) probably due to lack of digestion in the compost. The fewer mushrooms that we have are light due to lake of food in the compost </t>
  </si>
  <si>
    <t>Batch 2/20</t>
  </si>
  <si>
    <t>Dry matter P III</t>
  </si>
  <si>
    <t>Dry matter PIII</t>
  </si>
  <si>
    <t>Dry matter  PIII</t>
  </si>
  <si>
    <t>Batch 3/20</t>
  </si>
  <si>
    <t>Batch 4/20</t>
  </si>
  <si>
    <t>Batch 5/20</t>
  </si>
  <si>
    <t>Batch 6/20</t>
  </si>
  <si>
    <t>Short structure</t>
  </si>
  <si>
    <t xml:space="preserve">Homogeneous compost is 69%, </t>
  </si>
  <si>
    <t xml:space="preserve">     58.5/70</t>
  </si>
  <si>
    <t xml:space="preserve">Homogeneous compost is 70%, </t>
  </si>
  <si>
    <t>Batch 7/20</t>
  </si>
  <si>
    <t>Batch 8/20</t>
  </si>
  <si>
    <t>Not visible in tunnel</t>
  </si>
  <si>
    <t>This score is based on the temp in caramelization phase, low temp in</t>
  </si>
  <si>
    <t>Tough compost 15% of spikiness</t>
  </si>
  <si>
    <t xml:space="preserve">     45/70</t>
  </si>
  <si>
    <t xml:space="preserve">Short structure but likely </t>
  </si>
  <si>
    <t>We have increase the urea used with 20kg after first flip</t>
  </si>
  <si>
    <t xml:space="preserve">     49.5/70</t>
  </si>
  <si>
    <t>Batch 9/20</t>
  </si>
  <si>
    <t>Batch 10/20</t>
  </si>
  <si>
    <t>Batch 11/20</t>
  </si>
  <si>
    <t>Kg/batch (WHITE)</t>
  </si>
  <si>
    <t>Batches A&amp; B</t>
  </si>
  <si>
    <t>Kg/weekly batch (WHITE)</t>
  </si>
  <si>
    <t>Kg/weekly batch (BROWN)</t>
  </si>
  <si>
    <t>Batch 12/20</t>
  </si>
  <si>
    <t>Batch 13/20</t>
  </si>
  <si>
    <t>Batch 14/20</t>
  </si>
  <si>
    <t>Batch 15/20</t>
  </si>
  <si>
    <t>Batch 16/20</t>
  </si>
  <si>
    <t>Batch 17/20</t>
  </si>
  <si>
    <t>Batch 18/20</t>
  </si>
  <si>
    <t>Batch 19/20</t>
  </si>
  <si>
    <t>Batch 20/20</t>
  </si>
  <si>
    <t>long structure</t>
  </si>
  <si>
    <t xml:space="preserve">Homogeneous compost is 70+%, </t>
  </si>
  <si>
    <t xml:space="preserve">Homogeneous compost is 69+%, </t>
  </si>
  <si>
    <t>Very strong in the tunnel and well visible in bags after spawning</t>
  </si>
  <si>
    <t>Short mixed with medium structure</t>
  </si>
  <si>
    <t xml:space="preserve">Homogeneous compost is 68+%, </t>
  </si>
  <si>
    <t xml:space="preserve">     46/70</t>
  </si>
  <si>
    <t xml:space="preserve">     48/70</t>
  </si>
  <si>
    <t>Day before cooling NH3, 10ppmnice clear smell</t>
  </si>
  <si>
    <t>750 kg of CM 1.5 %</t>
  </si>
  <si>
    <t xml:space="preserve">750 kg of CM 1.5 % + 300 kg of chicken feathers </t>
  </si>
  <si>
    <t>CM used  kg/ ton of dry straw</t>
  </si>
  <si>
    <t xml:space="preserve">550 of CM 4% </t>
  </si>
  <si>
    <t>600 kg of CM 1.5 %</t>
  </si>
  <si>
    <t>500 kg of CM 1.5 %</t>
  </si>
  <si>
    <t>Well visible in tunnel but less in bag</t>
  </si>
  <si>
    <t>short structure more sandy fill than batch 13</t>
  </si>
  <si>
    <t>40/70</t>
  </si>
  <si>
    <t>Tough compost 10% of spikiness, sand fill</t>
  </si>
  <si>
    <t>Clear smell</t>
  </si>
  <si>
    <t>10ppm before cooling</t>
  </si>
  <si>
    <t>30.5/70</t>
  </si>
  <si>
    <t>middle structure</t>
  </si>
  <si>
    <t xml:space="preserve">Homogeneous compost Moisture is 69-%, </t>
  </si>
  <si>
    <t xml:space="preserve">Homogeneous compost is 69-%, </t>
  </si>
  <si>
    <t>Tough compost 7% of spikiness. No biological digestion</t>
  </si>
  <si>
    <t>Middle structure</t>
  </si>
  <si>
    <t>Less than 3ppm before cooling. But not enough during bunkers time</t>
  </si>
  <si>
    <t>This score is based on the temp in caramelization phase. We didn’t reach our temperatures target so the color was light</t>
  </si>
  <si>
    <t>Tough compost 10% of spikiness. Lack of digestion in coparaison of previous compost</t>
  </si>
  <si>
    <t>Comment with Mel score</t>
  </si>
  <si>
    <t>too long structure</t>
  </si>
  <si>
    <t xml:space="preserve">This score is based on the temp in caramelization phase. We didn’t have enough high temperatures </t>
  </si>
  <si>
    <t xml:space="preserve">Tough compost 20% of spikiness. Lack of digestion </t>
  </si>
  <si>
    <t>Less than 3ppm before cooling  but not enough during bunker time</t>
  </si>
  <si>
    <t>Less than 3ppm before cooling. But lack of ammonia in the bunker</t>
  </si>
  <si>
    <t>No biological digestion. So high pH  8.02 . Target is 7.5</t>
  </si>
  <si>
    <t xml:space="preserve">     47/70</t>
  </si>
  <si>
    <t xml:space="preserve"> 37/70</t>
  </si>
  <si>
    <t xml:space="preserve">     41.5/70</t>
  </si>
  <si>
    <t xml:space="preserve">This score is based on the temp in caramelization phase. Which were not high enough </t>
  </si>
  <si>
    <t>Tough compost 10% of spikiness. We have a lack of digestion</t>
  </si>
  <si>
    <t>clear smell</t>
  </si>
  <si>
    <t xml:space="preserve">     44/70</t>
  </si>
  <si>
    <t xml:space="preserve">Less than 5ppm before cooling. </t>
  </si>
  <si>
    <t xml:space="preserve">a little bite too Short structure. Which were not high enough </t>
  </si>
  <si>
    <t>Less than 5ppm before cooling. But not enough in the bunkers</t>
  </si>
  <si>
    <t>Tough compost 5% of spikiness. But on average not good digestion</t>
  </si>
  <si>
    <t>nice  smell</t>
  </si>
  <si>
    <t>clear smell but a little bite of ammonia</t>
  </si>
  <si>
    <t>37/70</t>
  </si>
  <si>
    <t>Batch 22/20</t>
  </si>
  <si>
    <t>We are using Tina's spawn G5</t>
  </si>
  <si>
    <t>We had a nice compost at spawning with a lot of FF  a relatively good digestion. The CM used for this compsot was full of fresh chicken manure, it seems to be the difference. We used tina's spawn g4 on 997 bags</t>
  </si>
  <si>
    <t xml:space="preserve">First batch in which we had 70 % of CM in first Cm and 30 % in the second Cm with Mel. This batch was especailly not good in growin rooms. We had low numbers of pins and they were not heavy  for second and third flush. </t>
  </si>
  <si>
    <t xml:space="preserve">First batch on which we added 20 kg of  urea the bunker with Mel. </t>
  </si>
  <si>
    <t xml:space="preserve">     36/70</t>
  </si>
  <si>
    <t xml:space="preserve">First batch for which we used 100 % Tina's spawn (G5 all grains were not fully colonized) no CI and we have still this problem of N %. It seems that the first flush will be very bad . </t>
  </si>
  <si>
    <t>short structure</t>
  </si>
  <si>
    <t>More sand fill and rice husk</t>
  </si>
  <si>
    <t xml:space="preserve">     35/70</t>
  </si>
  <si>
    <t>This score is based on the temp in caramelization phase. Which were not high enough but better than previous batch</t>
  </si>
  <si>
    <t>This score is based on the temp in caramelization phase. Which were good.</t>
  </si>
  <si>
    <t xml:space="preserve">This score is based on the temp in bunker phase. Which were ok </t>
  </si>
  <si>
    <t>Batch 24/20</t>
  </si>
  <si>
    <t>Batch 23/20</t>
  </si>
  <si>
    <t>This score is based on the temp in caramelization phase. Which were ok but not as good as previous batch</t>
  </si>
  <si>
    <t>This score is based on the temp in bunker phase. Were ok as previous batch</t>
  </si>
  <si>
    <t>This score is based on the temp in bunker phase. Which were not high enough we didn't reach the targets</t>
  </si>
  <si>
    <t>This score is based on the temp in bunker phase.Which were not high enough we didn't reach the targets</t>
  </si>
  <si>
    <t>Batch 26/20</t>
  </si>
  <si>
    <t>This score is based on the temp in bunker phase</t>
  </si>
  <si>
    <t xml:space="preserve">Homogeneous compost Moisture is 70%, not thicker water </t>
  </si>
  <si>
    <t xml:space="preserve">We started using Zamura CM 750 kg/ ton of dry straw + first batch with Magda'spawn. </t>
  </si>
  <si>
    <t>Batch 27/20</t>
  </si>
  <si>
    <t>Few but some are visible in bags after spawning</t>
  </si>
  <si>
    <t xml:space="preserve">Homogeneous compost Moisture is 69%, thicker water </t>
  </si>
  <si>
    <t xml:space="preserve">     38/70</t>
  </si>
  <si>
    <t>Medium structure</t>
  </si>
  <si>
    <t>Not  well cleared</t>
  </si>
  <si>
    <t>Less than 10ppm before cooling</t>
  </si>
  <si>
    <t xml:space="preserve">Very few not visible in the bags </t>
  </si>
  <si>
    <t>Less than 20ppm before cooling</t>
  </si>
  <si>
    <t>We had issues with clearing of the compst because the ammonia is slowy released because intimately inbound in the chicken manure . This is affecting the colonization rate of the bags.</t>
  </si>
  <si>
    <t xml:space="preserve">     35,5/70</t>
  </si>
  <si>
    <t>We used Tina's spawn G6</t>
  </si>
  <si>
    <t xml:space="preserve">Homogeneous compost Moisture is 69+%, thicker water </t>
  </si>
  <si>
    <t xml:space="preserve">     33.5/70</t>
  </si>
  <si>
    <t>Soft compost</t>
  </si>
  <si>
    <t>Well cleared</t>
  </si>
  <si>
    <t>Parameters</t>
  </si>
  <si>
    <t xml:space="preserve">Magda spawn second order . </t>
  </si>
  <si>
    <t>Batch 29/20</t>
  </si>
  <si>
    <t>Batch 28/20</t>
  </si>
  <si>
    <t>First big batch biweekly</t>
  </si>
  <si>
    <t>Magda'spawn died because of high temperatures (40 C).  Seeing that we don’t have any germination on day 6 we put Tina'spawn on the bags. It will not fruit. We throwed this batch away</t>
  </si>
  <si>
    <t xml:space="preserve">Too many </t>
  </si>
  <si>
    <t>Too short structure</t>
  </si>
  <si>
    <r>
      <t xml:space="preserve">MOISTURE target </t>
    </r>
    <r>
      <rPr>
        <b/>
        <sz val="11"/>
        <color theme="1"/>
        <rFont val="Times New Roman"/>
        <family val="1"/>
      </rPr>
      <t>(69-70%)</t>
    </r>
  </si>
  <si>
    <t xml:space="preserve">Homogeneous compost Moisture is 67%, no water after a nice squeeze </t>
  </si>
  <si>
    <t xml:space="preserve">     42.5/70</t>
  </si>
  <si>
    <t xml:space="preserve">Homogeneous compost Moisture is 68%, no water after a nice squeeze </t>
  </si>
  <si>
    <t xml:space="preserve">tough compost, </t>
  </si>
  <si>
    <t>Some ammonia smell</t>
  </si>
  <si>
    <t xml:space="preserve">     37/70</t>
  </si>
  <si>
    <t>Scorecard Batch 28</t>
  </si>
  <si>
    <t>Scorecard Batch 29</t>
  </si>
  <si>
    <t>Batch 30/20</t>
  </si>
  <si>
    <t>Batch 31/20</t>
  </si>
  <si>
    <t>Batch 32/20</t>
  </si>
  <si>
    <t>Scorecard Batch 30</t>
  </si>
  <si>
    <t>Scorecard Batch 31</t>
  </si>
  <si>
    <t>Scorecard Batch 32</t>
  </si>
  <si>
    <t>Too many LIKE 50%</t>
  </si>
  <si>
    <t>short structure but not bad</t>
  </si>
  <si>
    <t>This score is based on the temp in bunker phase but here the color looks to dark and black</t>
  </si>
  <si>
    <t xml:space="preserve">Homogeneous compost Moisture is 69%, no water after a nice squeeze </t>
  </si>
  <si>
    <t xml:space="preserve">SOFTER compost, </t>
  </si>
  <si>
    <t xml:space="preserve">     39/70</t>
  </si>
  <si>
    <t>Batch 33/20</t>
  </si>
  <si>
    <t>Scorecard Batch 33</t>
  </si>
  <si>
    <t xml:space="preserve">Strong as needed </t>
  </si>
  <si>
    <t>Too long structure</t>
  </si>
  <si>
    <r>
      <t>Homogeneous compost Moisture is 70</t>
    </r>
    <r>
      <rPr>
        <b/>
        <vertAlign val="superscript"/>
        <sz val="11"/>
        <color theme="1"/>
        <rFont val="Times New Roman"/>
        <family val="1"/>
      </rPr>
      <t>+</t>
    </r>
    <r>
      <rPr>
        <b/>
        <sz val="11"/>
        <color theme="1"/>
        <rFont val="Times New Roman"/>
        <family val="1"/>
      </rPr>
      <t xml:space="preserve">%, no water after a nice squeeze </t>
    </r>
  </si>
  <si>
    <t xml:space="preserve">softish compost, </t>
  </si>
  <si>
    <t xml:space="preserve">     41/70</t>
  </si>
  <si>
    <t>Nice structure structure</t>
  </si>
  <si>
    <t xml:space="preserve">     51/70</t>
  </si>
  <si>
    <t>Excellent compost based on FF, Moisture, Color(temp in Bunker), Kill Temp, structure</t>
  </si>
  <si>
    <t xml:space="preserve">  </t>
  </si>
  <si>
    <t>Batch 34/20</t>
  </si>
  <si>
    <t>dry compost, full of FF, spent 24days on yard because of Gypsum availability</t>
  </si>
  <si>
    <t>Good compost based on FF,Kill Temp, Color(bunker Temp), Structure not good, water also not goo, more than 70%</t>
  </si>
  <si>
    <t>Batch 21/20, start using Zamura CM based on woods and Magda spawn</t>
  </si>
  <si>
    <t>Batch 25/20, start using Draff from skol</t>
  </si>
  <si>
    <t>Compost looks overdigested, overcolonised by FF</t>
  </si>
  <si>
    <t>Compost looks overdigested, overcolonised by FF, throw it because the mycelium didn’t colonize the bags</t>
  </si>
  <si>
    <t>Too Strong</t>
  </si>
  <si>
    <t>Nice structure (short)</t>
  </si>
  <si>
    <t xml:space="preserve">Over digested </t>
  </si>
  <si>
    <t>Less than 3ppm before cooling but using overpressure last day</t>
  </si>
  <si>
    <t>Scorecard Batch 34</t>
  </si>
  <si>
    <t>very nice not agrressive</t>
  </si>
  <si>
    <t>nice temp during phase I, dark brown color</t>
  </si>
  <si>
    <t>68-69%, nice inbound moisture</t>
  </si>
  <si>
    <t>good digestion</t>
  </si>
  <si>
    <t>nice smell like mycelium</t>
  </si>
  <si>
    <t>no ammonia smell, cooling done at less than 3ppm</t>
  </si>
  <si>
    <t>Batch 35/20</t>
  </si>
  <si>
    <t>Batch 36/20</t>
  </si>
  <si>
    <t>Batch 37/20</t>
  </si>
  <si>
    <t>Batch 38/20</t>
  </si>
  <si>
    <t>Batch 39/20</t>
  </si>
  <si>
    <t>Batch 01/21</t>
  </si>
  <si>
    <t>Batch 02/21</t>
  </si>
  <si>
    <t>Batch 03/21</t>
  </si>
  <si>
    <t>Batch 04/21</t>
  </si>
  <si>
    <t>Batch 05/21</t>
  </si>
  <si>
    <t>Batch 06/21</t>
  </si>
  <si>
    <t>Batch 07/21</t>
  </si>
  <si>
    <t>Batch 08/21</t>
  </si>
  <si>
    <t>Batch 09/21</t>
  </si>
  <si>
    <t>Batch 10/21</t>
  </si>
  <si>
    <t>Batch 11/21</t>
  </si>
  <si>
    <t>Batch 12/21</t>
  </si>
  <si>
    <t>Batch 13/21</t>
  </si>
  <si>
    <t>Batch 14/21</t>
  </si>
  <si>
    <t>Batch 15/21</t>
  </si>
  <si>
    <t>Not agressive</t>
  </si>
  <si>
    <t>Nice structure (medium)</t>
  </si>
  <si>
    <t xml:space="preserve">Homogeneous compost Moisture is 70% compost looks wet </t>
  </si>
  <si>
    <t xml:space="preserve">good digested </t>
  </si>
  <si>
    <t>Free of Ammonia smell</t>
  </si>
  <si>
    <t xml:space="preserve">Less than 3ppm before cooling </t>
  </si>
  <si>
    <t xml:space="preserve"> Strong</t>
  </si>
  <si>
    <t>Nice structure (middle)</t>
  </si>
  <si>
    <t>54.5/70</t>
  </si>
  <si>
    <t>Strong</t>
  </si>
  <si>
    <t xml:space="preserve">Homogeneous compost Moisture is 70%, no water after a nice squeeze but looks wet </t>
  </si>
  <si>
    <t xml:space="preserve">nicely digested </t>
  </si>
  <si>
    <t>Free of  ammonia smell</t>
  </si>
  <si>
    <t>Homogeneous compost Moisture is 69%, no water after a nice squeeze</t>
  </si>
  <si>
    <t xml:space="preserve">     55/70</t>
  </si>
  <si>
    <t>Batch 2020</t>
  </si>
  <si>
    <t xml:space="preserve">     45/80</t>
  </si>
  <si>
    <t xml:space="preserve">     41.3/70</t>
  </si>
  <si>
    <t>We had issues with clearing of the compost because the ammonia is slowy released because intimately inbound in the chicken manure . This is affecting the colonization rate of the bags. We throwed this batch away</t>
  </si>
  <si>
    <t xml:space="preserve">Homogeneous compost Moisture is 69%, no water after a nice squeeze but looks wet </t>
  </si>
  <si>
    <t xml:space="preserve">     57/70</t>
  </si>
  <si>
    <t>Homogeneous compost Moisture is 68%, no water after a nice squeeze but looks dry</t>
  </si>
  <si>
    <t>Free of  ammonia smell, Pelagie smell it</t>
  </si>
  <si>
    <t xml:space="preserve">     5.4/70</t>
  </si>
  <si>
    <t>Nice structure (long)</t>
  </si>
  <si>
    <t>Homogeneous compost Moisture is 70%, no water after a nice squeeze but looks wet</t>
  </si>
  <si>
    <t>Short structure, one machine used during flip</t>
  </si>
  <si>
    <t>This score is based on the temp in bunker phase, even if the target is reached the draff is added later in the process.</t>
  </si>
  <si>
    <t>Too much NH3 smell</t>
  </si>
  <si>
    <t>Spawning done at 8ppm</t>
  </si>
  <si>
    <t>Homogeneous compost Moisture is 71+%, no water after a nice squeeze but looks wet</t>
  </si>
  <si>
    <t>Spawning done at 3ppm</t>
  </si>
  <si>
    <t xml:space="preserve">     34/70</t>
  </si>
  <si>
    <t xml:space="preserve">     60/70</t>
  </si>
  <si>
    <t xml:space="preserve">Homogeneous compost Moisture is 68%, no water after a nice squeeze but looks wet </t>
  </si>
  <si>
    <t xml:space="preserve">     59/70</t>
  </si>
  <si>
    <t xml:space="preserve">     58/70</t>
  </si>
  <si>
    <t>Nice structure (Medium)</t>
  </si>
  <si>
    <t xml:space="preserve">     54/70</t>
  </si>
  <si>
    <t>Strong but not aggressive</t>
  </si>
  <si>
    <t>Nice structure (short and middle)</t>
  </si>
  <si>
    <t>4 rd flush</t>
  </si>
  <si>
    <t>Batch 16/21</t>
  </si>
  <si>
    <t>Batch 17/21</t>
  </si>
  <si>
    <t>Batch 18/21</t>
  </si>
  <si>
    <t>Good compost based on FF,Kill Temp, Color(bunker Temp), Structure good, water also good, less than 69%</t>
  </si>
  <si>
    <t>Good compost based on FF,Kill Temp, Color(bunker and Tunnel Temp), medium Structure , wet compost 71%</t>
  </si>
  <si>
    <t>Good compost based on FF,Kill Temp, Color(bunker Temp), short Structure and good, nice moisture 69%, no ammonia</t>
  </si>
  <si>
    <t>Batch 19/21</t>
  </si>
  <si>
    <t>Batch 20/21</t>
  </si>
  <si>
    <t>Batch 21/21</t>
  </si>
  <si>
    <t>Batch 22/21</t>
  </si>
  <si>
    <t>Batch 23/21</t>
  </si>
  <si>
    <t>Batch 24/21</t>
  </si>
  <si>
    <t>Batch 25/21</t>
  </si>
  <si>
    <t>Homogeneous compost Moisture is 70%, no water after a nice squeeze</t>
  </si>
  <si>
    <t>Homogeneous compost Moisture is 72%, water falls down after a nice squeeze</t>
  </si>
  <si>
    <t xml:space="preserve">     53/70</t>
  </si>
  <si>
    <t>Not strong as needed</t>
  </si>
  <si>
    <t>Nice structure (short )</t>
  </si>
  <si>
    <t xml:space="preserve">     50/70</t>
  </si>
  <si>
    <t>Homogeneous compost Moisture is 73%, some water after a nice squeeze but looks too wet</t>
  </si>
  <si>
    <t>Not strong as needed Because of high moisture</t>
  </si>
  <si>
    <t>Homogeneous compost Moisture is 71%, no water after a nice squeeze</t>
  </si>
  <si>
    <t xml:space="preserve">     56/70</t>
  </si>
  <si>
    <t>Nice structure (medium )</t>
  </si>
  <si>
    <t>Homogeneous compost Moisture is 68%, no water after a nice squeeze</t>
  </si>
  <si>
    <t>Strong and aggressive</t>
  </si>
  <si>
    <t>strong as needed</t>
  </si>
  <si>
    <t>Less than 3ppm before cooling but using overpressure all days of conditioning</t>
  </si>
  <si>
    <t>Good compost based on FF,Kill Temp, Color(bunker Temp), nice Structure(short), nie Moisture, less than 70% but less chicken used in this batch in order to try draff in big quantity</t>
  </si>
  <si>
    <t>Good compost based on FF,Kill Temp, Color(bunker Temp), good tructure (short), nice moisture 68%by estimation</t>
  </si>
  <si>
    <t>wholesale@dunham-bush,co.za</t>
  </si>
  <si>
    <t>Good compost based on FF,Kill Temp, Color(bunker Temp), very  nice Structure (short&amp;medium) nice moisture less than 70%</t>
  </si>
  <si>
    <t>Number of bags (Cumulative/year)</t>
  </si>
  <si>
    <t>Kg harvested (Cumulative/year)</t>
  </si>
  <si>
    <t>Kg/bag (cumulative/year)</t>
  </si>
  <si>
    <t>Batches A&amp;B - WHITE</t>
  </si>
  <si>
    <t>Wet straw at lay-out (T)</t>
  </si>
  <si>
    <t>Amount of wet straw (Cumulative/year)</t>
  </si>
  <si>
    <t>Batches A&amp;B - Wh&amp;Br</t>
  </si>
  <si>
    <t>Batches A&amp;B - BROWN</t>
  </si>
  <si>
    <t>Number of bags/ton of wet straw (Cum/yr)</t>
  </si>
  <si>
    <t>Kg harvested/ton of wet straw (Cum/yr)</t>
  </si>
  <si>
    <t>Kg/batch (BROWN)</t>
  </si>
  <si>
    <t>Kg/batch (WHITE &amp; BROWN)</t>
  </si>
  <si>
    <t>Kg/weekly batch (WHITE &amp; BROWN)</t>
  </si>
  <si>
    <t>Ton of wet straw at lay-out</t>
  </si>
  <si>
    <t>Kg harvested/ton wet straw (Wh&amp;Br)</t>
  </si>
  <si>
    <t>Number of bags /ton wet straw (Wh&amp;Br)</t>
  </si>
  <si>
    <t>Kg/bag (White &amp; Brown)</t>
  </si>
  <si>
    <t xml:space="preserve">Homogeneous compost Moisture is 68+%, not thicker water </t>
  </si>
  <si>
    <t>Good compost based on FF,Kill Temp, Color(bunker Temp), Structure not good, water also not goo, arround 73%</t>
  </si>
  <si>
    <t>Good compost based on FF,Kill Temp, Color(bunker Temp), Structure good, water also good, more than 68+%, spent 2more days in bunker (draff issue) and 2 days in tunnel(NH3 issue)</t>
  </si>
  <si>
    <t>Year</t>
  </si>
  <si>
    <t>Number of batches</t>
  </si>
  <si>
    <t xml:space="preserve"> - Weekly batches</t>
  </si>
  <si>
    <t xml:space="preserve"> - Bi-weekly batches</t>
  </si>
  <si>
    <t xml:space="preserve"> - Total batches</t>
  </si>
  <si>
    <t>Number of bags</t>
  </si>
  <si>
    <t xml:space="preserve"> - White spawn</t>
  </si>
  <si>
    <t xml:space="preserve"> - Brown spawn</t>
  </si>
  <si>
    <t xml:space="preserve"> - All bags</t>
  </si>
  <si>
    <t>Harvests</t>
  </si>
  <si>
    <t xml:space="preserve"> - White button kg</t>
  </si>
  <si>
    <t xml:space="preserve"> - Brown button kg</t>
  </si>
  <si>
    <t xml:space="preserve"> - All mushrooms kg</t>
  </si>
  <si>
    <t>Amount of wet straw (T)</t>
  </si>
  <si>
    <t>Statistics</t>
  </si>
  <si>
    <t xml:space="preserve"> - Nbr bags / T wet straw</t>
  </si>
  <si>
    <t xml:space="preserve"> - kg white / bag</t>
  </si>
  <si>
    <t xml:space="preserve"> - kg brown / bag</t>
  </si>
  <si>
    <t xml:space="preserve"> - kg mushroom / T wet straw</t>
  </si>
  <si>
    <t xml:space="preserve"> - kg mushroom / bag</t>
  </si>
  <si>
    <t>% of bags</t>
  </si>
  <si>
    <t>Breakdown of Harvests</t>
  </si>
  <si>
    <t># bags (White &amp; Brown)</t>
  </si>
  <si>
    <t>Number of bags (Wh&amp;Br)/ wet ton of straw</t>
  </si>
  <si>
    <t>Good compost based on FF,Kill Temp, Color(bunker Temp), nice Structure, nice moisture between 69 and 68%</t>
  </si>
  <si>
    <t>Good compost based on FF,Kill Temp, Color(bunker Temp the target of 80 degrees not reached), nice Structure(medium), water also not good,like 68%</t>
  </si>
  <si>
    <t>Less than 3ppm before cooling but using overpressure all days of conditioning(but removed difficultly)</t>
  </si>
  <si>
    <t>Good compost based on FF,Kill Temp, Color(bunker Temp), Structure good, water not good, more than 71%</t>
  </si>
  <si>
    <t>Batch 26/21</t>
  </si>
  <si>
    <t>strong and aggressive</t>
  </si>
  <si>
    <t>short and middle</t>
  </si>
  <si>
    <t>target in the bunker reached</t>
  </si>
  <si>
    <t>70% good target</t>
  </si>
  <si>
    <t>nicely digested</t>
  </si>
  <si>
    <t>fire fungs smell</t>
  </si>
  <si>
    <t>3ppm</t>
  </si>
  <si>
    <t>60/70</t>
  </si>
  <si>
    <t>Batch 01-22</t>
  </si>
  <si>
    <t>Batch 02-22</t>
  </si>
  <si>
    <t>Batch 03-22</t>
  </si>
  <si>
    <t>few FF  as the batch is wet</t>
  </si>
  <si>
    <t>Normal structure, nice length</t>
  </si>
  <si>
    <t>Dark-brrown, normal washed color based on bunker temp</t>
  </si>
  <si>
    <t>compost is wet 71%</t>
  </si>
  <si>
    <t>nice digestion</t>
  </si>
  <si>
    <t>nice smell, no ammonia smell but ff smell missing</t>
  </si>
  <si>
    <t>no ammonia smell, cooling done at 3ppm</t>
  </si>
  <si>
    <t>Batch 04-22</t>
  </si>
  <si>
    <t>Good compost based,Kill Temp, Color(bunker Temp), Structure good, FF not strong as expected, water not good estimated at 72%</t>
  </si>
  <si>
    <t xml:space="preserve">we lost around 200 bags following the bags which tore during transport because the used bags were recycled following the lack of new bags caused by the delay in renewing the authorization on the part of REMA. </t>
  </si>
  <si>
    <r>
      <rPr>
        <i/>
        <sz val="11"/>
        <color rgb="FFFF0000"/>
        <rFont val="Calibri"/>
        <family val="2"/>
        <scheme val="minor"/>
      </rPr>
      <t>This batch does not have draff in it's make up. BRALIRWA is was not working the time of CM1 and CM2,</t>
    </r>
    <r>
      <rPr>
        <i/>
        <sz val="11"/>
        <color rgb="FF000000"/>
        <rFont val="Calibri"/>
        <family val="2"/>
        <scheme val="minor"/>
      </rPr>
      <t>FF strong as expected, water not good estimated at 67%, tough compost need to increase days in bunker for next batch</t>
    </r>
  </si>
  <si>
    <t>Batch 05-22</t>
  </si>
  <si>
    <t>This batch has only 1ton of draff, BRALIRWa not working during the CM addition</t>
  </si>
  <si>
    <t>Batch 06-22</t>
  </si>
  <si>
    <t>Batch 07-22</t>
  </si>
  <si>
    <t>Batch 08-22</t>
  </si>
  <si>
    <t xml:space="preserve"> after Tunnel,Nice FF, Dark brown color,Nice Moisture 70%, break easily(soft),sweet smell, Middle structure</t>
  </si>
  <si>
    <t xml:space="preserve">Point (0-10), </t>
  </si>
  <si>
    <t>Nice structure (long )</t>
  </si>
  <si>
    <t>Color influenced by Moisture but in bunker temp looks good max 80.5</t>
  </si>
  <si>
    <t>Less than 8ppm before cooling but using overpressure all days of conditioning</t>
  </si>
  <si>
    <t xml:space="preserve">Homogeneous compost Moisture is 72%, some water after a nice squeeze </t>
  </si>
  <si>
    <t>Color influenced by Moisture but in bunker temp looks good max 80.3</t>
  </si>
  <si>
    <t xml:space="preserve">Homogeneous compost Moisture is 67%, </t>
  </si>
  <si>
    <t xml:space="preserve">Not well digested </t>
  </si>
  <si>
    <t>Less than 15ppm before cooling but using overpressure all days of conditioning</t>
  </si>
  <si>
    <t>Score card</t>
  </si>
  <si>
    <t>Dark brown color max temp is 79.6</t>
  </si>
  <si>
    <t xml:space="preserve">Homogeneous compost Moisture is 68% </t>
  </si>
  <si>
    <t xml:space="preserve">well digested </t>
  </si>
  <si>
    <t>Dark brown color max temp is 77, temp in bunker not high as other batch</t>
  </si>
  <si>
    <t>well digested (very easy to break)</t>
  </si>
  <si>
    <t>Gypsum added too late</t>
  </si>
  <si>
    <t xml:space="preserve">Homogeneous compost Moisture is 70% </t>
  </si>
  <si>
    <r>
      <rPr>
        <i/>
        <sz val="11"/>
        <color rgb="FFFF0000"/>
        <rFont val="Calibri"/>
        <family val="2"/>
        <scheme val="minor"/>
      </rPr>
      <t>Gypsum added during the second flip because the delivery was not done on time for CM1 and CM2,</t>
    </r>
    <r>
      <rPr>
        <i/>
        <sz val="11"/>
        <color rgb="FF000000"/>
        <rFont val="Calibri"/>
        <family val="2"/>
        <scheme val="minor"/>
      </rPr>
      <t xml:space="preserve"> after Tunnel,strong FF, Dark brown color,Nice Moisture 70%, break easily(soft),sweet smell, Middle structure</t>
    </r>
  </si>
  <si>
    <t>Batch 09-22</t>
  </si>
  <si>
    <t>Tunnel,strong FF, Dark brown color,Nice Moisture 68%, break easily(soft),sweet smell, Middle structure</t>
  </si>
  <si>
    <t>compost looks soft, well digested, short structure, more FF, dark brown color, very excellent compost</t>
  </si>
  <si>
    <t>Batch 11-22</t>
  </si>
  <si>
    <t>Batch 10-22</t>
  </si>
  <si>
    <t>this batch has less bags, the only reason behinde is the freshness of the straws, in fact when we do a layout with unthreshed fresh straws, for the same quantity the bags at the end will be less compare to batch with threshed straws or old straws.so may be itis related to the density of straws used.</t>
  </si>
  <si>
    <t>This batch has the first pure Zamura CM and only half of the gypsum was used as the deliver did not alive on time to be mixed in the compost before the tunnel.</t>
  </si>
  <si>
    <t>Batch 13-22</t>
  </si>
  <si>
    <t>Batch 12-22</t>
  </si>
  <si>
    <t>2653bags discarded before casing because the mycelium fails to colonize the compost after 32days in the room, so we remain with 581bags of white and 72bags of brown</t>
  </si>
  <si>
    <t xml:space="preserve">compost, looks well digested, dark-brown color, short structure, few FF, 70% of Moisture </t>
  </si>
  <si>
    <t>compost looks well digeste, with dark brown color, few FF, nice smell, short structure, all parameters looks good but FF are missing which is a negative point.</t>
  </si>
  <si>
    <t>nice compost, nice FF, short structure,well digested</t>
  </si>
  <si>
    <t xml:space="preserve">Not strong </t>
  </si>
  <si>
    <r>
      <t>Homogeneous compost Moisture is 70</t>
    </r>
    <r>
      <rPr>
        <b/>
        <vertAlign val="superscript"/>
        <sz val="11"/>
        <color theme="1"/>
        <rFont val="Times New Roman"/>
        <family val="1"/>
      </rPr>
      <t>+</t>
    </r>
    <r>
      <rPr>
        <b/>
        <sz val="11"/>
        <color theme="1"/>
        <rFont val="Times New Roman"/>
        <family val="1"/>
      </rPr>
      <t xml:space="preserve">% </t>
    </r>
  </si>
  <si>
    <t>compost with nice FF, but with spickness and toughness, long structure</t>
  </si>
  <si>
    <t>Batch 14-22</t>
  </si>
  <si>
    <t>Batch 15-22</t>
  </si>
  <si>
    <t>Batch 16-22</t>
  </si>
  <si>
    <t>Batch 17-22</t>
  </si>
  <si>
    <t>Batch 20-22</t>
  </si>
  <si>
    <t>Batch 19-22</t>
  </si>
  <si>
    <t>Batch 18-22</t>
  </si>
  <si>
    <t>nice FF, softer compost, long structure, brownish color,less spakines, sweet smell and some lambs of wet CM. overall the compost looks good</t>
  </si>
  <si>
    <t>nice compost, strong FF, some toughness observed, long structur, this compost should give more yield based on the phyical appearance of it</t>
  </si>
  <si>
    <t>compostlooks softer, digested, open structure</t>
  </si>
  <si>
    <t>Weight of Phase II compost</t>
  </si>
  <si>
    <t>Phase II / straw ratio</t>
  </si>
  <si>
    <t>2022 (Part)</t>
  </si>
  <si>
    <t>Nice compost in terms of physical aspecs, (FF, Color, Length, softness, spikness, smell, NH3, first batch with a stronger kill in this year</t>
  </si>
  <si>
    <t>Dark brown color max temp is 79, temp in bunker</t>
  </si>
  <si>
    <t>Less than 5ppm before cooling but using overpressure all days of conditioning</t>
  </si>
  <si>
    <t>Strong as needed</t>
  </si>
  <si>
    <r>
      <t>Homogeneous compost Moisture is 70</t>
    </r>
    <r>
      <rPr>
        <b/>
        <sz val="11"/>
        <color theme="1"/>
        <rFont val="Times New Roman"/>
        <family val="1"/>
      </rPr>
      <t xml:space="preserve">% </t>
    </r>
  </si>
  <si>
    <t>Dark brown color max temp is 80, temp in bunker</t>
  </si>
  <si>
    <t xml:space="preserve">     49/70</t>
  </si>
  <si>
    <t>not strong as needed</t>
  </si>
  <si>
    <t xml:space="preserve"> structure (long</t>
  </si>
  <si>
    <t>Dark brown color max temp is 78, temp in bunker</t>
  </si>
  <si>
    <t xml:space="preserve">Homogeneous compost Moisture is 70+% </t>
  </si>
  <si>
    <t>some tougthness is observed</t>
  </si>
  <si>
    <t>some bad smell</t>
  </si>
  <si>
    <t xml:space="preserve"> structure (middle)</t>
  </si>
  <si>
    <t xml:space="preserve">Homogeneous compost Moisture is 69+% </t>
  </si>
  <si>
    <t>nice softness, easily breakable</t>
  </si>
  <si>
    <t>nice smell</t>
  </si>
  <si>
    <t>brown-dark color max temp is 77, temp in bunker</t>
  </si>
  <si>
    <t xml:space="preserve"> structure (short)</t>
  </si>
  <si>
    <t>brown-dark color max temp is 80, temp in bunker</t>
  </si>
  <si>
    <t xml:space="preserve">     52/70</t>
  </si>
  <si>
    <t>brown-dark color max temp is 76, temp in bunker</t>
  </si>
  <si>
    <t>tough compost, hard to break</t>
  </si>
  <si>
    <t xml:space="preserve">Homogeneous compost Moisture is 69% </t>
  </si>
  <si>
    <t>brown-dark color max temp is 79, temp in bunker</t>
  </si>
  <si>
    <t xml:space="preserve"> structure (long)</t>
  </si>
  <si>
    <t xml:space="preserve"> structure (medium)</t>
  </si>
  <si>
    <t>brown-dark color max temp is 78, temp in bunker</t>
  </si>
  <si>
    <t xml:space="preserve">Homogeneous compost Moisture is 68+% </t>
  </si>
  <si>
    <t xml:space="preserve">very good compost, Middle structure, which is good ,More fire firefungs, good sign,Less spikiness, good aspectNice water,Good digestion </t>
  </si>
  <si>
    <t xml:space="preserve">very good compost, short structure ,More fire firefungs,Less spikiness, Nice water,Good digestion </t>
  </si>
  <si>
    <t>this batch spent 3 extra days in Tunnel in waiting the spawn to arriv, first batch with sea shipment spawn</t>
  </si>
  <si>
    <t>Batch 21-22</t>
  </si>
  <si>
    <t>Batch 22-22</t>
  </si>
  <si>
    <t>Batch 23-22</t>
  </si>
  <si>
    <t>softer compost, well digested, strong FF, short structure, nice dark-brown color, very nice smell, good pasteurization and clear on time(7days)</t>
  </si>
  <si>
    <t>Batch 25-22</t>
  </si>
  <si>
    <t>Batch 24-22</t>
  </si>
  <si>
    <t>Batch 29-22</t>
  </si>
  <si>
    <t>Batch 28-22</t>
  </si>
  <si>
    <t>Batch 27-22</t>
  </si>
  <si>
    <t>Batch 26-22</t>
  </si>
  <si>
    <t>first weekly batch, too short structure but not too digested, nice color(dark brown), nice FF but not strong as previous batc, some spikness observed</t>
  </si>
  <si>
    <t xml:space="preserve"> structure (too short)</t>
  </si>
  <si>
    <t>well digested</t>
  </si>
  <si>
    <t>This batch spent more days in tunnel for spawn arrival</t>
  </si>
  <si>
    <t>well digested, very good softness</t>
  </si>
  <si>
    <t>Homogeneous compost Moisture is 67%, a too dry</t>
  </si>
  <si>
    <t>nice compost in terms of digestion, structure is middle(suitable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</si>
</sst>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0_);_(* \(#,##0.0\);_(* &quot;-&quot;??_);_(@_)"/>
    <numFmt numFmtId="165" formatCode="_(* #,##0_);_(* \(#,##0\);_(* &quot;-&quot;??_);_(@_)"/>
    <numFmt numFmtId="166" formatCode="#\ ?/8"/>
    <numFmt numFmtId="167" formatCode="0.0"/>
    <numFmt numFmtId="168" formatCode="0.0%"/>
    <numFmt numFmtId="169" formatCode="[$-409]d\-mmm\-yy;@"/>
    <numFmt numFmtId="170" formatCode="_(* #,##0.0_);_(* \(#,##0.0\);_(* &quot;-&quot;?_);_(@_)"/>
    <numFmt numFmtId="171" formatCode="0.000"/>
  </numFmts>
  <fonts count="42" x14ac:knownFonts="1">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name val="Calibri"/>
      <family val="2"/>
      <scheme val="minor"/>
    </font>
    <font>
      <b/>
      <sz val="12"/>
      <color indexed="8"/>
      <name val="Times New Roman"/>
      <family val="1"/>
    </font>
    <font>
      <sz val="12"/>
      <color indexed="8"/>
      <name val="Times New Roman"/>
      <family val="1"/>
    </font>
    <font>
      <b/>
      <sz val="12"/>
      <color indexed="10"/>
      <name val="Times New Roman"/>
      <family val="1"/>
    </font>
    <font>
      <b/>
      <sz val="11"/>
      <color indexed="8"/>
      <name val="Times New Roman"/>
      <family val="1"/>
    </font>
    <font>
      <sz val="11"/>
      <color indexed="8"/>
      <name val="Times New Roman"/>
      <family val="1"/>
    </font>
    <font>
      <sz val="8"/>
      <name val="Verdana"/>
      <family val="2"/>
    </font>
    <font>
      <sz val="11"/>
      <color indexed="8"/>
      <name val="Calibri"/>
      <family val="2"/>
    </font>
    <font>
      <b/>
      <sz val="16"/>
      <color rgb="FF000000"/>
      <name val="Calibri"/>
      <family val="2"/>
      <scheme val="minor"/>
    </font>
    <font>
      <b/>
      <sz val="11"/>
      <color rgb="FF000000"/>
      <name val="Calibri"/>
      <family val="2"/>
      <scheme val="minor"/>
    </font>
    <font>
      <b/>
      <sz val="11"/>
      <color rgb="FF000000"/>
      <name val="Times New Roman"/>
      <family val="1"/>
    </font>
    <font>
      <sz val="11"/>
      <color rgb="FF000000"/>
      <name val="Times New Roman"/>
      <family val="1"/>
    </font>
    <font>
      <b/>
      <sz val="12"/>
      <color rgb="FF000000"/>
      <name val="Times New Roman"/>
      <family val="1"/>
    </font>
    <font>
      <b/>
      <sz val="12"/>
      <color theme="1"/>
      <name val="Times New Roman"/>
      <family val="1"/>
    </font>
    <font>
      <sz val="12"/>
      <color theme="1"/>
      <name val="Times New Roman"/>
      <family val="1"/>
    </font>
    <font>
      <b/>
      <sz val="11"/>
      <color theme="1"/>
      <name val="Times New Roman"/>
      <family val="1"/>
    </font>
    <font>
      <sz val="11"/>
      <color theme="1"/>
      <name val="Times New Roman"/>
      <family val="1"/>
    </font>
    <font>
      <b/>
      <sz val="11"/>
      <color theme="1"/>
      <name val="Times New Roman"/>
      <family val="1"/>
    </font>
    <font>
      <i/>
      <sz val="11"/>
      <color rgb="FF000000"/>
      <name val="Calibri"/>
      <family val="2"/>
      <scheme val="minor"/>
    </font>
    <font>
      <b/>
      <i/>
      <sz val="11"/>
      <color rgb="FF000000"/>
      <name val="Calibri"/>
      <family val="2"/>
      <scheme val="minor"/>
    </font>
    <font>
      <b/>
      <vertAlign val="superscript"/>
      <sz val="11"/>
      <color theme="1"/>
      <name val="Times New Roman"/>
      <family val="1"/>
    </font>
    <font>
      <sz val="11"/>
      <color rgb="FFFF0000"/>
      <name val="Calibri"/>
      <family val="2"/>
      <scheme val="minor"/>
    </font>
    <font>
      <b/>
      <sz val="11"/>
      <color rgb="FFFF0000"/>
      <name val="Times New Roman"/>
      <family val="1"/>
    </font>
    <font>
      <b/>
      <sz val="16"/>
      <name val="Calibri"/>
      <family val="2"/>
      <scheme val="minor"/>
    </font>
    <font>
      <sz val="11"/>
      <color rgb="FF00B050"/>
      <name val="Calibri"/>
      <family val="2"/>
      <scheme val="minor"/>
    </font>
    <font>
      <sz val="11"/>
      <color rgb="FF92D050"/>
      <name val="Calibri"/>
      <family val="2"/>
      <scheme val="minor"/>
    </font>
    <font>
      <i/>
      <sz val="10"/>
      <name val="Calibri"/>
      <family val="2"/>
      <scheme val="minor"/>
    </font>
    <font>
      <b/>
      <sz val="10"/>
      <name val="Calibri"/>
      <family val="2"/>
      <scheme val="minor"/>
    </font>
    <font>
      <i/>
      <sz val="11"/>
      <color rgb="FFFF0000"/>
      <name val="Calibri"/>
      <family val="2"/>
      <scheme val="minor"/>
    </font>
    <font>
      <sz val="10"/>
      <color indexed="8"/>
      <name val="Calibri"/>
      <family val="2"/>
    </font>
    <font>
      <sz val="9"/>
      <color indexed="81"/>
      <name val="Tahoma"/>
      <family val="2"/>
    </font>
    <font>
      <b/>
      <sz val="9"/>
      <color indexed="81"/>
      <name val="Tahoma"/>
      <family val="2"/>
    </font>
    <font>
      <b/>
      <sz val="9"/>
      <color rgb="FF000000"/>
      <name val="Tahoma"/>
      <family val="2"/>
    </font>
    <font>
      <sz val="9"/>
      <color rgb="FF000000"/>
      <name val="Tahoma"/>
      <family val="2"/>
    </font>
  </fonts>
  <fills count="3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CE4D6"/>
        <bgColor rgb="FF000000"/>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F00"/>
        <bgColor rgb="FF000000"/>
      </patternFill>
    </fill>
    <fill>
      <patternFill patternType="solid">
        <fgColor rgb="FF404040"/>
        <bgColor rgb="FF000000"/>
      </patternFill>
    </fill>
    <fill>
      <patternFill patternType="solid">
        <fgColor rgb="FFFFFFFF"/>
        <bgColor rgb="FF000000"/>
      </patternFill>
    </fill>
    <fill>
      <patternFill patternType="solid">
        <fgColor rgb="FFE2EFDA"/>
        <bgColor rgb="FF000000"/>
      </patternFill>
    </fill>
    <fill>
      <patternFill patternType="solid">
        <fgColor rgb="FFA6A6A6"/>
        <bgColor rgb="FF000000"/>
      </patternFill>
    </fill>
    <fill>
      <patternFill patternType="solid">
        <fgColor theme="4" tint="0.59999389629810485"/>
        <bgColor indexed="64"/>
      </patternFill>
    </fill>
    <fill>
      <patternFill patternType="solid">
        <fgColor rgb="FFCCFFCC"/>
        <bgColor indexed="64"/>
      </patternFill>
    </fill>
    <fill>
      <patternFill patternType="solid">
        <fgColor rgb="FF3366FF"/>
        <bgColor indexed="64"/>
      </patternFill>
    </fill>
    <fill>
      <patternFill patternType="solid">
        <fgColor rgb="FF0000FF"/>
        <bgColor indexed="64"/>
      </patternFill>
    </fill>
    <fill>
      <patternFill patternType="solid">
        <fgColor rgb="FFFF0000"/>
        <bgColor rgb="FF000000"/>
      </patternFill>
    </fill>
    <fill>
      <patternFill patternType="solid">
        <fgColor rgb="FF92D050"/>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C000"/>
        <bgColor indexed="64"/>
      </patternFill>
    </fill>
    <fill>
      <patternFill patternType="solid">
        <fgColor rgb="FFF2F2F2"/>
        <bgColor rgb="FF000000"/>
      </patternFill>
    </fill>
    <fill>
      <patternFill patternType="solid">
        <fgColor theme="9" tint="0.39997558519241921"/>
        <bgColor indexed="64"/>
      </patternFill>
    </fill>
    <fill>
      <patternFill patternType="solid">
        <fgColor rgb="FF00B050"/>
        <bgColor rgb="FF000000"/>
      </patternFill>
    </fill>
    <fill>
      <patternFill patternType="solid">
        <fgColor rgb="FF00FF99"/>
        <bgColor indexed="64"/>
      </patternFill>
    </fill>
    <fill>
      <patternFill patternType="gray06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right/>
      <top/>
      <bottom style="medium">
        <color auto="1"/>
      </bottom>
      <diagonal/>
    </border>
    <border>
      <left/>
      <right/>
      <top style="medium">
        <color auto="1"/>
      </top>
      <bottom/>
      <diagonal/>
    </border>
    <border>
      <left/>
      <right/>
      <top/>
      <bottom style="medium">
        <color rgb="FF000000"/>
      </bottom>
      <diagonal/>
    </border>
    <border>
      <left style="medium">
        <color auto="1"/>
      </left>
      <right style="medium">
        <color auto="1"/>
      </right>
      <top/>
      <bottom style="medium">
        <color rgb="FF000000"/>
      </bottom>
      <diagonal/>
    </border>
    <border>
      <left/>
      <right style="medium">
        <color auto="1"/>
      </right>
      <top/>
      <bottom/>
      <diagonal/>
    </border>
    <border>
      <left/>
      <right style="thin">
        <color auto="1"/>
      </right>
      <top/>
      <bottom style="thin">
        <color auto="1"/>
      </bottom>
      <diagonal/>
    </border>
    <border>
      <left/>
      <right style="thin">
        <color auto="1"/>
      </right>
      <top/>
      <bottom/>
      <diagonal/>
    </border>
    <border>
      <left style="medium">
        <color auto="1"/>
      </left>
      <right style="medium">
        <color auto="1"/>
      </right>
      <top style="medium">
        <color rgb="FF000000"/>
      </top>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top style="thin">
        <color auto="1"/>
      </top>
      <bottom/>
      <diagonal/>
    </border>
    <border>
      <left style="thin">
        <color rgb="FF000000"/>
      </left>
      <right/>
      <top style="thin">
        <color auto="1"/>
      </top>
      <bottom style="thin">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rgb="FF000000"/>
      </left>
      <right/>
      <top/>
      <bottom/>
      <diagonal/>
    </border>
    <border>
      <left style="thin">
        <color rgb="FF000000"/>
      </left>
      <right/>
      <top/>
      <bottom style="medium">
        <color indexed="64"/>
      </bottom>
      <diagonal/>
    </border>
    <border>
      <left style="medium">
        <color auto="1"/>
      </left>
      <right style="medium">
        <color auto="1"/>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auto="1"/>
      </left>
      <right style="medium">
        <color auto="1"/>
      </right>
      <top style="medium">
        <color auto="1"/>
      </top>
      <bottom/>
      <diagonal/>
    </border>
    <border>
      <left/>
      <right style="medium">
        <color indexed="64"/>
      </right>
      <top style="medium">
        <color indexed="64"/>
      </top>
      <bottom/>
      <diagonal/>
    </border>
    <border>
      <left/>
      <right style="thin">
        <color rgb="FF000000"/>
      </right>
      <top style="thin">
        <color auto="1"/>
      </top>
      <bottom/>
      <diagonal/>
    </border>
    <border>
      <left style="thin">
        <color auto="1"/>
      </left>
      <right style="thin">
        <color indexed="64"/>
      </right>
      <top style="thin">
        <color auto="1"/>
      </top>
      <bottom style="thin">
        <color auto="1"/>
      </bottom>
      <diagonal/>
    </border>
  </borders>
  <cellStyleXfs count="24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5"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818">
    <xf numFmtId="0" fontId="0" fillId="0" borderId="0" xfId="0"/>
    <xf numFmtId="0" fontId="0" fillId="0" borderId="1" xfId="0" applyBorder="1"/>
    <xf numFmtId="0" fontId="4" fillId="0" borderId="7" xfId="0" applyFont="1" applyBorder="1" applyAlignment="1">
      <alignment horizontal="center"/>
    </xf>
    <xf numFmtId="0" fontId="0" fillId="0" borderId="1" xfId="0" applyFill="1" applyBorder="1"/>
    <xf numFmtId="0" fontId="0" fillId="0" borderId="0" xfId="0" applyFill="1"/>
    <xf numFmtId="0" fontId="5" fillId="0" borderId="1" xfId="0" applyFont="1" applyBorder="1"/>
    <xf numFmtId="9" fontId="0" fillId="0" borderId="0" xfId="0" applyNumberFormat="1"/>
    <xf numFmtId="0" fontId="0" fillId="0" borderId="0" xfId="0" applyFill="1" applyBorder="1"/>
    <xf numFmtId="0" fontId="0" fillId="0" borderId="0" xfId="0" applyBorder="1" applyAlignment="1">
      <alignment horizontal="center" vertical="center"/>
    </xf>
    <xf numFmtId="9" fontId="0" fillId="0" borderId="11" xfId="0" applyNumberFormat="1" applyBorder="1"/>
    <xf numFmtId="0" fontId="0" fillId="0" borderId="0" xfId="0" applyBorder="1"/>
    <xf numFmtId="0" fontId="0" fillId="9" borderId="0" xfId="0" applyFill="1"/>
    <xf numFmtId="164" fontId="0" fillId="0" borderId="1" xfId="4" applyNumberFormat="1" applyFont="1" applyBorder="1"/>
    <xf numFmtId="165" fontId="0" fillId="0" borderId="1" xfId="4" applyNumberFormat="1" applyFont="1" applyBorder="1"/>
    <xf numFmtId="43" fontId="5" fillId="0" borderId="1" xfId="4" applyNumberFormat="1" applyFont="1" applyBorder="1"/>
    <xf numFmtId="43" fontId="0" fillId="0" borderId="1" xfId="4" applyNumberFormat="1" applyFont="1" applyBorder="1"/>
    <xf numFmtId="43" fontId="0" fillId="0" borderId="0" xfId="4" applyFont="1"/>
    <xf numFmtId="164" fontId="0" fillId="0" borderId="0" xfId="4" applyNumberFormat="1" applyFont="1"/>
    <xf numFmtId="165" fontId="0" fillId="0" borderId="0" xfId="4" applyNumberFormat="1" applyFont="1"/>
    <xf numFmtId="165" fontId="4" fillId="0" borderId="1" xfId="4" applyNumberFormat="1" applyFont="1" applyBorder="1"/>
    <xf numFmtId="165" fontId="4" fillId="0" borderId="4" xfId="4" applyNumberFormat="1" applyFont="1" applyBorder="1"/>
    <xf numFmtId="9" fontId="0" fillId="0" borderId="0" xfId="1" applyFont="1"/>
    <xf numFmtId="164" fontId="0" fillId="0" borderId="0" xfId="4" applyNumberFormat="1" applyFont="1" applyFill="1" applyBorder="1"/>
    <xf numFmtId="165" fontId="0" fillId="0" borderId="0" xfId="4" applyNumberFormat="1" applyFont="1"/>
    <xf numFmtId="165" fontId="0" fillId="0" borderId="11" xfId="4" applyNumberFormat="1" applyFont="1" applyBorder="1"/>
    <xf numFmtId="165" fontId="0" fillId="0" borderId="0" xfId="4" applyNumberFormat="1" applyFont="1" applyFill="1" applyBorder="1"/>
    <xf numFmtId="164" fontId="0" fillId="0" borderId="0" xfId="4" applyNumberFormat="1" applyFont="1" applyBorder="1"/>
    <xf numFmtId="9" fontId="0" fillId="0" borderId="11" xfId="1" applyFont="1" applyBorder="1"/>
    <xf numFmtId="9" fontId="0" fillId="0" borderId="0" xfId="1" applyFont="1" applyFill="1" applyBorder="1"/>
    <xf numFmtId="0" fontId="0" fillId="0" borderId="0" xfId="0" applyBorder="1" applyAlignment="1">
      <alignment horizontal="center" vertical="center" wrapText="1"/>
    </xf>
    <xf numFmtId="0" fontId="0" fillId="0" borderId="1" xfId="0" applyBorder="1" applyAlignment="1">
      <alignment horizontal="center" vertical="center"/>
    </xf>
    <xf numFmtId="165" fontId="0" fillId="0" borderId="0" xfId="4" applyNumberFormat="1" applyFont="1"/>
    <xf numFmtId="165" fontId="0" fillId="0" borderId="0" xfId="4" applyNumberFormat="1" applyFont="1" applyBorder="1"/>
    <xf numFmtId="165" fontId="0" fillId="0" borderId="0" xfId="4" applyNumberFormat="1" applyFont="1" applyFill="1" applyBorder="1"/>
    <xf numFmtId="165" fontId="0" fillId="0" borderId="0" xfId="4" applyNumberFormat="1" applyFont="1"/>
    <xf numFmtId="164" fontId="0" fillId="0" borderId="0" xfId="4" applyNumberFormat="1" applyFont="1"/>
    <xf numFmtId="164" fontId="0" fillId="0" borderId="11" xfId="4" applyNumberFormat="1" applyFont="1" applyBorder="1"/>
    <xf numFmtId="0" fontId="0" fillId="0" borderId="1" xfId="0" applyBorder="1" applyAlignment="1">
      <alignment horizontal="center" vertical="center" wrapText="1"/>
    </xf>
    <xf numFmtId="164" fontId="0" fillId="0" borderId="0" xfId="4" applyNumberFormat="1" applyFont="1"/>
    <xf numFmtId="165" fontId="0" fillId="0" borderId="0" xfId="0" applyNumberFormat="1"/>
    <xf numFmtId="9" fontId="0" fillId="0" borderId="0" xfId="0" applyNumberFormat="1"/>
    <xf numFmtId="164" fontId="0" fillId="0" borderId="0" xfId="0" applyNumberFormat="1"/>
    <xf numFmtId="0" fontId="4" fillId="0" borderId="0" xfId="0" applyFont="1"/>
    <xf numFmtId="0" fontId="4" fillId="13" borderId="2" xfId="0" applyFont="1" applyFill="1" applyBorder="1"/>
    <xf numFmtId="0" fontId="4" fillId="13" borderId="7" xfId="0" applyFont="1" applyFill="1" applyBorder="1"/>
    <xf numFmtId="0" fontId="18" fillId="0" borderId="23" xfId="0" applyFont="1" applyBorder="1" applyAlignment="1">
      <alignment vertical="center" wrapText="1"/>
    </xf>
    <xf numFmtId="0" fontId="18" fillId="0" borderId="17" xfId="0" applyFont="1" applyBorder="1" applyAlignment="1">
      <alignment vertical="center" wrapText="1"/>
    </xf>
    <xf numFmtId="0" fontId="19" fillId="0" borderId="15"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7" xfId="0" applyFont="1" applyBorder="1" applyAlignment="1">
      <alignment horizontal="justify" vertical="center" wrapText="1"/>
    </xf>
    <xf numFmtId="0" fontId="19" fillId="0" borderId="18" xfId="0" applyFont="1" applyBorder="1" applyAlignment="1">
      <alignment horizontal="center" vertical="center" wrapText="1"/>
    </xf>
    <xf numFmtId="0" fontId="4" fillId="4" borderId="24" xfId="0" applyFont="1" applyFill="1" applyBorder="1" applyAlignment="1">
      <alignment horizontal="center"/>
    </xf>
    <xf numFmtId="0" fontId="4" fillId="14" borderId="6" xfId="0" applyFont="1" applyFill="1" applyBorder="1"/>
    <xf numFmtId="0" fontId="4" fillId="0" borderId="24" xfId="0" applyFont="1" applyBorder="1"/>
    <xf numFmtId="0" fontId="4" fillId="4" borderId="24" xfId="0" applyFont="1" applyFill="1" applyBorder="1"/>
    <xf numFmtId="0" fontId="4" fillId="14" borderId="24" xfId="0" applyFont="1" applyFill="1" applyBorder="1"/>
    <xf numFmtId="165" fontId="4" fillId="0" borderId="6" xfId="0" applyNumberFormat="1" applyFont="1" applyBorder="1"/>
    <xf numFmtId="164" fontId="4" fillId="0" borderId="24" xfId="0" applyNumberFormat="1" applyFont="1" applyBorder="1"/>
    <xf numFmtId="164" fontId="4" fillId="4" borderId="24" xfId="0" applyNumberFormat="1" applyFont="1" applyFill="1" applyBorder="1"/>
    <xf numFmtId="165" fontId="4" fillId="0" borderId="24" xfId="0" applyNumberFormat="1" applyFont="1" applyBorder="1" applyAlignment="1">
      <alignment horizontal="right"/>
    </xf>
    <xf numFmtId="165" fontId="4" fillId="0" borderId="24" xfId="0" applyNumberFormat="1" applyFont="1" applyBorder="1"/>
    <xf numFmtId="164" fontId="4" fillId="14" borderId="24" xfId="0" applyNumberFormat="1" applyFont="1" applyFill="1" applyBorder="1"/>
    <xf numFmtId="0" fontId="18" fillId="0" borderId="15" xfId="0" applyFont="1" applyBorder="1" applyAlignment="1">
      <alignment horizontal="center" vertical="center" wrapText="1"/>
    </xf>
    <xf numFmtId="13" fontId="20" fillId="0" borderId="17" xfId="0" applyNumberFormat="1" applyFont="1" applyBorder="1" applyAlignment="1">
      <alignment vertical="center" wrapText="1"/>
    </xf>
    <xf numFmtId="9" fontId="18" fillId="0" borderId="17" xfId="0" applyNumberFormat="1" applyFont="1" applyBorder="1" applyAlignment="1">
      <alignment horizontal="left" vertical="center" wrapText="1"/>
    </xf>
    <xf numFmtId="164" fontId="4" fillId="0" borderId="25" xfId="0" applyNumberFormat="1" applyFont="1" applyBorder="1"/>
    <xf numFmtId="43" fontId="4" fillId="0" borderId="24" xfId="0" applyNumberFormat="1" applyFont="1" applyBorder="1"/>
    <xf numFmtId="43" fontId="4" fillId="4" borderId="24" xfId="0" applyNumberFormat="1" applyFont="1" applyFill="1" applyBorder="1"/>
    <xf numFmtId="43" fontId="4" fillId="14" borderId="24" xfId="0" applyNumberFormat="1" applyFont="1" applyFill="1" applyBorder="1"/>
    <xf numFmtId="0" fontId="18" fillId="0" borderId="26" xfId="0" applyFont="1" applyBorder="1" applyAlignment="1">
      <alignment vertical="center" wrapText="1"/>
    </xf>
    <xf numFmtId="0" fontId="18" fillId="0" borderId="22" xfId="0" applyFont="1" applyBorder="1" applyAlignment="1">
      <alignment vertical="center" wrapText="1"/>
    </xf>
    <xf numFmtId="0" fontId="21" fillId="0" borderId="13" xfId="0" applyFont="1" applyBorder="1" applyAlignment="1">
      <alignment vertical="center" wrapText="1"/>
    </xf>
    <xf numFmtId="0" fontId="21" fillId="0" borderId="27" xfId="0" applyFont="1" applyBorder="1" applyAlignment="1">
      <alignment vertical="center" wrapText="1"/>
    </xf>
    <xf numFmtId="0" fontId="22" fillId="0" borderId="15" xfId="0" applyFont="1" applyBorder="1" applyAlignment="1">
      <alignment vertical="center" wrapText="1"/>
    </xf>
    <xf numFmtId="0" fontId="21" fillId="0" borderId="17" xfId="0" applyFont="1" applyBorder="1" applyAlignment="1">
      <alignment horizontal="right" vertical="center" wrapText="1"/>
    </xf>
    <xf numFmtId="0" fontId="21" fillId="0" borderId="15" xfId="0" applyFont="1" applyBorder="1" applyAlignment="1">
      <alignment vertical="center" wrapText="1"/>
    </xf>
    <xf numFmtId="9" fontId="21" fillId="0" borderId="17" xfId="0" applyNumberFormat="1" applyFont="1" applyBorder="1" applyAlignment="1">
      <alignment vertical="center" wrapText="1"/>
    </xf>
    <xf numFmtId="0" fontId="21" fillId="0" borderId="17" xfId="0" applyFont="1" applyBorder="1" applyAlignment="1">
      <alignment vertical="center" wrapText="1"/>
    </xf>
    <xf numFmtId="0" fontId="18" fillId="0" borderId="14" xfId="0" applyFont="1" applyBorder="1" applyAlignment="1">
      <alignment vertical="center" wrapText="1"/>
    </xf>
    <xf numFmtId="2" fontId="0" fillId="0" borderId="0" xfId="0" applyNumberFormat="1" applyBorder="1"/>
    <xf numFmtId="9" fontId="0" fillId="0" borderId="0" xfId="0" applyNumberFormat="1" applyBorder="1"/>
    <xf numFmtId="0" fontId="0" fillId="0" borderId="0" xfId="0" applyBorder="1" applyAlignment="1">
      <alignment horizontal="right"/>
    </xf>
    <xf numFmtId="165" fontId="0" fillId="0" borderId="0" xfId="4" applyNumberFormat="1" applyFont="1" applyAlignment="1">
      <alignment horizontal="right"/>
    </xf>
    <xf numFmtId="0" fontId="6" fillId="0" borderId="0" xfId="0" applyFont="1" applyFill="1" applyAlignment="1">
      <alignment vertical="center"/>
    </xf>
    <xf numFmtId="0" fontId="0" fillId="17" borderId="0" xfId="0" applyFill="1"/>
    <xf numFmtId="0" fontId="0" fillId="18" borderId="0" xfId="0" applyFill="1"/>
    <xf numFmtId="164" fontId="4" fillId="0" borderId="1" xfId="0" applyNumberFormat="1" applyFont="1" applyBorder="1"/>
    <xf numFmtId="0" fontId="23" fillId="0" borderId="17" xfId="0" applyFont="1" applyBorder="1" applyAlignment="1">
      <alignment vertical="center" wrapText="1"/>
    </xf>
    <xf numFmtId="0" fontId="23" fillId="0" borderId="17" xfId="0" applyFont="1" applyBorder="1" applyAlignment="1">
      <alignment horizontal="center" vertical="center" wrapText="1"/>
    </xf>
    <xf numFmtId="0" fontId="23" fillId="0" borderId="17" xfId="0" applyFont="1" applyBorder="1" applyAlignment="1">
      <alignment horizontal="justify" vertical="center" wrapText="1"/>
    </xf>
    <xf numFmtId="0" fontId="0" fillId="18" borderId="0" xfId="0" applyFill="1" applyBorder="1"/>
    <xf numFmtId="165" fontId="1" fillId="0" borderId="0" xfId="4" applyNumberFormat="1" applyFont="1" applyBorder="1"/>
    <xf numFmtId="0" fontId="0" fillId="0" borderId="0" xfId="0" applyFont="1" applyAlignment="1"/>
    <xf numFmtId="10" fontId="1" fillId="0" borderId="6" xfId="4" applyNumberFormat="1" applyFont="1" applyFill="1" applyBorder="1"/>
    <xf numFmtId="10" fontId="1" fillId="0" borderId="1" xfId="4" applyNumberFormat="1" applyFont="1" applyFill="1" applyBorder="1"/>
    <xf numFmtId="10" fontId="1" fillId="0" borderId="10" xfId="4" applyNumberFormat="1" applyFont="1" applyFill="1" applyBorder="1"/>
    <xf numFmtId="10" fontId="1" fillId="0" borderId="30" xfId="4" applyNumberFormat="1" applyFont="1" applyFill="1" applyBorder="1"/>
    <xf numFmtId="10" fontId="1" fillId="0" borderId="0" xfId="4" applyNumberFormat="1" applyFont="1" applyFill="1" applyBorder="1"/>
    <xf numFmtId="164" fontId="4" fillId="0" borderId="30" xfId="0" applyNumberFormat="1" applyFont="1" applyBorder="1"/>
    <xf numFmtId="165" fontId="1" fillId="0" borderId="30" xfId="4" applyNumberFormat="1" applyFont="1" applyBorder="1"/>
    <xf numFmtId="165" fontId="0" fillId="0" borderId="0" xfId="0" applyNumberFormat="1" applyFont="1" applyFill="1" applyBorder="1"/>
    <xf numFmtId="10" fontId="0" fillId="0" borderId="0" xfId="0" applyNumberFormat="1" applyFont="1" applyBorder="1"/>
    <xf numFmtId="165" fontId="5" fillId="0" borderId="0" xfId="0" applyNumberFormat="1" applyFont="1" applyBorder="1"/>
    <xf numFmtId="0" fontId="0" fillId="3" borderId="0" xfId="0" applyFill="1"/>
    <xf numFmtId="0" fontId="0" fillId="19" borderId="0" xfId="0" applyFill="1"/>
    <xf numFmtId="0" fontId="0" fillId="19" borderId="0" xfId="0" applyFill="1" applyBorder="1"/>
    <xf numFmtId="0" fontId="4" fillId="12" borderId="0" xfId="0" applyFont="1" applyFill="1" applyAlignment="1">
      <alignment horizontal="center"/>
    </xf>
    <xf numFmtId="0" fontId="4" fillId="12" borderId="0" xfId="0" applyFont="1" applyFill="1" applyAlignment="1">
      <alignment horizontal="center"/>
    </xf>
    <xf numFmtId="0" fontId="4" fillId="0" borderId="0" xfId="0" applyFont="1" applyAlignment="1">
      <alignment horizontal="center"/>
    </xf>
    <xf numFmtId="164" fontId="0" fillId="0" borderId="0" xfId="4" applyNumberFormat="1" applyFont="1" applyFill="1"/>
    <xf numFmtId="9" fontId="0" fillId="0" borderId="0" xfId="0" applyNumberFormat="1" applyFill="1"/>
    <xf numFmtId="168" fontId="0" fillId="0" borderId="0" xfId="4" applyNumberFormat="1" applyFont="1" applyFill="1"/>
    <xf numFmtId="165" fontId="0" fillId="0" borderId="0" xfId="4" applyNumberFormat="1" applyFont="1" applyFill="1"/>
    <xf numFmtId="168" fontId="0" fillId="0" borderId="0" xfId="4" applyNumberFormat="1" applyFont="1" applyFill="1" applyAlignment="1">
      <alignment horizontal="center"/>
    </xf>
    <xf numFmtId="10" fontId="0" fillId="0" borderId="0" xfId="1" applyNumberFormat="1" applyFont="1" applyFill="1" applyBorder="1"/>
    <xf numFmtId="0" fontId="4" fillId="0" borderId="0" xfId="0" applyFont="1" applyAlignment="1">
      <alignment horizontal="center"/>
    </xf>
    <xf numFmtId="0" fontId="4" fillId="12" borderId="0" xfId="0" applyFont="1" applyFill="1" applyAlignment="1">
      <alignment horizontal="center"/>
    </xf>
    <xf numFmtId="10" fontId="23" fillId="0" borderId="17" xfId="0" applyNumberFormat="1" applyFont="1" applyBorder="1" applyAlignment="1">
      <alignment vertical="center" wrapText="1"/>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164" fontId="4" fillId="0" borderId="8" xfId="0" applyNumberFormat="1" applyFont="1" applyBorder="1"/>
    <xf numFmtId="0" fontId="4" fillId="12" borderId="0" xfId="0" applyFont="1" applyFill="1" applyAlignment="1">
      <alignment horizontal="center"/>
    </xf>
    <xf numFmtId="0" fontId="4" fillId="12" borderId="0" xfId="0" applyFont="1" applyFill="1" applyAlignment="1">
      <alignment horizontal="center"/>
    </xf>
    <xf numFmtId="0" fontId="4" fillId="0" borderId="0" xfId="0" applyFont="1" applyAlignment="1">
      <alignment horizontal="center"/>
    </xf>
    <xf numFmtId="0" fontId="4" fillId="12" borderId="0" xfId="0" applyFont="1" applyFill="1" applyAlignment="1">
      <alignment horizontal="center"/>
    </xf>
    <xf numFmtId="0" fontId="4" fillId="0" borderId="0" xfId="0" applyFont="1" applyAlignment="1">
      <alignment horizontal="center"/>
    </xf>
    <xf numFmtId="0" fontId="4" fillId="0" borderId="32" xfId="0" applyFont="1" applyFill="1" applyBorder="1" applyAlignment="1"/>
    <xf numFmtId="0" fontId="4" fillId="0" borderId="25" xfId="0" applyFont="1" applyFill="1" applyBorder="1" applyAlignment="1"/>
    <xf numFmtId="0" fontId="4" fillId="0" borderId="24" xfId="0" applyFont="1" applyFill="1" applyBorder="1" applyAlignment="1"/>
    <xf numFmtId="0" fontId="4" fillId="0" borderId="0" xfId="0" applyFont="1" applyAlignment="1">
      <alignment horizontal="center"/>
    </xf>
    <xf numFmtId="0" fontId="4" fillId="12" borderId="0" xfId="0" applyFont="1" applyFill="1" applyAlignment="1">
      <alignment horizontal="center"/>
    </xf>
    <xf numFmtId="0" fontId="4" fillId="0" borderId="9" xfId="0" applyFont="1" applyBorder="1" applyAlignment="1"/>
    <xf numFmtId="0" fontId="4" fillId="1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4" fillId="12" borderId="0" xfId="0" applyFont="1" applyFill="1" applyAlignment="1">
      <alignment horizontal="center"/>
    </xf>
    <xf numFmtId="0" fontId="4" fillId="0" borderId="0" xfId="0" applyFont="1" applyAlignment="1">
      <alignment horizontal="center"/>
    </xf>
    <xf numFmtId="0" fontId="4" fillId="12" borderId="0" xfId="0" applyFont="1" applyFill="1" applyAlignment="1">
      <alignment horizontal="center"/>
    </xf>
    <xf numFmtId="0" fontId="0" fillId="0" borderId="1" xfId="0" applyBorder="1" applyAlignment="1">
      <alignment horizontal="center"/>
    </xf>
    <xf numFmtId="165" fontId="0" fillId="30" borderId="0" xfId="4" applyNumberFormat="1" applyFont="1" applyFill="1" applyBorder="1"/>
    <xf numFmtId="0" fontId="4" fillId="0" borderId="0" xfId="0" applyFont="1" applyAlignment="1">
      <alignment horizontal="center"/>
    </xf>
    <xf numFmtId="0" fontId="4" fillId="12" borderId="0" xfId="0" applyFont="1" applyFill="1" applyAlignment="1">
      <alignment horizontal="center"/>
    </xf>
    <xf numFmtId="0" fontId="4" fillId="1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4" fillId="12" borderId="0" xfId="0" applyFont="1" applyFill="1" applyAlignment="1">
      <alignment horizontal="center"/>
    </xf>
    <xf numFmtId="0" fontId="24" fillId="0" borderId="15" xfId="0" applyFont="1" applyBorder="1" applyAlignment="1">
      <alignment vertical="center" wrapText="1"/>
    </xf>
    <xf numFmtId="9" fontId="23" fillId="0" borderId="17" xfId="0" applyNumberFormat="1" applyFont="1" applyBorder="1" applyAlignment="1">
      <alignment vertical="center" wrapText="1"/>
    </xf>
    <xf numFmtId="0" fontId="4" fillId="0" borderId="0" xfId="0" applyFont="1" applyAlignment="1">
      <alignment horizontal="center"/>
    </xf>
    <xf numFmtId="0" fontId="4" fillId="12" borderId="0" xfId="0" applyFont="1" applyFill="1" applyAlignment="1">
      <alignment horizontal="center"/>
    </xf>
    <xf numFmtId="2" fontId="0" fillId="0" borderId="0" xfId="0" applyNumberFormat="1"/>
    <xf numFmtId="164" fontId="8" fillId="0" borderId="0" xfId="4" applyNumberFormat="1" applyFont="1" applyFill="1" applyBorder="1"/>
    <xf numFmtId="9" fontId="0" fillId="0" borderId="0" xfId="1" applyFont="1" applyFill="1"/>
    <xf numFmtId="0" fontId="4" fillId="0" borderId="0" xfId="0" applyFont="1" applyAlignment="1">
      <alignment horizontal="center"/>
    </xf>
    <xf numFmtId="0" fontId="4" fillId="12" borderId="0" xfId="0" applyFont="1" applyFill="1" applyAlignment="1">
      <alignment horizontal="center"/>
    </xf>
    <xf numFmtId="0" fontId="4" fillId="12" borderId="0" xfId="0" applyFont="1" applyFill="1" applyAlignment="1">
      <alignment horizontal="center"/>
    </xf>
    <xf numFmtId="0" fontId="4" fillId="0" borderId="0" xfId="0" applyFont="1" applyAlignment="1">
      <alignment horizontal="center"/>
    </xf>
    <xf numFmtId="164" fontId="34" fillId="0" borderId="0" xfId="4" applyNumberFormat="1" applyFont="1" applyFill="1" applyBorder="1"/>
    <xf numFmtId="164" fontId="34" fillId="0" borderId="0" xfId="4" applyNumberFormat="1" applyFont="1" applyFill="1"/>
    <xf numFmtId="0" fontId="4" fillId="0" borderId="0" xfId="0" applyFont="1" applyAlignment="1">
      <alignment horizontal="center"/>
    </xf>
    <xf numFmtId="0" fontId="4" fillId="12" borderId="0" xfId="0" applyFont="1" applyFill="1" applyAlignment="1">
      <alignment horizontal="center"/>
    </xf>
    <xf numFmtId="43" fontId="0" fillId="0" borderId="0" xfId="4" applyNumberFormat="1" applyFont="1"/>
    <xf numFmtId="0" fontId="4" fillId="0" borderId="0" xfId="0" applyFont="1" applyAlignment="1">
      <alignment horizontal="center"/>
    </xf>
    <xf numFmtId="0" fontId="4" fillId="12" borderId="0" xfId="0" applyFont="1" applyFill="1" applyAlignment="1">
      <alignment horizontal="center"/>
    </xf>
    <xf numFmtId="164" fontId="8" fillId="0" borderId="0" xfId="4" applyNumberFormat="1" applyFont="1" applyFill="1"/>
    <xf numFmtId="164" fontId="35" fillId="0" borderId="0" xfId="4" applyNumberFormat="1" applyFont="1" applyFill="1"/>
    <xf numFmtId="0" fontId="4" fillId="1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4" fillId="12" borderId="0" xfId="0" applyFont="1" applyFill="1" applyAlignment="1">
      <alignment horizontal="center"/>
    </xf>
    <xf numFmtId="9" fontId="0" fillId="29" borderId="0" xfId="0" applyNumberFormat="1" applyFill="1"/>
    <xf numFmtId="0" fontId="4" fillId="0" borderId="0" xfId="0" applyFont="1" applyAlignment="1">
      <alignment horizontal="center"/>
    </xf>
    <xf numFmtId="0" fontId="4" fillId="12" borderId="0" xfId="0" applyFont="1" applyFill="1" applyAlignment="1">
      <alignment horizontal="center"/>
    </xf>
    <xf numFmtId="0" fontId="23" fillId="0" borderId="15" xfId="0" applyFont="1" applyBorder="1" applyAlignment="1">
      <alignment horizontal="center" vertical="center" wrapText="1"/>
    </xf>
    <xf numFmtId="0" fontId="0" fillId="0" borderId="0" xfId="0" applyFont="1" applyBorder="1" applyAlignment="1">
      <alignment horizontal="center" vertical="center"/>
    </xf>
    <xf numFmtId="0" fontId="23" fillId="0" borderId="34" xfId="0" applyFont="1" applyBorder="1" applyAlignment="1">
      <alignment vertical="center" wrapText="1"/>
    </xf>
    <xf numFmtId="0" fontId="17" fillId="26" borderId="7" xfId="0" applyFont="1" applyFill="1" applyBorder="1" applyAlignment="1">
      <alignment horizontal="center" vertical="center"/>
    </xf>
    <xf numFmtId="0" fontId="4" fillId="12" borderId="0" xfId="0" applyFont="1" applyFill="1" applyAlignment="1">
      <alignment horizontal="center" vertical="center"/>
    </xf>
    <xf numFmtId="0" fontId="0" fillId="0" borderId="0" xfId="0" applyAlignment="1">
      <alignment vertical="center"/>
    </xf>
    <xf numFmtId="0" fontId="23" fillId="0" borderId="34" xfId="0" applyFont="1" applyBorder="1" applyAlignment="1">
      <alignment vertical="top" wrapText="1"/>
    </xf>
    <xf numFmtId="0" fontId="23" fillId="0" borderId="17" xfId="0" applyFont="1" applyBorder="1" applyAlignment="1">
      <alignment vertical="top" wrapText="1"/>
    </xf>
    <xf numFmtId="0" fontId="24" fillId="0" borderId="15" xfId="0" applyFont="1" applyBorder="1" applyAlignment="1">
      <alignment vertical="top" wrapText="1"/>
    </xf>
    <xf numFmtId="0" fontId="23" fillId="0" borderId="17" xfId="0" applyFont="1" applyBorder="1" applyAlignment="1">
      <alignment horizontal="center" vertical="top" wrapText="1"/>
    </xf>
    <xf numFmtId="0" fontId="23" fillId="0" borderId="17" xfId="0" applyFont="1" applyBorder="1" applyAlignment="1">
      <alignment horizontal="justify" vertical="top" wrapText="1"/>
    </xf>
    <xf numFmtId="0" fontId="23" fillId="0" borderId="15" xfId="0" applyFont="1" applyBorder="1" applyAlignment="1">
      <alignment horizontal="center" vertical="top" wrapText="1"/>
    </xf>
    <xf numFmtId="10" fontId="23" fillId="0" borderId="17" xfId="0" applyNumberFormat="1" applyFont="1" applyBorder="1" applyAlignment="1">
      <alignment vertical="top"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10" fillId="0" borderId="15" xfId="0" applyFont="1" applyBorder="1" applyAlignment="1">
      <alignment horizontal="center" vertical="top" wrapText="1"/>
    </xf>
    <xf numFmtId="0" fontId="11" fillId="0" borderId="17" xfId="0" applyFont="1" applyBorder="1" applyAlignment="1">
      <alignment horizontal="center" vertical="top" wrapText="1"/>
    </xf>
    <xf numFmtId="0" fontId="11" fillId="0" borderId="17" xfId="0" applyFont="1" applyBorder="1" applyAlignment="1">
      <alignment vertical="top" wrapText="1"/>
    </xf>
    <xf numFmtId="0" fontId="9" fillId="0" borderId="17" xfId="0" applyFont="1" applyBorder="1" applyAlignment="1">
      <alignment horizontal="justify" vertical="top" wrapText="1"/>
    </xf>
    <xf numFmtId="0" fontId="11" fillId="0" borderId="17" xfId="0" applyFont="1" applyBorder="1" applyAlignment="1">
      <alignment horizontal="justify" vertical="top" wrapText="1"/>
    </xf>
    <xf numFmtId="0" fontId="10" fillId="0" borderId="18" xfId="0" applyFont="1" applyBorder="1" applyAlignment="1">
      <alignment horizontal="center" vertical="top" wrapText="1"/>
    </xf>
    <xf numFmtId="0" fontId="9" fillId="0" borderId="17" xfId="0" applyFont="1" applyBorder="1" applyAlignment="1">
      <alignment vertical="top" wrapText="1"/>
    </xf>
    <xf numFmtId="0" fontId="9" fillId="0" borderId="15" xfId="0" applyFont="1" applyBorder="1" applyAlignment="1">
      <alignment horizontal="center" vertical="top" wrapText="1"/>
    </xf>
    <xf numFmtId="13" fontId="9" fillId="0" borderId="17" xfId="0" applyNumberFormat="1" applyFont="1" applyBorder="1" applyAlignment="1">
      <alignment horizontal="center" vertical="top" wrapText="1"/>
    </xf>
    <xf numFmtId="9" fontId="12" fillId="0" borderId="17" xfId="1" applyFont="1" applyBorder="1" applyAlignment="1">
      <alignment horizontal="left" vertical="top" wrapText="1"/>
    </xf>
    <xf numFmtId="0" fontId="0" fillId="9" borderId="0" xfId="0" applyFill="1" applyAlignment="1">
      <alignment vertical="top"/>
    </xf>
    <xf numFmtId="0" fontId="0" fillId="9" borderId="0" xfId="0" applyFill="1" applyAlignment="1">
      <alignment horizontal="center" vertical="top"/>
    </xf>
    <xf numFmtId="166" fontId="9" fillId="0" borderId="17" xfId="0" applyNumberFormat="1" applyFont="1" applyBorder="1" applyAlignment="1">
      <alignment horizontal="center" vertical="top" wrapText="1"/>
    </xf>
    <xf numFmtId="0" fontId="10" fillId="0" borderId="14" xfId="0" applyFont="1" applyBorder="1" applyAlignment="1">
      <alignment horizontal="center" vertical="top" wrapText="1"/>
    </xf>
    <xf numFmtId="0" fontId="9" fillId="0" borderId="14" xfId="0" applyFont="1" applyBorder="1" applyAlignment="1">
      <alignment horizontal="center" vertical="top" wrapText="1"/>
    </xf>
    <xf numFmtId="0" fontId="9" fillId="0" borderId="14" xfId="0" applyFont="1" applyBorder="1" applyAlignment="1">
      <alignment vertical="top" wrapText="1"/>
    </xf>
    <xf numFmtId="0" fontId="9" fillId="0" borderId="14" xfId="0" applyFont="1" applyBorder="1" applyAlignment="1">
      <alignment horizontal="justify" vertical="top" wrapText="1"/>
    </xf>
    <xf numFmtId="0" fontId="9" fillId="0" borderId="15" xfId="0" applyFont="1" applyBorder="1" applyAlignment="1">
      <alignment horizontal="justify" vertical="top" wrapText="1"/>
    </xf>
    <xf numFmtId="0" fontId="9" fillId="0" borderId="13" xfId="0" applyFont="1" applyBorder="1" applyAlignment="1">
      <alignment horizontal="center" vertical="top" wrapText="1"/>
    </xf>
    <xf numFmtId="0" fontId="12" fillId="0" borderId="16" xfId="0" applyFont="1" applyBorder="1" applyAlignment="1">
      <alignment horizontal="center" vertical="top" wrapText="1"/>
    </xf>
    <xf numFmtId="0" fontId="12" fillId="0" borderId="17" xfId="0" applyFont="1" applyBorder="1" applyAlignment="1">
      <alignment horizontal="center" vertical="top" wrapText="1"/>
    </xf>
    <xf numFmtId="0" fontId="13" fillId="0" borderId="15" xfId="0" applyFont="1" applyBorder="1" applyAlignment="1">
      <alignment horizontal="center" vertical="top" wrapText="1"/>
    </xf>
    <xf numFmtId="0" fontId="12" fillId="0" borderId="17" xfId="0" applyFont="1" applyBorder="1" applyAlignment="1">
      <alignment vertical="top" wrapText="1"/>
    </xf>
    <xf numFmtId="0" fontId="12" fillId="0" borderId="17" xfId="0" applyFont="1" applyBorder="1" applyAlignment="1">
      <alignment horizontal="justify" vertical="top" wrapText="1"/>
    </xf>
    <xf numFmtId="0" fontId="13" fillId="0" borderId="18" xfId="0" applyFont="1" applyBorder="1" applyAlignment="1">
      <alignment horizontal="center" vertical="top" wrapText="1"/>
    </xf>
    <xf numFmtId="0" fontId="12" fillId="0" borderId="15" xfId="0" applyFont="1" applyBorder="1" applyAlignment="1">
      <alignment horizontal="center" vertical="top" wrapText="1"/>
    </xf>
    <xf numFmtId="0" fontId="13" fillId="0" borderId="14" xfId="0" applyFont="1" applyBorder="1" applyAlignment="1">
      <alignment horizontal="center" vertical="top" wrapText="1"/>
    </xf>
    <xf numFmtId="0" fontId="12" fillId="0" borderId="14" xfId="0" applyFont="1" applyBorder="1" applyAlignment="1">
      <alignment horizontal="center" vertical="top" wrapText="1"/>
    </xf>
    <xf numFmtId="0" fontId="12" fillId="0" borderId="14" xfId="0" applyFont="1" applyBorder="1" applyAlignment="1">
      <alignment vertical="top" wrapText="1"/>
    </xf>
    <xf numFmtId="0" fontId="12" fillId="0" borderId="13" xfId="0" applyFont="1" applyBorder="1" applyAlignment="1">
      <alignment horizontal="center" vertical="top" wrapText="1"/>
    </xf>
    <xf numFmtId="0" fontId="18" fillId="0" borderId="23" xfId="0" applyFont="1" applyBorder="1" applyAlignment="1">
      <alignment horizontal="center" vertical="top" wrapText="1"/>
    </xf>
    <xf numFmtId="0" fontId="18" fillId="0" borderId="17" xfId="0" applyFont="1" applyBorder="1" applyAlignment="1">
      <alignment horizontal="center" vertical="top" wrapText="1"/>
    </xf>
    <xf numFmtId="0" fontId="19" fillId="0" borderId="15" xfId="0" applyFont="1" applyBorder="1" applyAlignment="1">
      <alignment horizontal="center" vertical="top" wrapText="1"/>
    </xf>
    <xf numFmtId="0" fontId="18" fillId="0" borderId="17" xfId="0" applyFont="1" applyBorder="1" applyAlignment="1">
      <alignment vertical="top" wrapText="1"/>
    </xf>
    <xf numFmtId="0" fontId="18" fillId="0" borderId="17" xfId="0" applyFont="1" applyBorder="1" applyAlignment="1">
      <alignment horizontal="justify" vertical="top" wrapText="1"/>
    </xf>
    <xf numFmtId="0" fontId="19" fillId="0" borderId="18" xfId="0" applyFont="1" applyBorder="1" applyAlignment="1">
      <alignment horizontal="center" vertical="top" wrapText="1"/>
    </xf>
    <xf numFmtId="0" fontId="18" fillId="0" borderId="15" xfId="0" applyFont="1" applyBorder="1" applyAlignment="1">
      <alignment horizontal="center" vertical="top" wrapText="1"/>
    </xf>
    <xf numFmtId="13" fontId="20" fillId="0" borderId="17" xfId="0" applyNumberFormat="1" applyFont="1" applyBorder="1" applyAlignment="1">
      <alignment horizontal="center" vertical="top" wrapText="1"/>
    </xf>
    <xf numFmtId="9" fontId="18" fillId="0" borderId="17" xfId="0" applyNumberFormat="1" applyFont="1" applyBorder="1" applyAlignment="1">
      <alignment horizontal="left" vertical="top" wrapText="1"/>
    </xf>
    <xf numFmtId="0" fontId="19" fillId="0" borderId="15" xfId="0" applyFont="1" applyBorder="1" applyAlignment="1">
      <alignment vertical="top" wrapText="1"/>
    </xf>
    <xf numFmtId="0" fontId="18" fillId="10" borderId="17" xfId="0" applyFont="1" applyFill="1" applyBorder="1" applyAlignment="1">
      <alignment horizontal="center" vertical="top" wrapText="1"/>
    </xf>
    <xf numFmtId="9" fontId="18" fillId="0" borderId="17" xfId="0" applyNumberFormat="1" applyFont="1" applyBorder="1" applyAlignment="1">
      <alignment vertical="top" wrapText="1"/>
    </xf>
    <xf numFmtId="0" fontId="0" fillId="0" borderId="0" xfId="0" applyAlignment="1">
      <alignment vertical="top"/>
    </xf>
    <xf numFmtId="0" fontId="0" fillId="0" borderId="0" xfId="0" applyAlignment="1">
      <alignment horizontal="center" vertical="top"/>
    </xf>
    <xf numFmtId="0" fontId="4" fillId="12" borderId="0" xfId="0" applyFont="1" applyFill="1" applyAlignment="1">
      <alignment horizontal="center" vertical="top"/>
    </xf>
    <xf numFmtId="0" fontId="23" fillId="0" borderId="26" xfId="0" applyFont="1" applyBorder="1" applyAlignment="1">
      <alignment horizontal="center" vertical="top" wrapText="1"/>
    </xf>
    <xf numFmtId="0" fontId="23" fillId="0" borderId="16" xfId="0" applyFont="1" applyBorder="1" applyAlignment="1">
      <alignment horizontal="center" vertical="top" wrapText="1"/>
    </xf>
    <xf numFmtId="0" fontId="23" fillId="0" borderId="26" xfId="0" applyFont="1" applyBorder="1" applyAlignment="1">
      <alignment vertical="top" wrapText="1"/>
    </xf>
    <xf numFmtId="0" fontId="23" fillId="0" borderId="15" xfId="0" applyFont="1" applyBorder="1" applyAlignment="1">
      <alignment vertical="top" wrapText="1"/>
    </xf>
    <xf numFmtId="0" fontId="24" fillId="0" borderId="15" xfId="0" applyFont="1" applyBorder="1" applyAlignment="1">
      <alignment horizontal="center" vertical="top" wrapText="1"/>
    </xf>
    <xf numFmtId="0" fontId="24" fillId="0" borderId="18" xfId="0" applyFont="1" applyBorder="1" applyAlignment="1">
      <alignment horizontal="center" vertical="top" wrapText="1"/>
    </xf>
    <xf numFmtId="0" fontId="23" fillId="0" borderId="14" xfId="0" applyFont="1" applyBorder="1" applyAlignment="1">
      <alignment horizontal="center" vertical="top" wrapText="1"/>
    </xf>
    <xf numFmtId="0" fontId="23" fillId="0" borderId="14" xfId="0" applyFont="1" applyBorder="1" applyAlignment="1">
      <alignment horizontal="justify" vertical="top" wrapText="1"/>
    </xf>
    <xf numFmtId="0" fontId="23" fillId="0" borderId="15" xfId="0" applyFont="1" applyBorder="1" applyAlignment="1">
      <alignment horizontal="justify" vertical="top" wrapText="1"/>
    </xf>
    <xf numFmtId="0" fontId="23" fillId="21" borderId="17" xfId="0" applyFont="1" applyFill="1" applyBorder="1" applyAlignment="1">
      <alignment horizontal="center" vertical="top" wrapText="1"/>
    </xf>
    <xf numFmtId="14" fontId="4" fillId="0" borderId="20" xfId="0" applyNumberFormat="1" applyFont="1" applyBorder="1" applyAlignment="1">
      <alignment horizontal="center" vertical="top"/>
    </xf>
    <xf numFmtId="0" fontId="4" fillId="0" borderId="20" xfId="0" applyFont="1" applyBorder="1" applyAlignment="1">
      <alignment horizontal="center" vertical="top"/>
    </xf>
    <xf numFmtId="0" fontId="4" fillId="0" borderId="0" xfId="0" applyFont="1" applyBorder="1" applyAlignment="1">
      <alignment horizontal="center" vertical="top"/>
    </xf>
    <xf numFmtId="0" fontId="25" fillId="0" borderId="17" xfId="0" applyFont="1" applyBorder="1" applyAlignment="1">
      <alignment vertical="top" wrapText="1"/>
    </xf>
    <xf numFmtId="0" fontId="25" fillId="0" borderId="17" xfId="0" applyFont="1" applyBorder="1" applyAlignment="1">
      <alignment horizontal="justify" vertical="top" wrapText="1"/>
    </xf>
    <xf numFmtId="0" fontId="25" fillId="0" borderId="14" xfId="0" applyFont="1" applyBorder="1" applyAlignment="1">
      <alignment horizontal="justify" vertical="top" wrapText="1"/>
    </xf>
    <xf numFmtId="0" fontId="24" fillId="0" borderId="14" xfId="0" applyFont="1" applyBorder="1" applyAlignment="1">
      <alignment horizontal="center" vertical="top" wrapText="1"/>
    </xf>
    <xf numFmtId="0" fontId="23" fillId="0" borderId="18" xfId="0" applyFont="1" applyBorder="1" applyAlignment="1">
      <alignment horizontal="center" vertical="top" wrapText="1"/>
    </xf>
    <xf numFmtId="0" fontId="23" fillId="0" borderId="18" xfId="0" applyFont="1" applyBorder="1" applyAlignment="1">
      <alignment horizontal="justify" vertical="top" wrapText="1"/>
    </xf>
    <xf numFmtId="10" fontId="23" fillId="0" borderId="17" xfId="0" applyNumberFormat="1" applyFont="1" applyBorder="1" applyAlignment="1">
      <alignment horizontal="center" vertical="top" wrapText="1"/>
    </xf>
    <xf numFmtId="0" fontId="30" fillId="6" borderId="17" xfId="0" applyFont="1" applyFill="1" applyBorder="1" applyAlignment="1">
      <alignment horizontal="center" vertical="top" wrapText="1"/>
    </xf>
    <xf numFmtId="0" fontId="23" fillId="0" borderId="0" xfId="0" applyFont="1" applyAlignment="1">
      <alignment horizontal="left" vertical="top"/>
    </xf>
    <xf numFmtId="0" fontId="23" fillId="0" borderId="13" xfId="0" applyFont="1" applyBorder="1" applyAlignment="1">
      <alignment horizontal="center" vertical="top" wrapText="1"/>
    </xf>
    <xf numFmtId="0" fontId="23" fillId="0" borderId="27" xfId="0" applyFont="1" applyBorder="1" applyAlignment="1">
      <alignment horizontal="center" vertical="top" wrapText="1"/>
    </xf>
    <xf numFmtId="0" fontId="23" fillId="0" borderId="27" xfId="0" applyFont="1" applyBorder="1" applyAlignment="1">
      <alignment vertical="top" wrapText="1"/>
    </xf>
    <xf numFmtId="0" fontId="23" fillId="0" borderId="17" xfId="0" applyFont="1" applyFill="1" applyBorder="1" applyAlignment="1">
      <alignment horizontal="center" vertical="top" wrapText="1"/>
    </xf>
    <xf numFmtId="0" fontId="23" fillId="6" borderId="17" xfId="0" applyFont="1" applyFill="1" applyBorder="1" applyAlignment="1">
      <alignment horizontal="center" vertical="top" wrapText="1"/>
    </xf>
    <xf numFmtId="0" fontId="18" fillId="0" borderId="0" xfId="0" applyFont="1" applyAlignment="1">
      <alignment horizontal="left" vertical="top"/>
    </xf>
    <xf numFmtId="0" fontId="4" fillId="0" borderId="0" xfId="0" applyFont="1" applyAlignment="1">
      <alignment horizontal="center" vertical="top"/>
    </xf>
    <xf numFmtId="0" fontId="4" fillId="0" borderId="0" xfId="0" applyFont="1" applyAlignment="1">
      <alignment vertical="top"/>
    </xf>
    <xf numFmtId="9" fontId="23" fillId="0" borderId="17" xfId="0" applyNumberFormat="1" applyFont="1" applyBorder="1" applyAlignment="1">
      <alignment horizontal="center" vertical="top" wrapText="1"/>
    </xf>
    <xf numFmtId="9" fontId="23" fillId="0" borderId="17" xfId="0" applyNumberFormat="1" applyFont="1" applyBorder="1" applyAlignment="1">
      <alignment vertical="top" wrapText="1"/>
    </xf>
    <xf numFmtId="0" fontId="23" fillId="0" borderId="34" xfId="0" applyFont="1" applyBorder="1" applyAlignment="1">
      <alignment horizontal="center" vertical="top" wrapText="1"/>
    </xf>
    <xf numFmtId="0" fontId="23" fillId="0" borderId="0" xfId="0" applyFont="1" applyBorder="1" applyAlignment="1">
      <alignment horizontal="center" vertical="top" wrapText="1"/>
    </xf>
    <xf numFmtId="0" fontId="23" fillId="0" borderId="0" xfId="0" applyFont="1" applyBorder="1" applyAlignment="1">
      <alignment vertical="top" wrapText="1"/>
    </xf>
    <xf numFmtId="0" fontId="24" fillId="0" borderId="13" xfId="0" applyFont="1" applyBorder="1" applyAlignment="1">
      <alignment vertical="top" wrapText="1"/>
    </xf>
    <xf numFmtId="0" fontId="24" fillId="10" borderId="15" xfId="0" applyFont="1" applyFill="1" applyBorder="1" applyAlignment="1">
      <alignment vertical="top" wrapText="1"/>
    </xf>
    <xf numFmtId="0" fontId="23" fillId="10" borderId="17" xfId="0" applyFont="1" applyFill="1" applyBorder="1" applyAlignment="1">
      <alignment horizontal="center" vertical="top" wrapText="1"/>
    </xf>
    <xf numFmtId="0" fontId="23" fillId="10" borderId="17" xfId="0" applyFont="1" applyFill="1" applyBorder="1" applyAlignment="1">
      <alignment vertical="top" wrapText="1"/>
    </xf>
    <xf numFmtId="0" fontId="23" fillId="0" borderId="23" xfId="0" applyFont="1" applyBorder="1" applyAlignment="1">
      <alignment horizontal="center"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Font="1" applyBorder="1" applyAlignment="1">
      <alignment horizontal="center" vertical="top"/>
    </xf>
    <xf numFmtId="0" fontId="23" fillId="0" borderId="1" xfId="0" applyFont="1" applyBorder="1" applyAlignment="1">
      <alignment horizontal="center" vertical="top" wrapText="1"/>
    </xf>
    <xf numFmtId="0" fontId="24" fillId="0" borderId="1" xfId="0" applyFont="1" applyBorder="1" applyAlignment="1">
      <alignment vertical="top" wrapText="1"/>
    </xf>
    <xf numFmtId="0" fontId="23" fillId="0" borderId="1" xfId="0" applyFont="1" applyBorder="1" applyAlignment="1">
      <alignment vertical="top" wrapText="1"/>
    </xf>
    <xf numFmtId="0" fontId="23" fillId="0" borderId="1" xfId="0" applyFont="1" applyBorder="1" applyAlignment="1">
      <alignment horizontal="justify" vertical="top" wrapText="1"/>
    </xf>
    <xf numFmtId="0" fontId="24" fillId="0" borderId="37" xfId="0" applyFont="1" applyBorder="1" applyAlignment="1">
      <alignment horizontal="center" vertical="top" wrapText="1"/>
    </xf>
    <xf numFmtId="10" fontId="23" fillId="0" borderId="1" xfId="0" applyNumberFormat="1" applyFont="1" applyBorder="1" applyAlignment="1">
      <alignment vertical="top" wrapText="1"/>
    </xf>
    <xf numFmtId="10" fontId="23" fillId="0" borderId="0" xfId="0" applyNumberFormat="1" applyFont="1" applyBorder="1" applyAlignment="1">
      <alignment vertical="top" wrapText="1"/>
    </xf>
    <xf numFmtId="0" fontId="23" fillId="0" borderId="14" xfId="0" applyFont="1" applyBorder="1" applyAlignment="1">
      <alignment vertical="top" wrapText="1"/>
    </xf>
    <xf numFmtId="9" fontId="23" fillId="0" borderId="17" xfId="1" applyFont="1" applyBorder="1" applyAlignment="1">
      <alignment horizontal="center" vertical="top" wrapText="1"/>
    </xf>
    <xf numFmtId="9" fontId="23" fillId="0" borderId="17" xfId="1" applyFont="1" applyBorder="1" applyAlignment="1">
      <alignment vertical="top" wrapText="1"/>
    </xf>
    <xf numFmtId="0" fontId="37" fillId="0" borderId="0" xfId="0" applyFont="1" applyBorder="1" applyAlignment="1">
      <alignment vertical="top"/>
    </xf>
    <xf numFmtId="0" fontId="37" fillId="0" borderId="0" xfId="0" applyFont="1" applyBorder="1" applyAlignment="1">
      <alignment horizontal="center" vertical="top"/>
    </xf>
    <xf numFmtId="0" fontId="23" fillId="0" borderId="17" xfId="0" applyFont="1" applyBorder="1" applyAlignment="1">
      <alignment horizontal="justify" vertical="top"/>
    </xf>
    <xf numFmtId="0" fontId="4" fillId="15" borderId="24" xfId="0" applyFont="1" applyFill="1" applyBorder="1" applyAlignment="1">
      <alignment vertical="center"/>
    </xf>
    <xf numFmtId="0" fontId="5" fillId="0" borderId="2" xfId="0" applyFont="1" applyBorder="1" applyAlignment="1">
      <alignment vertical="center"/>
    </xf>
    <xf numFmtId="0" fontId="8" fillId="5" borderId="2" xfId="0" applyFont="1" applyFill="1" applyBorder="1" applyAlignment="1">
      <alignment horizontal="center" vertical="center"/>
    </xf>
    <xf numFmtId="0" fontId="0" fillId="5" borderId="2" xfId="0" applyFill="1" applyBorder="1" applyAlignment="1">
      <alignment horizontal="center" vertical="center"/>
    </xf>
    <xf numFmtId="0" fontId="0" fillId="0" borderId="2" xfId="0" applyBorder="1" applyAlignment="1">
      <alignment horizontal="center" vertical="center"/>
    </xf>
    <xf numFmtId="0" fontId="0" fillId="3" borderId="1" xfId="0" applyFill="1" applyBorder="1" applyAlignment="1">
      <alignment vertical="center"/>
    </xf>
    <xf numFmtId="165" fontId="0" fillId="5" borderId="1" xfId="4" applyNumberFormat="1" applyFont="1" applyFill="1" applyBorder="1" applyAlignment="1">
      <alignment vertical="center"/>
    </xf>
    <xf numFmtId="0" fontId="0" fillId="9" borderId="2" xfId="0" applyFill="1" applyBorder="1" applyAlignment="1">
      <alignment vertical="center"/>
    </xf>
    <xf numFmtId="0" fontId="0" fillId="0" borderId="2" xfId="0" applyBorder="1" applyAlignment="1">
      <alignment vertical="center"/>
    </xf>
    <xf numFmtId="165" fontId="0" fillId="0" borderId="1" xfId="4" applyNumberFormat="1" applyFont="1" applyFill="1" applyBorder="1" applyAlignment="1">
      <alignment vertical="center"/>
    </xf>
    <xf numFmtId="0" fontId="0" fillId="3" borderId="10" xfId="0" applyFill="1" applyBorder="1" applyAlignment="1">
      <alignment vertical="center"/>
    </xf>
    <xf numFmtId="0" fontId="0" fillId="5" borderId="1" xfId="0" applyFill="1" applyBorder="1" applyAlignment="1">
      <alignment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0" fillId="5" borderId="2" xfId="0" applyFill="1" applyBorder="1" applyAlignment="1">
      <alignment vertical="center"/>
    </xf>
    <xf numFmtId="0" fontId="4" fillId="13" borderId="2" xfId="0" applyFont="1" applyFill="1" applyBorder="1" applyAlignment="1">
      <alignment vertical="center"/>
    </xf>
    <xf numFmtId="0" fontId="4" fillId="13" borderId="7" xfId="0" applyFont="1" applyFill="1" applyBorder="1" applyAlignment="1">
      <alignment vertical="center"/>
    </xf>
    <xf numFmtId="0" fontId="4" fillId="14" borderId="6" xfId="0" applyFont="1" applyFill="1" applyBorder="1" applyAlignment="1">
      <alignment vertical="center"/>
    </xf>
    <xf numFmtId="165" fontId="4" fillId="0" borderId="6" xfId="0" applyNumberFormat="1" applyFont="1" applyBorder="1" applyAlignment="1">
      <alignment vertical="center"/>
    </xf>
    <xf numFmtId="0" fontId="27" fillId="0" borderId="7" xfId="0" applyFont="1" applyBorder="1" applyAlignment="1">
      <alignment horizontal="center" vertical="center"/>
    </xf>
    <xf numFmtId="0" fontId="17" fillId="22" borderId="7" xfId="0" applyFont="1" applyFill="1" applyBorder="1" applyAlignment="1">
      <alignment horizontal="center" vertical="center"/>
    </xf>
    <xf numFmtId="0" fontId="17" fillId="23" borderId="7" xfId="0" applyFont="1" applyFill="1" applyBorder="1" applyAlignment="1">
      <alignment horizontal="center" vertical="center"/>
    </xf>
    <xf numFmtId="0" fontId="4" fillId="22" borderId="2" xfId="0" applyFont="1" applyFill="1" applyBorder="1" applyAlignment="1">
      <alignment vertical="center"/>
    </xf>
    <xf numFmtId="0" fontId="0" fillId="0" borderId="0" xfId="0" applyBorder="1" applyAlignment="1">
      <alignment vertical="center"/>
    </xf>
    <xf numFmtId="0" fontId="4" fillId="4" borderId="3" xfId="0" applyFont="1" applyFill="1" applyBorder="1" applyAlignment="1">
      <alignment horizontal="center" vertical="center"/>
    </xf>
    <xf numFmtId="0" fontId="4" fillId="0" borderId="3" xfId="0" applyFont="1" applyBorder="1" applyAlignment="1">
      <alignment horizontal="center" vertical="center"/>
    </xf>
    <xf numFmtId="0" fontId="4" fillId="4" borderId="4" xfId="0" applyFont="1" applyFill="1" applyBorder="1" applyAlignment="1">
      <alignment horizontal="center" vertical="center"/>
    </xf>
    <xf numFmtId="0" fontId="0" fillId="0" borderId="1" xfId="0" applyBorder="1" applyAlignment="1">
      <alignment vertical="center"/>
    </xf>
    <xf numFmtId="0" fontId="0" fillId="2" borderId="2" xfId="0" applyFill="1" applyBorder="1" applyAlignment="1">
      <alignment vertical="center"/>
    </xf>
    <xf numFmtId="0" fontId="0" fillId="2" borderId="1" xfId="0" applyFill="1" applyBorder="1" applyAlignment="1">
      <alignment vertical="center"/>
    </xf>
    <xf numFmtId="164" fontId="0" fillId="0" borderId="1" xfId="4" applyNumberFormat="1" applyFont="1" applyBorder="1" applyAlignment="1">
      <alignment vertical="center"/>
    </xf>
    <xf numFmtId="164" fontId="0" fillId="2" borderId="2" xfId="4" applyNumberFormat="1" applyFont="1" applyFill="1" applyBorder="1" applyAlignment="1">
      <alignment vertical="center"/>
    </xf>
    <xf numFmtId="164" fontId="0" fillId="2" borderId="1" xfId="4" applyNumberFormat="1" applyFont="1" applyFill="1" applyBorder="1" applyAlignment="1">
      <alignment vertical="center"/>
    </xf>
    <xf numFmtId="43" fontId="0" fillId="2" borderId="1" xfId="4" applyNumberFormat="1" applyFont="1" applyFill="1" applyBorder="1" applyAlignment="1">
      <alignment vertical="center"/>
    </xf>
    <xf numFmtId="164" fontId="0" fillId="3" borderId="1" xfId="4" applyNumberFormat="1" applyFont="1" applyFill="1" applyBorder="1" applyAlignment="1">
      <alignment vertical="center"/>
    </xf>
    <xf numFmtId="0" fontId="0" fillId="0" borderId="1" xfId="0" applyFill="1" applyBorder="1" applyAlignment="1">
      <alignment vertical="center"/>
    </xf>
    <xf numFmtId="164" fontId="0" fillId="0" borderId="1" xfId="4" applyNumberFormat="1" applyFont="1" applyFill="1" applyBorder="1" applyAlignment="1">
      <alignment vertical="center"/>
    </xf>
    <xf numFmtId="43" fontId="0" fillId="0" borderId="1" xfId="4" applyNumberFormat="1" applyFont="1" applyBorder="1" applyAlignment="1">
      <alignment vertical="center"/>
    </xf>
    <xf numFmtId="43" fontId="0" fillId="0" borderId="1" xfId="4" applyNumberFormat="1" applyFont="1" applyFill="1" applyBorder="1" applyAlignment="1">
      <alignment vertical="center"/>
    </xf>
    <xf numFmtId="43" fontId="0" fillId="3" borderId="1" xfId="4" applyNumberFormat="1" applyFont="1" applyFill="1" applyBorder="1" applyAlignment="1">
      <alignment vertical="center"/>
    </xf>
    <xf numFmtId="0" fontId="0" fillId="9" borderId="3" xfId="0" applyFill="1" applyBorder="1" applyAlignment="1">
      <alignment vertical="center"/>
    </xf>
    <xf numFmtId="0" fontId="0" fillId="9" borderId="4" xfId="0" applyFill="1" applyBorder="1" applyAlignment="1">
      <alignment vertical="center"/>
    </xf>
    <xf numFmtId="0" fontId="0" fillId="2" borderId="3" xfId="0" applyFill="1" applyBorder="1" applyAlignment="1">
      <alignment horizontal="center" vertical="center"/>
    </xf>
    <xf numFmtId="0" fontId="0" fillId="0" borderId="4" xfId="0" applyBorder="1" applyAlignment="1">
      <alignment horizontal="center" vertical="center"/>
    </xf>
    <xf numFmtId="0" fontId="0" fillId="2" borderId="4" xfId="0" applyFill="1" applyBorder="1" applyAlignment="1">
      <alignment horizontal="center" vertical="center"/>
    </xf>
    <xf numFmtId="164" fontId="0" fillId="6" borderId="1" xfId="4" applyNumberFormat="1" applyFont="1" applyFill="1" applyBorder="1" applyAlignment="1">
      <alignment vertical="center"/>
    </xf>
    <xf numFmtId="164" fontId="0" fillId="0" borderId="0" xfId="4" applyNumberFormat="1" applyFont="1" applyBorder="1" applyAlignment="1">
      <alignment vertical="center"/>
    </xf>
    <xf numFmtId="0" fontId="0" fillId="0" borderId="5" xfId="0" applyFill="1" applyBorder="1" applyAlignment="1">
      <alignment vertical="center"/>
    </xf>
    <xf numFmtId="164" fontId="0" fillId="0" borderId="5" xfId="4" applyNumberFormat="1" applyFont="1" applyFill="1" applyBorder="1" applyAlignment="1">
      <alignment vertical="center"/>
    </xf>
    <xf numFmtId="164" fontId="0" fillId="3" borderId="5" xfId="4" applyNumberFormat="1" applyFont="1" applyFill="1" applyBorder="1" applyAlignment="1">
      <alignment vertical="center"/>
    </xf>
    <xf numFmtId="43" fontId="0" fillId="2" borderId="10" xfId="4" applyNumberFormat="1" applyFont="1" applyFill="1" applyBorder="1" applyAlignment="1">
      <alignment vertical="center"/>
    </xf>
    <xf numFmtId="164" fontId="0" fillId="0" borderId="10" xfId="4" applyNumberFormat="1" applyFont="1" applyBorder="1" applyAlignment="1">
      <alignment vertical="center"/>
    </xf>
    <xf numFmtId="164" fontId="0" fillId="6" borderId="10" xfId="4" applyNumberFormat="1" applyFont="1" applyFill="1" applyBorder="1" applyAlignment="1">
      <alignment vertical="center"/>
    </xf>
    <xf numFmtId="43" fontId="0" fillId="6" borderId="1" xfId="4" applyNumberFormat="1" applyFont="1" applyFill="1" applyBorder="1" applyAlignment="1">
      <alignment vertical="center"/>
    </xf>
    <xf numFmtId="164" fontId="0" fillId="2" borderId="1" xfId="4" applyNumberFormat="1" applyFont="1" applyFill="1" applyBorder="1" applyAlignment="1">
      <alignment horizontal="center" vertical="center"/>
    </xf>
    <xf numFmtId="43" fontId="0" fillId="2" borderId="1" xfId="4" applyNumberFormat="1" applyFont="1" applyFill="1" applyBorder="1" applyAlignment="1">
      <alignment horizontal="center" vertical="center"/>
    </xf>
    <xf numFmtId="2" fontId="0" fillId="0" borderId="1" xfId="0" applyNumberFormat="1" applyBorder="1" applyAlignment="1">
      <alignment vertical="center"/>
    </xf>
    <xf numFmtId="0" fontId="0" fillId="8" borderId="1" xfId="0" applyFill="1" applyBorder="1" applyAlignment="1">
      <alignment vertical="center"/>
    </xf>
    <xf numFmtId="9" fontId="0" fillId="0" borderId="1" xfId="1" applyFont="1" applyBorder="1" applyAlignment="1">
      <alignment vertical="center"/>
    </xf>
    <xf numFmtId="2" fontId="0" fillId="0" borderId="1" xfId="0" applyNumberFormat="1" applyBorder="1" applyAlignment="1">
      <alignment horizontal="center" vertical="center"/>
    </xf>
    <xf numFmtId="0" fontId="4" fillId="0" borderId="4" xfId="0" applyFont="1" applyBorder="1" applyAlignment="1">
      <alignment horizontal="center" vertical="center"/>
    </xf>
    <xf numFmtId="164" fontId="0" fillId="0" borderId="3" xfId="4" applyNumberFormat="1" applyFont="1" applyBorder="1" applyAlignment="1">
      <alignment vertical="center"/>
    </xf>
    <xf numFmtId="164" fontId="0" fillId="6" borderId="3" xfId="4" applyNumberFormat="1" applyFont="1" applyFill="1" applyBorder="1" applyAlignment="1">
      <alignment vertical="center"/>
    </xf>
    <xf numFmtId="43" fontId="0" fillId="0" borderId="1" xfId="4" applyFont="1" applyBorder="1" applyAlignment="1">
      <alignment vertical="center"/>
    </xf>
    <xf numFmtId="43" fontId="0" fillId="3" borderId="1" xfId="4" applyFont="1" applyFill="1" applyBorder="1" applyAlignment="1">
      <alignment vertical="center"/>
    </xf>
    <xf numFmtId="43" fontId="0" fillId="6" borderId="1" xfId="4" applyFont="1" applyFill="1"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right" vertical="center"/>
    </xf>
    <xf numFmtId="164" fontId="0" fillId="0" borderId="6" xfId="4" applyNumberFormat="1" applyFont="1" applyFill="1" applyBorder="1" applyAlignment="1">
      <alignment vertical="center"/>
    </xf>
    <xf numFmtId="164" fontId="4" fillId="0" borderId="24" xfId="0" applyNumberFormat="1" applyFont="1" applyBorder="1" applyAlignment="1">
      <alignment vertical="center"/>
    </xf>
    <xf numFmtId="43" fontId="4" fillId="4" borderId="24" xfId="0" applyNumberFormat="1" applyFont="1" applyFill="1" applyBorder="1" applyAlignment="1">
      <alignment vertical="center"/>
    </xf>
    <xf numFmtId="43" fontId="4" fillId="0" borderId="24" xfId="0" applyNumberFormat="1" applyFont="1" applyBorder="1" applyAlignment="1">
      <alignment vertical="center"/>
    </xf>
    <xf numFmtId="165" fontId="0" fillId="0" borderId="1" xfId="4" applyNumberFormat="1" applyFont="1" applyFill="1" applyBorder="1" applyAlignment="1">
      <alignment horizontal="right" vertical="center"/>
    </xf>
    <xf numFmtId="0" fontId="4" fillId="4" borderId="24" xfId="0" applyFont="1" applyFill="1" applyBorder="1" applyAlignment="1">
      <alignment horizontal="center" vertical="center"/>
    </xf>
    <xf numFmtId="0" fontId="4" fillId="0" borderId="8" xfId="0" applyFont="1" applyBorder="1" applyAlignment="1">
      <alignment horizontal="center" vertical="center"/>
    </xf>
    <xf numFmtId="0" fontId="4" fillId="0" borderId="24" xfId="0" applyFont="1" applyBorder="1" applyAlignment="1">
      <alignment vertical="center"/>
    </xf>
    <xf numFmtId="0" fontId="4" fillId="4" borderId="24" xfId="0" applyFont="1" applyFill="1" applyBorder="1" applyAlignment="1">
      <alignment vertical="center"/>
    </xf>
    <xf numFmtId="0" fontId="4" fillId="14" borderId="24" xfId="0" applyFont="1" applyFill="1" applyBorder="1" applyAlignment="1">
      <alignment vertical="center"/>
    </xf>
    <xf numFmtId="164" fontId="4" fillId="4" borderId="24" xfId="0" applyNumberFormat="1" applyFont="1" applyFill="1" applyBorder="1" applyAlignment="1">
      <alignment vertical="center"/>
    </xf>
    <xf numFmtId="165" fontId="4" fillId="0" borderId="24" xfId="0" applyNumberFormat="1" applyFont="1" applyBorder="1" applyAlignment="1">
      <alignment horizontal="right" vertical="center"/>
    </xf>
    <xf numFmtId="165" fontId="4" fillId="0" borderId="24" xfId="0" applyNumberFormat="1" applyFont="1" applyBorder="1" applyAlignment="1">
      <alignment vertical="center"/>
    </xf>
    <xf numFmtId="164" fontId="4" fillId="14" borderId="24" xfId="0" applyNumberFormat="1" applyFont="1" applyFill="1" applyBorder="1" applyAlignment="1">
      <alignment vertical="center"/>
    </xf>
    <xf numFmtId="164" fontId="4" fillId="0" borderId="25" xfId="0" applyNumberFormat="1" applyFont="1" applyBorder="1" applyAlignment="1">
      <alignment vertical="center"/>
    </xf>
    <xf numFmtId="43" fontId="4" fillId="14" borderId="24" xfId="0" applyNumberFormat="1" applyFont="1" applyFill="1" applyBorder="1" applyAlignment="1">
      <alignment vertical="center"/>
    </xf>
    <xf numFmtId="164" fontId="4" fillId="21" borderId="24" xfId="0" applyNumberFormat="1" applyFont="1" applyFill="1" applyBorder="1" applyAlignment="1">
      <alignment vertical="center"/>
    </xf>
    <xf numFmtId="0" fontId="4" fillId="0" borderId="24" xfId="0" applyFont="1" applyBorder="1" applyAlignment="1">
      <alignment horizontal="center" vertical="center"/>
    </xf>
    <xf numFmtId="2" fontId="4" fillId="0" borderId="24" xfId="0" applyNumberFormat="1" applyFont="1" applyBorder="1" applyAlignment="1">
      <alignment vertical="center"/>
    </xf>
    <xf numFmtId="9" fontId="4" fillId="0" borderId="24" xfId="0" applyNumberFormat="1" applyFont="1" applyBorder="1" applyAlignment="1">
      <alignment horizontal="center" vertical="center"/>
    </xf>
    <xf numFmtId="9" fontId="4" fillId="0" borderId="24" xfId="0" applyNumberFormat="1" applyFont="1" applyBorder="1" applyAlignment="1">
      <alignment vertical="center"/>
    </xf>
    <xf numFmtId="2" fontId="4" fillId="0" borderId="24" xfId="0" applyNumberFormat="1" applyFont="1" applyBorder="1" applyAlignment="1">
      <alignment horizontal="center" vertical="center"/>
    </xf>
    <xf numFmtId="0" fontId="16" fillId="13" borderId="2" xfId="0" applyFont="1" applyFill="1" applyBorder="1" applyAlignment="1">
      <alignment horizontal="center" vertical="center"/>
    </xf>
    <xf numFmtId="0" fontId="16" fillId="13" borderId="3" xfId="0" applyFont="1" applyFill="1" applyBorder="1" applyAlignment="1">
      <alignment horizontal="center" vertical="center"/>
    </xf>
    <xf numFmtId="0" fontId="16" fillId="13" borderId="9" xfId="0" applyFont="1" applyFill="1" applyBorder="1" applyAlignment="1">
      <alignment horizontal="center" vertical="center"/>
    </xf>
    <xf numFmtId="165" fontId="4" fillId="0" borderId="24" xfId="4" applyNumberFormat="1" applyFont="1" applyBorder="1" applyAlignment="1">
      <alignment vertical="center"/>
    </xf>
    <xf numFmtId="39" fontId="4" fillId="4" borderId="24" xfId="0" applyNumberFormat="1" applyFont="1" applyFill="1" applyBorder="1" applyAlignment="1">
      <alignment vertical="center"/>
    </xf>
    <xf numFmtId="164" fontId="4" fillId="0" borderId="24" xfId="4" applyNumberFormat="1" applyFont="1" applyBorder="1" applyAlignment="1">
      <alignment horizontal="right" vertical="center"/>
    </xf>
    <xf numFmtId="164" fontId="4" fillId="0" borderId="24" xfId="4" applyNumberFormat="1" applyFont="1" applyBorder="1" applyAlignment="1">
      <alignment vertical="center"/>
    </xf>
    <xf numFmtId="164" fontId="4" fillId="14" borderId="24" xfId="4" applyNumberFormat="1" applyFont="1" applyFill="1" applyBorder="1" applyAlignment="1">
      <alignment vertical="center"/>
    </xf>
    <xf numFmtId="165" fontId="4" fillId="0" borderId="24" xfId="4" applyNumberFormat="1" applyFont="1" applyBorder="1" applyAlignment="1">
      <alignment horizontal="right" vertical="center"/>
    </xf>
    <xf numFmtId="43" fontId="4" fillId="0" borderId="24" xfId="4" applyNumberFormat="1" applyFont="1" applyBorder="1" applyAlignment="1">
      <alignment vertical="center"/>
    </xf>
    <xf numFmtId="37" fontId="4" fillId="4" borderId="24" xfId="4" applyNumberFormat="1" applyFont="1" applyFill="1" applyBorder="1" applyAlignment="1">
      <alignment vertical="center"/>
    </xf>
    <xf numFmtId="43" fontId="4" fillId="4" borderId="24" xfId="4" applyNumberFormat="1" applyFont="1" applyFill="1" applyBorder="1" applyAlignment="1">
      <alignment vertical="center"/>
    </xf>
    <xf numFmtId="43" fontId="4" fillId="14" borderId="24" xfId="4" applyNumberFormat="1" applyFont="1" applyFill="1" applyBorder="1" applyAlignment="1">
      <alignment vertical="center"/>
    </xf>
    <xf numFmtId="43" fontId="4" fillId="0" borderId="24" xfId="4" applyFont="1" applyBorder="1" applyAlignment="1">
      <alignment vertical="center"/>
    </xf>
    <xf numFmtId="43" fontId="32" fillId="0" borderId="24" xfId="4" applyFont="1" applyBorder="1" applyAlignment="1">
      <alignment vertical="center"/>
    </xf>
    <xf numFmtId="43" fontId="32" fillId="0" borderId="1" xfId="4" applyFont="1" applyBorder="1" applyAlignment="1">
      <alignment vertical="center"/>
    </xf>
    <xf numFmtId="43" fontId="4" fillId="4" borderId="24" xfId="4" applyFont="1" applyFill="1" applyBorder="1" applyAlignment="1">
      <alignment vertical="center"/>
    </xf>
    <xf numFmtId="43" fontId="4" fillId="0" borderId="2" xfId="4" applyFont="1" applyBorder="1" applyAlignment="1">
      <alignment vertical="center"/>
    </xf>
    <xf numFmtId="43" fontId="4" fillId="0" borderId="4" xfId="4" applyFont="1" applyBorder="1" applyAlignment="1">
      <alignment vertical="center"/>
    </xf>
    <xf numFmtId="164" fontId="0" fillId="5" borderId="24" xfId="0" applyNumberFormat="1" applyFont="1" applyFill="1" applyBorder="1" applyAlignment="1">
      <alignment vertical="center"/>
    </xf>
    <xf numFmtId="164" fontId="4" fillId="24" borderId="24" xfId="0" applyNumberFormat="1" applyFont="1" applyFill="1" applyBorder="1" applyAlignment="1">
      <alignment vertical="center"/>
    </xf>
    <xf numFmtId="164" fontId="32" fillId="0" borderId="24" xfId="0" applyNumberFormat="1" applyFont="1" applyBorder="1" applyAlignment="1">
      <alignment vertical="center"/>
    </xf>
    <xf numFmtId="164" fontId="32" fillId="0" borderId="1" xfId="4" applyNumberFormat="1" applyFont="1" applyBorder="1" applyAlignment="1">
      <alignment vertical="center"/>
    </xf>
    <xf numFmtId="165" fontId="4" fillId="5" borderId="24" xfId="4" applyNumberFormat="1" applyFont="1" applyFill="1" applyBorder="1" applyAlignment="1">
      <alignment vertical="center"/>
    </xf>
    <xf numFmtId="164" fontId="4" fillId="0" borderId="2" xfId="0" applyNumberFormat="1" applyFont="1" applyBorder="1" applyAlignment="1">
      <alignment vertical="center"/>
    </xf>
    <xf numFmtId="164" fontId="4" fillId="0" borderId="4" xfId="0" applyNumberFormat="1" applyFont="1" applyBorder="1" applyAlignment="1">
      <alignment vertical="center"/>
    </xf>
    <xf numFmtId="165" fontId="32" fillId="0" borderId="24" xfId="4" applyNumberFormat="1" applyFont="1" applyBorder="1" applyAlignment="1">
      <alignment vertical="center"/>
    </xf>
    <xf numFmtId="164" fontId="4" fillId="5" borderId="24" xfId="4" applyNumberFormat="1" applyFont="1" applyFill="1" applyBorder="1" applyAlignment="1">
      <alignment vertical="center"/>
    </xf>
    <xf numFmtId="43" fontId="29" fillId="4" borderId="24" xfId="0" applyNumberFormat="1" applyFont="1" applyFill="1" applyBorder="1" applyAlignment="1">
      <alignment vertical="center"/>
    </xf>
    <xf numFmtId="165" fontId="4" fillId="0" borderId="24" xfId="4" applyNumberFormat="1" applyFont="1" applyFill="1" applyBorder="1" applyAlignment="1">
      <alignment vertical="center"/>
    </xf>
    <xf numFmtId="164" fontId="29" fillId="0" borderId="24" xfId="4" applyNumberFormat="1" applyFont="1" applyBorder="1" applyAlignment="1">
      <alignment vertical="center"/>
    </xf>
    <xf numFmtId="164" fontId="29" fillId="0" borderId="1" xfId="4" applyNumberFormat="1" applyFont="1" applyBorder="1" applyAlignment="1">
      <alignment vertical="center"/>
    </xf>
    <xf numFmtId="0" fontId="4" fillId="5" borderId="24" xfId="0" applyFont="1" applyFill="1" applyBorder="1" applyAlignment="1">
      <alignment vertical="center"/>
    </xf>
    <xf numFmtId="164" fontId="4" fillId="0" borderId="24" xfId="4" applyNumberFormat="1" applyFont="1" applyFill="1" applyBorder="1" applyAlignment="1">
      <alignment vertical="center"/>
    </xf>
    <xf numFmtId="165" fontId="4" fillId="25" borderId="24" xfId="4" applyNumberFormat="1" applyFont="1" applyFill="1" applyBorder="1" applyAlignment="1">
      <alignment vertical="center"/>
    </xf>
    <xf numFmtId="165" fontId="4" fillId="0" borderId="4" xfId="0" applyNumberFormat="1" applyFont="1" applyBorder="1" applyAlignment="1">
      <alignment vertical="center"/>
    </xf>
    <xf numFmtId="164" fontId="29" fillId="5" borderId="1" xfId="4" applyNumberFormat="1" applyFont="1" applyFill="1" applyBorder="1" applyAlignment="1">
      <alignment vertical="center"/>
    </xf>
    <xf numFmtId="43" fontId="4" fillId="11" borderId="24" xfId="0" applyNumberFormat="1" applyFont="1" applyFill="1" applyBorder="1" applyAlignment="1">
      <alignment vertical="center"/>
    </xf>
    <xf numFmtId="164" fontId="1" fillId="0" borderId="1" xfId="4" applyNumberFormat="1" applyFont="1" applyBorder="1" applyAlignment="1">
      <alignment vertical="center"/>
    </xf>
    <xf numFmtId="165" fontId="4" fillId="0" borderId="0" xfId="4" applyNumberFormat="1" applyFont="1" applyFill="1" applyBorder="1" applyAlignment="1">
      <alignment vertical="center"/>
    </xf>
    <xf numFmtId="164" fontId="33" fillId="0" borderId="24" xfId="4" applyNumberFormat="1" applyFont="1" applyBorder="1" applyAlignment="1">
      <alignment vertical="center"/>
    </xf>
    <xf numFmtId="43" fontId="4" fillId="20" borderId="24" xfId="0" applyNumberFormat="1" applyFont="1" applyFill="1" applyBorder="1" applyAlignment="1">
      <alignment vertical="center"/>
    </xf>
    <xf numFmtId="164" fontId="33" fillId="0" borderId="1" xfId="4" applyNumberFormat="1" applyFont="1" applyBorder="1" applyAlignment="1">
      <alignment vertical="center"/>
    </xf>
    <xf numFmtId="43" fontId="4" fillId="28" borderId="24" xfId="0" applyNumberFormat="1" applyFont="1" applyFill="1" applyBorder="1" applyAlignment="1">
      <alignment vertical="center"/>
    </xf>
    <xf numFmtId="0" fontId="4" fillId="13" borderId="24" xfId="0" applyFont="1" applyFill="1" applyBorder="1" applyAlignment="1">
      <alignment vertical="center"/>
    </xf>
    <xf numFmtId="164" fontId="4" fillId="13" borderId="24" xfId="0" applyNumberFormat="1" applyFont="1" applyFill="1" applyBorder="1" applyAlignment="1">
      <alignment vertical="center"/>
    </xf>
    <xf numFmtId="165" fontId="4" fillId="13" borderId="24" xfId="0" applyNumberFormat="1" applyFont="1" applyFill="1" applyBorder="1" applyAlignment="1">
      <alignment vertical="center"/>
    </xf>
    <xf numFmtId="165" fontId="4" fillId="0" borderId="24" xfId="0" applyNumberFormat="1" applyFont="1" applyFill="1" applyBorder="1" applyAlignment="1">
      <alignment vertical="center"/>
    </xf>
    <xf numFmtId="164" fontId="4" fillId="0" borderId="8" xfId="0" applyNumberFormat="1" applyFont="1" applyBorder="1" applyAlignment="1">
      <alignment vertical="center"/>
    </xf>
    <xf numFmtId="164" fontId="29" fillId="0" borderId="24" xfId="0" applyNumberFormat="1" applyFont="1" applyBorder="1" applyAlignment="1">
      <alignment vertical="center"/>
    </xf>
    <xf numFmtId="164" fontId="29" fillId="13" borderId="24" xfId="0" applyNumberFormat="1" applyFont="1" applyFill="1" applyBorder="1" applyAlignment="1">
      <alignment vertical="center"/>
    </xf>
    <xf numFmtId="0" fontId="4" fillId="0" borderId="3" xfId="0" applyFont="1" applyBorder="1" applyAlignment="1">
      <alignment vertical="center"/>
    </xf>
    <xf numFmtId="0" fontId="4" fillId="0" borderId="9" xfId="0" applyFont="1" applyBorder="1" applyAlignment="1">
      <alignment vertical="center"/>
    </xf>
    <xf numFmtId="0" fontId="4" fillId="0" borderId="30" xfId="0" applyFont="1" applyFill="1" applyBorder="1" applyAlignment="1">
      <alignment vertical="center"/>
    </xf>
    <xf numFmtId="0" fontId="4" fillId="0" borderId="32" xfId="0" applyFont="1" applyFill="1" applyBorder="1" applyAlignment="1">
      <alignment vertical="center"/>
    </xf>
    <xf numFmtId="164" fontId="4" fillId="0" borderId="24" xfId="0" applyNumberFormat="1" applyFont="1" applyFill="1" applyBorder="1" applyAlignment="1">
      <alignment vertical="center"/>
    </xf>
    <xf numFmtId="0" fontId="4" fillId="0" borderId="0" xfId="0" applyFont="1" applyFill="1" applyBorder="1" applyAlignment="1">
      <alignment vertical="center"/>
    </xf>
    <xf numFmtId="0" fontId="4" fillId="0" borderId="25" xfId="0" applyFont="1" applyFill="1" applyBorder="1" applyAlignment="1">
      <alignment vertical="center"/>
    </xf>
    <xf numFmtId="0" fontId="4" fillId="25" borderId="24" xfId="0" applyFont="1" applyFill="1" applyBorder="1" applyAlignment="1">
      <alignment vertical="center"/>
    </xf>
    <xf numFmtId="0" fontId="4" fillId="0" borderId="8" xfId="0" applyFont="1" applyFill="1" applyBorder="1" applyAlignment="1">
      <alignment vertical="center"/>
    </xf>
    <xf numFmtId="0" fontId="4" fillId="0" borderId="24" xfId="0" applyFont="1" applyFill="1" applyBorder="1" applyAlignment="1">
      <alignment vertical="center"/>
    </xf>
    <xf numFmtId="164" fontId="4" fillId="5" borderId="24" xfId="0" applyNumberFormat="1" applyFont="1" applyFill="1" applyBorder="1" applyAlignment="1">
      <alignment vertical="center"/>
    </xf>
    <xf numFmtId="164" fontId="4" fillId="29" borderId="24" xfId="0" applyNumberFormat="1" applyFont="1" applyFill="1" applyBorder="1" applyAlignment="1">
      <alignment vertical="center"/>
    </xf>
    <xf numFmtId="164" fontId="4" fillId="6" borderId="24" xfId="0" applyNumberFormat="1" applyFont="1" applyFill="1" applyBorder="1" applyAlignment="1">
      <alignment vertical="center"/>
    </xf>
    <xf numFmtId="43" fontId="29" fillId="0" borderId="24" xfId="0" applyNumberFormat="1" applyFont="1" applyBorder="1" applyAlignment="1">
      <alignment vertical="center"/>
    </xf>
    <xf numFmtId="43" fontId="8" fillId="31" borderId="24" xfId="0" applyNumberFormat="1" applyFont="1" applyFill="1" applyBorder="1" applyAlignment="1">
      <alignment vertical="center"/>
    </xf>
    <xf numFmtId="43" fontId="4" fillId="21" borderId="24" xfId="0" applyNumberFormat="1" applyFont="1" applyFill="1" applyBorder="1" applyAlignment="1">
      <alignment vertical="center"/>
    </xf>
    <xf numFmtId="0" fontId="29" fillId="0" borderId="3" xfId="0" applyFont="1" applyBorder="1" applyAlignment="1">
      <alignment vertical="center"/>
    </xf>
    <xf numFmtId="0" fontId="26" fillId="0" borderId="3" xfId="0" applyFont="1" applyBorder="1" applyAlignment="1">
      <alignment vertical="center"/>
    </xf>
    <xf numFmtId="0" fontId="26" fillId="0" borderId="9" xfId="0" applyFont="1" applyBorder="1" applyAlignment="1">
      <alignment vertical="center"/>
    </xf>
    <xf numFmtId="0" fontId="0" fillId="0" borderId="38" xfId="0" applyBorder="1" applyAlignment="1">
      <alignment horizontal="center" vertical="center"/>
    </xf>
    <xf numFmtId="0" fontId="23" fillId="0" borderId="15"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xf>
    <xf numFmtId="0" fontId="4" fillId="0" borderId="4" xfId="0" applyFont="1" applyBorder="1" applyAlignment="1">
      <alignment horizontal="center" vertical="center"/>
    </xf>
    <xf numFmtId="0" fontId="16" fillId="13" borderId="3" xfId="0" applyFont="1" applyFill="1" applyBorder="1" applyAlignment="1">
      <alignment horizontal="center" vertical="center"/>
    </xf>
    <xf numFmtId="0" fontId="0" fillId="0" borderId="4" xfId="0" applyBorder="1" applyAlignment="1">
      <alignment horizontal="center" vertical="center"/>
    </xf>
    <xf numFmtId="164" fontId="0" fillId="2" borderId="38" xfId="4" applyNumberFormat="1" applyFont="1" applyFill="1" applyBorder="1" applyAlignment="1">
      <alignment vertical="center"/>
    </xf>
    <xf numFmtId="43" fontId="0" fillId="2" borderId="38" xfId="4" applyNumberFormat="1" applyFont="1" applyFill="1" applyBorder="1" applyAlignment="1">
      <alignment vertical="center"/>
    </xf>
    <xf numFmtId="0" fontId="0" fillId="2" borderId="38" xfId="0" applyFill="1" applyBorder="1" applyAlignment="1">
      <alignment vertical="center"/>
    </xf>
    <xf numFmtId="43" fontId="0" fillId="2" borderId="5" xfId="4" applyNumberFormat="1" applyFont="1" applyFill="1" applyBorder="1" applyAlignment="1">
      <alignment vertical="center"/>
    </xf>
    <xf numFmtId="164" fontId="0" fillId="2" borderId="38" xfId="4" applyNumberFormat="1" applyFont="1" applyFill="1" applyBorder="1" applyAlignment="1">
      <alignment horizontal="center" vertical="center"/>
    </xf>
    <xf numFmtId="43" fontId="0" fillId="2" borderId="38" xfId="4" applyNumberFormat="1" applyFont="1" applyFill="1" applyBorder="1" applyAlignment="1">
      <alignment horizontal="center" vertical="center"/>
    </xf>
    <xf numFmtId="0" fontId="0" fillId="0" borderId="38" xfId="0" applyBorder="1" applyAlignment="1">
      <alignment vertical="center"/>
    </xf>
    <xf numFmtId="0" fontId="0" fillId="8" borderId="38" xfId="0" applyFill="1" applyBorder="1" applyAlignment="1">
      <alignment vertical="center"/>
    </xf>
    <xf numFmtId="0" fontId="0" fillId="2" borderId="38" xfId="0" applyFill="1" applyBorder="1" applyAlignment="1">
      <alignment horizontal="center" vertical="center"/>
    </xf>
    <xf numFmtId="43" fontId="0" fillId="2" borderId="6" xfId="4" applyNumberFormat="1" applyFont="1" applyFill="1" applyBorder="1" applyAlignment="1">
      <alignment vertical="center"/>
    </xf>
    <xf numFmtId="164" fontId="0" fillId="2" borderId="6" xfId="4" applyNumberFormat="1" applyFont="1" applyFill="1" applyBorder="1" applyAlignment="1">
      <alignment vertical="center"/>
    </xf>
    <xf numFmtId="164" fontId="0" fillId="2" borderId="5" xfId="4" applyNumberFormat="1" applyFont="1" applyFill="1" applyBorder="1" applyAlignment="1">
      <alignment vertical="center"/>
    </xf>
    <xf numFmtId="43" fontId="4" fillId="4" borderId="25" xfId="0" applyNumberFormat="1" applyFont="1" applyFill="1" applyBorder="1" applyAlignment="1">
      <alignment vertical="center"/>
    </xf>
    <xf numFmtId="0" fontId="4" fillId="4" borderId="8" xfId="0" applyFont="1" applyFill="1" applyBorder="1" applyAlignment="1">
      <alignment horizontal="center" vertical="center"/>
    </xf>
    <xf numFmtId="0" fontId="4" fillId="0" borderId="8" xfId="0" applyFont="1" applyBorder="1" applyAlignment="1">
      <alignment vertical="center"/>
    </xf>
    <xf numFmtId="0" fontId="4" fillId="15" borderId="8" xfId="0" applyFont="1" applyFill="1" applyBorder="1" applyAlignment="1">
      <alignment vertical="center"/>
    </xf>
    <xf numFmtId="43" fontId="4" fillId="4" borderId="25" xfId="4" applyFont="1" applyFill="1" applyBorder="1" applyAlignment="1">
      <alignment vertical="center"/>
    </xf>
    <xf numFmtId="164" fontId="4" fillId="4" borderId="25" xfId="0" applyNumberFormat="1" applyFont="1" applyFill="1" applyBorder="1" applyAlignment="1">
      <alignment vertical="center"/>
    </xf>
    <xf numFmtId="43" fontId="4" fillId="4" borderId="8" xfId="0" applyNumberFormat="1" applyFont="1" applyFill="1" applyBorder="1" applyAlignment="1">
      <alignment vertical="center"/>
    </xf>
    <xf numFmtId="164" fontId="0" fillId="0" borderId="38" xfId="4" applyNumberFormat="1" applyFont="1" applyBorder="1" applyAlignment="1">
      <alignment vertical="center"/>
    </xf>
    <xf numFmtId="43" fontId="0" fillId="0" borderId="38" xfId="4" applyNumberFormat="1" applyFont="1" applyBorder="1" applyAlignment="1">
      <alignment vertical="center"/>
    </xf>
    <xf numFmtId="164" fontId="0" fillId="6" borderId="38" xfId="4" applyNumberFormat="1" applyFont="1" applyFill="1" applyBorder="1" applyAlignment="1">
      <alignment vertical="center"/>
    </xf>
    <xf numFmtId="43" fontId="0" fillId="6" borderId="38" xfId="4" applyNumberFormat="1" applyFont="1" applyFill="1" applyBorder="1" applyAlignment="1">
      <alignment vertical="center"/>
    </xf>
    <xf numFmtId="2" fontId="0" fillId="0" borderId="38" xfId="0" applyNumberFormat="1" applyBorder="1" applyAlignment="1">
      <alignment horizontal="center" vertical="center"/>
    </xf>
    <xf numFmtId="43" fontId="0" fillId="0" borderId="38" xfId="4" applyFont="1" applyBorder="1" applyAlignment="1">
      <alignment vertical="center"/>
    </xf>
    <xf numFmtId="164" fontId="0" fillId="0" borderId="24" xfId="4" applyNumberFormat="1" applyFont="1" applyBorder="1" applyAlignment="1">
      <alignment vertical="center"/>
    </xf>
    <xf numFmtId="164" fontId="29" fillId="5" borderId="24" xfId="4" applyNumberFormat="1" applyFont="1" applyFill="1" applyBorder="1" applyAlignment="1">
      <alignment vertical="center"/>
    </xf>
    <xf numFmtId="0" fontId="30" fillId="0" borderId="17" xfId="0" applyFont="1" applyBorder="1" applyAlignment="1">
      <alignment vertical="top" wrapText="1"/>
    </xf>
    <xf numFmtId="0" fontId="2" fillId="0" borderId="0" xfId="247" applyAlignment="1">
      <alignment vertical="top"/>
    </xf>
    <xf numFmtId="0" fontId="0" fillId="0" borderId="38" xfId="0" applyFill="1" applyBorder="1"/>
    <xf numFmtId="0" fontId="0" fillId="32" borderId="0" xfId="0" applyFill="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0" borderId="38" xfId="0" applyBorder="1" applyAlignment="1">
      <alignment horizontal="center" vertical="center"/>
    </xf>
    <xf numFmtId="0" fontId="0" fillId="32" borderId="0" xfId="0" applyFill="1" applyAlignment="1">
      <alignment horizontal="center"/>
    </xf>
    <xf numFmtId="0" fontId="18" fillId="0" borderId="15" xfId="0" applyFont="1" applyBorder="1" applyAlignment="1">
      <alignment horizontal="center" vertical="center" wrapText="1"/>
    </xf>
    <xf numFmtId="0" fontId="0" fillId="0" borderId="38" xfId="0" applyFill="1" applyBorder="1" applyAlignment="1">
      <alignment horizontal="center" vertical="center"/>
    </xf>
    <xf numFmtId="0" fontId="0" fillId="0" borderId="38" xfId="0" applyBorder="1"/>
    <xf numFmtId="165" fontId="0" fillId="3" borderId="0" xfId="4" applyNumberFormat="1" applyFont="1" applyFill="1"/>
    <xf numFmtId="165" fontId="0" fillId="3" borderId="0" xfId="4" applyNumberFormat="1" applyFont="1" applyFill="1" applyAlignment="1">
      <alignment horizontal="left" indent="2"/>
    </xf>
    <xf numFmtId="165" fontId="0" fillId="3" borderId="0" xfId="0" applyNumberFormat="1" applyFill="1"/>
    <xf numFmtId="164" fontId="0" fillId="3" borderId="0" xfId="4" applyNumberFormat="1" applyFont="1" applyFill="1"/>
    <xf numFmtId="165" fontId="0" fillId="33" borderId="0" xfId="4" applyNumberFormat="1" applyFont="1" applyFill="1"/>
    <xf numFmtId="0" fontId="0" fillId="33" borderId="0" xfId="0" applyFill="1"/>
    <xf numFmtId="165" fontId="0" fillId="33" borderId="0" xfId="0" applyNumberFormat="1" applyFill="1"/>
    <xf numFmtId="164" fontId="0" fillId="33" borderId="0" xfId="4" applyNumberFormat="1" applyFont="1" applyFill="1"/>
    <xf numFmtId="164" fontId="0" fillId="0" borderId="11" xfId="4" applyNumberFormat="1" applyFont="1" applyFill="1" applyBorder="1"/>
    <xf numFmtId="165" fontId="0" fillId="34" borderId="0" xfId="4" applyNumberFormat="1" applyFont="1" applyFill="1"/>
    <xf numFmtId="164" fontId="0" fillId="34" borderId="0" xfId="4" applyNumberFormat="1" applyFont="1" applyFill="1"/>
    <xf numFmtId="164" fontId="0" fillId="34" borderId="0" xfId="4" applyNumberFormat="1" applyFont="1" applyFill="1" applyBorder="1"/>
    <xf numFmtId="0" fontId="0" fillId="34" borderId="0" xfId="0" applyFill="1"/>
    <xf numFmtId="165" fontId="0" fillId="34" borderId="0" xfId="0" applyNumberFormat="1" applyFill="1"/>
    <xf numFmtId="165" fontId="0" fillId="35" borderId="0" xfId="4" applyNumberFormat="1" applyFont="1" applyFill="1"/>
    <xf numFmtId="0" fontId="0" fillId="35" borderId="0" xfId="0" applyFill="1" applyBorder="1"/>
    <xf numFmtId="165" fontId="0" fillId="35" borderId="0" xfId="0" applyNumberFormat="1" applyFill="1" applyBorder="1"/>
    <xf numFmtId="164" fontId="0" fillId="35" borderId="0" xfId="4" applyNumberFormat="1" applyFont="1" applyFill="1"/>
    <xf numFmtId="0" fontId="0" fillId="35" borderId="0" xfId="0" applyFill="1"/>
    <xf numFmtId="165" fontId="0" fillId="35" borderId="0" xfId="0" applyNumberFormat="1" applyFill="1"/>
    <xf numFmtId="169" fontId="0" fillId="0" borderId="0" xfId="0" applyNumberFormat="1" applyFill="1"/>
    <xf numFmtId="164" fontId="0" fillId="0" borderId="1" xfId="4" applyNumberFormat="1" applyFont="1" applyBorder="1" applyAlignment="1">
      <alignment horizontal="center" vertical="center"/>
    </xf>
    <xf numFmtId="0" fontId="0" fillId="0" borderId="39" xfId="0" applyBorder="1"/>
    <xf numFmtId="0" fontId="0" fillId="0" borderId="40" xfId="0" applyBorder="1"/>
    <xf numFmtId="0" fontId="0" fillId="0" borderId="41" xfId="0" applyBorder="1"/>
    <xf numFmtId="0" fontId="4" fillId="12" borderId="0" xfId="0" applyFont="1" applyFill="1" applyAlignment="1">
      <alignment horizontal="center"/>
    </xf>
    <xf numFmtId="0" fontId="18" fillId="0" borderId="15" xfId="0" applyFont="1" applyBorder="1" applyAlignment="1">
      <alignment horizontal="center" vertical="center" wrapText="1"/>
    </xf>
    <xf numFmtId="164" fontId="0" fillId="0" borderId="0" xfId="4" applyNumberFormat="1" applyFont="1" applyBorder="1" applyAlignment="1">
      <alignment horizontal="center" vertical="center"/>
    </xf>
    <xf numFmtId="165" fontId="0" fillId="0" borderId="0" xfId="4" applyNumberFormat="1" applyFont="1" applyBorder="1" applyAlignment="1">
      <alignment horizontal="center" vertical="center"/>
    </xf>
    <xf numFmtId="165" fontId="0" fillId="35" borderId="0" xfId="4" applyNumberFormat="1" applyFont="1" applyFill="1" applyBorder="1"/>
    <xf numFmtId="0" fontId="0" fillId="32" borderId="0" xfId="0" applyFill="1" applyAlignment="1">
      <alignment horizontal="center"/>
    </xf>
    <xf numFmtId="0" fontId="4" fillId="0" borderId="24" xfId="0" applyNumberFormat="1" applyFont="1" applyBorder="1"/>
    <xf numFmtId="0" fontId="0" fillId="0" borderId="1" xfId="0" applyBorder="1" applyAlignment="1">
      <alignment horizontal="center" vertical="center"/>
    </xf>
    <xf numFmtId="169" fontId="0" fillId="0" borderId="0" xfId="0" applyNumberFormat="1" applyFill="1" applyBorder="1"/>
    <xf numFmtId="169" fontId="0" fillId="0" borderId="12" xfId="0" applyNumberFormat="1" applyFill="1" applyBorder="1"/>
    <xf numFmtId="169" fontId="0" fillId="0" borderId="11" xfId="0" applyNumberFormat="1" applyFill="1" applyBorder="1"/>
    <xf numFmtId="0" fontId="0" fillId="0" borderId="0" xfId="0" applyAlignment="1">
      <alignment horizontal="right"/>
    </xf>
    <xf numFmtId="0" fontId="0" fillId="0" borderId="38" xfId="0" applyBorder="1" applyAlignment="1">
      <alignment horizontal="center" vertical="center" wrapText="1"/>
    </xf>
    <xf numFmtId="0" fontId="8" fillId="0" borderId="1" xfId="0" applyFont="1" applyBorder="1" applyAlignment="1">
      <alignment horizontal="center" vertical="center"/>
    </xf>
    <xf numFmtId="0" fontId="8" fillId="0" borderId="38" xfId="0" applyFont="1" applyBorder="1" applyAlignment="1">
      <alignment horizontal="center" vertical="center" wrapText="1"/>
    </xf>
    <xf numFmtId="0" fontId="23" fillId="0" borderId="15" xfId="0" applyFont="1" applyBorder="1" applyAlignment="1">
      <alignment horizontal="center" vertical="center" wrapText="1"/>
    </xf>
    <xf numFmtId="0" fontId="0" fillId="0" borderId="0" xfId="0" applyAlignment="1">
      <alignment horizontal="center" vertical="top"/>
    </xf>
    <xf numFmtId="0" fontId="23" fillId="0" borderId="15" xfId="0" applyFont="1" applyBorder="1" applyAlignment="1">
      <alignment horizontal="center" vertical="center" wrapText="1"/>
    </xf>
    <xf numFmtId="9" fontId="0" fillId="0" borderId="0" xfId="1" applyFont="1" applyAlignment="1">
      <alignment horizontal="center" vertical="top"/>
    </xf>
    <xf numFmtId="9" fontId="0" fillId="0" borderId="0" xfId="1" applyFont="1" applyAlignment="1">
      <alignment vertical="top"/>
    </xf>
    <xf numFmtId="9" fontId="23" fillId="0" borderId="17" xfId="1" applyFont="1" applyBorder="1" applyAlignment="1">
      <alignment vertical="center" wrapText="1"/>
    </xf>
    <xf numFmtId="165" fontId="0" fillId="0" borderId="38" xfId="4" applyNumberFormat="1" applyFont="1" applyBorder="1"/>
    <xf numFmtId="43" fontId="0" fillId="0" borderId="0" xfId="0" applyNumberFormat="1" applyAlignment="1">
      <alignment horizontal="center" vertical="top"/>
    </xf>
    <xf numFmtId="0" fontId="23" fillId="0" borderId="15" xfId="0" applyFont="1" applyBorder="1" applyAlignment="1">
      <alignment horizontal="center" vertical="center" wrapText="1"/>
    </xf>
    <xf numFmtId="0" fontId="23" fillId="0" borderId="43" xfId="0" applyFont="1" applyBorder="1" applyAlignment="1">
      <alignment vertical="center" wrapText="1"/>
    </xf>
    <xf numFmtId="0" fontId="23" fillId="0" borderId="0" xfId="0" applyFont="1" applyAlignment="1">
      <alignment horizontal="left" vertical="center" indent="15"/>
    </xf>
    <xf numFmtId="168" fontId="0" fillId="0" borderId="0" xfId="0" applyNumberFormat="1"/>
    <xf numFmtId="167" fontId="0" fillId="0" borderId="0" xfId="0" applyNumberFormat="1"/>
    <xf numFmtId="0" fontId="23" fillId="0" borderId="15" xfId="0" applyFont="1" applyBorder="1" applyAlignment="1">
      <alignment horizontal="center" vertical="center" wrapText="1"/>
    </xf>
    <xf numFmtId="43" fontId="0" fillId="0" borderId="0" xfId="4" applyFont="1" applyAlignment="1">
      <alignment vertical="top"/>
    </xf>
    <xf numFmtId="0" fontId="0" fillId="0" borderId="1" xfId="0" applyBorder="1" applyAlignment="1">
      <alignment horizontal="center" vertical="center"/>
    </xf>
    <xf numFmtId="165" fontId="0" fillId="0" borderId="38" xfId="4" applyNumberFormat="1" applyFont="1" applyFill="1" applyBorder="1" applyAlignment="1">
      <alignment horizontal="center"/>
    </xf>
    <xf numFmtId="165" fontId="29" fillId="0" borderId="0" xfId="4" applyNumberFormat="1" applyFont="1"/>
    <xf numFmtId="164" fontId="29" fillId="0" borderId="0" xfId="4" applyNumberFormat="1" applyFont="1"/>
    <xf numFmtId="0" fontId="0" fillId="0" borderId="1" xfId="0" applyFont="1" applyBorder="1" applyAlignment="1">
      <alignment horizontal="center" vertical="center"/>
    </xf>
    <xf numFmtId="164" fontId="1" fillId="0" borderId="0" xfId="4" applyNumberFormat="1" applyFont="1"/>
    <xf numFmtId="164" fontId="1" fillId="0" borderId="0" xfId="4" applyNumberFormat="1" applyFont="1" applyFill="1"/>
    <xf numFmtId="43" fontId="1" fillId="0" borderId="0" xfId="4" applyNumberFormat="1" applyFont="1"/>
    <xf numFmtId="43" fontId="1" fillId="0" borderId="0" xfId="4" applyFont="1" applyFill="1"/>
    <xf numFmtId="164" fontId="1" fillId="0" borderId="0" xfId="4" applyNumberFormat="1" applyFont="1" applyFill="1" applyBorder="1"/>
    <xf numFmtId="0" fontId="0" fillId="0" borderId="0" xfId="0" applyFont="1"/>
    <xf numFmtId="43" fontId="0" fillId="0" borderId="0" xfId="0" applyNumberFormat="1" applyAlignment="1">
      <alignment vertical="top"/>
    </xf>
    <xf numFmtId="165" fontId="0" fillId="0" borderId="1" xfId="4" applyNumberFormat="1" applyFont="1" applyBorder="1" applyAlignment="1">
      <alignment horizontal="center" vertical="center"/>
    </xf>
    <xf numFmtId="165" fontId="0" fillId="0" borderId="0" xfId="4" applyNumberFormat="1" applyFont="1" applyBorder="1" applyAlignment="1">
      <alignment horizontal="right" vertical="center"/>
    </xf>
    <xf numFmtId="165" fontId="0" fillId="0" borderId="0" xfId="4" applyNumberFormat="1" applyFont="1" applyBorder="1" applyAlignment="1">
      <alignment horizontal="right"/>
    </xf>
    <xf numFmtId="0" fontId="0" fillId="37" borderId="0" xfId="0" applyFill="1" applyAlignment="1"/>
    <xf numFmtId="43" fontId="0" fillId="33" borderId="0" xfId="4" applyFont="1" applyFill="1"/>
    <xf numFmtId="43" fontId="0" fillId="3" borderId="0" xfId="4" applyFont="1" applyFill="1"/>
    <xf numFmtId="43" fontId="0" fillId="34" borderId="0" xfId="4" applyFont="1" applyFill="1"/>
    <xf numFmtId="0" fontId="23"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0" fillId="0" borderId="0" xfId="0" applyAlignment="1">
      <alignment horizontal="center" vertical="top"/>
    </xf>
    <xf numFmtId="167" fontId="1" fillId="0" borderId="0" xfId="4" applyNumberFormat="1" applyFont="1" applyFill="1" applyBorder="1"/>
    <xf numFmtId="167" fontId="0" fillId="0" borderId="0" xfId="4" applyNumberFormat="1" applyFont="1" applyFill="1" applyBorder="1"/>
    <xf numFmtId="167" fontId="0" fillId="37" borderId="0" xfId="0" applyNumberFormat="1" applyFill="1" applyAlignment="1"/>
    <xf numFmtId="167" fontId="0" fillId="0" borderId="0" xfId="4" applyNumberFormat="1" applyFont="1"/>
    <xf numFmtId="167" fontId="0" fillId="33" borderId="0" xfId="4" applyNumberFormat="1" applyFont="1" applyFill="1"/>
    <xf numFmtId="1" fontId="0" fillId="33" borderId="0" xfId="4" applyNumberFormat="1" applyFont="1" applyFill="1"/>
    <xf numFmtId="43" fontId="8" fillId="0" borderId="0" xfId="4" applyFont="1"/>
    <xf numFmtId="170" fontId="0" fillId="0" borderId="0" xfId="0" applyNumberFormat="1" applyAlignment="1">
      <alignment vertical="top"/>
    </xf>
    <xf numFmtId="2" fontId="0" fillId="0" borderId="0" xfId="4" applyNumberFormat="1" applyFont="1"/>
    <xf numFmtId="43" fontId="0" fillId="0" borderId="0" xfId="0" applyNumberFormat="1"/>
    <xf numFmtId="0" fontId="23" fillId="0" borderId="15" xfId="0" applyFont="1" applyBorder="1" applyAlignment="1">
      <alignment horizontal="center" vertical="center" wrapText="1"/>
    </xf>
    <xf numFmtId="171" fontId="0" fillId="0" borderId="0" xfId="0" applyNumberFormat="1" applyAlignment="1">
      <alignment vertical="top"/>
    </xf>
    <xf numFmtId="0" fontId="17" fillId="0" borderId="0" xfId="0" applyFont="1" applyAlignment="1">
      <alignment horizontal="center" vertical="center"/>
    </xf>
    <xf numFmtId="0" fontId="17" fillId="0" borderId="21" xfId="0" applyFont="1" applyBorder="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9" xfId="0" applyFont="1" applyBorder="1" applyAlignment="1">
      <alignment horizontal="center"/>
    </xf>
    <xf numFmtId="0" fontId="17" fillId="13" borderId="2" xfId="0" applyFont="1" applyFill="1" applyBorder="1" applyAlignment="1">
      <alignment horizontal="center"/>
    </xf>
    <xf numFmtId="0" fontId="17" fillId="13" borderId="3" xfId="0" applyFont="1" applyFill="1" applyBorder="1" applyAlignment="1">
      <alignment horizontal="center"/>
    </xf>
    <xf numFmtId="0" fontId="17" fillId="13" borderId="9" xfId="0" applyFont="1" applyFill="1" applyBorder="1" applyAlignment="1">
      <alignment horizontal="center"/>
    </xf>
    <xf numFmtId="0" fontId="4" fillId="0" borderId="0" xfId="0" applyFont="1" applyBorder="1" applyAlignment="1">
      <alignment horizontal="center"/>
    </xf>
    <xf numFmtId="2" fontId="4" fillId="0" borderId="2" xfId="0" applyNumberFormat="1" applyFont="1" applyBorder="1" applyAlignment="1">
      <alignment horizontal="center"/>
    </xf>
    <xf numFmtId="2" fontId="4" fillId="0" borderId="3" xfId="0" applyNumberFormat="1" applyFont="1" applyBorder="1" applyAlignment="1">
      <alignment horizontal="center"/>
    </xf>
    <xf numFmtId="2" fontId="4" fillId="0" borderId="4" xfId="0" applyNumberFormat="1" applyFont="1" applyBorder="1" applyAlignment="1">
      <alignment horizontal="center"/>
    </xf>
    <xf numFmtId="9" fontId="4" fillId="0" borderId="2" xfId="1" applyFont="1" applyBorder="1" applyAlignment="1">
      <alignment horizontal="center"/>
    </xf>
    <xf numFmtId="9" fontId="4" fillId="0" borderId="3" xfId="1" applyFont="1" applyBorder="1" applyAlignment="1">
      <alignment horizontal="center"/>
    </xf>
    <xf numFmtId="9" fontId="4" fillId="0" borderId="4" xfId="1" applyFont="1" applyBorder="1" applyAlignment="1">
      <alignment horizontal="center"/>
    </xf>
    <xf numFmtId="9" fontId="4" fillId="0" borderId="2" xfId="0" applyNumberFormat="1" applyFont="1" applyBorder="1" applyAlignment="1">
      <alignment horizontal="center"/>
    </xf>
    <xf numFmtId="9" fontId="4" fillId="0" borderId="3" xfId="0" applyNumberFormat="1" applyFont="1" applyBorder="1" applyAlignment="1">
      <alignment horizontal="center"/>
    </xf>
    <xf numFmtId="9" fontId="4" fillId="0" borderId="9" xfId="0" applyNumberFormat="1" applyFont="1" applyBorder="1" applyAlignment="1">
      <alignment horizontal="center"/>
    </xf>
    <xf numFmtId="2" fontId="4" fillId="0" borderId="9" xfId="0" applyNumberFormat="1" applyFont="1" applyBorder="1" applyAlignment="1">
      <alignment horizontal="center"/>
    </xf>
    <xf numFmtId="0" fontId="4" fillId="0" borderId="20" xfId="0" applyFont="1" applyBorder="1" applyAlignment="1">
      <alignment horizontal="center"/>
    </xf>
    <xf numFmtId="0" fontId="18" fillId="0" borderId="26"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26" xfId="0" applyFont="1" applyBorder="1" applyAlignment="1">
      <alignment vertical="center" wrapText="1"/>
    </xf>
    <xf numFmtId="0" fontId="18" fillId="0" borderId="22" xfId="0" applyFont="1" applyBorder="1" applyAlignment="1">
      <alignment vertical="center" wrapText="1"/>
    </xf>
    <xf numFmtId="0" fontId="18" fillId="0" borderId="42" xfId="0" applyFont="1" applyBorder="1" applyAlignment="1">
      <alignment horizontal="center" vertical="center" wrapText="1"/>
    </xf>
    <xf numFmtId="0" fontId="18" fillId="0" borderId="42" xfId="0" applyFont="1" applyBorder="1" applyAlignment="1">
      <alignment horizontal="justify" vertical="center" wrapText="1"/>
    </xf>
    <xf numFmtId="0" fontId="18" fillId="0" borderId="22" xfId="0" applyFont="1" applyBorder="1" applyAlignment="1">
      <alignment horizontal="justify" vertical="center" wrapText="1"/>
    </xf>
    <xf numFmtId="0" fontId="4" fillId="12" borderId="0" xfId="0" applyFont="1" applyFill="1" applyAlignment="1">
      <alignment horizontal="center"/>
    </xf>
    <xf numFmtId="0" fontId="16" fillId="13" borderId="2" xfId="0" applyFont="1" applyFill="1" applyBorder="1" applyAlignment="1">
      <alignment horizontal="center"/>
    </xf>
    <xf numFmtId="0" fontId="16" fillId="13" borderId="3" xfId="0" applyFont="1" applyFill="1" applyBorder="1" applyAlignment="1">
      <alignment horizontal="center"/>
    </xf>
    <xf numFmtId="0" fontId="16" fillId="13" borderId="4" xfId="0" applyFont="1" applyFill="1" applyBorder="1" applyAlignment="1">
      <alignment horizontal="center"/>
    </xf>
    <xf numFmtId="0" fontId="19" fillId="0" borderId="28"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4" xfId="0" applyFont="1" applyBorder="1" applyAlignment="1">
      <alignment horizontal="justify" vertical="center" wrapText="1"/>
    </xf>
    <xf numFmtId="9" fontId="4" fillId="0" borderId="2" xfId="0" applyNumberFormat="1" applyFont="1" applyBorder="1" applyAlignment="1">
      <alignment horizontal="center" vertical="center"/>
    </xf>
    <xf numFmtId="9" fontId="4" fillId="0" borderId="3" xfId="0" applyNumberFormat="1" applyFont="1" applyBorder="1" applyAlignment="1">
      <alignment horizontal="center" vertical="center"/>
    </xf>
    <xf numFmtId="9" fontId="4" fillId="0" borderId="9" xfId="0" applyNumberFormat="1" applyFont="1" applyBorder="1" applyAlignment="1">
      <alignment horizontal="center" vertical="center"/>
    </xf>
    <xf numFmtId="2" fontId="4" fillId="0" borderId="2"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9" xfId="0" applyNumberFormat="1" applyFont="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9" fillId="0" borderId="9"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9" xfId="0" applyFont="1" applyBorder="1" applyAlignment="1">
      <alignment horizontal="center" vertical="center"/>
    </xf>
    <xf numFmtId="0" fontId="26" fillId="0" borderId="3" xfId="0" applyFont="1" applyBorder="1" applyAlignment="1">
      <alignment horizontal="center" vertical="center"/>
    </xf>
    <xf numFmtId="0" fontId="26" fillId="0" borderId="9" xfId="0" applyFont="1" applyBorder="1" applyAlignment="1">
      <alignment horizontal="center" vertical="center"/>
    </xf>
    <xf numFmtId="0" fontId="23" fillId="0" borderId="42"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42" xfId="0" applyFont="1" applyBorder="1" applyAlignment="1">
      <alignment vertical="center" wrapText="1"/>
    </xf>
    <xf numFmtId="0" fontId="23" fillId="0" borderId="15" xfId="0" applyFont="1" applyBorder="1" applyAlignment="1">
      <alignment vertical="center" wrapText="1"/>
    </xf>
    <xf numFmtId="0" fontId="16" fillId="20" borderId="2" xfId="0" applyFont="1" applyFill="1" applyBorder="1" applyAlignment="1">
      <alignment horizontal="center" vertical="center"/>
    </xf>
    <xf numFmtId="0" fontId="16" fillId="20" borderId="3" xfId="0" applyFont="1" applyFill="1" applyBorder="1" applyAlignment="1">
      <alignment horizontal="center" vertical="center"/>
    </xf>
    <xf numFmtId="0" fontId="16" fillId="20" borderId="9" xfId="0" applyFont="1" applyFill="1" applyBorder="1" applyAlignment="1">
      <alignment horizontal="center" vertical="center"/>
    </xf>
    <xf numFmtId="169" fontId="16" fillId="13" borderId="2" xfId="0" applyNumberFormat="1" applyFont="1" applyFill="1" applyBorder="1" applyAlignment="1">
      <alignment horizontal="center" vertical="center"/>
    </xf>
    <xf numFmtId="169" fontId="16" fillId="13" borderId="3" xfId="0" applyNumberFormat="1" applyFont="1" applyFill="1" applyBorder="1" applyAlignment="1">
      <alignment horizontal="center" vertical="center"/>
    </xf>
    <xf numFmtId="169" fontId="16" fillId="13" borderId="9" xfId="0" applyNumberFormat="1" applyFont="1" applyFill="1" applyBorder="1" applyAlignment="1">
      <alignment horizontal="center" vertical="center"/>
    </xf>
    <xf numFmtId="0" fontId="17" fillId="13" borderId="2" xfId="0" applyFont="1" applyFill="1" applyBorder="1" applyAlignment="1">
      <alignment horizontal="center" vertical="center"/>
    </xf>
    <xf numFmtId="0" fontId="17" fillId="13" borderId="3" xfId="0" applyFont="1" applyFill="1" applyBorder="1" applyAlignment="1">
      <alignment horizontal="center" vertical="center"/>
    </xf>
    <xf numFmtId="0" fontId="17" fillId="13" borderId="9" xfId="0" applyFont="1" applyFill="1" applyBorder="1" applyAlignment="1">
      <alignment horizontal="center" vertical="center"/>
    </xf>
    <xf numFmtId="0" fontId="4" fillId="21" borderId="2" xfId="0" applyFont="1" applyFill="1" applyBorder="1" applyAlignment="1">
      <alignment horizontal="center" vertical="center"/>
    </xf>
    <xf numFmtId="0" fontId="4" fillId="21" borderId="3" xfId="0" applyFont="1" applyFill="1" applyBorder="1" applyAlignment="1">
      <alignment horizontal="center" vertical="center"/>
    </xf>
    <xf numFmtId="0" fontId="4" fillId="21" borderId="9" xfId="0" applyFont="1" applyFill="1" applyBorder="1" applyAlignment="1">
      <alignment horizontal="center" vertical="center"/>
    </xf>
    <xf numFmtId="2" fontId="4" fillId="0" borderId="31" xfId="0" applyNumberFormat="1" applyFont="1" applyBorder="1" applyAlignment="1">
      <alignment horizontal="center" vertical="center"/>
    </xf>
    <xf numFmtId="9" fontId="4" fillId="0" borderId="31" xfId="0" applyNumberFormat="1" applyFont="1" applyBorder="1" applyAlignment="1">
      <alignment horizontal="center" vertical="center"/>
    </xf>
    <xf numFmtId="43" fontId="29" fillId="0" borderId="3" xfId="4" applyFont="1" applyBorder="1" applyAlignment="1">
      <alignment horizontal="center" vertical="top" wrapText="1"/>
    </xf>
    <xf numFmtId="43" fontId="29" fillId="0" borderId="9" xfId="4" applyFont="1" applyBorder="1" applyAlignment="1">
      <alignment horizontal="center" vertical="top" wrapText="1"/>
    </xf>
    <xf numFmtId="0" fontId="26" fillId="0" borderId="3" xfId="0" applyFont="1" applyBorder="1" applyAlignment="1">
      <alignment horizontal="left" vertical="top" wrapText="1"/>
    </xf>
    <xf numFmtId="0" fontId="26" fillId="0" borderId="9" xfId="0" applyFont="1" applyBorder="1" applyAlignment="1">
      <alignment horizontal="left" vertical="top" wrapText="1"/>
    </xf>
    <xf numFmtId="0" fontId="23" fillId="0" borderId="33" xfId="0" applyFont="1" applyBorder="1" applyAlignment="1">
      <alignment horizontal="center" vertical="center" wrapText="1"/>
    </xf>
    <xf numFmtId="0" fontId="23" fillId="0" borderId="33" xfId="0" applyFont="1" applyBorder="1" applyAlignment="1">
      <alignment vertical="center" wrapText="1"/>
    </xf>
    <xf numFmtId="0" fontId="16" fillId="20" borderId="2" xfId="0" applyFont="1" applyFill="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169" fontId="16" fillId="13" borderId="2" xfId="0" applyNumberFormat="1" applyFont="1" applyFill="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9" xfId="0" applyFont="1" applyBorder="1" applyAlignment="1">
      <alignment horizontal="center" vertical="center"/>
    </xf>
    <xf numFmtId="0" fontId="23" fillId="0" borderId="14" xfId="0" applyFont="1" applyBorder="1" applyAlignment="1">
      <alignment horizontal="center" vertical="top" wrapText="1"/>
    </xf>
    <xf numFmtId="0" fontId="23" fillId="0" borderId="15" xfId="0" applyFont="1" applyBorder="1" applyAlignment="1">
      <alignment horizontal="center" vertical="top" wrapText="1"/>
    </xf>
    <xf numFmtId="0" fontId="23" fillId="0" borderId="14" xfId="0" applyFont="1" applyBorder="1" applyAlignment="1">
      <alignment horizontal="justify" vertical="top" wrapText="1"/>
    </xf>
    <xf numFmtId="0" fontId="23" fillId="0" borderId="15" xfId="0" applyFont="1" applyBorder="1" applyAlignment="1">
      <alignment horizontal="justify" vertical="top" wrapText="1"/>
    </xf>
    <xf numFmtId="0" fontId="23" fillId="0" borderId="10" xfId="0" applyFont="1" applyBorder="1" applyAlignment="1">
      <alignment horizontal="center" vertical="top" wrapText="1"/>
    </xf>
    <xf numFmtId="0" fontId="23" fillId="0" borderId="6" xfId="0" applyFont="1" applyBorder="1" applyAlignment="1">
      <alignment horizontal="center" vertical="top" wrapText="1"/>
    </xf>
    <xf numFmtId="0" fontId="23" fillId="0" borderId="1" xfId="0" applyFont="1" applyBorder="1" applyAlignment="1">
      <alignment vertical="top" wrapText="1"/>
    </xf>
    <xf numFmtId="0" fontId="17" fillId="0" borderId="0" xfId="0" applyFont="1" applyAlignment="1">
      <alignment horizontal="center" vertical="top"/>
    </xf>
    <xf numFmtId="0" fontId="23" fillId="0" borderId="14" xfId="0" applyFont="1" applyBorder="1" applyAlignment="1">
      <alignment vertical="top" wrapText="1"/>
    </xf>
    <xf numFmtId="0" fontId="23" fillId="0" borderId="15" xfId="0" applyFont="1" applyBorder="1" applyAlignment="1">
      <alignment vertical="top" wrapText="1"/>
    </xf>
    <xf numFmtId="0" fontId="36" fillId="0" borderId="3" xfId="0" applyFont="1" applyBorder="1" applyAlignment="1">
      <alignment horizontal="center" vertical="center"/>
    </xf>
    <xf numFmtId="0" fontId="36" fillId="0" borderId="9" xfId="0" applyFont="1" applyBorder="1" applyAlignment="1">
      <alignment horizontal="center" vertical="center"/>
    </xf>
    <xf numFmtId="0" fontId="23" fillId="0" borderId="33" xfId="0" applyFont="1" applyBorder="1" applyAlignment="1">
      <alignment horizontal="center" vertical="top" wrapText="1"/>
    </xf>
    <xf numFmtId="0" fontId="23" fillId="0" borderId="33" xfId="0" applyFont="1" applyBorder="1" applyAlignment="1">
      <alignment vertical="top" wrapText="1"/>
    </xf>
    <xf numFmtId="0" fontId="4" fillId="0" borderId="31" xfId="0" applyFont="1" applyBorder="1" applyAlignment="1">
      <alignment horizontal="center" vertical="center"/>
    </xf>
    <xf numFmtId="0" fontId="8" fillId="0" borderId="4" xfId="0" applyFont="1" applyBorder="1" applyAlignment="1">
      <alignment horizontal="center" vertical="center"/>
    </xf>
    <xf numFmtId="0" fontId="26" fillId="0" borderId="4" xfId="0" applyFont="1" applyBorder="1" applyAlignment="1">
      <alignment horizontal="center" vertical="center"/>
    </xf>
    <xf numFmtId="0" fontId="4" fillId="0" borderId="4" xfId="0" applyFont="1" applyBorder="1" applyAlignment="1">
      <alignment horizontal="center"/>
    </xf>
    <xf numFmtId="0" fontId="4" fillId="0" borderId="4" xfId="0" applyFont="1" applyBorder="1" applyAlignment="1">
      <alignment horizontal="center" vertical="center"/>
    </xf>
    <xf numFmtId="2" fontId="4" fillId="0" borderId="4" xfId="0" applyNumberFormat="1" applyFont="1" applyBorder="1" applyAlignment="1">
      <alignment horizontal="center" vertical="center"/>
    </xf>
    <xf numFmtId="0" fontId="29" fillId="0" borderId="4" xfId="0" applyFont="1" applyBorder="1" applyAlignment="1">
      <alignment horizontal="center" vertical="center"/>
    </xf>
    <xf numFmtId="0" fontId="16" fillId="27" borderId="2" xfId="0" applyFont="1" applyFill="1" applyBorder="1" applyAlignment="1">
      <alignment horizontal="center" vertical="center"/>
    </xf>
    <xf numFmtId="0" fontId="16" fillId="27" borderId="3" xfId="0" applyFont="1" applyFill="1" applyBorder="1" applyAlignment="1">
      <alignment horizontal="center" vertical="center"/>
    </xf>
    <xf numFmtId="0" fontId="16" fillId="27" borderId="9" xfId="0" applyFont="1" applyFill="1" applyBorder="1" applyAlignment="1">
      <alignment horizontal="center" vertical="center"/>
    </xf>
    <xf numFmtId="14" fontId="16" fillId="13" borderId="2" xfId="0" applyNumberFormat="1" applyFont="1" applyFill="1" applyBorder="1" applyAlignment="1">
      <alignment horizontal="center" vertical="center"/>
    </xf>
    <xf numFmtId="14" fontId="16" fillId="13" borderId="3" xfId="0" applyNumberFormat="1" applyFont="1" applyFill="1" applyBorder="1" applyAlignment="1">
      <alignment horizontal="center" vertical="center"/>
    </xf>
    <xf numFmtId="14" fontId="16" fillId="13" borderId="9" xfId="0" applyNumberFormat="1" applyFont="1" applyFill="1" applyBorder="1" applyAlignment="1">
      <alignment horizontal="center" vertical="center"/>
    </xf>
    <xf numFmtId="9" fontId="4" fillId="0" borderId="4" xfId="0" applyNumberFormat="1" applyFont="1" applyBorder="1" applyAlignment="1">
      <alignment horizontal="center" vertical="center"/>
    </xf>
    <xf numFmtId="0" fontId="16" fillId="13" borderId="2" xfId="0" applyFont="1" applyFill="1" applyBorder="1" applyAlignment="1">
      <alignment horizontal="center" vertical="center"/>
    </xf>
    <xf numFmtId="0" fontId="16" fillId="13" borderId="3" xfId="0" applyFont="1" applyFill="1" applyBorder="1" applyAlignment="1">
      <alignment horizontal="center" vertical="center"/>
    </xf>
    <xf numFmtId="0" fontId="16" fillId="13" borderId="9" xfId="0" applyFont="1" applyFill="1" applyBorder="1" applyAlignment="1">
      <alignment horizontal="center" vertical="center"/>
    </xf>
    <xf numFmtId="9" fontId="4" fillId="0" borderId="2" xfId="0" applyNumberFormat="1" applyFont="1" applyFill="1" applyBorder="1" applyAlignment="1">
      <alignment horizontal="center" vertical="center"/>
    </xf>
    <xf numFmtId="9" fontId="4" fillId="0" borderId="3" xfId="0" applyNumberFormat="1" applyFont="1" applyFill="1" applyBorder="1" applyAlignment="1">
      <alignment horizontal="center" vertical="center"/>
    </xf>
    <xf numFmtId="9" fontId="4" fillId="0" borderId="4" xfId="0" applyNumberFormat="1" applyFont="1" applyFill="1" applyBorder="1" applyAlignment="1">
      <alignment horizontal="center" vertical="center"/>
    </xf>
    <xf numFmtId="0" fontId="4" fillId="0" borderId="20" xfId="0" applyFont="1" applyBorder="1" applyAlignment="1">
      <alignment horizontal="center" vertical="top"/>
    </xf>
    <xf numFmtId="0" fontId="4" fillId="0" borderId="0" xfId="0" applyFont="1" applyBorder="1" applyAlignment="1">
      <alignment horizontal="center" vertical="top"/>
    </xf>
    <xf numFmtId="0" fontId="4" fillId="0" borderId="0" xfId="0" applyFont="1" applyAlignment="1">
      <alignment horizontal="center"/>
    </xf>
    <xf numFmtId="0" fontId="17" fillId="0" borderId="21" xfId="0" applyFont="1" applyBorder="1" applyAlignment="1">
      <alignment horizontal="center" vertical="top"/>
    </xf>
    <xf numFmtId="0" fontId="18" fillId="0" borderId="26" xfId="0" applyFont="1" applyBorder="1" applyAlignment="1">
      <alignment horizontal="center" vertical="top" wrapText="1"/>
    </xf>
    <xf numFmtId="0" fontId="18" fillId="0" borderId="22" xfId="0" applyFont="1" applyBorder="1" applyAlignment="1">
      <alignment horizontal="center" vertical="top" wrapText="1"/>
    </xf>
    <xf numFmtId="0" fontId="18" fillId="0" borderId="26" xfId="0" applyFont="1" applyBorder="1" applyAlignment="1">
      <alignment vertical="top" wrapText="1"/>
    </xf>
    <xf numFmtId="0" fontId="18" fillId="0" borderId="22" xfId="0" applyFont="1" applyBorder="1" applyAlignment="1">
      <alignment vertical="top" wrapText="1"/>
    </xf>
    <xf numFmtId="0" fontId="18" fillId="10" borderId="14" xfId="0" applyFont="1" applyFill="1" applyBorder="1" applyAlignment="1">
      <alignment horizontal="center" vertical="top" wrapText="1"/>
    </xf>
    <xf numFmtId="0" fontId="18" fillId="10" borderId="22" xfId="0" applyFont="1" applyFill="1" applyBorder="1" applyAlignment="1">
      <alignment horizontal="center" vertical="top" wrapText="1"/>
    </xf>
    <xf numFmtId="0" fontId="18" fillId="0" borderId="14" xfId="0" applyFont="1" applyBorder="1" applyAlignment="1">
      <alignment horizontal="justify" vertical="top" wrapText="1"/>
    </xf>
    <xf numFmtId="0" fontId="18" fillId="0" borderId="22" xfId="0" applyFont="1" applyBorder="1" applyAlignment="1">
      <alignment horizontal="justify" vertical="top" wrapText="1"/>
    </xf>
    <xf numFmtId="0" fontId="0" fillId="9" borderId="0" xfId="0" applyFill="1" applyAlignment="1">
      <alignment horizontal="center"/>
    </xf>
    <xf numFmtId="0" fontId="6"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0" xfId="0" applyBorder="1" applyAlignment="1">
      <alignment horizontal="center"/>
    </xf>
    <xf numFmtId="0" fontId="5" fillId="0" borderId="0" xfId="0" applyFont="1" applyAlignment="1">
      <alignment horizontal="center" vertical="top"/>
    </xf>
    <xf numFmtId="0" fontId="5" fillId="0" borderId="19" xfId="0" applyFont="1" applyBorder="1" applyAlignment="1">
      <alignment horizontal="center" vertical="top"/>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0" fillId="0" borderId="1" xfId="0" applyBorder="1" applyAlignment="1">
      <alignment horizontal="center" vertical="center"/>
    </xf>
    <xf numFmtId="0" fontId="0" fillId="0" borderId="38"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38" xfId="0" applyNumberFormat="1" applyBorder="1" applyAlignment="1">
      <alignment horizontal="center" vertical="center"/>
    </xf>
    <xf numFmtId="0" fontId="5" fillId="6" borderId="0" xfId="0" applyFont="1" applyFill="1" applyAlignment="1">
      <alignment horizontal="center"/>
    </xf>
    <xf numFmtId="0" fontId="5" fillId="6" borderId="0" xfId="0" applyFont="1" applyFill="1" applyAlignment="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horizontal="center" vertical="top" wrapText="1"/>
    </xf>
    <xf numFmtId="0" fontId="12" fillId="0" borderId="15" xfId="0" applyFont="1" applyBorder="1" applyAlignment="1">
      <alignment horizontal="center" vertical="top" wrapText="1"/>
    </xf>
    <xf numFmtId="0" fontId="12" fillId="0" borderId="14" xfId="0" applyFont="1" applyBorder="1" applyAlignment="1">
      <alignment horizontal="justify" vertical="top" wrapText="1"/>
    </xf>
    <xf numFmtId="0" fontId="12" fillId="0" borderId="15" xfId="0" applyFont="1" applyBorder="1" applyAlignment="1">
      <alignment horizontal="justify" vertical="top" wrapText="1"/>
    </xf>
    <xf numFmtId="0" fontId="0" fillId="0" borderId="20" xfId="0" applyBorder="1" applyAlignment="1">
      <alignment horizontal="center" vertical="top"/>
    </xf>
    <xf numFmtId="0" fontId="0" fillId="0" borderId="0" xfId="0" applyAlignment="1">
      <alignment horizontal="center" vertical="top"/>
    </xf>
    <xf numFmtId="0" fontId="9" fillId="0" borderId="14" xfId="0" applyFont="1" applyBorder="1" applyAlignment="1">
      <alignment horizontal="center" vertical="top" wrapText="1"/>
    </xf>
    <xf numFmtId="0" fontId="9" fillId="0" borderId="15" xfId="0" applyFont="1" applyBorder="1" applyAlignment="1">
      <alignment horizontal="center" vertical="top" wrapText="1"/>
    </xf>
    <xf numFmtId="0" fontId="9" fillId="0" borderId="14" xfId="0" applyFont="1" applyBorder="1" applyAlignment="1">
      <alignment vertical="top" wrapText="1"/>
    </xf>
    <xf numFmtId="0" fontId="9" fillId="0" borderId="15" xfId="0" applyFont="1" applyBorder="1" applyAlignment="1">
      <alignment vertical="top" wrapText="1"/>
    </xf>
    <xf numFmtId="0" fontId="9" fillId="0" borderId="14" xfId="0" applyFont="1" applyBorder="1" applyAlignment="1">
      <alignment horizontal="justify" vertical="top" wrapText="1"/>
    </xf>
    <xf numFmtId="0" fontId="9" fillId="0" borderId="15" xfId="0" applyFont="1" applyBorder="1" applyAlignment="1">
      <alignment horizontal="justify" vertical="top" wrapText="1"/>
    </xf>
    <xf numFmtId="0" fontId="5" fillId="6" borderId="0" xfId="0" applyFont="1" applyFill="1" applyBorder="1" applyAlignment="1">
      <alignment horizontal="center"/>
    </xf>
    <xf numFmtId="0" fontId="0" fillId="9" borderId="0" xfId="0" applyFill="1" applyBorder="1" applyAlignment="1">
      <alignment horizontal="center"/>
    </xf>
    <xf numFmtId="0" fontId="0" fillId="9" borderId="11" xfId="0" applyFill="1" applyBorder="1" applyAlignment="1">
      <alignment horizontal="center"/>
    </xf>
    <xf numFmtId="9" fontId="0" fillId="0" borderId="1" xfId="1" applyFont="1" applyBorder="1" applyAlignment="1">
      <alignment horizontal="center" vertical="center"/>
    </xf>
    <xf numFmtId="9" fontId="0" fillId="0" borderId="38" xfId="1" applyFont="1" applyBorder="1" applyAlignment="1">
      <alignment horizontal="center" vertical="center"/>
    </xf>
    <xf numFmtId="0" fontId="5" fillId="6" borderId="3" xfId="0" applyFont="1" applyFill="1" applyBorder="1" applyAlignment="1">
      <alignment horizontal="center"/>
    </xf>
    <xf numFmtId="0" fontId="5" fillId="0" borderId="1" xfId="0" applyFont="1" applyBorder="1" applyAlignment="1">
      <alignment horizontal="center" vertical="center"/>
    </xf>
    <xf numFmtId="0" fontId="5" fillId="0" borderId="38" xfId="0" applyFont="1" applyBorder="1" applyAlignment="1">
      <alignment horizontal="center" vertical="center"/>
    </xf>
    <xf numFmtId="0" fontId="5" fillId="6" borderId="2" xfId="0" applyFont="1" applyFill="1" applyBorder="1" applyAlignment="1">
      <alignment horizontal="center"/>
    </xf>
    <xf numFmtId="9" fontId="0" fillId="0" borderId="1" xfId="1" applyNumberFormat="1" applyFont="1" applyBorder="1" applyAlignment="1">
      <alignment horizontal="center" vertical="center"/>
    </xf>
    <xf numFmtId="9" fontId="0" fillId="0" borderId="38" xfId="1" applyNumberFormat="1" applyFont="1"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6" fillId="0" borderId="8"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5" fillId="5"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38" xfId="0" applyFill="1" applyBorder="1" applyAlignment="1">
      <alignment horizontal="center" vertical="center"/>
    </xf>
    <xf numFmtId="167" fontId="0" fillId="0" borderId="1" xfId="0" applyNumberFormat="1" applyBorder="1" applyAlignment="1">
      <alignment horizontal="center" vertical="center"/>
    </xf>
    <xf numFmtId="167" fontId="0" fillId="0" borderId="38" xfId="0" applyNumberFormat="1" applyBorder="1" applyAlignment="1">
      <alignment horizontal="center" vertical="center"/>
    </xf>
    <xf numFmtId="0" fontId="18" fillId="0" borderId="14" xfId="0" applyFont="1" applyBorder="1" applyAlignment="1">
      <alignment horizontal="center" vertical="top" wrapText="1"/>
    </xf>
    <xf numFmtId="14" fontId="31" fillId="13" borderId="2" xfId="0" applyNumberFormat="1" applyFont="1" applyFill="1" applyBorder="1" applyAlignment="1">
      <alignment horizontal="center" vertical="center"/>
    </xf>
    <xf numFmtId="14" fontId="31" fillId="13" borderId="3" xfId="0" applyNumberFormat="1" applyFont="1" applyFill="1" applyBorder="1" applyAlignment="1">
      <alignment horizontal="center" vertical="center"/>
    </xf>
    <xf numFmtId="14" fontId="31" fillId="13" borderId="9" xfId="0" applyNumberFormat="1" applyFont="1" applyFill="1" applyBorder="1" applyAlignment="1">
      <alignment horizontal="center" vertical="center"/>
    </xf>
    <xf numFmtId="0" fontId="23" fillId="0" borderId="33" xfId="0" applyFont="1" applyBorder="1" applyAlignment="1">
      <alignment horizontal="justify" vertical="top" wrapText="1"/>
    </xf>
    <xf numFmtId="43" fontId="26" fillId="0" borderId="3" xfId="0" applyNumberFormat="1" applyFont="1" applyBorder="1" applyAlignment="1">
      <alignment horizontal="center" vertical="center"/>
    </xf>
    <xf numFmtId="2" fontId="4" fillId="29" borderId="2" xfId="0" applyNumberFormat="1" applyFont="1" applyFill="1" applyBorder="1" applyAlignment="1">
      <alignment horizontal="center" vertical="center"/>
    </xf>
    <xf numFmtId="2" fontId="4" fillId="29" borderId="3" xfId="0" applyNumberFormat="1" applyFont="1" applyFill="1" applyBorder="1" applyAlignment="1">
      <alignment horizontal="center" vertical="center"/>
    </xf>
    <xf numFmtId="2" fontId="4" fillId="29" borderId="9" xfId="0" applyNumberFormat="1" applyFont="1" applyFill="1" applyBorder="1" applyAlignment="1">
      <alignment horizontal="center" vertical="center"/>
    </xf>
    <xf numFmtId="9" fontId="4" fillId="29" borderId="2" xfId="0" applyNumberFormat="1" applyFont="1" applyFill="1" applyBorder="1" applyAlignment="1">
      <alignment horizontal="center" vertical="center"/>
    </xf>
    <xf numFmtId="9" fontId="4" fillId="29" borderId="3" xfId="0" applyNumberFormat="1" applyFont="1" applyFill="1" applyBorder="1" applyAlignment="1">
      <alignment horizontal="center" vertical="center"/>
    </xf>
    <xf numFmtId="9" fontId="4" fillId="29" borderId="9" xfId="0" applyNumberFormat="1" applyFont="1" applyFill="1" applyBorder="1" applyAlignment="1">
      <alignment horizontal="center" vertical="center"/>
    </xf>
    <xf numFmtId="0" fontId="29" fillId="29" borderId="2" xfId="0" applyFont="1" applyFill="1" applyBorder="1" applyAlignment="1">
      <alignment horizontal="center" vertical="center"/>
    </xf>
    <xf numFmtId="0" fontId="29" fillId="29" borderId="3" xfId="0" applyFont="1" applyFill="1" applyBorder="1" applyAlignment="1">
      <alignment horizontal="center" vertical="center"/>
    </xf>
    <xf numFmtId="0" fontId="29" fillId="29" borderId="9" xfId="0" applyFont="1" applyFill="1" applyBorder="1" applyAlignment="1">
      <alignment horizontal="center" vertical="center"/>
    </xf>
    <xf numFmtId="0" fontId="17" fillId="0" borderId="35" xfId="0" applyFont="1" applyBorder="1" applyAlignment="1">
      <alignment horizontal="center" vertical="center"/>
    </xf>
    <xf numFmtId="0" fontId="17" fillId="0" borderId="0" xfId="0" applyFont="1" applyBorder="1" applyAlignment="1">
      <alignment horizontal="center" vertical="center"/>
    </xf>
    <xf numFmtId="0" fontId="17" fillId="0" borderId="36" xfId="0" applyFont="1" applyBorder="1" applyAlignment="1">
      <alignment horizontal="center" vertical="center"/>
    </xf>
    <xf numFmtId="0" fontId="17" fillId="0" borderId="19" xfId="0" applyFont="1" applyBorder="1" applyAlignment="1">
      <alignment horizontal="center" vertical="center"/>
    </xf>
    <xf numFmtId="0" fontId="0" fillId="37" borderId="0" xfId="0" applyFill="1" applyAlignment="1">
      <alignment horizontal="center"/>
    </xf>
    <xf numFmtId="0" fontId="5" fillId="36" borderId="0" xfId="0" applyFont="1" applyFill="1" applyAlignment="1">
      <alignment horizontal="center"/>
    </xf>
    <xf numFmtId="0" fontId="5" fillId="16" borderId="0" xfId="0" applyFont="1" applyFill="1" applyAlignment="1">
      <alignment horizontal="center"/>
    </xf>
    <xf numFmtId="0" fontId="5" fillId="27" borderId="0" xfId="0" applyFont="1" applyFill="1" applyAlignment="1">
      <alignment horizontal="center"/>
    </xf>
    <xf numFmtId="0" fontId="0" fillId="0" borderId="0" xfId="0" applyAlignment="1"/>
    <xf numFmtId="0" fontId="0" fillId="32" borderId="0" xfId="0" applyFill="1" applyAlignment="1">
      <alignment horizont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6" fillId="10" borderId="8" xfId="0" applyFont="1" applyFill="1" applyBorder="1" applyAlignment="1">
      <alignment horizontal="center" vertical="center"/>
    </xf>
    <xf numFmtId="0" fontId="16" fillId="11" borderId="8" xfId="0" applyFont="1" applyFill="1" applyBorder="1" applyAlignment="1">
      <alignment horizontal="center" vertical="center"/>
    </xf>
    <xf numFmtId="0" fontId="6" fillId="10" borderId="0" xfId="0" applyFont="1" applyFill="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xf>
    <xf numFmtId="43" fontId="5" fillId="0" borderId="1" xfId="4" applyNumberFormat="1" applyFont="1" applyBorder="1" applyAlignment="1">
      <alignment horizontal="center"/>
    </xf>
    <xf numFmtId="0" fontId="0" fillId="0" borderId="0" xfId="0" applyAlignment="1">
      <alignment horizontal="center"/>
    </xf>
    <xf numFmtId="0" fontId="4" fillId="0" borderId="30" xfId="0" applyFont="1" applyBorder="1" applyAlignment="1">
      <alignment vertical="center"/>
    </xf>
    <xf numFmtId="0" fontId="4" fillId="0" borderId="44" xfId="0" applyFont="1" applyBorder="1" applyAlignment="1">
      <alignment vertical="center"/>
    </xf>
    <xf numFmtId="0" fontId="4" fillId="14" borderId="0" xfId="0" applyFont="1" applyFill="1" applyBorder="1" applyAlignment="1">
      <alignment horizontal="center" vertical="center"/>
    </xf>
    <xf numFmtId="164" fontId="4" fillId="0" borderId="45" xfId="0" applyNumberFormat="1" applyFont="1" applyBorder="1" applyAlignment="1">
      <alignment vertical="center"/>
    </xf>
    <xf numFmtId="164" fontId="4" fillId="0" borderId="6" xfId="0" applyNumberFormat="1" applyFont="1" applyBorder="1" applyAlignment="1">
      <alignment vertical="center"/>
    </xf>
    <xf numFmtId="0" fontId="4" fillId="14" borderId="11" xfId="0" applyFont="1" applyFill="1" applyBorder="1" applyAlignment="1">
      <alignment horizontal="center" vertical="center"/>
    </xf>
    <xf numFmtId="0" fontId="4" fillId="14" borderId="25" xfId="0" applyFont="1" applyFill="1" applyBorder="1" applyAlignment="1">
      <alignment horizontal="center" vertical="center"/>
    </xf>
  </cellXfs>
  <cellStyles count="248">
    <cellStyle name="Comma" xfId="4" builtinId="3"/>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cellStyle name="Normal" xfId="0" builtinId="0"/>
    <cellStyle name="Percent" xfId="1" builtinId="5"/>
  </cellStyles>
  <dxfs count="100">
    <dxf>
      <font>
        <b val="0"/>
        <i val="0"/>
        <strike val="0"/>
        <condense val="0"/>
        <extend val="0"/>
        <outline val="0"/>
        <shadow val="0"/>
        <u val="none"/>
        <vertAlign val="baseline"/>
        <sz val="11"/>
        <color theme="1"/>
        <name val="Calibri"/>
        <scheme val="minor"/>
      </font>
      <numFmt numFmtId="14" formatCode="0.0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4" formatCode="0.0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4" formatCode="0.0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scheme val="minor"/>
      </font>
      <numFmt numFmtId="165" formatCode="_(* #,##0_);_(* \(#,##0\);_(*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_(* #,##0_);_(* \(#,##0\);_(* &quot;-&quot;??_);_(@_)"/>
      <border outline="0">
        <right style="thin">
          <color auto="1"/>
        </right>
      </border>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_(* #,##0_);_(* \(#,##0\);_(* &quot;-&quot;??_);_(@_)"/>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border diagonalUp="0" diagonalDown="0" outline="0">
        <left/>
        <right/>
        <top/>
        <bottom/>
      </border>
    </dxf>
    <dxf>
      <fill>
        <patternFill patternType="solid">
          <fgColor indexed="64"/>
          <bgColor rgb="FF3366FF"/>
        </patternFill>
      </fill>
    </dxf>
    <dxf>
      <font>
        <b val="0"/>
        <i val="0"/>
        <strike val="0"/>
        <condense val="0"/>
        <extend val="0"/>
        <outline val="0"/>
        <shadow val="0"/>
        <u val="none"/>
        <vertAlign val="baseline"/>
        <sz val="11"/>
        <color theme="1"/>
        <name val="Calibri"/>
        <scheme val="minor"/>
      </font>
    </dxf>
    <dxf>
      <font>
        <b/>
        <i val="0"/>
        <condense val="0"/>
        <extend val="0"/>
        <color indexed="14"/>
      </font>
    </dxf>
    <dxf>
      <font>
        <b/>
        <i val="0"/>
        <color rgb="FFFF00D5"/>
      </font>
    </dxf>
    <dxf>
      <font>
        <b/>
        <i val="0"/>
        <color rgb="FFFF00D5"/>
      </font>
    </dxf>
    <dxf>
      <font>
        <b/>
        <i val="0"/>
        <color rgb="FFFF00D5"/>
      </font>
    </dxf>
    <dxf>
      <font>
        <b/>
        <i val="0"/>
        <color rgb="FFFF00D5"/>
      </font>
    </dxf>
    <dxf>
      <font>
        <b/>
        <i val="0"/>
        <condense val="0"/>
        <extend val="0"/>
        <color indexed="14"/>
      </font>
    </dxf>
    <dxf>
      <font>
        <b/>
        <i val="0"/>
        <condense val="0"/>
        <extend val="0"/>
        <color indexed="14"/>
      </font>
    </dxf>
    <dxf>
      <font>
        <b/>
        <i val="0"/>
        <color rgb="FFFF00D5"/>
      </font>
    </dxf>
    <dxf>
      <font>
        <b/>
        <i val="0"/>
        <color rgb="FFFF00D5"/>
      </font>
    </dxf>
    <dxf>
      <font>
        <b/>
        <i val="0"/>
        <color rgb="FFFF00D5"/>
      </font>
    </dxf>
    <dxf>
      <font>
        <b/>
        <i val="0"/>
        <color rgb="FFFF00D5"/>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
      <font>
        <b/>
        <i val="0"/>
        <condense val="0"/>
        <extend val="0"/>
        <color indexed="14"/>
      </font>
    </dxf>
  </dxfs>
  <tableStyles count="0" defaultTableStyle="TableStyleMedium2" defaultPivotStyle="PivotStyleMedium4"/>
  <colors>
    <mruColors>
      <color rgb="FFFF00D5"/>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Week-equivalent volumes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White</c:v>
          </c:tx>
          <c:spPr>
            <a:ln w="28575" cap="rnd">
              <a:solidFill>
                <a:schemeClr val="accent1"/>
              </a:solidFill>
              <a:round/>
            </a:ln>
            <a:effectLst/>
          </c:spPr>
          <c:marker>
            <c:symbol val="none"/>
          </c:marker>
          <c:val>
            <c:numRef>
              <c:f>'yield over time'!$L$64:$BK$64</c:f>
              <c:numCache>
                <c:formatCode>_(* #,##0_);_(* \(#,##0\);_(* "-"??_);_(@_)</c:formatCode>
                <c:ptCount val="52"/>
                <c:pt idx="0">
                  <c:v>1283.75</c:v>
                </c:pt>
                <c:pt idx="1">
                  <c:v>1131.1999999999998</c:v>
                </c:pt>
                <c:pt idx="2">
                  <c:v>1347.45</c:v>
                </c:pt>
                <c:pt idx="3">
                  <c:v>1653.9</c:v>
                </c:pt>
                <c:pt idx="4">
                  <c:v>1203.75</c:v>
                </c:pt>
                <c:pt idx="5">
                  <c:v>1129.5</c:v>
                </c:pt>
                <c:pt idx="6">
                  <c:v>1683.5</c:v>
                </c:pt>
                <c:pt idx="7">
                  <c:v>1641.15</c:v>
                </c:pt>
                <c:pt idx="8">
                  <c:v>1982.8000000000004</c:v>
                </c:pt>
                <c:pt idx="9">
                  <c:v>2927.15</c:v>
                </c:pt>
                <c:pt idx="10">
                  <c:v>2628.75</c:v>
                </c:pt>
                <c:pt idx="11">
                  <c:v>2646.05</c:v>
                </c:pt>
                <c:pt idx="12">
                  <c:v>2745.35</c:v>
                </c:pt>
                <c:pt idx="13">
                  <c:v>2973.95</c:v>
                </c:pt>
                <c:pt idx="14">
                  <c:v>2439</c:v>
                </c:pt>
                <c:pt idx="15">
                  <c:v>2529.9499999999998</c:v>
                </c:pt>
                <c:pt idx="16">
                  <c:v>2364.8000000000006</c:v>
                </c:pt>
                <c:pt idx="17">
                  <c:v>2470.6499999999996</c:v>
                </c:pt>
                <c:pt idx="18">
                  <c:v>1804.4</c:v>
                </c:pt>
                <c:pt idx="19">
                  <c:v>2345.2000000000003</c:v>
                </c:pt>
                <c:pt idx="20">
                  <c:v>2730.25</c:v>
                </c:pt>
                <c:pt idx="21">
                  <c:v>2595.6999999999998</c:v>
                </c:pt>
                <c:pt idx="22">
                  <c:v>2377.2999999999997</c:v>
                </c:pt>
                <c:pt idx="23">
                  <c:v>1917.25</c:v>
                </c:pt>
                <c:pt idx="24">
                  <c:v>2376.67</c:v>
                </c:pt>
                <c:pt idx="25">
                  <c:v>2241.9699999999998</c:v>
                </c:pt>
                <c:pt idx="26">
                  <c:v>2502.91</c:v>
                </c:pt>
                <c:pt idx="27">
                  <c:v>2535.9499999999998</c:v>
                </c:pt>
                <c:pt idx="28">
                  <c:v>3249.9999999999995</c:v>
                </c:pt>
                <c:pt idx="29">
                  <c:v>3877.8999999999996</c:v>
                </c:pt>
                <c:pt idx="30">
                  <c:v>3924</c:v>
                </c:pt>
                <c:pt idx="31">
                  <c:v>3823.45</c:v>
                </c:pt>
                <c:pt idx="32">
                  <c:v>3311.7999999999997</c:v>
                </c:pt>
                <c:pt idx="33">
                  <c:v>3911.0500000000006</c:v>
                </c:pt>
                <c:pt idx="34">
                  <c:v>3687.05</c:v>
                </c:pt>
                <c:pt idx="35">
                  <c:v>3178.7500000000005</c:v>
                </c:pt>
                <c:pt idx="36">
                  <c:v>3497.95</c:v>
                </c:pt>
                <c:pt idx="37">
                  <c:v>3327.65</c:v>
                </c:pt>
                <c:pt idx="38">
                  <c:v>2743.8500000000004</c:v>
                </c:pt>
                <c:pt idx="39">
                  <c:v>2608.1</c:v>
                </c:pt>
                <c:pt idx="40">
                  <c:v>2708.75</c:v>
                </c:pt>
                <c:pt idx="41">
                  <c:v>2452.1</c:v>
                </c:pt>
                <c:pt idx="42">
                  <c:v>2510.3499999999995</c:v>
                </c:pt>
                <c:pt idx="43">
                  <c:v>2425.2000000000003</c:v>
                </c:pt>
                <c:pt idx="44">
                  <c:v>2036.4</c:v>
                </c:pt>
                <c:pt idx="45">
                  <c:v>2484.5</c:v>
                </c:pt>
                <c:pt idx="46">
                  <c:v>1597.8999999999999</c:v>
                </c:pt>
                <c:pt idx="47">
                  <c:v>2146.4</c:v>
                </c:pt>
                <c:pt idx="48">
                  <c:v>1517.3</c:v>
                </c:pt>
                <c:pt idx="49">
                  <c:v>1756.2000000000003</c:v>
                </c:pt>
                <c:pt idx="50">
                  <c:v>1793.6000000000001</c:v>
                </c:pt>
                <c:pt idx="51">
                  <c:v>1981.96</c:v>
                </c:pt>
              </c:numCache>
            </c:numRef>
          </c:val>
          <c:smooth val="0"/>
          <c:extLst>
            <c:ext xmlns:c16="http://schemas.microsoft.com/office/drawing/2014/chart" uri="{C3380CC4-5D6E-409C-BE32-E72D297353CC}">
              <c16:uniqueId val="{00000000-FFCA-DF4D-8230-D742B3EEA8EB}"/>
            </c:ext>
          </c:extLst>
        </c:ser>
        <c:ser>
          <c:idx val="1"/>
          <c:order val="1"/>
          <c:tx>
            <c:v>Brown</c:v>
          </c:tx>
          <c:spPr>
            <a:ln w="28575" cap="rnd">
              <a:solidFill>
                <a:schemeClr val="accent2"/>
              </a:solidFill>
              <a:round/>
            </a:ln>
            <a:effectLst/>
          </c:spPr>
          <c:marker>
            <c:symbol val="none"/>
          </c:marker>
          <c:val>
            <c:numRef>
              <c:f>'yield over time'!$L$65:$BK$65</c:f>
              <c:numCache>
                <c:formatCode>_(* #,##0_);_(* \(#,##0\);_(* "-"??_);_(@_)</c:formatCode>
                <c:ptCount val="52"/>
                <c:pt idx="0">
                  <c:v>274.30000000000007</c:v>
                </c:pt>
                <c:pt idx="1">
                  <c:v>264.36</c:v>
                </c:pt>
                <c:pt idx="2">
                  <c:v>247.44</c:v>
                </c:pt>
                <c:pt idx="3">
                  <c:v>334.1</c:v>
                </c:pt>
                <c:pt idx="4">
                  <c:v>232.85000000000002</c:v>
                </c:pt>
                <c:pt idx="5">
                  <c:v>269.3</c:v>
                </c:pt>
                <c:pt idx="6">
                  <c:v>271.35000000000002</c:v>
                </c:pt>
                <c:pt idx="7">
                  <c:v>224.49999999999997</c:v>
                </c:pt>
                <c:pt idx="8">
                  <c:v>154</c:v>
                </c:pt>
                <c:pt idx="9">
                  <c:v>391.70000000000005</c:v>
                </c:pt>
                <c:pt idx="10">
                  <c:v>264.95</c:v>
                </c:pt>
                <c:pt idx="11">
                  <c:v>366.29999999999995</c:v>
                </c:pt>
                <c:pt idx="12">
                  <c:v>583.4</c:v>
                </c:pt>
                <c:pt idx="13">
                  <c:v>467.59999999999991</c:v>
                </c:pt>
                <c:pt idx="14">
                  <c:v>438</c:v>
                </c:pt>
                <c:pt idx="15">
                  <c:v>521.1</c:v>
                </c:pt>
                <c:pt idx="16">
                  <c:v>373.15</c:v>
                </c:pt>
                <c:pt idx="17">
                  <c:v>392.75</c:v>
                </c:pt>
                <c:pt idx="18">
                  <c:v>333.79999999999995</c:v>
                </c:pt>
                <c:pt idx="19">
                  <c:v>369.84999999999997</c:v>
                </c:pt>
                <c:pt idx="20">
                  <c:v>366.08999999999992</c:v>
                </c:pt>
                <c:pt idx="21">
                  <c:v>452.4</c:v>
                </c:pt>
                <c:pt idx="22">
                  <c:v>446.65</c:v>
                </c:pt>
                <c:pt idx="23">
                  <c:v>410.2999999999999</c:v>
                </c:pt>
                <c:pt idx="24">
                  <c:v>286.86</c:v>
                </c:pt>
                <c:pt idx="25">
                  <c:v>337.57</c:v>
                </c:pt>
                <c:pt idx="26">
                  <c:v>346.01</c:v>
                </c:pt>
                <c:pt idx="27">
                  <c:v>300.57000000000005</c:v>
                </c:pt>
                <c:pt idx="28">
                  <c:v>373.77499999999998</c:v>
                </c:pt>
                <c:pt idx="29">
                  <c:v>403.56000000000006</c:v>
                </c:pt>
                <c:pt idx="30">
                  <c:v>429.25</c:v>
                </c:pt>
                <c:pt idx="31">
                  <c:v>432.09999999999997</c:v>
                </c:pt>
                <c:pt idx="32">
                  <c:v>307.35000000000002</c:v>
                </c:pt>
                <c:pt idx="33">
                  <c:v>418.95000000000005</c:v>
                </c:pt>
                <c:pt idx="34">
                  <c:v>451.2</c:v>
                </c:pt>
                <c:pt idx="35">
                  <c:v>452.75000000000006</c:v>
                </c:pt>
                <c:pt idx="36">
                  <c:v>320</c:v>
                </c:pt>
                <c:pt idx="37">
                  <c:v>392.35</c:v>
                </c:pt>
                <c:pt idx="38">
                  <c:v>379.15000000000015</c:v>
                </c:pt>
                <c:pt idx="39">
                  <c:v>332.30000000000007</c:v>
                </c:pt>
                <c:pt idx="40">
                  <c:v>326.95000000000005</c:v>
                </c:pt>
                <c:pt idx="41">
                  <c:v>326.14999999999992</c:v>
                </c:pt>
                <c:pt idx="42">
                  <c:v>247.30000000000004</c:v>
                </c:pt>
                <c:pt idx="43">
                  <c:v>161.70000000000002</c:v>
                </c:pt>
                <c:pt idx="44">
                  <c:v>161.4</c:v>
                </c:pt>
                <c:pt idx="45">
                  <c:v>201.20000000000002</c:v>
                </c:pt>
                <c:pt idx="46">
                  <c:v>81.099999999999994</c:v>
                </c:pt>
                <c:pt idx="47">
                  <c:v>166.10000000000002</c:v>
                </c:pt>
                <c:pt idx="48">
                  <c:v>182.9</c:v>
                </c:pt>
                <c:pt idx="49">
                  <c:v>183.3</c:v>
                </c:pt>
                <c:pt idx="50">
                  <c:v>196.20000000000002</c:v>
                </c:pt>
                <c:pt idx="51">
                  <c:v>158.82</c:v>
                </c:pt>
              </c:numCache>
            </c:numRef>
          </c:val>
          <c:smooth val="0"/>
          <c:extLst>
            <c:ext xmlns:c16="http://schemas.microsoft.com/office/drawing/2014/chart" uri="{C3380CC4-5D6E-409C-BE32-E72D297353CC}">
              <c16:uniqueId val="{00000001-FFCA-DF4D-8230-D742B3EEA8EB}"/>
            </c:ext>
          </c:extLst>
        </c:ser>
        <c:dLbls>
          <c:showLegendKey val="0"/>
          <c:showVal val="0"/>
          <c:showCatName val="0"/>
          <c:showSerName val="0"/>
          <c:showPercent val="0"/>
          <c:showBubbleSize val="0"/>
        </c:dLbls>
        <c:smooth val="0"/>
        <c:axId val="791061039"/>
        <c:axId val="791066207"/>
      </c:lineChart>
      <c:catAx>
        <c:axId val="79106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66207"/>
        <c:crosses val="autoZero"/>
        <c:auto val="1"/>
        <c:lblAlgn val="ctr"/>
        <c:lblOffset val="100"/>
        <c:noMultiLvlLbl val="0"/>
      </c:catAx>
      <c:valAx>
        <c:axId val="791066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6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White</c:v>
          </c:tx>
          <c:spPr>
            <a:ln w="28575" cap="rnd">
              <a:solidFill>
                <a:schemeClr val="accent1"/>
              </a:solidFill>
              <a:round/>
            </a:ln>
            <a:effectLst/>
          </c:spPr>
          <c:marker>
            <c:symbol val="none"/>
          </c:marker>
          <c:cat>
            <c:numRef>
              <c:f>'yield over time'!$L$3:$BK$3</c:f>
              <c:numCache>
                <c:formatCode>General</c:formatCode>
                <c:ptCount val="52"/>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1</c:v>
                </c:pt>
                <c:pt idx="19">
                  <c:v>2</c:v>
                </c:pt>
                <c:pt idx="20">
                  <c:v>3</c:v>
                </c:pt>
                <c:pt idx="21">
                  <c:v>4</c:v>
                </c:pt>
                <c:pt idx="22">
                  <c:v>5</c:v>
                </c:pt>
                <c:pt idx="23">
                  <c:v>6</c:v>
                </c:pt>
                <c:pt idx="24">
                  <c:v>7</c:v>
                </c:pt>
                <c:pt idx="25">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0">
                  <c:v>23</c:v>
                </c:pt>
                <c:pt idx="41">
                  <c:v>24</c:v>
                </c:pt>
                <c:pt idx="42">
                  <c:v>25</c:v>
                </c:pt>
                <c:pt idx="43">
                  <c:v>26</c:v>
                </c:pt>
                <c:pt idx="44">
                  <c:v>1</c:v>
                </c:pt>
                <c:pt idx="45">
                  <c:v>2</c:v>
                </c:pt>
                <c:pt idx="46">
                  <c:v>3</c:v>
                </c:pt>
                <c:pt idx="47">
                  <c:v>4</c:v>
                </c:pt>
                <c:pt idx="48">
                  <c:v>5</c:v>
                </c:pt>
                <c:pt idx="49">
                  <c:v>6</c:v>
                </c:pt>
                <c:pt idx="50">
                  <c:v>7</c:v>
                </c:pt>
                <c:pt idx="51">
                  <c:v>8</c:v>
                </c:pt>
              </c:numCache>
            </c:numRef>
          </c:cat>
          <c:val>
            <c:numRef>
              <c:f>'yield over time'!$L$47:$BK$47</c:f>
              <c:numCache>
                <c:formatCode>_(* #,##0.0_);_(* \(#,##0.0\);_(* "-"??_);_(@_)</c:formatCode>
                <c:ptCount val="52"/>
                <c:pt idx="0">
                  <c:v>1.1355594869526757</c:v>
                </c:pt>
                <c:pt idx="1">
                  <c:v>1.171014492753623</c:v>
                </c:pt>
                <c:pt idx="2">
                  <c:v>1.5156917885264343</c:v>
                </c:pt>
                <c:pt idx="3">
                  <c:v>1.3473727087576375</c:v>
                </c:pt>
                <c:pt idx="4">
                  <c:v>1.255868544600939</c:v>
                </c:pt>
                <c:pt idx="5">
                  <c:v>1.1876971608832807</c:v>
                </c:pt>
                <c:pt idx="6">
                  <c:v>1.6187499999999999</c:v>
                </c:pt>
                <c:pt idx="7">
                  <c:v>1.4758543165467626</c:v>
                </c:pt>
                <c:pt idx="8">
                  <c:v>1.5557473519027072</c:v>
                </c:pt>
                <c:pt idx="9">
                  <c:v>2.4933134582623508</c:v>
                </c:pt>
                <c:pt idx="10">
                  <c:v>2.262263339070568</c:v>
                </c:pt>
                <c:pt idx="11">
                  <c:v>2.3967844202898552</c:v>
                </c:pt>
                <c:pt idx="12">
                  <c:v>2.7857432775240993</c:v>
                </c:pt>
                <c:pt idx="13">
                  <c:v>3.0470799180327868</c:v>
                </c:pt>
                <c:pt idx="14">
                  <c:v>2.1805990165400089</c:v>
                </c:pt>
                <c:pt idx="15">
                  <c:v>2.2957803992740469</c:v>
                </c:pt>
                <c:pt idx="16">
                  <c:v>2.0220607097050025</c:v>
                </c:pt>
                <c:pt idx="17">
                  <c:v>2.2961431226765794</c:v>
                </c:pt>
                <c:pt idx="18">
                  <c:v>1.5697259678120923</c:v>
                </c:pt>
                <c:pt idx="19">
                  <c:v>2.3358565737051795</c:v>
                </c:pt>
                <c:pt idx="20">
                  <c:v>2.622718539865514</c:v>
                </c:pt>
                <c:pt idx="21">
                  <c:v>2.3978752886836028</c:v>
                </c:pt>
                <c:pt idx="22">
                  <c:v>2.6399777901166015</c:v>
                </c:pt>
                <c:pt idx="23">
                  <c:v>1.9745108135942326</c:v>
                </c:pt>
                <c:pt idx="24">
                  <c:v>2.3742957042957045</c:v>
                </c:pt>
                <c:pt idx="25">
                  <c:v>1.9186735130509198</c:v>
                </c:pt>
                <c:pt idx="26">
                  <c:v>2.0095624247290242</c:v>
                </c:pt>
                <c:pt idx="27">
                  <c:v>2.3222985347985348</c:v>
                </c:pt>
                <c:pt idx="28">
                  <c:v>2.4353690520794302</c:v>
                </c:pt>
                <c:pt idx="29">
                  <c:v>3.1799097990979908</c:v>
                </c:pt>
                <c:pt idx="30">
                  <c:v>3.4092093831450914</c:v>
                </c:pt>
                <c:pt idx="31">
                  <c:v>3.3378000872981231</c:v>
                </c:pt>
                <c:pt idx="32">
                  <c:v>2.4138483965014577</c:v>
                </c:pt>
                <c:pt idx="33">
                  <c:v>2.9417450169236559</c:v>
                </c:pt>
                <c:pt idx="34">
                  <c:v>2.8615056266977108</c:v>
                </c:pt>
                <c:pt idx="35">
                  <c:v>2.4970542026708564</c:v>
                </c:pt>
                <c:pt idx="36">
                  <c:v>2.7126405583559516</c:v>
                </c:pt>
                <c:pt idx="37">
                  <c:v>2.5411607483772434</c:v>
                </c:pt>
                <c:pt idx="38">
                  <c:v>2.3859565217391308</c:v>
                </c:pt>
                <c:pt idx="39">
                  <c:v>2.0039185555128696</c:v>
                </c:pt>
                <c:pt idx="40">
                  <c:v>2.0397213855421685</c:v>
                </c:pt>
                <c:pt idx="41">
                  <c:v>2.0282051282051281</c:v>
                </c:pt>
                <c:pt idx="42">
                  <c:v>1.9789909341742211</c:v>
                </c:pt>
                <c:pt idx="43">
                  <c:v>1.3701694915254239</c:v>
                </c:pt>
                <c:pt idx="44">
                  <c:v>1.1505084745762713</c:v>
                </c:pt>
                <c:pt idx="45">
                  <c:v>1.4036723163841809</c:v>
                </c:pt>
                <c:pt idx="46">
                  <c:v>0.90276836158192086</c:v>
                </c:pt>
                <c:pt idx="47">
                  <c:v>1.2126553672316385</c:v>
                </c:pt>
                <c:pt idx="48">
                  <c:v>0.9302881667688534</c:v>
                </c:pt>
                <c:pt idx="49">
                  <c:v>1.1493455497382201</c:v>
                </c:pt>
                <c:pt idx="50">
                  <c:v>1.0669839381320643</c:v>
                </c:pt>
                <c:pt idx="51">
                  <c:v>1.2786838709677419</c:v>
                </c:pt>
              </c:numCache>
            </c:numRef>
          </c:val>
          <c:smooth val="0"/>
          <c:extLst>
            <c:ext xmlns:c16="http://schemas.microsoft.com/office/drawing/2014/chart" uri="{C3380CC4-5D6E-409C-BE32-E72D297353CC}">
              <c16:uniqueId val="{00000000-65F7-3B48-A15C-75DC563C625A}"/>
            </c:ext>
          </c:extLst>
        </c:ser>
        <c:dLbls>
          <c:showLegendKey val="0"/>
          <c:showVal val="0"/>
          <c:showCatName val="0"/>
          <c:showSerName val="0"/>
          <c:showPercent val="0"/>
          <c:showBubbleSize val="0"/>
        </c:dLbls>
        <c:smooth val="0"/>
        <c:axId val="743845135"/>
        <c:axId val="791546639"/>
      </c:lineChart>
      <c:catAx>
        <c:axId val="7438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46639"/>
        <c:crosses val="autoZero"/>
        <c:auto val="1"/>
        <c:lblAlgn val="ctr"/>
        <c:lblOffset val="100"/>
        <c:noMultiLvlLbl val="0"/>
      </c:catAx>
      <c:valAx>
        <c:axId val="791546639"/>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45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Evolution</a:t>
            </a:r>
            <a:r>
              <a:rPr lang="fr-FR" baseline="0"/>
              <a:t> batch B</a:t>
            </a:r>
            <a:endParaRPr lang="fr-FR"/>
          </a:p>
        </c:rich>
      </c:tx>
      <c:overlay val="0"/>
    </c:title>
    <c:autoTitleDeleted val="0"/>
    <c:plotArea>
      <c:layout/>
      <c:scatterChart>
        <c:scatterStyle val="smoothMarker"/>
        <c:varyColors val="0"/>
        <c:ser>
          <c:idx val="0"/>
          <c:order val="0"/>
          <c:tx>
            <c:strRef>
              <c:f>'yields in kg'!$B$2</c:f>
              <c:strCache>
                <c:ptCount val="1"/>
                <c:pt idx="0">
                  <c:v>1st Flush</c:v>
                </c:pt>
              </c:strCache>
            </c:strRef>
          </c:tx>
          <c:xVal>
            <c:strRef>
              <c:f>'yields in kg'!$A$3:$A$63</c:f>
              <c:strCache>
                <c:ptCount val="30"/>
                <c:pt idx="0">
                  <c:v>Batch 10B</c:v>
                </c:pt>
                <c:pt idx="1">
                  <c:v>Batch 11B</c:v>
                </c:pt>
                <c:pt idx="2">
                  <c:v>Batch 12B</c:v>
                </c:pt>
                <c:pt idx="3">
                  <c:v>Batch 13B</c:v>
                </c:pt>
                <c:pt idx="4">
                  <c:v>Batch 14B</c:v>
                </c:pt>
                <c:pt idx="5">
                  <c:v>Batch 15B</c:v>
                </c:pt>
                <c:pt idx="6">
                  <c:v>Batch 16B</c:v>
                </c:pt>
                <c:pt idx="7">
                  <c:v>Batch 17B</c:v>
                </c:pt>
                <c:pt idx="8">
                  <c:v>Batch 18B</c:v>
                </c:pt>
                <c:pt idx="9">
                  <c:v>Batch 19B</c:v>
                </c:pt>
                <c:pt idx="10">
                  <c:v>Batch 20B</c:v>
                </c:pt>
                <c:pt idx="11">
                  <c:v>Batch 21B</c:v>
                </c:pt>
                <c:pt idx="12">
                  <c:v>Batch 22B</c:v>
                </c:pt>
                <c:pt idx="13">
                  <c:v>Batch 23B</c:v>
                </c:pt>
                <c:pt idx="14">
                  <c:v>Batch 24B</c:v>
                </c:pt>
                <c:pt idx="15">
                  <c:v>Batch 25B</c:v>
                </c:pt>
                <c:pt idx="16">
                  <c:v>Batch 26B</c:v>
                </c:pt>
                <c:pt idx="17">
                  <c:v>Batch 27B</c:v>
                </c:pt>
                <c:pt idx="18">
                  <c:v>Batch 1B</c:v>
                </c:pt>
                <c:pt idx="19">
                  <c:v>Batch 2 B</c:v>
                </c:pt>
                <c:pt idx="20">
                  <c:v>Batch 3 B</c:v>
                </c:pt>
                <c:pt idx="21">
                  <c:v>Batch 4 B</c:v>
                </c:pt>
                <c:pt idx="22">
                  <c:v>Batch 5 B</c:v>
                </c:pt>
                <c:pt idx="23">
                  <c:v>Batch 6 B</c:v>
                </c:pt>
                <c:pt idx="24">
                  <c:v>Batch 7 B</c:v>
                </c:pt>
                <c:pt idx="25">
                  <c:v>Batch 8 B</c:v>
                </c:pt>
                <c:pt idx="26">
                  <c:v>Batch 9B</c:v>
                </c:pt>
                <c:pt idx="27">
                  <c:v>Batch 10B</c:v>
                </c:pt>
                <c:pt idx="28">
                  <c:v>Batch 11B</c:v>
                </c:pt>
                <c:pt idx="29">
                  <c:v>Batch 12B</c:v>
                </c:pt>
              </c:strCache>
            </c:strRef>
          </c:xVal>
          <c:yVal>
            <c:numRef>
              <c:f>'yields in kg'!$B$3:$B$63</c:f>
              <c:numCache>
                <c:formatCode>_(* #,##0.0_);_(* \(#,##0.0\);_(* "-"??_);_(@_)</c:formatCode>
                <c:ptCount val="31"/>
                <c:pt idx="0">
                  <c:v>284.7</c:v>
                </c:pt>
                <c:pt idx="1">
                  <c:v>94.6</c:v>
                </c:pt>
                <c:pt idx="2">
                  <c:v>303.10000000000002</c:v>
                </c:pt>
                <c:pt idx="3">
                  <c:v>324.3</c:v>
                </c:pt>
                <c:pt idx="4">
                  <c:v>138</c:v>
                </c:pt>
                <c:pt idx="5">
                  <c:v>243.6</c:v>
                </c:pt>
                <c:pt idx="6">
                  <c:v>513</c:v>
                </c:pt>
                <c:pt idx="7">
                  <c:v>596</c:v>
                </c:pt>
                <c:pt idx="8">
                  <c:v>675.4</c:v>
                </c:pt>
                <c:pt idx="9">
                  <c:v>1469.5</c:v>
                </c:pt>
                <c:pt idx="10">
                  <c:v>1496.6</c:v>
                </c:pt>
                <c:pt idx="11">
                  <c:v>1266.3</c:v>
                </c:pt>
                <c:pt idx="12">
                  <c:v>348.5</c:v>
                </c:pt>
                <c:pt idx="13">
                  <c:v>1637.2</c:v>
                </c:pt>
                <c:pt idx="14">
                  <c:v>1465.9</c:v>
                </c:pt>
                <c:pt idx="15">
                  <c:v>1226.2</c:v>
                </c:pt>
                <c:pt idx="16">
                  <c:v>1234.0999999999999</c:v>
                </c:pt>
                <c:pt idx="17">
                  <c:v>1585.8</c:v>
                </c:pt>
                <c:pt idx="18" formatCode="_(* #,##0_);_(* \(#,##0\);_(* &quot;-&quot;??_);_(@_)">
                  <c:v>1236.7</c:v>
                </c:pt>
                <c:pt idx="19" formatCode="_(* #,##0_);_(* \(#,##0\);_(* &quot;-&quot;??_);_(@_)">
                  <c:v>1579.5</c:v>
                </c:pt>
                <c:pt idx="20" formatCode="_(* #,##0_);_(* \(#,##0\);_(* &quot;-&quot;??_);_(@_)">
                  <c:v>1246.5999999999999</c:v>
                </c:pt>
                <c:pt idx="21" formatCode="_(* #,##0_);_(* \(#,##0\);_(* &quot;-&quot;??_);_(@_)">
                  <c:v>1145.7</c:v>
                </c:pt>
                <c:pt idx="22" formatCode="_(* #,##0_);_(* \(#,##0\);_(* &quot;-&quot;??_);_(@_)">
                  <c:v>1190.3</c:v>
                </c:pt>
                <c:pt idx="23" formatCode="_(* #,##0_);_(* \(#,##0\);_(* &quot;-&quot;??_);_(@_)">
                  <c:v>1018.1</c:v>
                </c:pt>
                <c:pt idx="24" formatCode="_(* #,##0_);_(* \(#,##0\);_(* &quot;-&quot;??_);_(@_)">
                  <c:v>1101.28</c:v>
                </c:pt>
                <c:pt idx="25" formatCode="_(* #,##0_);_(* \(#,##0\);_(* &quot;-&quot;??_);_(@_)">
                  <c:v>874.66</c:v>
                </c:pt>
                <c:pt idx="26" formatCode="_(* #,##0_);_(* \(#,##0\);_(* &quot;-&quot;??_);_(@_)">
                  <c:v>996.9</c:v>
                </c:pt>
                <c:pt idx="27" formatCode="_(* #,##0_);_(* \(#,##0\);_(* &quot;-&quot;??_);_(@_)">
                  <c:v>874.6</c:v>
                </c:pt>
                <c:pt idx="28">
                  <c:v>1624.8</c:v>
                </c:pt>
                <c:pt idx="29">
                  <c:v>1857.4</c:v>
                </c:pt>
              </c:numCache>
            </c:numRef>
          </c:yVal>
          <c:smooth val="1"/>
          <c:extLst>
            <c:ext xmlns:c16="http://schemas.microsoft.com/office/drawing/2014/chart" uri="{C3380CC4-5D6E-409C-BE32-E72D297353CC}">
              <c16:uniqueId val="{00000000-63F5-4F2A-8B52-B501A2BA2C70}"/>
            </c:ext>
          </c:extLst>
        </c:ser>
        <c:ser>
          <c:idx val="1"/>
          <c:order val="1"/>
          <c:tx>
            <c:strRef>
              <c:f>'yields in kg'!$C$2</c:f>
              <c:strCache>
                <c:ptCount val="1"/>
                <c:pt idx="0">
                  <c:v>2nd Flush</c:v>
                </c:pt>
              </c:strCache>
            </c:strRef>
          </c:tx>
          <c:xVal>
            <c:strRef>
              <c:f>'yields in kg'!$A$3:$A$63</c:f>
              <c:strCache>
                <c:ptCount val="30"/>
                <c:pt idx="0">
                  <c:v>Batch 10B</c:v>
                </c:pt>
                <c:pt idx="1">
                  <c:v>Batch 11B</c:v>
                </c:pt>
                <c:pt idx="2">
                  <c:v>Batch 12B</c:v>
                </c:pt>
                <c:pt idx="3">
                  <c:v>Batch 13B</c:v>
                </c:pt>
                <c:pt idx="4">
                  <c:v>Batch 14B</c:v>
                </c:pt>
                <c:pt idx="5">
                  <c:v>Batch 15B</c:v>
                </c:pt>
                <c:pt idx="6">
                  <c:v>Batch 16B</c:v>
                </c:pt>
                <c:pt idx="7">
                  <c:v>Batch 17B</c:v>
                </c:pt>
                <c:pt idx="8">
                  <c:v>Batch 18B</c:v>
                </c:pt>
                <c:pt idx="9">
                  <c:v>Batch 19B</c:v>
                </c:pt>
                <c:pt idx="10">
                  <c:v>Batch 20B</c:v>
                </c:pt>
                <c:pt idx="11">
                  <c:v>Batch 21B</c:v>
                </c:pt>
                <c:pt idx="12">
                  <c:v>Batch 22B</c:v>
                </c:pt>
                <c:pt idx="13">
                  <c:v>Batch 23B</c:v>
                </c:pt>
                <c:pt idx="14">
                  <c:v>Batch 24B</c:v>
                </c:pt>
                <c:pt idx="15">
                  <c:v>Batch 25B</c:v>
                </c:pt>
                <c:pt idx="16">
                  <c:v>Batch 26B</c:v>
                </c:pt>
                <c:pt idx="17">
                  <c:v>Batch 27B</c:v>
                </c:pt>
                <c:pt idx="18">
                  <c:v>Batch 1B</c:v>
                </c:pt>
                <c:pt idx="19">
                  <c:v>Batch 2 B</c:v>
                </c:pt>
                <c:pt idx="20">
                  <c:v>Batch 3 B</c:v>
                </c:pt>
                <c:pt idx="21">
                  <c:v>Batch 4 B</c:v>
                </c:pt>
                <c:pt idx="22">
                  <c:v>Batch 5 B</c:v>
                </c:pt>
                <c:pt idx="23">
                  <c:v>Batch 6 B</c:v>
                </c:pt>
                <c:pt idx="24">
                  <c:v>Batch 7 B</c:v>
                </c:pt>
                <c:pt idx="25">
                  <c:v>Batch 8 B</c:v>
                </c:pt>
                <c:pt idx="26">
                  <c:v>Batch 9B</c:v>
                </c:pt>
                <c:pt idx="27">
                  <c:v>Batch 10B</c:v>
                </c:pt>
                <c:pt idx="28">
                  <c:v>Batch 11B</c:v>
                </c:pt>
                <c:pt idx="29">
                  <c:v>Batch 12B</c:v>
                </c:pt>
              </c:strCache>
            </c:strRef>
          </c:xVal>
          <c:yVal>
            <c:numRef>
              <c:f>'yields in kg'!$C$3:$C$63</c:f>
              <c:numCache>
                <c:formatCode>_(* #,##0.0_);_(* \(#,##0.0\);_(* "-"??_);_(@_)</c:formatCode>
                <c:ptCount val="31"/>
                <c:pt idx="0">
                  <c:v>842.2</c:v>
                </c:pt>
                <c:pt idx="1">
                  <c:v>138.69999999999999</c:v>
                </c:pt>
                <c:pt idx="2">
                  <c:v>706</c:v>
                </c:pt>
                <c:pt idx="3">
                  <c:v>907.1</c:v>
                </c:pt>
                <c:pt idx="4">
                  <c:v>340.6</c:v>
                </c:pt>
                <c:pt idx="5">
                  <c:v>680.9</c:v>
                </c:pt>
                <c:pt idx="6">
                  <c:v>772.7</c:v>
                </c:pt>
                <c:pt idx="7">
                  <c:v>681</c:v>
                </c:pt>
                <c:pt idx="8">
                  <c:v>771.1</c:v>
                </c:pt>
                <c:pt idx="9">
                  <c:v>1035.5999999999999</c:v>
                </c:pt>
                <c:pt idx="10">
                  <c:v>1168.0999999999999</c:v>
                </c:pt>
                <c:pt idx="11">
                  <c:v>897.7</c:v>
                </c:pt>
                <c:pt idx="12">
                  <c:v>1074.8</c:v>
                </c:pt>
                <c:pt idx="13">
                  <c:v>938.7</c:v>
                </c:pt>
                <c:pt idx="14">
                  <c:v>832.8</c:v>
                </c:pt>
                <c:pt idx="15">
                  <c:v>1186.4000000000001</c:v>
                </c:pt>
                <c:pt idx="16">
                  <c:v>890.6</c:v>
                </c:pt>
                <c:pt idx="17">
                  <c:v>805.5</c:v>
                </c:pt>
                <c:pt idx="18" formatCode="_(* #,##0_);_(* \(#,##0\);_(* &quot;-&quot;??_);_(@_)">
                  <c:v>602.6</c:v>
                </c:pt>
                <c:pt idx="19" formatCode="_(* #,##0_);_(* \(#,##0\);_(* &quot;-&quot;??_);_(@_)">
                  <c:v>677</c:v>
                </c:pt>
                <c:pt idx="20" formatCode="_(* #,##0_);_(* \(#,##0\);_(* &quot;-&quot;??_);_(@_)">
                  <c:v>1316.9</c:v>
                </c:pt>
                <c:pt idx="21" formatCode="_(* #,##0_);_(* \(#,##0\);_(* &quot;-&quot;??_);_(@_)">
                  <c:v>850.7</c:v>
                </c:pt>
                <c:pt idx="22" formatCode="_(* #,##0_);_(* \(#,##0\);_(* &quot;-&quot;??_);_(@_)">
                  <c:v>1146</c:v>
                </c:pt>
                <c:pt idx="23" formatCode="_(* #,##0_);_(* \(#,##0\);_(* &quot;-&quot;??_);_(@_)">
                  <c:v>672.5</c:v>
                </c:pt>
                <c:pt idx="24" formatCode="_(* #,##0_);_(* \(#,##0\);_(* &quot;-&quot;??_);_(@_)">
                  <c:v>1097.98</c:v>
                </c:pt>
                <c:pt idx="25" formatCode="_(* #,##0_);_(* \(#,##0\);_(* &quot;-&quot;??_);_(@_)">
                  <c:v>1489.32</c:v>
                </c:pt>
                <c:pt idx="26" formatCode="_(* #,##0_);_(* \(#,##0\);_(* &quot;-&quot;??_);_(@_)">
                  <c:v>1096</c:v>
                </c:pt>
                <c:pt idx="27" formatCode="_(* #,##0_);_(* \(#,##0\);_(* &quot;-&quot;??_);_(@_)">
                  <c:v>1016.4</c:v>
                </c:pt>
                <c:pt idx="28">
                  <c:v>1444.5</c:v>
                </c:pt>
                <c:pt idx="29">
                  <c:v>1244.9000000000001</c:v>
                </c:pt>
              </c:numCache>
            </c:numRef>
          </c:yVal>
          <c:smooth val="1"/>
          <c:extLst>
            <c:ext xmlns:c16="http://schemas.microsoft.com/office/drawing/2014/chart" uri="{C3380CC4-5D6E-409C-BE32-E72D297353CC}">
              <c16:uniqueId val="{00000001-63F5-4F2A-8B52-B501A2BA2C70}"/>
            </c:ext>
          </c:extLst>
        </c:ser>
        <c:ser>
          <c:idx val="2"/>
          <c:order val="2"/>
          <c:tx>
            <c:strRef>
              <c:f>'yields in kg'!$D$2</c:f>
              <c:strCache>
                <c:ptCount val="1"/>
                <c:pt idx="0">
                  <c:v>3rd Flush</c:v>
                </c:pt>
              </c:strCache>
            </c:strRef>
          </c:tx>
          <c:xVal>
            <c:strRef>
              <c:f>'yields in kg'!$A$3:$A$63</c:f>
              <c:strCache>
                <c:ptCount val="30"/>
                <c:pt idx="0">
                  <c:v>Batch 10B</c:v>
                </c:pt>
                <c:pt idx="1">
                  <c:v>Batch 11B</c:v>
                </c:pt>
                <c:pt idx="2">
                  <c:v>Batch 12B</c:v>
                </c:pt>
                <c:pt idx="3">
                  <c:v>Batch 13B</c:v>
                </c:pt>
                <c:pt idx="4">
                  <c:v>Batch 14B</c:v>
                </c:pt>
                <c:pt idx="5">
                  <c:v>Batch 15B</c:v>
                </c:pt>
                <c:pt idx="6">
                  <c:v>Batch 16B</c:v>
                </c:pt>
                <c:pt idx="7">
                  <c:v>Batch 17B</c:v>
                </c:pt>
                <c:pt idx="8">
                  <c:v>Batch 18B</c:v>
                </c:pt>
                <c:pt idx="9">
                  <c:v>Batch 19B</c:v>
                </c:pt>
                <c:pt idx="10">
                  <c:v>Batch 20B</c:v>
                </c:pt>
                <c:pt idx="11">
                  <c:v>Batch 21B</c:v>
                </c:pt>
                <c:pt idx="12">
                  <c:v>Batch 22B</c:v>
                </c:pt>
                <c:pt idx="13">
                  <c:v>Batch 23B</c:v>
                </c:pt>
                <c:pt idx="14">
                  <c:v>Batch 24B</c:v>
                </c:pt>
                <c:pt idx="15">
                  <c:v>Batch 25B</c:v>
                </c:pt>
                <c:pt idx="16">
                  <c:v>Batch 26B</c:v>
                </c:pt>
                <c:pt idx="17">
                  <c:v>Batch 27B</c:v>
                </c:pt>
                <c:pt idx="18">
                  <c:v>Batch 1B</c:v>
                </c:pt>
                <c:pt idx="19">
                  <c:v>Batch 2 B</c:v>
                </c:pt>
                <c:pt idx="20">
                  <c:v>Batch 3 B</c:v>
                </c:pt>
                <c:pt idx="21">
                  <c:v>Batch 4 B</c:v>
                </c:pt>
                <c:pt idx="22">
                  <c:v>Batch 5 B</c:v>
                </c:pt>
                <c:pt idx="23">
                  <c:v>Batch 6 B</c:v>
                </c:pt>
                <c:pt idx="24">
                  <c:v>Batch 7 B</c:v>
                </c:pt>
                <c:pt idx="25">
                  <c:v>Batch 8 B</c:v>
                </c:pt>
                <c:pt idx="26">
                  <c:v>Batch 9B</c:v>
                </c:pt>
                <c:pt idx="27">
                  <c:v>Batch 10B</c:v>
                </c:pt>
                <c:pt idx="28">
                  <c:v>Batch 11B</c:v>
                </c:pt>
                <c:pt idx="29">
                  <c:v>Batch 12B</c:v>
                </c:pt>
              </c:strCache>
            </c:strRef>
          </c:xVal>
          <c:yVal>
            <c:numRef>
              <c:f>'yields in kg'!$D$3:$D$63</c:f>
              <c:numCache>
                <c:formatCode>_(* #,##0.0_);_(* \(#,##0.0\);_(* "-"??_);_(@_)</c:formatCode>
                <c:ptCount val="31"/>
                <c:pt idx="0">
                  <c:v>281.3</c:v>
                </c:pt>
                <c:pt idx="1">
                  <c:v>187.22</c:v>
                </c:pt>
                <c:pt idx="2">
                  <c:v>399.4</c:v>
                </c:pt>
                <c:pt idx="3">
                  <c:v>555.1</c:v>
                </c:pt>
                <c:pt idx="4">
                  <c:v>706.9</c:v>
                </c:pt>
                <c:pt idx="5">
                  <c:v>161.6</c:v>
                </c:pt>
                <c:pt idx="6">
                  <c:v>690.7</c:v>
                </c:pt>
                <c:pt idx="7">
                  <c:v>611.70000000000005</c:v>
                </c:pt>
                <c:pt idx="8">
                  <c:v>527.9</c:v>
                </c:pt>
                <c:pt idx="9">
                  <c:v>831.4</c:v>
                </c:pt>
                <c:pt idx="10">
                  <c:v>104.4</c:v>
                </c:pt>
                <c:pt idx="11">
                  <c:v>520</c:v>
                </c:pt>
                <c:pt idx="12">
                  <c:v>348.5</c:v>
                </c:pt>
                <c:pt idx="13">
                  <c:v>279.8</c:v>
                </c:pt>
                <c:pt idx="14">
                  <c:v>173.5</c:v>
                </c:pt>
                <c:pt idx="15">
                  <c:v>307.10000000000002</c:v>
                </c:pt>
                <c:pt idx="16">
                  <c:v>319.5</c:v>
                </c:pt>
                <c:pt idx="17">
                  <c:v>179</c:v>
                </c:pt>
                <c:pt idx="18" formatCode="_(* #,##0_);_(* \(#,##0\);_(* &quot;-&quot;??_);_(@_)">
                  <c:v>500.1</c:v>
                </c:pt>
                <c:pt idx="19" formatCode="_(* #,##0_);_(* \(#,##0\);_(* &quot;-&quot;??_);_(@_)">
                  <c:v>338.3</c:v>
                </c:pt>
                <c:pt idx="20" formatCode="_(* #,##0_);_(* \(#,##0\);_(* &quot;-&quot;??_);_(@_)">
                  <c:v>461.3</c:v>
                </c:pt>
                <c:pt idx="21" formatCode="_(* #,##0_);_(* \(#,##0\);_(* &quot;-&quot;??_);_(@_)">
                  <c:v>112.1</c:v>
                </c:pt>
                <c:pt idx="22" formatCode="_(* #,##0_);_(* \(#,##0\);_(* &quot;-&quot;??_);_(@_)">
                  <c:v>432.9</c:v>
                </c:pt>
                <c:pt idx="23" formatCode="_(* #,##0_);_(* \(#,##0\);_(* &quot;-&quot;??_);_(@_)">
                  <c:v>345.8</c:v>
                </c:pt>
                <c:pt idx="24" formatCode="_(* #,##0_);_(* \(#,##0\);_(* &quot;-&quot;??_);_(@_)">
                  <c:v>518.48</c:v>
                </c:pt>
                <c:pt idx="25" formatCode="_(* #,##0_);_(* \(#,##0\);_(* &quot;-&quot;??_);_(@_)">
                  <c:v>80</c:v>
                </c:pt>
                <c:pt idx="26" formatCode="_(* #,##0_);_(* \(#,##0\);_(* &quot;-&quot;??_);_(@_)">
                  <c:v>480.9</c:v>
                </c:pt>
                <c:pt idx="27" formatCode="_(* #,##0_);_(* \(#,##0\);_(* &quot;-&quot;??_);_(@_)">
                  <c:v>1431.3</c:v>
                </c:pt>
                <c:pt idx="28">
                  <c:v>594</c:v>
                </c:pt>
                <c:pt idx="29">
                  <c:v>1017.1</c:v>
                </c:pt>
              </c:numCache>
            </c:numRef>
          </c:yVal>
          <c:smooth val="1"/>
          <c:extLst>
            <c:ext xmlns:c16="http://schemas.microsoft.com/office/drawing/2014/chart" uri="{C3380CC4-5D6E-409C-BE32-E72D297353CC}">
              <c16:uniqueId val="{00000002-63F5-4F2A-8B52-B501A2BA2C70}"/>
            </c:ext>
          </c:extLst>
        </c:ser>
        <c:dLbls>
          <c:showLegendKey val="0"/>
          <c:showVal val="0"/>
          <c:showCatName val="0"/>
          <c:showSerName val="0"/>
          <c:showPercent val="0"/>
          <c:showBubbleSize val="0"/>
        </c:dLbls>
        <c:axId val="-2088398696"/>
        <c:axId val="2112926824"/>
      </c:scatterChart>
      <c:valAx>
        <c:axId val="-2088398696"/>
        <c:scaling>
          <c:orientation val="minMax"/>
        </c:scaling>
        <c:delete val="0"/>
        <c:axPos val="b"/>
        <c:title>
          <c:tx>
            <c:rich>
              <a:bodyPr/>
              <a:lstStyle/>
              <a:p>
                <a:pPr>
                  <a:defRPr/>
                </a:pPr>
                <a:r>
                  <a:rPr lang="fr-FR"/>
                  <a:t>Batch</a:t>
                </a:r>
                <a:r>
                  <a:rPr lang="fr-FR" baseline="0"/>
                  <a:t> since 10B18</a:t>
                </a:r>
                <a:endParaRPr lang="fr-FR"/>
              </a:p>
            </c:rich>
          </c:tx>
          <c:overlay val="0"/>
        </c:title>
        <c:majorTickMark val="none"/>
        <c:minorTickMark val="none"/>
        <c:tickLblPos val="nextTo"/>
        <c:crossAx val="2112926824"/>
        <c:crosses val="autoZero"/>
        <c:crossBetween val="midCat"/>
      </c:valAx>
      <c:valAx>
        <c:axId val="2112926824"/>
        <c:scaling>
          <c:orientation val="minMax"/>
        </c:scaling>
        <c:delete val="0"/>
        <c:axPos val="l"/>
        <c:majorGridlines/>
        <c:title>
          <c:tx>
            <c:rich>
              <a:bodyPr/>
              <a:lstStyle/>
              <a:p>
                <a:pPr>
                  <a:defRPr/>
                </a:pPr>
                <a:r>
                  <a:rPr lang="fr-FR"/>
                  <a:t>Production</a:t>
                </a:r>
              </a:p>
            </c:rich>
          </c:tx>
          <c:overlay val="0"/>
        </c:title>
        <c:numFmt formatCode="_(* #,##0.0_);_(* \(#,##0.0\);_(* &quot;-&quot;??_);_(@_)" sourceLinked="1"/>
        <c:majorTickMark val="none"/>
        <c:minorTickMark val="none"/>
        <c:tickLblPos val="nextTo"/>
        <c:crossAx val="-208839869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val>
            <c:numRef>
              <c:f>'yields in kg'!$F$64</c:f>
              <c:numCache>
                <c:formatCode>0.00%</c:formatCode>
                <c:ptCount val="1"/>
                <c:pt idx="0">
                  <c:v>0.39980324010421081</c:v>
                </c:pt>
              </c:numCache>
            </c:numRef>
          </c:val>
          <c:extLst>
            <c:ext xmlns:c16="http://schemas.microsoft.com/office/drawing/2014/chart" uri="{C3380CC4-5D6E-409C-BE32-E72D297353CC}">
              <c16:uniqueId val="{00000000-7AD9-47B5-8D47-AEA013FD9141}"/>
            </c:ext>
          </c:extLst>
        </c:ser>
        <c:ser>
          <c:idx val="1"/>
          <c:order val="1"/>
          <c:invertIfNegative val="0"/>
          <c:val>
            <c:numRef>
              <c:f>'yields in kg'!$G$64</c:f>
              <c:numCache>
                <c:formatCode>0.00%</c:formatCode>
                <c:ptCount val="1"/>
                <c:pt idx="0">
                  <c:v>0.38082334967805814</c:v>
                </c:pt>
              </c:numCache>
            </c:numRef>
          </c:val>
          <c:extLst>
            <c:ext xmlns:c16="http://schemas.microsoft.com/office/drawing/2014/chart" uri="{C3380CC4-5D6E-409C-BE32-E72D297353CC}">
              <c16:uniqueId val="{00000001-7AD9-47B5-8D47-AEA013FD9141}"/>
            </c:ext>
          </c:extLst>
        </c:ser>
        <c:ser>
          <c:idx val="2"/>
          <c:order val="2"/>
          <c:invertIfNegative val="0"/>
          <c:val>
            <c:numRef>
              <c:f>'yields in kg'!$H$64</c:f>
              <c:numCache>
                <c:formatCode>0.00%</c:formatCode>
                <c:ptCount val="1"/>
                <c:pt idx="0">
                  <c:v>0.21937341021773121</c:v>
                </c:pt>
              </c:numCache>
            </c:numRef>
          </c:val>
          <c:extLst>
            <c:ext xmlns:c16="http://schemas.microsoft.com/office/drawing/2014/chart" uri="{C3380CC4-5D6E-409C-BE32-E72D297353CC}">
              <c16:uniqueId val="{00000002-7AD9-47B5-8D47-AEA013FD9141}"/>
            </c:ext>
          </c:extLst>
        </c:ser>
        <c:dLbls>
          <c:showLegendKey val="0"/>
          <c:showVal val="0"/>
          <c:showCatName val="0"/>
          <c:showSerName val="0"/>
          <c:showPercent val="0"/>
          <c:showBubbleSize val="0"/>
        </c:dLbls>
        <c:gapWidth val="150"/>
        <c:axId val="-2086158456"/>
        <c:axId val="-2085675432"/>
      </c:barChart>
      <c:catAx>
        <c:axId val="-2086158456"/>
        <c:scaling>
          <c:orientation val="minMax"/>
        </c:scaling>
        <c:delete val="0"/>
        <c:axPos val="b"/>
        <c:majorTickMark val="out"/>
        <c:minorTickMark val="none"/>
        <c:tickLblPos val="nextTo"/>
        <c:crossAx val="-2085675432"/>
        <c:crosses val="autoZero"/>
        <c:auto val="1"/>
        <c:lblAlgn val="ctr"/>
        <c:lblOffset val="100"/>
        <c:noMultiLvlLbl val="0"/>
      </c:catAx>
      <c:valAx>
        <c:axId val="-2085675432"/>
        <c:scaling>
          <c:orientation val="minMax"/>
        </c:scaling>
        <c:delete val="0"/>
        <c:axPos val="l"/>
        <c:majorGridlines/>
        <c:numFmt formatCode="0.00%" sourceLinked="1"/>
        <c:majorTickMark val="out"/>
        <c:minorTickMark val="none"/>
        <c:tickLblPos val="nextTo"/>
        <c:crossAx val="-20861584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56</xdr:col>
      <xdr:colOff>50800</xdr:colOff>
      <xdr:row>94</xdr:row>
      <xdr:rowOff>101600</xdr:rowOff>
    </xdr:from>
    <xdr:to>
      <xdr:col>64</xdr:col>
      <xdr:colOff>53975</xdr:colOff>
      <xdr:row>118</xdr:row>
      <xdr:rowOff>114300</xdr:rowOff>
    </xdr:to>
    <xdr:graphicFrame macro="">
      <xdr:nvGraphicFramePr>
        <xdr:cNvPr id="2" name="Chart 1">
          <a:extLst>
            <a:ext uri="{FF2B5EF4-FFF2-40B4-BE49-F238E27FC236}">
              <a16:creationId xmlns:a16="http://schemas.microsoft.com/office/drawing/2014/main" id="{83B85665-5FFA-8142-879B-851C3238A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327025</xdr:colOff>
      <xdr:row>94</xdr:row>
      <xdr:rowOff>76200</xdr:rowOff>
    </xdr:from>
    <xdr:to>
      <xdr:col>55</xdr:col>
      <xdr:colOff>225425</xdr:colOff>
      <xdr:row>119</xdr:row>
      <xdr:rowOff>38100</xdr:rowOff>
    </xdr:to>
    <xdr:graphicFrame macro="">
      <xdr:nvGraphicFramePr>
        <xdr:cNvPr id="3" name="Chart 2">
          <a:extLst>
            <a:ext uri="{FF2B5EF4-FFF2-40B4-BE49-F238E27FC236}">
              <a16:creationId xmlns:a16="http://schemas.microsoft.com/office/drawing/2014/main" id="{D3706845-35BD-274B-950B-E4C34F88D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203200</xdr:colOff>
      <xdr:row>0</xdr:row>
      <xdr:rowOff>114300</xdr:rowOff>
    </xdr:from>
    <xdr:to>
      <xdr:col>19</xdr:col>
      <xdr:colOff>800100</xdr:colOff>
      <xdr:row>63</xdr:row>
      <xdr:rowOff>139700</xdr:rowOff>
    </xdr:to>
    <xdr:graphicFrame macro="">
      <xdr:nvGraphicFramePr>
        <xdr:cNvPr id="4" name="Graphique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64</xdr:row>
      <xdr:rowOff>38100</xdr:rowOff>
    </xdr:from>
    <xdr:to>
      <xdr:col>19</xdr:col>
      <xdr:colOff>762000</xdr:colOff>
      <xdr:row>82</xdr:row>
      <xdr:rowOff>63500</xdr:rowOff>
    </xdr:to>
    <xdr:graphicFrame macro="">
      <xdr:nvGraphicFramePr>
        <xdr:cNvPr id="6" name="Graphique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2:H64" totalsRowCount="1" dataDxfId="16">
  <autoFilter ref="A2:H63">
    <filterColumn colId="0">
      <customFilters>
        <customFilter operator="notEqual" val="*A"/>
      </customFilters>
    </filterColumn>
  </autoFilter>
  <tableColumns count="8">
    <tableColumn id="1" name="Bach Number" dataDxfId="15" totalsRowDxfId="14"/>
    <tableColumn id="2" name="1st Flush" dataDxfId="13" totalsRowDxfId="12"/>
    <tableColumn id="3" name="2nd Flush" dataDxfId="11" totalsRowDxfId="10"/>
    <tableColumn id="4" name="3rd Flush" dataDxfId="9" totalsRowDxfId="8"/>
    <tableColumn id="5" name="Total" totalsRowLabel=" Moyenne " dataDxfId="7" totalsRowDxfId="6">
      <calculatedColumnFormula>B3+C3+D3</calculatedColumnFormula>
    </tableColumn>
    <tableColumn id="6" name="%1st flush" totalsRowFunction="custom" dataDxfId="5" totalsRowDxfId="4">
      <calculatedColumnFormula>Table1[[#This Row],[1st Flush]]/Table1[[#This Row],[Total]]</calculatedColumnFormula>
      <totalsRowFormula>AVERAGE(F3:F62)</totalsRowFormula>
    </tableColumn>
    <tableColumn id="7" name="%2nd flush" totalsRowFunction="custom" dataDxfId="3" totalsRowDxfId="2">
      <calculatedColumnFormula>Table1[[#This Row],[2nd Flush]]/Table1[[#This Row],[Total]]</calculatedColumnFormula>
      <totalsRowFormula>AVERAGE(G3:G62)</totalsRowFormula>
    </tableColumn>
    <tableColumn id="8" name="%3rd flush" totalsRowFunction="custom" dataDxfId="1" totalsRowDxfId="0">
      <calculatedColumnFormula>Table1[[#This Row],[3rd Flush]]/Table1[[#This Row],[Total]]</calculatedColumnFormula>
      <totalsRowFormula>AVERAGE(H3:H62)</totalsRow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wholesale@dunham-bush,co.za"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3"/>
  <sheetViews>
    <sheetView topLeftCell="A461" workbookViewId="0">
      <selection activeCell="C128" sqref="C128"/>
    </sheetView>
  </sheetViews>
  <sheetFormatPr defaultColWidth="11.42578125" defaultRowHeight="15" x14ac:dyDescent="0.25"/>
  <cols>
    <col min="1" max="1" width="18.85546875" bestFit="1" customWidth="1"/>
    <col min="8" max="8" width="14.28515625" bestFit="1" customWidth="1"/>
    <col min="14" max="14" width="22.42578125" customWidth="1"/>
    <col min="15" max="15" width="28.28515625" customWidth="1"/>
    <col min="16" max="16" width="37.85546875" customWidth="1"/>
  </cols>
  <sheetData>
    <row r="1" spans="1:17" ht="21" x14ac:dyDescent="0.35">
      <c r="A1" s="43"/>
      <c r="B1" s="613" t="s">
        <v>116</v>
      </c>
      <c r="C1" s="614"/>
      <c r="D1" s="614"/>
      <c r="E1" s="614"/>
      <c r="F1" s="614"/>
      <c r="G1" s="614"/>
      <c r="H1" s="614"/>
      <c r="I1" s="614"/>
      <c r="J1" s="614"/>
      <c r="K1" s="614"/>
      <c r="L1" s="615"/>
      <c r="M1" s="593" t="s">
        <v>97</v>
      </c>
      <c r="N1" s="585" t="s">
        <v>61</v>
      </c>
      <c r="O1" s="585"/>
      <c r="P1" s="585"/>
      <c r="Q1" s="42"/>
    </row>
    <row r="2" spans="1:17" x14ac:dyDescent="0.25">
      <c r="A2" s="44"/>
      <c r="B2" s="590" t="s">
        <v>115</v>
      </c>
      <c r="C2" s="591"/>
      <c r="D2" s="591"/>
      <c r="E2" s="591"/>
      <c r="F2" s="591"/>
      <c r="G2" s="591"/>
      <c r="H2" s="591"/>
      <c r="I2" s="591"/>
      <c r="J2" s="591"/>
      <c r="K2" s="591"/>
      <c r="L2" s="592"/>
      <c r="M2" s="593"/>
      <c r="N2" s="585"/>
      <c r="O2" s="585"/>
      <c r="P2" s="585"/>
      <c r="Q2" s="42"/>
    </row>
    <row r="3" spans="1:17" x14ac:dyDescent="0.25">
      <c r="A3" s="2" t="s">
        <v>106</v>
      </c>
      <c r="B3" s="594">
        <v>10.625</v>
      </c>
      <c r="C3" s="595"/>
      <c r="D3" s="595"/>
      <c r="E3" s="595"/>
      <c r="F3" s="595"/>
      <c r="G3" s="595"/>
      <c r="H3" s="595"/>
      <c r="I3" s="595"/>
      <c r="J3" s="595"/>
      <c r="K3" s="595"/>
      <c r="L3" s="596"/>
      <c r="M3" s="593"/>
      <c r="N3" s="585"/>
      <c r="O3" s="585"/>
      <c r="P3" s="585"/>
      <c r="Q3" s="42"/>
    </row>
    <row r="4" spans="1:17" x14ac:dyDescent="0.25">
      <c r="A4" s="2" t="s">
        <v>112</v>
      </c>
      <c r="B4" s="597">
        <v>0.15</v>
      </c>
      <c r="C4" s="598"/>
      <c r="D4" s="598"/>
      <c r="E4" s="598"/>
      <c r="F4" s="598"/>
      <c r="G4" s="598"/>
      <c r="H4" s="598"/>
      <c r="I4" s="598"/>
      <c r="J4" s="598"/>
      <c r="K4" s="598"/>
      <c r="L4" s="599"/>
      <c r="M4" s="593"/>
      <c r="N4" s="585"/>
      <c r="O4" s="585"/>
      <c r="P4" s="585"/>
      <c r="Q4" s="42"/>
    </row>
    <row r="5" spans="1:17" ht="15.75" thickBot="1" x14ac:dyDescent="0.3">
      <c r="A5" s="2" t="s">
        <v>107</v>
      </c>
      <c r="B5" s="594">
        <f>B3-(B3*B4)</f>
        <v>9.03125</v>
      </c>
      <c r="C5" s="595"/>
      <c r="D5" s="595"/>
      <c r="E5" s="595"/>
      <c r="F5" s="595"/>
      <c r="G5" s="595"/>
      <c r="H5" s="595"/>
      <c r="I5" s="595"/>
      <c r="J5" s="595"/>
      <c r="K5" s="595"/>
      <c r="L5" s="596"/>
      <c r="M5" s="593"/>
      <c r="N5" s="586"/>
      <c r="O5" s="586"/>
      <c r="P5" s="586"/>
      <c r="Q5" s="42"/>
    </row>
    <row r="6" spans="1:17" x14ac:dyDescent="0.25">
      <c r="A6" s="2" t="s">
        <v>108</v>
      </c>
      <c r="B6" s="600">
        <f>B9/B5</f>
        <v>0.55859377162629764</v>
      </c>
      <c r="C6" s="601"/>
      <c r="D6" s="601"/>
      <c r="E6" s="601"/>
      <c r="F6" s="601"/>
      <c r="G6" s="601"/>
      <c r="H6" s="601"/>
      <c r="I6" s="601"/>
      <c r="J6" s="601"/>
      <c r="K6" s="601"/>
      <c r="L6" s="602"/>
      <c r="M6" s="593"/>
      <c r="N6" s="605"/>
      <c r="O6" s="45"/>
      <c r="P6" s="607"/>
      <c r="Q6" s="42"/>
    </row>
    <row r="7" spans="1:17" ht="15.75" thickBot="1" x14ac:dyDescent="0.3">
      <c r="A7" s="2" t="s">
        <v>113</v>
      </c>
      <c r="B7" s="594">
        <f>B11*(A14+A15+H14+H15)/1000</f>
        <v>16.815999999999999</v>
      </c>
      <c r="C7" s="595"/>
      <c r="D7" s="595"/>
      <c r="E7" s="595"/>
      <c r="F7" s="595"/>
      <c r="G7" s="595"/>
      <c r="H7" s="595"/>
      <c r="I7" s="595"/>
      <c r="J7" s="595"/>
      <c r="K7" s="595"/>
      <c r="L7" s="603"/>
      <c r="M7" s="593"/>
      <c r="N7" s="606"/>
      <c r="O7" s="46"/>
      <c r="P7" s="608"/>
      <c r="Q7" s="42"/>
    </row>
    <row r="8" spans="1:17" ht="15.75" thickBot="1" x14ac:dyDescent="0.3">
      <c r="A8" s="2" t="s">
        <v>109</v>
      </c>
      <c r="B8" s="600">
        <v>0.7</v>
      </c>
      <c r="C8" s="601"/>
      <c r="D8" s="601"/>
      <c r="E8" s="601"/>
      <c r="F8" s="601"/>
      <c r="G8" s="601"/>
      <c r="H8" s="601"/>
      <c r="I8" s="601"/>
      <c r="J8" s="601"/>
      <c r="K8" s="601"/>
      <c r="L8" s="602"/>
      <c r="M8" s="593"/>
      <c r="N8" s="517"/>
      <c r="O8" s="517"/>
      <c r="P8" s="46"/>
      <c r="Q8" s="42"/>
    </row>
    <row r="9" spans="1:17" ht="15.75" thickBot="1" x14ac:dyDescent="0.3">
      <c r="A9" s="2" t="s">
        <v>122</v>
      </c>
      <c r="B9" s="594">
        <f>B7-(B7*B8)</f>
        <v>5.0448000000000004</v>
      </c>
      <c r="C9" s="595"/>
      <c r="D9" s="595"/>
      <c r="E9" s="595"/>
      <c r="F9" s="595"/>
      <c r="G9" s="595"/>
      <c r="H9" s="595"/>
      <c r="I9" s="595"/>
      <c r="J9" s="595"/>
      <c r="K9" s="595"/>
      <c r="L9" s="603"/>
      <c r="M9" s="593"/>
      <c r="N9" s="518"/>
      <c r="O9" s="518"/>
      <c r="P9" s="49"/>
      <c r="Q9" s="42"/>
    </row>
    <row r="10" spans="1:17" ht="15.75" thickBot="1" x14ac:dyDescent="0.3">
      <c r="A10" s="2" t="s">
        <v>110</v>
      </c>
      <c r="B10" s="587">
        <v>120</v>
      </c>
      <c r="C10" s="588"/>
      <c r="D10" s="588"/>
      <c r="E10" s="588"/>
      <c r="F10" s="588"/>
      <c r="G10" s="588"/>
      <c r="H10" s="588"/>
      <c r="I10" s="588"/>
      <c r="J10" s="588"/>
      <c r="K10" s="588"/>
      <c r="L10" s="589"/>
      <c r="M10" s="593"/>
      <c r="N10" s="519"/>
      <c r="O10" s="519"/>
      <c r="P10" s="49"/>
      <c r="Q10" s="42"/>
    </row>
    <row r="11" spans="1:17" x14ac:dyDescent="0.25">
      <c r="A11" s="2" t="s">
        <v>111</v>
      </c>
      <c r="B11" s="587">
        <v>16</v>
      </c>
      <c r="C11" s="588"/>
      <c r="D11" s="588"/>
      <c r="E11" s="588"/>
      <c r="F11" s="588"/>
      <c r="G11" s="588"/>
      <c r="H11" s="588"/>
      <c r="I11" s="588"/>
      <c r="J11" s="588"/>
      <c r="K11" s="588"/>
      <c r="L11" s="589"/>
      <c r="M11" s="593"/>
      <c r="N11" s="50"/>
      <c r="O11" s="624"/>
      <c r="P11" s="625"/>
      <c r="Q11" s="42"/>
    </row>
    <row r="12" spans="1:17" ht="15.75" thickBot="1" x14ac:dyDescent="0.3">
      <c r="A12" s="587" t="s">
        <v>127</v>
      </c>
      <c r="B12" s="588"/>
      <c r="C12" s="588"/>
      <c r="D12" s="588"/>
      <c r="E12" s="589"/>
      <c r="F12" s="51"/>
      <c r="G12" s="587" t="s">
        <v>128</v>
      </c>
      <c r="H12" s="588"/>
      <c r="I12" s="588"/>
      <c r="J12" s="588"/>
      <c r="K12" s="589"/>
      <c r="L12" s="51"/>
      <c r="M12" s="593"/>
      <c r="N12" s="47"/>
      <c r="O12" s="606"/>
      <c r="P12" s="611"/>
      <c r="Q12" s="42"/>
    </row>
    <row r="13" spans="1:17" ht="15.75" thickBot="1" x14ac:dyDescent="0.3">
      <c r="A13" s="52" t="s">
        <v>98</v>
      </c>
      <c r="B13" s="53" t="s">
        <v>102</v>
      </c>
      <c r="C13" s="53" t="s">
        <v>92</v>
      </c>
      <c r="D13" s="53" t="s">
        <v>93</v>
      </c>
      <c r="E13" s="53" t="s">
        <v>94</v>
      </c>
      <c r="F13" s="54" t="s">
        <v>99</v>
      </c>
      <c r="G13" s="53" t="s">
        <v>102</v>
      </c>
      <c r="H13" s="55" t="s">
        <v>98</v>
      </c>
      <c r="I13" s="53" t="s">
        <v>92</v>
      </c>
      <c r="J13" s="53" t="s">
        <v>93</v>
      </c>
      <c r="K13" s="53" t="s">
        <v>94</v>
      </c>
      <c r="L13" s="54" t="s">
        <v>99</v>
      </c>
      <c r="M13" s="593"/>
      <c r="N13" s="47"/>
      <c r="O13" s="48"/>
      <c r="P13" s="49"/>
      <c r="Q13" s="42"/>
    </row>
    <row r="14" spans="1:17" ht="15.75" thickBot="1" x14ac:dyDescent="0.3">
      <c r="A14" s="56">
        <v>373</v>
      </c>
      <c r="B14" s="53" t="s">
        <v>95</v>
      </c>
      <c r="C14" s="57">
        <v>430</v>
      </c>
      <c r="D14" s="57">
        <v>371.8</v>
      </c>
      <c r="E14" s="57">
        <v>89.6</v>
      </c>
      <c r="F14" s="58">
        <f t="shared" ref="F14:F21" si="0">SUM(C14:E14)</f>
        <v>891.4</v>
      </c>
      <c r="G14" s="57" t="s">
        <v>175</v>
      </c>
      <c r="H14" s="59">
        <v>372</v>
      </c>
      <c r="I14" s="57">
        <v>379</v>
      </c>
      <c r="J14" s="57">
        <v>339.5</v>
      </c>
      <c r="K14" s="57">
        <v>75.599999999999994</v>
      </c>
      <c r="L14" s="58">
        <f>SUM(I14:K14)</f>
        <v>794.1</v>
      </c>
      <c r="M14" s="593"/>
      <c r="N14" s="47"/>
      <c r="O14" s="48"/>
      <c r="P14" s="46"/>
      <c r="Q14" s="42"/>
    </row>
    <row r="15" spans="1:17" ht="15.75" thickBot="1" x14ac:dyDescent="0.3">
      <c r="A15" s="56">
        <v>153</v>
      </c>
      <c r="B15" s="53" t="s">
        <v>96</v>
      </c>
      <c r="C15" s="57">
        <v>134.19999999999999</v>
      </c>
      <c r="D15" s="57">
        <v>213</v>
      </c>
      <c r="E15" s="57">
        <v>30.8</v>
      </c>
      <c r="F15" s="58">
        <f t="shared" si="0"/>
        <v>378</v>
      </c>
      <c r="G15" s="57" t="s">
        <v>176</v>
      </c>
      <c r="H15" s="60">
        <v>153</v>
      </c>
      <c r="I15" s="57">
        <v>162.30000000000001</v>
      </c>
      <c r="J15" s="57">
        <v>81.2</v>
      </c>
      <c r="K15" s="57">
        <v>80.099999999999994</v>
      </c>
      <c r="L15" s="58">
        <f t="shared" ref="L15:L21" si="1">SUM(I15:K15)</f>
        <v>323.60000000000002</v>
      </c>
      <c r="M15" s="593"/>
      <c r="N15" s="47"/>
      <c r="O15" s="48"/>
      <c r="P15" s="46"/>
      <c r="Q15" s="42"/>
    </row>
    <row r="16" spans="1:17" ht="15.75" thickBot="1" x14ac:dyDescent="0.3">
      <c r="A16" s="52" t="s">
        <v>100</v>
      </c>
      <c r="B16" s="53" t="s">
        <v>95</v>
      </c>
      <c r="C16" s="66">
        <f>C14/$A$14</f>
        <v>1.1528150134048258</v>
      </c>
      <c r="D16" s="66">
        <f>D14/$A$14</f>
        <v>0.99678284182305632</v>
      </c>
      <c r="E16" s="66">
        <f>E14/$A$14</f>
        <v>0.24021447721179623</v>
      </c>
      <c r="F16" s="58">
        <f t="shared" si="0"/>
        <v>2.3898123324396785</v>
      </c>
      <c r="G16" s="57" t="s">
        <v>175</v>
      </c>
      <c r="H16" s="61" t="s">
        <v>177</v>
      </c>
      <c r="I16" s="66">
        <f t="shared" ref="I16:K17" si="2">I14/$H14</f>
        <v>1.0188172043010753</v>
      </c>
      <c r="J16" s="66">
        <f t="shared" si="2"/>
        <v>0.9126344086021505</v>
      </c>
      <c r="K16" s="66">
        <f t="shared" si="2"/>
        <v>0.20322580645161289</v>
      </c>
      <c r="L16" s="58">
        <f t="shared" si="1"/>
        <v>2.1346774193548388</v>
      </c>
      <c r="M16" s="593"/>
      <c r="N16" s="47"/>
      <c r="O16" s="48"/>
      <c r="P16" s="46"/>
      <c r="Q16" s="42"/>
    </row>
    <row r="17" spans="1:17" ht="16.5" thickBot="1" x14ac:dyDescent="0.3">
      <c r="A17" s="52" t="s">
        <v>100</v>
      </c>
      <c r="B17" s="53" t="s">
        <v>96</v>
      </c>
      <c r="C17" s="66">
        <f>C15/$A$15</f>
        <v>0.87712418300653583</v>
      </c>
      <c r="D17" s="66">
        <f>D15/$A$15</f>
        <v>1.392156862745098</v>
      </c>
      <c r="E17" s="66">
        <f>E15/$A$15</f>
        <v>0.20130718954248367</v>
      </c>
      <c r="F17" s="58">
        <f t="shared" si="0"/>
        <v>2.4705882352941178</v>
      </c>
      <c r="G17" s="57" t="s">
        <v>176</v>
      </c>
      <c r="H17" s="61" t="s">
        <v>177</v>
      </c>
      <c r="I17" s="66">
        <f t="shared" si="2"/>
        <v>1.0607843137254902</v>
      </c>
      <c r="J17" s="66">
        <f t="shared" si="2"/>
        <v>0.53071895424836601</v>
      </c>
      <c r="K17" s="66">
        <f t="shared" si="2"/>
        <v>0.5235294117647058</v>
      </c>
      <c r="L17" s="58">
        <f t="shared" si="1"/>
        <v>2.1150326797385621</v>
      </c>
      <c r="M17" s="593"/>
      <c r="N17" s="492"/>
      <c r="O17" s="63"/>
      <c r="P17" s="64"/>
      <c r="Q17" s="42"/>
    </row>
    <row r="18" spans="1:17" x14ac:dyDescent="0.25">
      <c r="A18" s="52" t="s">
        <v>104</v>
      </c>
      <c r="B18" s="53" t="s">
        <v>95</v>
      </c>
      <c r="C18" s="66">
        <f>C14/($A$14/7.7)</f>
        <v>8.8766756032171585</v>
      </c>
      <c r="D18" s="66">
        <f>D14/($A$14/7.7)</f>
        <v>7.6752278820375333</v>
      </c>
      <c r="E18" s="66">
        <f>E14/($A$14/7.7)</f>
        <v>1.849651474530831</v>
      </c>
      <c r="F18" s="58">
        <f t="shared" si="0"/>
        <v>18.401554959785521</v>
      </c>
      <c r="G18" s="65" t="s">
        <v>175</v>
      </c>
      <c r="H18" s="61" t="s">
        <v>178</v>
      </c>
      <c r="I18" s="66">
        <f t="shared" ref="I18:K19" si="3">I14/($H14/7.7)</f>
        <v>7.8448924731182803</v>
      </c>
      <c r="J18" s="66">
        <f t="shared" si="3"/>
        <v>7.0272849462365601</v>
      </c>
      <c r="K18" s="66">
        <f t="shared" si="3"/>
        <v>1.5648387096774194</v>
      </c>
      <c r="L18" s="58">
        <f t="shared" si="1"/>
        <v>16.437016129032262</v>
      </c>
      <c r="M18" s="593"/>
      <c r="N18" s="604"/>
      <c r="O18" s="604"/>
      <c r="P18" s="604"/>
      <c r="Q18" s="42"/>
    </row>
    <row r="19" spans="1:17" x14ac:dyDescent="0.25">
      <c r="A19" s="52" t="s">
        <v>104</v>
      </c>
      <c r="B19" s="53" t="s">
        <v>96</v>
      </c>
      <c r="C19" s="66">
        <f>C15/($A$15/7.7)</f>
        <v>6.7538562091503263</v>
      </c>
      <c r="D19" s="66">
        <f>D15/($A$15/7.7)</f>
        <v>10.719607843137256</v>
      </c>
      <c r="E19" s="66">
        <f>E15/($A$15/7.7)</f>
        <v>1.5500653594771243</v>
      </c>
      <c r="F19" s="58">
        <f t="shared" si="0"/>
        <v>19.023529411764706</v>
      </c>
      <c r="G19" s="57" t="s">
        <v>176</v>
      </c>
      <c r="H19" s="61" t="s">
        <v>178</v>
      </c>
      <c r="I19" s="66">
        <f t="shared" si="3"/>
        <v>8.1680392156862762</v>
      </c>
      <c r="J19" s="66">
        <f t="shared" si="3"/>
        <v>4.0865359477124183</v>
      </c>
      <c r="K19" s="66">
        <f t="shared" si="3"/>
        <v>4.0311764705882354</v>
      </c>
      <c r="L19" s="58">
        <f t="shared" si="1"/>
        <v>16.28575163398693</v>
      </c>
      <c r="M19" s="593"/>
      <c r="N19" s="593"/>
      <c r="O19" s="593"/>
      <c r="P19" s="593"/>
      <c r="Q19" s="42"/>
    </row>
    <row r="20" spans="1:17" x14ac:dyDescent="0.25">
      <c r="A20" s="52" t="s">
        <v>135</v>
      </c>
      <c r="B20" s="53" t="s">
        <v>95</v>
      </c>
      <c r="C20" s="66">
        <f>C14/((($A14*$B11)*(1-$B8))/$B6)</f>
        <v>0.13415735131775466</v>
      </c>
      <c r="D20" s="66">
        <f>D14/((($A14*$B11)*(1-$B8))/$B6)</f>
        <v>0.1159993098138167</v>
      </c>
      <c r="E20" s="66">
        <f>E14/((($A14*$B11)*(1-$B8))/$B6)</f>
        <v>2.7954648088536784E-2</v>
      </c>
      <c r="F20" s="58">
        <f t="shared" si="0"/>
        <v>0.27811130922010813</v>
      </c>
      <c r="G20" s="66" t="s">
        <v>175</v>
      </c>
      <c r="H20" s="68" t="s">
        <v>179</v>
      </c>
      <c r="I20" s="66">
        <f>I14/((($H14*$B11)*(1-$B8))/$B6)</f>
        <v>0.11856353015589537</v>
      </c>
      <c r="J20" s="66">
        <f>J14/((($H14*$B11)*(1-$B8))/$B6)</f>
        <v>0.10620664508687724</v>
      </c>
      <c r="K20" s="66">
        <f>K14/((($H14*$B11)*(1-$B8))/$B6)</f>
        <v>2.3650139524500499E-2</v>
      </c>
      <c r="L20" s="58">
        <f t="shared" si="1"/>
        <v>0.24842031476727311</v>
      </c>
      <c r="M20" s="593"/>
      <c r="N20" s="593"/>
      <c r="O20" s="593"/>
      <c r="P20" s="593"/>
      <c r="Q20" s="42"/>
    </row>
    <row r="21" spans="1:17" x14ac:dyDescent="0.25">
      <c r="A21" s="52" t="s">
        <v>135</v>
      </c>
      <c r="B21" s="53" t="s">
        <v>96</v>
      </c>
      <c r="C21" s="66">
        <f>C15/((($A15*$B11)*(1-$B8))/$B6)</f>
        <v>0.10207418866046995</v>
      </c>
      <c r="D21" s="66">
        <f>D15/((($A15*$B11)*(1-$B8))/$B6)</f>
        <v>0.16201044847004548</v>
      </c>
      <c r="E21" s="66">
        <f>E15/((($A15*$B11)*(1-$B8))/$B6)</f>
        <v>2.3426862971255402E-2</v>
      </c>
      <c r="F21" s="58">
        <f t="shared" si="0"/>
        <v>0.28751150010177084</v>
      </c>
      <c r="G21" s="66" t="s">
        <v>176</v>
      </c>
      <c r="H21" s="68" t="s">
        <v>179</v>
      </c>
      <c r="I21" s="66">
        <f>I15/((($H15*$B11)*(1-$B8))/$B6)</f>
        <v>0.12344739805956986</v>
      </c>
      <c r="J21" s="66">
        <f>J15/((($H15*$B11)*(1-$B8))/$B6)</f>
        <v>6.1761729651491515E-2</v>
      </c>
      <c r="K21" s="66">
        <f>K15/((($H15*$B11)*(1-$B8))/$B6)</f>
        <v>6.0925055973946672E-2</v>
      </c>
      <c r="L21" s="58">
        <f t="shared" si="1"/>
        <v>0.24613418368500806</v>
      </c>
      <c r="M21" s="593"/>
      <c r="N21" s="593"/>
      <c r="O21" s="593"/>
      <c r="P21" s="593"/>
      <c r="Q21" s="42"/>
    </row>
    <row r="22" spans="1:17" x14ac:dyDescent="0.25">
      <c r="A22" s="612"/>
      <c r="B22" s="612"/>
      <c r="C22" s="612"/>
      <c r="D22" s="612"/>
      <c r="E22" s="612"/>
      <c r="F22" s="612"/>
      <c r="G22" s="612"/>
      <c r="H22" s="612"/>
      <c r="I22" s="612"/>
      <c r="J22" s="612"/>
      <c r="K22" s="612"/>
      <c r="L22" s="612"/>
      <c r="M22" s="612"/>
      <c r="N22" s="612"/>
      <c r="O22" s="612"/>
      <c r="P22" s="612"/>
      <c r="Q22" s="612"/>
    </row>
    <row r="23" spans="1:17" ht="21" x14ac:dyDescent="0.35">
      <c r="A23" s="43"/>
      <c r="B23" s="613" t="s">
        <v>117</v>
      </c>
      <c r="C23" s="614"/>
      <c r="D23" s="614"/>
      <c r="E23" s="614"/>
      <c r="F23" s="614"/>
      <c r="G23" s="614"/>
      <c r="H23" s="614"/>
      <c r="I23" s="614"/>
      <c r="J23" s="614"/>
      <c r="K23" s="614"/>
      <c r="L23" s="615"/>
      <c r="M23" s="593" t="s">
        <v>97</v>
      </c>
      <c r="N23" s="585" t="s">
        <v>61</v>
      </c>
      <c r="O23" s="585"/>
      <c r="P23" s="585"/>
      <c r="Q23" s="42"/>
    </row>
    <row r="24" spans="1:17" x14ac:dyDescent="0.25">
      <c r="A24" s="44"/>
      <c r="B24" s="590" t="s">
        <v>115</v>
      </c>
      <c r="C24" s="591"/>
      <c r="D24" s="591"/>
      <c r="E24" s="591"/>
      <c r="F24" s="591"/>
      <c r="G24" s="591"/>
      <c r="H24" s="591"/>
      <c r="I24" s="591"/>
      <c r="J24" s="591"/>
      <c r="K24" s="591"/>
      <c r="L24" s="592"/>
      <c r="M24" s="593"/>
      <c r="N24" s="585"/>
      <c r="O24" s="585"/>
      <c r="P24" s="585"/>
      <c r="Q24" s="42"/>
    </row>
    <row r="25" spans="1:17" x14ac:dyDescent="0.25">
      <c r="A25" s="2" t="s">
        <v>106</v>
      </c>
      <c r="B25" s="594">
        <v>12</v>
      </c>
      <c r="C25" s="595"/>
      <c r="D25" s="595"/>
      <c r="E25" s="595"/>
      <c r="F25" s="595"/>
      <c r="G25" s="595"/>
      <c r="H25" s="595"/>
      <c r="I25" s="595"/>
      <c r="J25" s="595"/>
      <c r="K25" s="595"/>
      <c r="L25" s="596"/>
      <c r="M25" s="593"/>
      <c r="N25" s="585"/>
      <c r="O25" s="585"/>
      <c r="P25" s="585"/>
      <c r="Q25" s="42"/>
    </row>
    <row r="26" spans="1:17" x14ac:dyDescent="0.25">
      <c r="A26" s="2" t="s">
        <v>112</v>
      </c>
      <c r="B26" s="597">
        <v>0.15</v>
      </c>
      <c r="C26" s="598"/>
      <c r="D26" s="598"/>
      <c r="E26" s="598"/>
      <c r="F26" s="598"/>
      <c r="G26" s="598"/>
      <c r="H26" s="598"/>
      <c r="I26" s="598"/>
      <c r="J26" s="598"/>
      <c r="K26" s="598"/>
      <c r="L26" s="599"/>
      <c r="M26" s="593"/>
      <c r="N26" s="585"/>
      <c r="O26" s="585"/>
      <c r="P26" s="585"/>
      <c r="Q26" s="42"/>
    </row>
    <row r="27" spans="1:17" ht="15.75" thickBot="1" x14ac:dyDescent="0.3">
      <c r="A27" s="2" t="s">
        <v>107</v>
      </c>
      <c r="B27" s="594">
        <f>B25-(B25*B26)</f>
        <v>10.199999999999999</v>
      </c>
      <c r="C27" s="595"/>
      <c r="D27" s="595"/>
      <c r="E27" s="595"/>
      <c r="F27" s="595"/>
      <c r="G27" s="595"/>
      <c r="H27" s="595"/>
      <c r="I27" s="595"/>
      <c r="J27" s="595"/>
      <c r="K27" s="595"/>
      <c r="L27" s="596"/>
      <c r="M27" s="593"/>
      <c r="N27" s="586"/>
      <c r="O27" s="586"/>
      <c r="P27" s="586"/>
      <c r="Q27" s="42"/>
    </row>
    <row r="28" spans="1:17" x14ac:dyDescent="0.25">
      <c r="A28" s="2" t="s">
        <v>108</v>
      </c>
      <c r="B28" s="600">
        <f>B31/B27</f>
        <v>0.60573529411764726</v>
      </c>
      <c r="C28" s="601"/>
      <c r="D28" s="601"/>
      <c r="E28" s="601"/>
      <c r="F28" s="601"/>
      <c r="G28" s="601"/>
      <c r="H28" s="601"/>
      <c r="I28" s="601"/>
      <c r="J28" s="601"/>
      <c r="K28" s="601"/>
      <c r="L28" s="602"/>
      <c r="M28" s="593"/>
      <c r="N28" s="605"/>
      <c r="O28" s="45"/>
      <c r="P28" s="607"/>
      <c r="Q28" s="42"/>
    </row>
    <row r="29" spans="1:17" ht="15.75" thickBot="1" x14ac:dyDescent="0.3">
      <c r="A29" s="2" t="s">
        <v>113</v>
      </c>
      <c r="B29" s="594">
        <f>B33*(A36+A37+H36+H37)/1000</f>
        <v>20.594999999999999</v>
      </c>
      <c r="C29" s="595"/>
      <c r="D29" s="595"/>
      <c r="E29" s="595"/>
      <c r="F29" s="595"/>
      <c r="G29" s="595"/>
      <c r="H29" s="595"/>
      <c r="I29" s="595"/>
      <c r="J29" s="595"/>
      <c r="K29" s="595"/>
      <c r="L29" s="596"/>
      <c r="M29" s="593"/>
      <c r="N29" s="606"/>
      <c r="O29" s="46"/>
      <c r="P29" s="608"/>
      <c r="Q29" s="42"/>
    </row>
    <row r="30" spans="1:17" ht="15.75" thickBot="1" x14ac:dyDescent="0.3">
      <c r="A30" s="2" t="s">
        <v>109</v>
      </c>
      <c r="B30" s="600">
        <v>0.7</v>
      </c>
      <c r="C30" s="601"/>
      <c r="D30" s="601"/>
      <c r="E30" s="601"/>
      <c r="F30" s="601"/>
      <c r="G30" s="601"/>
      <c r="H30" s="601"/>
      <c r="I30" s="601"/>
      <c r="J30" s="601"/>
      <c r="K30" s="601"/>
      <c r="L30" s="602"/>
      <c r="M30" s="593"/>
      <c r="N30" s="517"/>
      <c r="O30" s="517"/>
      <c r="P30" s="46"/>
      <c r="Q30" s="42"/>
    </row>
    <row r="31" spans="1:17" ht="15.75" thickBot="1" x14ac:dyDescent="0.3">
      <c r="A31" s="2" t="s">
        <v>122</v>
      </c>
      <c r="B31" s="594">
        <f>B29-(B29*B30)</f>
        <v>6.1785000000000014</v>
      </c>
      <c r="C31" s="595"/>
      <c r="D31" s="595"/>
      <c r="E31" s="595"/>
      <c r="F31" s="595"/>
      <c r="G31" s="595"/>
      <c r="H31" s="595"/>
      <c r="I31" s="595"/>
      <c r="J31" s="595"/>
      <c r="K31" s="595"/>
      <c r="L31" s="603"/>
      <c r="M31" s="593"/>
      <c r="N31" s="518"/>
      <c r="O31" s="518"/>
      <c r="P31" s="49"/>
      <c r="Q31" s="42"/>
    </row>
    <row r="32" spans="1:17" ht="15.75" thickBot="1" x14ac:dyDescent="0.3">
      <c r="A32" s="2" t="s">
        <v>110</v>
      </c>
      <c r="B32" s="587">
        <v>126</v>
      </c>
      <c r="C32" s="588"/>
      <c r="D32" s="588"/>
      <c r="E32" s="588"/>
      <c r="F32" s="588"/>
      <c r="G32" s="588"/>
      <c r="H32" s="588"/>
      <c r="I32" s="588"/>
      <c r="J32" s="588"/>
      <c r="K32" s="588"/>
      <c r="L32" s="589"/>
      <c r="M32" s="593"/>
      <c r="N32" s="519"/>
      <c r="O32" s="519"/>
      <c r="P32" s="49"/>
      <c r="Q32" s="42"/>
    </row>
    <row r="33" spans="1:17" x14ac:dyDescent="0.25">
      <c r="A33" s="2" t="s">
        <v>111</v>
      </c>
      <c r="B33" s="587">
        <v>15</v>
      </c>
      <c r="C33" s="588"/>
      <c r="D33" s="588"/>
      <c r="E33" s="588"/>
      <c r="F33" s="588"/>
      <c r="G33" s="588"/>
      <c r="H33" s="588"/>
      <c r="I33" s="588"/>
      <c r="J33" s="588"/>
      <c r="K33" s="588"/>
      <c r="L33" s="589"/>
      <c r="M33" s="593"/>
      <c r="N33" s="50"/>
      <c r="O33" s="609"/>
      <c r="P33" s="610"/>
      <c r="Q33" s="42"/>
    </row>
    <row r="34" spans="1:17" ht="15.75" thickBot="1" x14ac:dyDescent="0.3">
      <c r="A34" s="587" t="s">
        <v>127</v>
      </c>
      <c r="B34" s="588"/>
      <c r="C34" s="588"/>
      <c r="D34" s="588"/>
      <c r="E34" s="589"/>
      <c r="F34" s="51"/>
      <c r="G34" s="587" t="s">
        <v>128</v>
      </c>
      <c r="H34" s="588"/>
      <c r="I34" s="588"/>
      <c r="J34" s="588"/>
      <c r="K34" s="589"/>
      <c r="L34" s="51"/>
      <c r="M34" s="593"/>
      <c r="N34" s="47"/>
      <c r="O34" s="606"/>
      <c r="P34" s="611"/>
      <c r="Q34" s="42"/>
    </row>
    <row r="35" spans="1:17" ht="15.75" thickBot="1" x14ac:dyDescent="0.3">
      <c r="A35" s="52" t="s">
        <v>98</v>
      </c>
      <c r="B35" s="53" t="s">
        <v>102</v>
      </c>
      <c r="C35" s="53" t="s">
        <v>92</v>
      </c>
      <c r="D35" s="53" t="s">
        <v>93</v>
      </c>
      <c r="E35" s="53" t="s">
        <v>94</v>
      </c>
      <c r="F35" s="54" t="s">
        <v>99</v>
      </c>
      <c r="G35" s="53" t="s">
        <v>102</v>
      </c>
      <c r="H35" s="55" t="s">
        <v>98</v>
      </c>
      <c r="I35" s="53" t="s">
        <v>92</v>
      </c>
      <c r="J35" s="53" t="s">
        <v>93</v>
      </c>
      <c r="K35" s="53" t="s">
        <v>94</v>
      </c>
      <c r="L35" s="54" t="s">
        <v>99</v>
      </c>
      <c r="M35" s="593"/>
      <c r="N35" s="47"/>
      <c r="O35" s="48"/>
      <c r="P35" s="49"/>
      <c r="Q35" s="42"/>
    </row>
    <row r="36" spans="1:17" ht="15.75" thickBot="1" x14ac:dyDescent="0.3">
      <c r="A36" s="56">
        <v>559</v>
      </c>
      <c r="B36" s="53" t="s">
        <v>95</v>
      </c>
      <c r="C36" s="57">
        <v>582.5</v>
      </c>
      <c r="D36" s="57">
        <v>574</v>
      </c>
      <c r="E36" s="57">
        <v>245.3</v>
      </c>
      <c r="F36" s="58">
        <f t="shared" ref="F36:F43" si="4">SUM(C36:E36)</f>
        <v>1401.8</v>
      </c>
      <c r="G36" s="57" t="s">
        <v>175</v>
      </c>
      <c r="H36" s="59">
        <v>564</v>
      </c>
      <c r="I36" s="57">
        <v>553.9</v>
      </c>
      <c r="J36" s="57">
        <v>725.5</v>
      </c>
      <c r="K36" s="57">
        <v>39.1</v>
      </c>
      <c r="L36" s="58">
        <f>SUM(I36:K36)</f>
        <v>1318.5</v>
      </c>
      <c r="M36" s="593"/>
      <c r="N36" s="47"/>
      <c r="O36" s="48"/>
      <c r="P36" s="46"/>
      <c r="Q36" s="42"/>
    </row>
    <row r="37" spans="1:17" ht="15.75" thickBot="1" x14ac:dyDescent="0.3">
      <c r="A37" s="56">
        <v>125</v>
      </c>
      <c r="B37" s="53" t="s">
        <v>96</v>
      </c>
      <c r="C37" s="57">
        <v>139</v>
      </c>
      <c r="D37" s="57">
        <v>129.1</v>
      </c>
      <c r="E37" s="57">
        <v>115.7</v>
      </c>
      <c r="F37" s="58">
        <f t="shared" si="4"/>
        <v>383.8</v>
      </c>
      <c r="G37" s="57" t="s">
        <v>176</v>
      </c>
      <c r="H37" s="60">
        <v>125</v>
      </c>
      <c r="I37" s="57">
        <v>144.80000000000001</v>
      </c>
      <c r="J37" s="57">
        <v>115</v>
      </c>
      <c r="K37" s="57">
        <v>53.5</v>
      </c>
      <c r="L37" s="58">
        <f t="shared" ref="L37:L43" si="5">SUM(I37:K37)</f>
        <v>313.3</v>
      </c>
      <c r="M37" s="593"/>
      <c r="N37" s="47"/>
      <c r="O37" s="48"/>
      <c r="P37" s="46"/>
      <c r="Q37" s="42"/>
    </row>
    <row r="38" spans="1:17" ht="15.75" thickBot="1" x14ac:dyDescent="0.3">
      <c r="A38" s="52" t="s">
        <v>100</v>
      </c>
      <c r="B38" s="53" t="s">
        <v>95</v>
      </c>
      <c r="C38" s="66">
        <f>C36/$A$36</f>
        <v>1.0420393559928445</v>
      </c>
      <c r="D38" s="66">
        <f>D36/$A$36</f>
        <v>1.0268336314847943</v>
      </c>
      <c r="E38" s="66">
        <f>E36/$A$36</f>
        <v>0.43881932021466907</v>
      </c>
      <c r="F38" s="58">
        <f t="shared" si="4"/>
        <v>2.5076923076923081</v>
      </c>
      <c r="G38" s="57" t="s">
        <v>175</v>
      </c>
      <c r="H38" s="61" t="s">
        <v>177</v>
      </c>
      <c r="I38" s="66">
        <f t="shared" ref="I38:K39" si="6">I36/$H36</f>
        <v>0.98209219858156027</v>
      </c>
      <c r="J38" s="66">
        <f t="shared" si="6"/>
        <v>1.2863475177304964</v>
      </c>
      <c r="K38" s="66">
        <f t="shared" si="6"/>
        <v>6.9326241134751776E-2</v>
      </c>
      <c r="L38" s="58">
        <f t="shared" si="5"/>
        <v>2.3377659574468086</v>
      </c>
      <c r="M38" s="593"/>
      <c r="N38" s="47"/>
      <c r="O38" s="48"/>
      <c r="P38" s="46"/>
      <c r="Q38" s="42"/>
    </row>
    <row r="39" spans="1:17" ht="16.5" thickBot="1" x14ac:dyDescent="0.3">
      <c r="A39" s="52" t="s">
        <v>100</v>
      </c>
      <c r="B39" s="53" t="s">
        <v>96</v>
      </c>
      <c r="C39" s="66">
        <f>C37/$A$212</f>
        <v>0.12300884955752213</v>
      </c>
      <c r="D39" s="66">
        <f>D37/$A$212</f>
        <v>0.11424778761061946</v>
      </c>
      <c r="E39" s="66">
        <f>E37/$A$212</f>
        <v>0.10238938053097345</v>
      </c>
      <c r="F39" s="58">
        <f t="shared" si="4"/>
        <v>0.33964601769911507</v>
      </c>
      <c r="G39" s="57" t="s">
        <v>176</v>
      </c>
      <c r="H39" s="61" t="s">
        <v>177</v>
      </c>
      <c r="I39" s="66">
        <f t="shared" si="6"/>
        <v>1.1584000000000001</v>
      </c>
      <c r="J39" s="66">
        <f t="shared" si="6"/>
        <v>0.92</v>
      </c>
      <c r="K39" s="66">
        <f t="shared" si="6"/>
        <v>0.42799999999999999</v>
      </c>
      <c r="L39" s="58">
        <f t="shared" si="5"/>
        <v>2.5064000000000002</v>
      </c>
      <c r="M39" s="593"/>
      <c r="N39" s="521"/>
      <c r="O39" s="63"/>
      <c r="P39" s="64"/>
      <c r="Q39" s="42"/>
    </row>
    <row r="40" spans="1:17" x14ac:dyDescent="0.25">
      <c r="A40" s="52" t="s">
        <v>104</v>
      </c>
      <c r="B40" s="53" t="s">
        <v>95</v>
      </c>
      <c r="C40" s="66">
        <f>C36/($A$36/7.7)</f>
        <v>8.023703041144902</v>
      </c>
      <c r="D40" s="66">
        <f>D36/($A$36/7.7)</f>
        <v>7.9066189624329164</v>
      </c>
      <c r="E40" s="66">
        <f>E36/($A$36/7.7)</f>
        <v>3.3789087656529522</v>
      </c>
      <c r="F40" s="58">
        <f t="shared" si="4"/>
        <v>19.309230769230769</v>
      </c>
      <c r="G40" s="65" t="s">
        <v>175</v>
      </c>
      <c r="H40" s="61" t="s">
        <v>178</v>
      </c>
      <c r="I40" s="66">
        <f t="shared" ref="I40:K41" si="7">I36/($H36/7.7)</f>
        <v>7.562109929078014</v>
      </c>
      <c r="J40" s="66">
        <f t="shared" si="7"/>
        <v>9.9048758865248239</v>
      </c>
      <c r="K40" s="66">
        <f t="shared" si="7"/>
        <v>0.53381205673758869</v>
      </c>
      <c r="L40" s="58">
        <f t="shared" si="5"/>
        <v>18.000797872340428</v>
      </c>
      <c r="M40" s="593"/>
      <c r="N40" s="604"/>
      <c r="O40" s="604"/>
      <c r="P40" s="604"/>
      <c r="Q40" s="42"/>
    </row>
    <row r="41" spans="1:17" x14ac:dyDescent="0.25">
      <c r="A41" s="52" t="s">
        <v>104</v>
      </c>
      <c r="B41" s="53" t="s">
        <v>96</v>
      </c>
      <c r="C41" s="66">
        <f>C37/($A37/7.7)</f>
        <v>8.5624000000000002</v>
      </c>
      <c r="D41" s="66">
        <f>D37/($A37/7.7)</f>
        <v>7.9525600000000001</v>
      </c>
      <c r="E41" s="66">
        <f>E37/($A37/7.7)</f>
        <v>7.1271200000000006</v>
      </c>
      <c r="F41" s="58">
        <f t="shared" si="4"/>
        <v>23.642080000000004</v>
      </c>
      <c r="G41" s="57" t="s">
        <v>176</v>
      </c>
      <c r="H41" s="61" t="s">
        <v>178</v>
      </c>
      <c r="I41" s="66">
        <f>I37/($H37/7.7)</f>
        <v>8.9196800000000014</v>
      </c>
      <c r="J41" s="66">
        <f t="shared" si="7"/>
        <v>7.0840000000000005</v>
      </c>
      <c r="K41" s="66">
        <f t="shared" si="7"/>
        <v>3.2956000000000003</v>
      </c>
      <c r="L41" s="58">
        <f t="shared" si="5"/>
        <v>19.299280000000003</v>
      </c>
      <c r="M41" s="593"/>
      <c r="N41" s="593"/>
      <c r="O41" s="593"/>
      <c r="P41" s="593"/>
      <c r="Q41" s="42"/>
    </row>
    <row r="42" spans="1:17" x14ac:dyDescent="0.25">
      <c r="A42" s="52" t="s">
        <v>135</v>
      </c>
      <c r="B42" s="53" t="s">
        <v>95</v>
      </c>
      <c r="C42" s="66">
        <f>C36/((($A36*$B33)*(1-$B30))/$B28)</f>
        <v>0.14026667017433092</v>
      </c>
      <c r="D42" s="66">
        <f>D36/((($A36*$B33)*(1-$B30))/$B28)</f>
        <v>0.13821986039496301</v>
      </c>
      <c r="E42" s="66">
        <f>E36/((($A36*$B33)*(1-$B30))/$B28)</f>
        <v>5.9068522221053008E-2</v>
      </c>
      <c r="F42" s="58">
        <f t="shared" si="4"/>
        <v>0.33755505279034698</v>
      </c>
      <c r="G42" s="66" t="s">
        <v>175</v>
      </c>
      <c r="H42" s="68" t="s">
        <v>179</v>
      </c>
      <c r="I42" s="66">
        <f>I36/((($H36*$B33)*(1-$B30))/$B28)</f>
        <v>0.13219731261298848</v>
      </c>
      <c r="J42" s="66">
        <f>J36/((($H36*$B33)*(1-$B30))/$B28)</f>
        <v>0.17315246488666391</v>
      </c>
      <c r="K42" s="66">
        <f>K36/((($H36*$B33)*(1-$B30))/$B28)</f>
        <v>9.3318557919621781E-3</v>
      </c>
      <c r="L42" s="58">
        <f t="shared" si="5"/>
        <v>0.31468163329161458</v>
      </c>
      <c r="M42" s="593"/>
      <c r="N42" s="593"/>
      <c r="O42" s="593"/>
      <c r="P42" s="593"/>
      <c r="Q42" s="42"/>
    </row>
    <row r="43" spans="1:17" x14ac:dyDescent="0.25">
      <c r="A43" s="52" t="s">
        <v>135</v>
      </c>
      <c r="B43" s="53" t="s">
        <v>96</v>
      </c>
      <c r="C43" s="66">
        <f>C37/((($A37*$B33)*(1-$B30))/$B28)</f>
        <v>0.14968392156862748</v>
      </c>
      <c r="D43" s="66">
        <f>D37/((($A37*$B33)*(1-$B30))/$B28)</f>
        <v>0.13902298039215688</v>
      </c>
      <c r="E43" s="66">
        <f>E37/((($A37*$B33)*(1-$B30))/$B28)</f>
        <v>0.12459301960784316</v>
      </c>
      <c r="F43" s="58">
        <f t="shared" si="4"/>
        <v>0.41329992156862749</v>
      </c>
      <c r="G43" s="66" t="s">
        <v>176</v>
      </c>
      <c r="H43" s="68" t="s">
        <v>179</v>
      </c>
      <c r="I43" s="66">
        <f>I37/((($H37*$B33)*(1-$B30))/$B28)</f>
        <v>0.15592972549019612</v>
      </c>
      <c r="J43" s="66">
        <f>J37/((($H37*$B33)*(1-$B30))/$B28)</f>
        <v>0.12383921568627453</v>
      </c>
      <c r="K43" s="66">
        <f>K37/((($H37*$B33)*(1-$B30))/$B28)</f>
        <v>5.7612156862745109E-2</v>
      </c>
      <c r="L43" s="58">
        <f t="shared" si="5"/>
        <v>0.33738109803921579</v>
      </c>
      <c r="M43" s="593"/>
      <c r="N43" s="593"/>
      <c r="O43" s="593"/>
      <c r="P43" s="593"/>
      <c r="Q43" s="42"/>
    </row>
    <row r="44" spans="1:17" x14ac:dyDescent="0.25">
      <c r="A44" s="612"/>
      <c r="B44" s="612"/>
      <c r="C44" s="612"/>
      <c r="D44" s="612"/>
      <c r="E44" s="612"/>
      <c r="F44" s="612"/>
      <c r="G44" s="612"/>
      <c r="H44" s="612"/>
      <c r="I44" s="612"/>
      <c r="J44" s="612"/>
      <c r="K44" s="612"/>
      <c r="L44" s="612"/>
      <c r="M44" s="612"/>
      <c r="N44" s="612"/>
      <c r="O44" s="612"/>
      <c r="P44" s="612"/>
      <c r="Q44" s="612"/>
    </row>
    <row r="45" spans="1:17" ht="21" x14ac:dyDescent="0.35">
      <c r="A45" s="43"/>
      <c r="B45" s="613" t="s">
        <v>118</v>
      </c>
      <c r="C45" s="614"/>
      <c r="D45" s="614"/>
      <c r="E45" s="614"/>
      <c r="F45" s="614"/>
      <c r="G45" s="614"/>
      <c r="H45" s="614"/>
      <c r="I45" s="614"/>
      <c r="J45" s="614"/>
      <c r="K45" s="614"/>
      <c r="L45" s="615"/>
      <c r="M45" s="593" t="s">
        <v>97</v>
      </c>
      <c r="N45" s="585" t="s">
        <v>61</v>
      </c>
      <c r="O45" s="585"/>
      <c r="P45" s="585"/>
      <c r="Q45" s="42"/>
    </row>
    <row r="46" spans="1:17" x14ac:dyDescent="0.25">
      <c r="A46" s="44"/>
      <c r="B46" s="590" t="s">
        <v>115</v>
      </c>
      <c r="C46" s="591"/>
      <c r="D46" s="591"/>
      <c r="E46" s="591"/>
      <c r="F46" s="591"/>
      <c r="G46" s="591"/>
      <c r="H46" s="591"/>
      <c r="I46" s="591"/>
      <c r="J46" s="591"/>
      <c r="K46" s="591"/>
      <c r="L46" s="592"/>
      <c r="M46" s="593"/>
      <c r="N46" s="585"/>
      <c r="O46" s="585"/>
      <c r="P46" s="585"/>
      <c r="Q46" s="42"/>
    </row>
    <row r="47" spans="1:17" x14ac:dyDescent="0.25">
      <c r="A47" s="2" t="s">
        <v>106</v>
      </c>
      <c r="B47" s="594">
        <v>14</v>
      </c>
      <c r="C47" s="595"/>
      <c r="D47" s="595"/>
      <c r="E47" s="595"/>
      <c r="F47" s="595"/>
      <c r="G47" s="595"/>
      <c r="H47" s="595"/>
      <c r="I47" s="595"/>
      <c r="J47" s="595"/>
      <c r="K47" s="595"/>
      <c r="L47" s="596"/>
      <c r="M47" s="593"/>
      <c r="N47" s="585"/>
      <c r="O47" s="585"/>
      <c r="P47" s="585"/>
      <c r="Q47" s="42"/>
    </row>
    <row r="48" spans="1:17" x14ac:dyDescent="0.25">
      <c r="A48" s="2" t="s">
        <v>112</v>
      </c>
      <c r="B48" s="597">
        <v>0.12</v>
      </c>
      <c r="C48" s="598"/>
      <c r="D48" s="598"/>
      <c r="E48" s="598"/>
      <c r="F48" s="598"/>
      <c r="G48" s="598"/>
      <c r="H48" s="598"/>
      <c r="I48" s="598"/>
      <c r="J48" s="598"/>
      <c r="K48" s="598"/>
      <c r="L48" s="599"/>
      <c r="M48" s="593"/>
      <c r="N48" s="585"/>
      <c r="O48" s="585"/>
      <c r="P48" s="585"/>
      <c r="Q48" s="42"/>
    </row>
    <row r="49" spans="1:17" ht="15.75" thickBot="1" x14ac:dyDescent="0.3">
      <c r="A49" s="2" t="s">
        <v>107</v>
      </c>
      <c r="B49" s="594">
        <f>B47-(B47*B48)</f>
        <v>12.32</v>
      </c>
      <c r="C49" s="595"/>
      <c r="D49" s="595"/>
      <c r="E49" s="595"/>
      <c r="F49" s="595"/>
      <c r="G49" s="595"/>
      <c r="H49" s="595"/>
      <c r="I49" s="595"/>
      <c r="J49" s="595"/>
      <c r="K49" s="595"/>
      <c r="L49" s="596"/>
      <c r="M49" s="593"/>
      <c r="N49" s="586"/>
      <c r="O49" s="586"/>
      <c r="P49" s="586"/>
      <c r="Q49" s="42"/>
    </row>
    <row r="50" spans="1:17" x14ac:dyDescent="0.25">
      <c r="A50" s="2" t="s">
        <v>108</v>
      </c>
      <c r="B50" s="600">
        <f>B53/B49</f>
        <v>0.82971306818181823</v>
      </c>
      <c r="C50" s="601"/>
      <c r="D50" s="601"/>
      <c r="E50" s="601"/>
      <c r="F50" s="601"/>
      <c r="G50" s="601"/>
      <c r="H50" s="601"/>
      <c r="I50" s="601"/>
      <c r="J50" s="601"/>
      <c r="K50" s="601"/>
      <c r="L50" s="602"/>
      <c r="M50" s="593"/>
      <c r="N50" s="605"/>
      <c r="O50" s="45"/>
      <c r="P50" s="607"/>
      <c r="Q50" s="42"/>
    </row>
    <row r="51" spans="1:17" ht="15.75" thickBot="1" x14ac:dyDescent="0.3">
      <c r="A51" s="2" t="s">
        <v>113</v>
      </c>
      <c r="B51" s="587">
        <f>B55*2.611</f>
        <v>37.859500000000004</v>
      </c>
      <c r="C51" s="588"/>
      <c r="D51" s="588"/>
      <c r="E51" s="588"/>
      <c r="F51" s="588"/>
      <c r="G51" s="588"/>
      <c r="H51" s="588"/>
      <c r="I51" s="588"/>
      <c r="J51" s="588"/>
      <c r="K51" s="588"/>
      <c r="L51" s="589"/>
      <c r="M51" s="593"/>
      <c r="N51" s="606"/>
      <c r="O51" s="46"/>
      <c r="P51" s="608"/>
      <c r="Q51" s="42"/>
    </row>
    <row r="52" spans="1:17" ht="15.75" thickBot="1" x14ac:dyDescent="0.3">
      <c r="A52" s="2" t="s">
        <v>109</v>
      </c>
      <c r="B52" s="600">
        <v>0.73</v>
      </c>
      <c r="C52" s="601"/>
      <c r="D52" s="601"/>
      <c r="E52" s="601"/>
      <c r="F52" s="601"/>
      <c r="G52" s="601"/>
      <c r="H52" s="601"/>
      <c r="I52" s="601"/>
      <c r="J52" s="601"/>
      <c r="K52" s="601"/>
      <c r="L52" s="602"/>
      <c r="M52" s="593"/>
      <c r="N52" s="47"/>
      <c r="O52" s="48"/>
      <c r="P52" s="46"/>
      <c r="Q52" s="42"/>
    </row>
    <row r="53" spans="1:17" ht="15.75" thickBot="1" x14ac:dyDescent="0.3">
      <c r="A53" s="2" t="s">
        <v>122</v>
      </c>
      <c r="B53" s="594">
        <f>B51-(B51*B52)</f>
        <v>10.222065000000001</v>
      </c>
      <c r="C53" s="595"/>
      <c r="D53" s="595"/>
      <c r="E53" s="595"/>
      <c r="F53" s="595"/>
      <c r="G53" s="595"/>
      <c r="H53" s="595"/>
      <c r="I53" s="595"/>
      <c r="J53" s="595"/>
      <c r="K53" s="595"/>
      <c r="L53" s="603"/>
      <c r="M53" s="593"/>
      <c r="N53" s="47"/>
      <c r="O53" s="48"/>
      <c r="P53" s="49"/>
      <c r="Q53" s="42"/>
    </row>
    <row r="54" spans="1:17" ht="15.75" thickBot="1" x14ac:dyDescent="0.3">
      <c r="A54" s="2" t="s">
        <v>110</v>
      </c>
      <c r="B54" s="587">
        <v>130</v>
      </c>
      <c r="C54" s="588"/>
      <c r="D54" s="588"/>
      <c r="E54" s="588"/>
      <c r="F54" s="588"/>
      <c r="G54" s="588"/>
      <c r="H54" s="588"/>
      <c r="I54" s="588"/>
      <c r="J54" s="588"/>
      <c r="K54" s="588"/>
      <c r="L54" s="589"/>
      <c r="M54" s="593"/>
      <c r="N54" s="47"/>
      <c r="O54" s="48"/>
      <c r="P54" s="49"/>
      <c r="Q54" s="42"/>
    </row>
    <row r="55" spans="1:17" x14ac:dyDescent="0.25">
      <c r="A55" s="2" t="s">
        <v>111</v>
      </c>
      <c r="B55" s="587">
        <v>14.5</v>
      </c>
      <c r="C55" s="588"/>
      <c r="D55" s="588"/>
      <c r="E55" s="588"/>
      <c r="F55" s="588"/>
      <c r="G55" s="588"/>
      <c r="H55" s="588"/>
      <c r="I55" s="588"/>
      <c r="J55" s="588"/>
      <c r="K55" s="588"/>
      <c r="L55" s="589"/>
      <c r="M55" s="593"/>
      <c r="N55" s="50"/>
      <c r="O55" s="609"/>
      <c r="P55" s="610"/>
      <c r="Q55" s="42"/>
    </row>
    <row r="56" spans="1:17" ht="15.75" thickBot="1" x14ac:dyDescent="0.3">
      <c r="A56" s="587" t="s">
        <v>127</v>
      </c>
      <c r="B56" s="588"/>
      <c r="C56" s="588"/>
      <c r="D56" s="588"/>
      <c r="E56" s="589"/>
      <c r="F56" s="51"/>
      <c r="G56" s="587" t="s">
        <v>128</v>
      </c>
      <c r="H56" s="588"/>
      <c r="I56" s="588"/>
      <c r="J56" s="588"/>
      <c r="K56" s="589"/>
      <c r="L56" s="51"/>
      <c r="M56" s="593"/>
      <c r="N56" s="47"/>
      <c r="O56" s="606"/>
      <c r="P56" s="611"/>
      <c r="Q56" s="42"/>
    </row>
    <row r="57" spans="1:17" ht="15.75" thickBot="1" x14ac:dyDescent="0.3">
      <c r="A57" s="52" t="s">
        <v>98</v>
      </c>
      <c r="B57" s="53" t="s">
        <v>102</v>
      </c>
      <c r="C57" s="53" t="s">
        <v>92</v>
      </c>
      <c r="D57" s="53" t="s">
        <v>93</v>
      </c>
      <c r="E57" s="53" t="s">
        <v>94</v>
      </c>
      <c r="F57" s="54" t="s">
        <v>99</v>
      </c>
      <c r="G57" s="53" t="s">
        <v>102</v>
      </c>
      <c r="H57" s="55" t="s">
        <v>98</v>
      </c>
      <c r="I57" s="53" t="s">
        <v>92</v>
      </c>
      <c r="J57" s="53" t="s">
        <v>93</v>
      </c>
      <c r="K57" s="53" t="s">
        <v>94</v>
      </c>
      <c r="L57" s="54" t="s">
        <v>99</v>
      </c>
      <c r="M57" s="593"/>
      <c r="N57" s="47"/>
      <c r="O57" s="48"/>
      <c r="P57" s="49"/>
      <c r="Q57" s="42"/>
    </row>
    <row r="58" spans="1:17" ht="15.75" thickBot="1" x14ac:dyDescent="0.3">
      <c r="A58" s="56">
        <v>1056</v>
      </c>
      <c r="B58" s="53" t="s">
        <v>95</v>
      </c>
      <c r="C58" s="57">
        <v>22.4</v>
      </c>
      <c r="D58" s="57">
        <v>258.5</v>
      </c>
      <c r="E58" s="57">
        <v>187.1</v>
      </c>
      <c r="F58" s="58">
        <f t="shared" ref="F58:F65" si="8">SUM(C58:E58)</f>
        <v>468</v>
      </c>
      <c r="G58" s="57" t="s">
        <v>175</v>
      </c>
      <c r="H58" s="59">
        <v>1199</v>
      </c>
      <c r="I58" s="57">
        <v>399.7</v>
      </c>
      <c r="J58" s="57">
        <v>740.8</v>
      </c>
      <c r="K58" s="57">
        <v>390.6</v>
      </c>
      <c r="L58" s="58">
        <f>SUM(I58:K58)</f>
        <v>1531.1</v>
      </c>
      <c r="M58" s="593"/>
      <c r="N58" s="47"/>
      <c r="O58" s="48"/>
      <c r="P58" s="46"/>
      <c r="Q58" s="42"/>
    </row>
    <row r="59" spans="1:17" ht="15.75" thickBot="1" x14ac:dyDescent="0.3">
      <c r="A59" s="56">
        <v>160</v>
      </c>
      <c r="B59" s="53" t="s">
        <v>96</v>
      </c>
      <c r="C59" s="57">
        <v>43.5</v>
      </c>
      <c r="D59" s="57">
        <v>33</v>
      </c>
      <c r="E59" s="57">
        <v>10.1</v>
      </c>
      <c r="F59" s="58">
        <f t="shared" si="8"/>
        <v>86.6</v>
      </c>
      <c r="G59" s="57" t="s">
        <v>176</v>
      </c>
      <c r="H59" s="60">
        <v>160</v>
      </c>
      <c r="I59" s="57">
        <v>106.4</v>
      </c>
      <c r="J59" s="57">
        <v>109.5</v>
      </c>
      <c r="K59" s="57">
        <v>48.3</v>
      </c>
      <c r="L59" s="58">
        <f t="shared" ref="L59:L65" si="9">SUM(I59:K59)</f>
        <v>264.2</v>
      </c>
      <c r="M59" s="593"/>
      <c r="N59" s="47"/>
      <c r="O59" s="48"/>
      <c r="P59" s="46"/>
      <c r="Q59" s="42"/>
    </row>
    <row r="60" spans="1:17" ht="15.75" thickBot="1" x14ac:dyDescent="0.3">
      <c r="A60" s="52" t="s">
        <v>100</v>
      </c>
      <c r="B60" s="53" t="s">
        <v>95</v>
      </c>
      <c r="C60" s="66">
        <f>C58/$A$58</f>
        <v>2.121212121212121E-2</v>
      </c>
      <c r="D60" s="66">
        <f>D58/$A$58</f>
        <v>0.24479166666666666</v>
      </c>
      <c r="E60" s="66">
        <f>E58/$A$58</f>
        <v>0.17717803030303031</v>
      </c>
      <c r="F60" s="58">
        <f t="shared" si="8"/>
        <v>0.44318181818181818</v>
      </c>
      <c r="G60" s="57" t="s">
        <v>175</v>
      </c>
      <c r="H60" s="61" t="s">
        <v>177</v>
      </c>
      <c r="I60" s="66">
        <f t="shared" ref="I60:K61" si="10">I58/$H58</f>
        <v>0.33336113427856545</v>
      </c>
      <c r="J60" s="66">
        <f t="shared" si="10"/>
        <v>0.61784820683903252</v>
      </c>
      <c r="K60" s="66">
        <f t="shared" si="10"/>
        <v>0.32577147623019187</v>
      </c>
      <c r="L60" s="58">
        <f t="shared" si="9"/>
        <v>1.2769808173477899</v>
      </c>
      <c r="M60" s="593"/>
      <c r="N60" s="47"/>
      <c r="O60" s="48"/>
      <c r="P60" s="46"/>
      <c r="Q60" s="42"/>
    </row>
    <row r="61" spans="1:17" ht="16.5" thickBot="1" x14ac:dyDescent="0.3">
      <c r="A61" s="52" t="s">
        <v>100</v>
      </c>
      <c r="B61" s="53" t="s">
        <v>96</v>
      </c>
      <c r="C61" s="66">
        <f>C59/$A$59</f>
        <v>0.27187499999999998</v>
      </c>
      <c r="D61" s="66">
        <f>D59/$A$59</f>
        <v>0.20624999999999999</v>
      </c>
      <c r="E61" s="66">
        <f>E59/$A$59</f>
        <v>6.3125000000000001E-2</v>
      </c>
      <c r="F61" s="58">
        <f t="shared" si="8"/>
        <v>0.54125000000000001</v>
      </c>
      <c r="G61" s="57" t="s">
        <v>176</v>
      </c>
      <c r="H61" s="61" t="s">
        <v>177</v>
      </c>
      <c r="I61" s="66">
        <f t="shared" si="10"/>
        <v>0.66500000000000004</v>
      </c>
      <c r="J61" s="66">
        <f t="shared" si="10"/>
        <v>0.68437499999999996</v>
      </c>
      <c r="K61" s="66">
        <f t="shared" si="10"/>
        <v>0.301875</v>
      </c>
      <c r="L61" s="58">
        <f t="shared" si="9"/>
        <v>1.6512500000000001</v>
      </c>
      <c r="M61" s="593"/>
      <c r="N61" s="521"/>
      <c r="O61" s="63"/>
      <c r="P61" s="64"/>
      <c r="Q61" s="42"/>
    </row>
    <row r="62" spans="1:17" x14ac:dyDescent="0.25">
      <c r="A62" s="52" t="s">
        <v>104</v>
      </c>
      <c r="B62" s="53" t="s">
        <v>95</v>
      </c>
      <c r="C62" s="66">
        <f>C58/($A$58/7.7)</f>
        <v>0.16333333333333333</v>
      </c>
      <c r="D62" s="66">
        <f>D58/($A$58/7.7)</f>
        <v>1.8848958333333334</v>
      </c>
      <c r="E62" s="66">
        <f>E58/($A$58/7.7)</f>
        <v>1.3642708333333333</v>
      </c>
      <c r="F62" s="58">
        <f t="shared" si="8"/>
        <v>3.4125000000000001</v>
      </c>
      <c r="G62" s="65" t="s">
        <v>175</v>
      </c>
      <c r="H62" s="61" t="s">
        <v>178</v>
      </c>
      <c r="I62" s="66">
        <f t="shared" ref="I62:K63" si="11">I58/($H58/7.7)</f>
        <v>2.566880733944954</v>
      </c>
      <c r="J62" s="66">
        <f t="shared" si="11"/>
        <v>4.7574311926605501</v>
      </c>
      <c r="K62" s="66">
        <f t="shared" si="11"/>
        <v>2.5084403669724771</v>
      </c>
      <c r="L62" s="58">
        <f t="shared" si="9"/>
        <v>9.8327522935779808</v>
      </c>
      <c r="M62" s="593"/>
      <c r="N62" s="604"/>
      <c r="O62" s="604"/>
      <c r="P62" s="604"/>
      <c r="Q62" s="42"/>
    </row>
    <row r="63" spans="1:17" x14ac:dyDescent="0.25">
      <c r="A63" s="52" t="s">
        <v>104</v>
      </c>
      <c r="B63" s="53" t="s">
        <v>96</v>
      </c>
      <c r="C63" s="66">
        <f>C59/($A$59/7.7)</f>
        <v>2.0934374999999998</v>
      </c>
      <c r="D63" s="66">
        <f>D59/($A$59/7.7)</f>
        <v>1.588125</v>
      </c>
      <c r="E63" s="66">
        <f>E59/($A$59/7.7)</f>
        <v>0.48606250000000001</v>
      </c>
      <c r="F63" s="58">
        <f t="shared" si="8"/>
        <v>4.1676250000000001</v>
      </c>
      <c r="G63" s="57" t="s">
        <v>176</v>
      </c>
      <c r="H63" s="61" t="s">
        <v>178</v>
      </c>
      <c r="I63" s="66">
        <f t="shared" si="11"/>
        <v>5.1205000000000007</v>
      </c>
      <c r="J63" s="66">
        <f t="shared" si="11"/>
        <v>5.2696874999999999</v>
      </c>
      <c r="K63" s="66">
        <f t="shared" si="11"/>
        <v>2.3244374999999997</v>
      </c>
      <c r="L63" s="58">
        <f t="shared" si="9"/>
        <v>12.714625</v>
      </c>
      <c r="M63" s="593"/>
      <c r="N63" s="593"/>
      <c r="O63" s="593"/>
      <c r="P63" s="593"/>
      <c r="Q63" s="42"/>
    </row>
    <row r="64" spans="1:17" x14ac:dyDescent="0.25">
      <c r="A64" s="52" t="s">
        <v>135</v>
      </c>
      <c r="B64" s="53" t="s">
        <v>95</v>
      </c>
      <c r="C64" s="66">
        <f>C58/((($A58*$B55)*(1-$B52))/$B50)</f>
        <v>4.4955234159779608E-3</v>
      </c>
      <c r="D64" s="66">
        <f>D58/((($A58*$B55)*(1-$B52))/$B50)</f>
        <v>5.1879142992424236E-2</v>
      </c>
      <c r="E64" s="66">
        <f>E58/((($A58*$B55)*(1-$B52))/$B50)</f>
        <v>3.7549662103994484E-2</v>
      </c>
      <c r="F64" s="58">
        <f t="shared" si="8"/>
        <v>9.3924328512396682E-2</v>
      </c>
      <c r="G64" s="66" t="s">
        <v>175</v>
      </c>
      <c r="H64" s="68" t="s">
        <v>179</v>
      </c>
      <c r="I64" s="66">
        <f>I58/((($H58*$B55)*(1-$B52))/$B50)</f>
        <v>7.0649831298809612E-2</v>
      </c>
      <c r="J64" s="66">
        <f>J58/((($H58*$B55)*(1-$B52))/$B50)</f>
        <v>0.13094169383577223</v>
      </c>
      <c r="K64" s="66">
        <f>K58/((($H58*$B55)*(1-$B52))/$B50)</f>
        <v>6.9041341269239526E-2</v>
      </c>
      <c r="L64" s="58">
        <f t="shared" si="9"/>
        <v>0.27063286640382134</v>
      </c>
      <c r="M64" s="593"/>
      <c r="N64" s="593"/>
      <c r="O64" s="593"/>
      <c r="P64" s="593"/>
      <c r="Q64" s="42"/>
    </row>
    <row r="65" spans="1:17" x14ac:dyDescent="0.25">
      <c r="A65" s="52" t="s">
        <v>135</v>
      </c>
      <c r="B65" s="53" t="s">
        <v>96</v>
      </c>
      <c r="C65" s="66">
        <f>C59/((($A59*$B55)*(1-$B52))/$B50)</f>
        <v>5.7618963068181817E-2</v>
      </c>
      <c r="D65" s="66">
        <f>D59/((($A59*$B55)*(1-$B52))/$B50)</f>
        <v>4.3710937499999998E-2</v>
      </c>
      <c r="E65" s="66">
        <f>E59/((($A59*$B55)*(1-$B52))/$B50)</f>
        <v>1.3378196022727272E-2</v>
      </c>
      <c r="F65" s="58">
        <f t="shared" si="8"/>
        <v>0.11470809659090908</v>
      </c>
      <c r="G65" s="66" t="s">
        <v>176</v>
      </c>
      <c r="H65" s="68" t="s">
        <v>179</v>
      </c>
      <c r="I65" s="66">
        <f>I59/((($H59*$B55)*(1-$B52))/$B50)</f>
        <v>0.14093465909090908</v>
      </c>
      <c r="J65" s="66">
        <f>J59/((($H59*$B55)*(1-$B52))/$B50)</f>
        <v>0.1450408380681818</v>
      </c>
      <c r="K65" s="66">
        <f>K59/((($H59*$B55)*(1-$B52))/$B50)</f>
        <v>6.3976917613636358E-2</v>
      </c>
      <c r="L65" s="58">
        <f t="shared" si="9"/>
        <v>0.3499524147727272</v>
      </c>
      <c r="M65" s="593"/>
      <c r="N65" s="593"/>
      <c r="O65" s="593"/>
      <c r="P65" s="593"/>
      <c r="Q65" s="42"/>
    </row>
    <row r="66" spans="1:17" x14ac:dyDescent="0.25">
      <c r="A66" s="612"/>
      <c r="B66" s="612"/>
      <c r="C66" s="612"/>
      <c r="D66" s="612"/>
      <c r="E66" s="612"/>
      <c r="F66" s="612"/>
      <c r="G66" s="612"/>
      <c r="H66" s="612"/>
      <c r="I66" s="612"/>
      <c r="J66" s="612"/>
      <c r="K66" s="612"/>
      <c r="L66" s="612"/>
      <c r="M66" s="612"/>
      <c r="N66" s="612"/>
      <c r="O66" s="612"/>
      <c r="P66" s="612"/>
      <c r="Q66" s="612"/>
    </row>
    <row r="67" spans="1:17" ht="21" x14ac:dyDescent="0.35">
      <c r="A67" s="43"/>
      <c r="B67" s="613" t="s">
        <v>119</v>
      </c>
      <c r="C67" s="614"/>
      <c r="D67" s="614"/>
      <c r="E67" s="614"/>
      <c r="F67" s="614"/>
      <c r="G67" s="614"/>
      <c r="H67" s="614"/>
      <c r="I67" s="614"/>
      <c r="J67" s="614"/>
      <c r="K67" s="614"/>
      <c r="L67" s="615"/>
      <c r="M67" s="593" t="s">
        <v>97</v>
      </c>
      <c r="N67" s="585" t="s">
        <v>61</v>
      </c>
      <c r="O67" s="585"/>
      <c r="P67" s="585"/>
      <c r="Q67" s="42"/>
    </row>
    <row r="68" spans="1:17" x14ac:dyDescent="0.25">
      <c r="A68" s="44"/>
      <c r="B68" s="590" t="s">
        <v>115</v>
      </c>
      <c r="C68" s="591"/>
      <c r="D68" s="591"/>
      <c r="E68" s="591"/>
      <c r="F68" s="591"/>
      <c r="G68" s="591"/>
      <c r="H68" s="591"/>
      <c r="I68" s="591"/>
      <c r="J68" s="591"/>
      <c r="K68" s="591"/>
      <c r="L68" s="592"/>
      <c r="M68" s="593"/>
      <c r="N68" s="585"/>
      <c r="O68" s="585"/>
      <c r="P68" s="585"/>
      <c r="Q68" s="42"/>
    </row>
    <row r="69" spans="1:17" x14ac:dyDescent="0.25">
      <c r="A69" s="2" t="s">
        <v>106</v>
      </c>
      <c r="B69" s="594">
        <v>14.2</v>
      </c>
      <c r="C69" s="595"/>
      <c r="D69" s="595"/>
      <c r="E69" s="595"/>
      <c r="F69" s="595"/>
      <c r="G69" s="595"/>
      <c r="H69" s="595"/>
      <c r="I69" s="595"/>
      <c r="J69" s="595"/>
      <c r="K69" s="595"/>
      <c r="L69" s="596"/>
      <c r="M69" s="593"/>
      <c r="N69" s="585"/>
      <c r="O69" s="585"/>
      <c r="P69" s="585"/>
      <c r="Q69" s="42"/>
    </row>
    <row r="70" spans="1:17" x14ac:dyDescent="0.25">
      <c r="A70" s="2" t="s">
        <v>112</v>
      </c>
      <c r="B70" s="597">
        <v>0.12</v>
      </c>
      <c r="C70" s="598"/>
      <c r="D70" s="598"/>
      <c r="E70" s="598"/>
      <c r="F70" s="598"/>
      <c r="G70" s="598"/>
      <c r="H70" s="598"/>
      <c r="I70" s="598"/>
      <c r="J70" s="598"/>
      <c r="K70" s="598"/>
      <c r="L70" s="599"/>
      <c r="M70" s="593"/>
      <c r="N70" s="585"/>
      <c r="O70" s="585"/>
      <c r="P70" s="585"/>
      <c r="Q70" s="42"/>
    </row>
    <row r="71" spans="1:17" ht="15.75" thickBot="1" x14ac:dyDescent="0.3">
      <c r="A71" s="2" t="s">
        <v>107</v>
      </c>
      <c r="B71" s="594">
        <f>B69-(B69*B70)</f>
        <v>12.495999999999999</v>
      </c>
      <c r="C71" s="595"/>
      <c r="D71" s="595"/>
      <c r="E71" s="595"/>
      <c r="F71" s="595"/>
      <c r="G71" s="595"/>
      <c r="H71" s="595"/>
      <c r="I71" s="595"/>
      <c r="J71" s="595"/>
      <c r="K71" s="595"/>
      <c r="L71" s="596"/>
      <c r="M71" s="593"/>
      <c r="N71" s="586"/>
      <c r="O71" s="586"/>
      <c r="P71" s="586"/>
      <c r="Q71" s="42"/>
    </row>
    <row r="72" spans="1:17" x14ac:dyDescent="0.25">
      <c r="A72" s="2" t="s">
        <v>108</v>
      </c>
      <c r="B72" s="600">
        <f>B75/B71</f>
        <v>0.74530649807938576</v>
      </c>
      <c r="C72" s="601"/>
      <c r="D72" s="601"/>
      <c r="E72" s="601"/>
      <c r="F72" s="601"/>
      <c r="G72" s="601"/>
      <c r="H72" s="601"/>
      <c r="I72" s="601"/>
      <c r="J72" s="601"/>
      <c r="K72" s="601"/>
      <c r="L72" s="602"/>
      <c r="M72" s="593"/>
      <c r="N72" s="605"/>
      <c r="O72" s="45"/>
      <c r="P72" s="607"/>
      <c r="Q72" s="42"/>
    </row>
    <row r="73" spans="1:17" ht="15.75" thickBot="1" x14ac:dyDescent="0.3">
      <c r="A73" s="2" t="s">
        <v>113</v>
      </c>
      <c r="B73" s="594">
        <f>B77*(A80+A81+H80+H81)/1000</f>
        <v>32.115000000000002</v>
      </c>
      <c r="C73" s="595"/>
      <c r="D73" s="595"/>
      <c r="E73" s="595"/>
      <c r="F73" s="595"/>
      <c r="G73" s="595"/>
      <c r="H73" s="595"/>
      <c r="I73" s="595"/>
      <c r="J73" s="595"/>
      <c r="K73" s="595"/>
      <c r="L73" s="596"/>
      <c r="M73" s="593"/>
      <c r="N73" s="606"/>
      <c r="O73" s="46"/>
      <c r="P73" s="608"/>
      <c r="Q73" s="42"/>
    </row>
    <row r="74" spans="1:17" ht="15.75" thickBot="1" x14ac:dyDescent="0.3">
      <c r="A74" s="2" t="s">
        <v>109</v>
      </c>
      <c r="B74" s="600">
        <v>0.71</v>
      </c>
      <c r="C74" s="601"/>
      <c r="D74" s="601"/>
      <c r="E74" s="601"/>
      <c r="F74" s="601"/>
      <c r="G74" s="601"/>
      <c r="H74" s="601"/>
      <c r="I74" s="601"/>
      <c r="J74" s="601"/>
      <c r="K74" s="601"/>
      <c r="L74" s="602"/>
      <c r="M74" s="593"/>
      <c r="N74" s="47"/>
      <c r="O74" s="48"/>
      <c r="P74" s="46"/>
      <c r="Q74" s="42"/>
    </row>
    <row r="75" spans="1:17" ht="15.75" thickBot="1" x14ac:dyDescent="0.3">
      <c r="A75" s="2" t="s">
        <v>122</v>
      </c>
      <c r="B75" s="594">
        <f>B73-(B73*B74)</f>
        <v>9.3133500000000033</v>
      </c>
      <c r="C75" s="595"/>
      <c r="D75" s="595"/>
      <c r="E75" s="595"/>
      <c r="F75" s="595"/>
      <c r="G75" s="595"/>
      <c r="H75" s="595"/>
      <c r="I75" s="595"/>
      <c r="J75" s="595"/>
      <c r="K75" s="595"/>
      <c r="L75" s="603"/>
      <c r="M75" s="593"/>
      <c r="N75" s="47"/>
      <c r="O75" s="48"/>
      <c r="P75" s="49"/>
      <c r="Q75" s="42"/>
    </row>
    <row r="76" spans="1:17" ht="15.75" thickBot="1" x14ac:dyDescent="0.3">
      <c r="A76" s="2" t="s">
        <v>110</v>
      </c>
      <c r="B76" s="587">
        <v>124</v>
      </c>
      <c r="C76" s="588"/>
      <c r="D76" s="588"/>
      <c r="E76" s="588"/>
      <c r="F76" s="588"/>
      <c r="G76" s="588"/>
      <c r="H76" s="588"/>
      <c r="I76" s="588"/>
      <c r="J76" s="588"/>
      <c r="K76" s="588"/>
      <c r="L76" s="589"/>
      <c r="M76" s="593"/>
      <c r="N76" s="47"/>
      <c r="O76" s="48"/>
      <c r="P76" s="49"/>
      <c r="Q76" s="42"/>
    </row>
    <row r="77" spans="1:17" x14ac:dyDescent="0.25">
      <c r="A77" s="2" t="s">
        <v>111</v>
      </c>
      <c r="B77" s="587">
        <v>15</v>
      </c>
      <c r="C77" s="588"/>
      <c r="D77" s="588"/>
      <c r="E77" s="588"/>
      <c r="F77" s="588"/>
      <c r="G77" s="588"/>
      <c r="H77" s="588"/>
      <c r="I77" s="588"/>
      <c r="J77" s="588"/>
      <c r="K77" s="588"/>
      <c r="L77" s="589"/>
      <c r="M77" s="593"/>
      <c r="N77" s="50"/>
      <c r="O77" s="609"/>
      <c r="P77" s="610"/>
      <c r="Q77" s="42"/>
    </row>
    <row r="78" spans="1:17" ht="15.75" thickBot="1" x14ac:dyDescent="0.3">
      <c r="A78" s="587" t="s">
        <v>127</v>
      </c>
      <c r="B78" s="588"/>
      <c r="C78" s="588"/>
      <c r="D78" s="588"/>
      <c r="E78" s="589"/>
      <c r="F78" s="51"/>
      <c r="G78" s="587" t="s">
        <v>128</v>
      </c>
      <c r="H78" s="588"/>
      <c r="I78" s="588"/>
      <c r="J78" s="588"/>
      <c r="K78" s="589"/>
      <c r="L78" s="51"/>
      <c r="M78" s="593"/>
      <c r="N78" s="47"/>
      <c r="O78" s="606"/>
      <c r="P78" s="611"/>
      <c r="Q78" s="42"/>
    </row>
    <row r="79" spans="1:17" ht="15.75" thickBot="1" x14ac:dyDescent="0.3">
      <c r="A79" s="52" t="s">
        <v>98</v>
      </c>
      <c r="B79" s="53" t="s">
        <v>102</v>
      </c>
      <c r="C79" s="53" t="s">
        <v>92</v>
      </c>
      <c r="D79" s="53" t="s">
        <v>93</v>
      </c>
      <c r="E79" s="53" t="s">
        <v>94</v>
      </c>
      <c r="F79" s="54" t="s">
        <v>99</v>
      </c>
      <c r="G79" s="53" t="s">
        <v>102</v>
      </c>
      <c r="H79" s="55" t="s">
        <v>98</v>
      </c>
      <c r="I79" s="53" t="s">
        <v>92</v>
      </c>
      <c r="J79" s="53" t="s">
        <v>93</v>
      </c>
      <c r="K79" s="53" t="s">
        <v>94</v>
      </c>
      <c r="L79" s="54" t="s">
        <v>99</v>
      </c>
      <c r="M79" s="593"/>
      <c r="N79" s="47"/>
      <c r="O79" s="48"/>
      <c r="P79" s="49"/>
      <c r="Q79" s="42"/>
    </row>
    <row r="80" spans="1:17" ht="15.75" thickBot="1" x14ac:dyDescent="0.3">
      <c r="A80" s="56">
        <v>965</v>
      </c>
      <c r="B80" s="53" t="s">
        <v>95</v>
      </c>
      <c r="C80" s="57">
        <v>657</v>
      </c>
      <c r="D80" s="57">
        <v>430.1</v>
      </c>
      <c r="E80" s="57">
        <v>155.1</v>
      </c>
      <c r="F80" s="58">
        <f t="shared" ref="F80:F87" si="12">SUM(C80:E80)</f>
        <v>1242.1999999999998</v>
      </c>
      <c r="G80" s="57" t="s">
        <v>175</v>
      </c>
      <c r="H80" s="59">
        <v>965</v>
      </c>
      <c r="I80" s="57">
        <v>607.20000000000005</v>
      </c>
      <c r="J80" s="57">
        <v>413.3</v>
      </c>
      <c r="K80" s="57">
        <v>157</v>
      </c>
      <c r="L80" s="58">
        <f>SUM(I80:K80)</f>
        <v>1177.5</v>
      </c>
      <c r="M80" s="593"/>
      <c r="N80" s="47"/>
      <c r="O80" s="48"/>
      <c r="P80" s="46"/>
      <c r="Q80" s="42"/>
    </row>
    <row r="81" spans="1:17" ht="15.75" thickBot="1" x14ac:dyDescent="0.3">
      <c r="A81" s="56">
        <v>105</v>
      </c>
      <c r="B81" s="53" t="s">
        <v>96</v>
      </c>
      <c r="C81" s="57">
        <v>54.6</v>
      </c>
      <c r="D81" s="57">
        <v>42</v>
      </c>
      <c r="E81" s="57">
        <v>31</v>
      </c>
      <c r="F81" s="58">
        <f t="shared" si="12"/>
        <v>127.6</v>
      </c>
      <c r="G81" s="57" t="s">
        <v>176</v>
      </c>
      <c r="H81" s="60">
        <v>106</v>
      </c>
      <c r="I81" s="57">
        <v>72.7</v>
      </c>
      <c r="J81" s="57">
        <v>42.3</v>
      </c>
      <c r="K81" s="57">
        <v>11</v>
      </c>
      <c r="L81" s="58">
        <f t="shared" ref="L81:L87" si="13">SUM(I81:K81)</f>
        <v>126</v>
      </c>
      <c r="M81" s="593"/>
      <c r="N81" s="47"/>
      <c r="O81" s="48"/>
      <c r="P81" s="46"/>
      <c r="Q81" s="42"/>
    </row>
    <row r="82" spans="1:17" ht="15.75" thickBot="1" x14ac:dyDescent="0.3">
      <c r="A82" s="52" t="s">
        <v>100</v>
      </c>
      <c r="B82" s="53" t="s">
        <v>95</v>
      </c>
      <c r="C82" s="66">
        <f>C80/$A$80</f>
        <v>0.6808290155440414</v>
      </c>
      <c r="D82" s="66">
        <f>D80/$A$80</f>
        <v>0.44569948186528502</v>
      </c>
      <c r="E82" s="66">
        <f>E80/$A$80</f>
        <v>0.16072538860103627</v>
      </c>
      <c r="F82" s="67">
        <f t="shared" si="12"/>
        <v>1.2872538860103626</v>
      </c>
      <c r="G82" s="57" t="s">
        <v>175</v>
      </c>
      <c r="H82" s="61" t="s">
        <v>177</v>
      </c>
      <c r="I82" s="66">
        <f t="shared" ref="I82:K83" si="14">I80/$H80</f>
        <v>0.62922279792746116</v>
      </c>
      <c r="J82" s="66">
        <f t="shared" si="14"/>
        <v>0.42829015544041454</v>
      </c>
      <c r="K82" s="66">
        <f t="shared" si="14"/>
        <v>0.16269430051813472</v>
      </c>
      <c r="L82" s="67">
        <f t="shared" si="13"/>
        <v>1.2202072538860105</v>
      </c>
      <c r="M82" s="593"/>
      <c r="N82" s="47"/>
      <c r="O82" s="48"/>
      <c r="P82" s="46"/>
      <c r="Q82" s="42"/>
    </row>
    <row r="83" spans="1:17" ht="16.5" thickBot="1" x14ac:dyDescent="0.3">
      <c r="A83" s="52" t="s">
        <v>100</v>
      </c>
      <c r="B83" s="53" t="s">
        <v>96</v>
      </c>
      <c r="C83" s="66">
        <f>C81/$A$81</f>
        <v>0.52</v>
      </c>
      <c r="D83" s="66">
        <f>D81/$A$81</f>
        <v>0.4</v>
      </c>
      <c r="E83" s="66">
        <f>E81/$A$81</f>
        <v>0.29523809523809524</v>
      </c>
      <c r="F83" s="67">
        <f t="shared" si="12"/>
        <v>1.2152380952380952</v>
      </c>
      <c r="G83" s="57" t="s">
        <v>176</v>
      </c>
      <c r="H83" s="61" t="s">
        <v>177</v>
      </c>
      <c r="I83" s="66">
        <f t="shared" si="14"/>
        <v>0.6858490566037736</v>
      </c>
      <c r="J83" s="66">
        <f t="shared" si="14"/>
        <v>0.39905660377358487</v>
      </c>
      <c r="K83" s="66">
        <f t="shared" si="14"/>
        <v>0.10377358490566038</v>
      </c>
      <c r="L83" s="67">
        <f t="shared" si="13"/>
        <v>1.188679245283019</v>
      </c>
      <c r="M83" s="593"/>
      <c r="N83" s="521"/>
      <c r="O83" s="63"/>
      <c r="P83" s="64"/>
      <c r="Q83" s="42"/>
    </row>
    <row r="84" spans="1:17" x14ac:dyDescent="0.25">
      <c r="A84" s="52" t="s">
        <v>104</v>
      </c>
      <c r="B84" s="53" t="s">
        <v>95</v>
      </c>
      <c r="C84" s="66">
        <f>C80/($A$80/7.7)</f>
        <v>5.2423834196891193</v>
      </c>
      <c r="D84" s="66">
        <f>D80/($A$80/7.7)</f>
        <v>3.4318860103626943</v>
      </c>
      <c r="E84" s="66">
        <f>E80/($A$80/7.7)</f>
        <v>1.2375854922279792</v>
      </c>
      <c r="F84" s="67">
        <f t="shared" si="12"/>
        <v>9.911854922279792</v>
      </c>
      <c r="G84" s="65" t="s">
        <v>175</v>
      </c>
      <c r="H84" s="61" t="s">
        <v>178</v>
      </c>
      <c r="I84" s="66">
        <f t="shared" ref="I84:K85" si="15">I80/($H80/7.7)</f>
        <v>4.8450155440414511</v>
      </c>
      <c r="J84" s="66">
        <f t="shared" si="15"/>
        <v>3.2978341968911917</v>
      </c>
      <c r="K84" s="66">
        <f t="shared" si="15"/>
        <v>1.2527461139896372</v>
      </c>
      <c r="L84" s="67">
        <f t="shared" si="13"/>
        <v>9.3955958549222807</v>
      </c>
      <c r="M84" s="593"/>
      <c r="N84" s="604"/>
      <c r="O84" s="604"/>
      <c r="P84" s="604"/>
      <c r="Q84" s="42"/>
    </row>
    <row r="85" spans="1:17" x14ac:dyDescent="0.25">
      <c r="A85" s="52" t="s">
        <v>104</v>
      </c>
      <c r="B85" s="53" t="s">
        <v>96</v>
      </c>
      <c r="C85" s="66">
        <f>C81/($A$81/7.7)</f>
        <v>4.0040000000000004</v>
      </c>
      <c r="D85" s="66">
        <f>D81/($A$81/7.7)</f>
        <v>3.08</v>
      </c>
      <c r="E85" s="66">
        <f>E81/($A$81/7.7)</f>
        <v>2.2733333333333334</v>
      </c>
      <c r="F85" s="67">
        <f t="shared" si="12"/>
        <v>9.3573333333333331</v>
      </c>
      <c r="G85" s="57" t="s">
        <v>176</v>
      </c>
      <c r="H85" s="61" t="s">
        <v>178</v>
      </c>
      <c r="I85" s="66">
        <f t="shared" si="15"/>
        <v>5.2810377358490568</v>
      </c>
      <c r="J85" s="66">
        <f t="shared" si="15"/>
        <v>3.0727358490566035</v>
      </c>
      <c r="K85" s="66">
        <f t="shared" si="15"/>
        <v>0.79905660377358489</v>
      </c>
      <c r="L85" s="67">
        <f t="shared" si="13"/>
        <v>9.1528301886792445</v>
      </c>
      <c r="M85" s="593"/>
      <c r="N85" s="593"/>
      <c r="O85" s="593"/>
      <c r="P85" s="593"/>
      <c r="Q85" s="42"/>
    </row>
    <row r="86" spans="1:17" x14ac:dyDescent="0.25">
      <c r="A86" s="52" t="s">
        <v>135</v>
      </c>
      <c r="B86" s="53" t="s">
        <v>95</v>
      </c>
      <c r="C86" s="66">
        <f>C80/((($A80*$B77)*(1-$B74))/$B72)</f>
        <v>0.11664972169332531</v>
      </c>
      <c r="D86" s="66">
        <f>D80/((($A80*$B77)*(1-$B74))/$B72)</f>
        <v>7.6363843683864868E-2</v>
      </c>
      <c r="E86" s="66">
        <f>E80/((($A80*$B77)*(1-$B74))/$B72)</f>
        <v>2.7537856673721089E-2</v>
      </c>
      <c r="F86" s="67">
        <f t="shared" si="12"/>
        <v>0.22055142205091124</v>
      </c>
      <c r="G86" s="66" t="s">
        <v>175</v>
      </c>
      <c r="H86" s="68" t="s">
        <v>179</v>
      </c>
      <c r="I86" s="66">
        <f>I80/((($H80*$B77)*(1-$B74))/$B72)</f>
        <v>0.10780777931839747</v>
      </c>
      <c r="J86" s="66">
        <f>J80/((($H80*$B77)*(1-$B74))/$B72)</f>
        <v>7.3381019750154264E-2</v>
      </c>
      <c r="K86" s="66">
        <f>K80/((($H80*$B77)*(1-$B74))/$B72)</f>
        <v>2.7875199856700263E-2</v>
      </c>
      <c r="L86" s="67">
        <f t="shared" si="13"/>
        <v>0.20906399892525199</v>
      </c>
      <c r="M86" s="593"/>
      <c r="N86" s="593"/>
      <c r="O86" s="593"/>
      <c r="P86" s="593"/>
      <c r="Q86" s="42"/>
    </row>
    <row r="87" spans="1:17" x14ac:dyDescent="0.25">
      <c r="A87" s="52" t="s">
        <v>135</v>
      </c>
      <c r="B87" s="53" t="s">
        <v>96</v>
      </c>
      <c r="C87" s="66">
        <f>C81/((($A81*$B77)*(1-$B74))/$B72)</f>
        <v>8.9094110115236907E-2</v>
      </c>
      <c r="D87" s="66">
        <f>D81/((($A81*$B77)*(1-$B74))/$B72)</f>
        <v>6.8533930857874542E-2</v>
      </c>
      <c r="E87" s="66">
        <f>E81/((($A81*$B77)*(1-$B74))/$B72)</f>
        <v>5.0584568014145494E-2</v>
      </c>
      <c r="F87" s="67">
        <f t="shared" si="12"/>
        <v>0.20821260898725694</v>
      </c>
      <c r="G87" s="66" t="s">
        <v>176</v>
      </c>
      <c r="H87" s="68" t="s">
        <v>179</v>
      </c>
      <c r="I87" s="66">
        <f>I81/((($H81*$B77)*(1-$B74))/$B72)</f>
        <v>0.11750982956055375</v>
      </c>
      <c r="J87" s="66">
        <f>J81/((($H81*$B77)*(1-$B74))/$B72)</f>
        <v>6.8372294228492753E-2</v>
      </c>
      <c r="K87" s="66">
        <f>K81/((($H81*$B77)*(1-$B74))/$B72)</f>
        <v>1.7780029231995752E-2</v>
      </c>
      <c r="L87" s="67">
        <f t="shared" si="13"/>
        <v>0.20366215302104226</v>
      </c>
      <c r="M87" s="593"/>
      <c r="N87" s="593"/>
      <c r="O87" s="593"/>
      <c r="P87" s="593"/>
      <c r="Q87" s="42"/>
    </row>
    <row r="88" spans="1:17" x14ac:dyDescent="0.25">
      <c r="A88" s="612"/>
      <c r="B88" s="612"/>
      <c r="C88" s="612"/>
      <c r="D88" s="612"/>
      <c r="E88" s="612"/>
      <c r="F88" s="612"/>
      <c r="G88" s="612"/>
      <c r="H88" s="612"/>
      <c r="I88" s="612"/>
      <c r="J88" s="612"/>
      <c r="K88" s="612"/>
      <c r="L88" s="612"/>
      <c r="M88" s="612"/>
      <c r="N88" s="612"/>
      <c r="O88" s="612"/>
      <c r="P88" s="612"/>
      <c r="Q88" s="612"/>
    </row>
    <row r="89" spans="1:17" ht="21" x14ac:dyDescent="0.35">
      <c r="A89" s="43"/>
      <c r="B89" s="613" t="s">
        <v>120</v>
      </c>
      <c r="C89" s="614"/>
      <c r="D89" s="614"/>
      <c r="E89" s="614"/>
      <c r="F89" s="614"/>
      <c r="G89" s="614"/>
      <c r="H89" s="614"/>
      <c r="I89" s="614"/>
      <c r="J89" s="614"/>
      <c r="K89" s="614"/>
      <c r="L89" s="615"/>
      <c r="M89" s="593" t="s">
        <v>97</v>
      </c>
      <c r="N89" s="585" t="s">
        <v>61</v>
      </c>
      <c r="O89" s="585"/>
      <c r="P89" s="585"/>
      <c r="Q89" s="42"/>
    </row>
    <row r="90" spans="1:17" x14ac:dyDescent="0.25">
      <c r="A90" s="44"/>
      <c r="B90" s="590" t="s">
        <v>115</v>
      </c>
      <c r="C90" s="591"/>
      <c r="D90" s="591"/>
      <c r="E90" s="591"/>
      <c r="F90" s="591"/>
      <c r="G90" s="591"/>
      <c r="H90" s="591"/>
      <c r="I90" s="591"/>
      <c r="J90" s="591"/>
      <c r="K90" s="591"/>
      <c r="L90" s="592"/>
      <c r="M90" s="593"/>
      <c r="N90" s="585"/>
      <c r="O90" s="585"/>
      <c r="P90" s="585"/>
      <c r="Q90" s="42"/>
    </row>
    <row r="91" spans="1:17" x14ac:dyDescent="0.25">
      <c r="A91" s="2" t="s">
        <v>106</v>
      </c>
      <c r="B91" s="594">
        <v>14.2</v>
      </c>
      <c r="C91" s="595"/>
      <c r="D91" s="595"/>
      <c r="E91" s="595"/>
      <c r="F91" s="595"/>
      <c r="G91" s="595"/>
      <c r="H91" s="595"/>
      <c r="I91" s="595"/>
      <c r="J91" s="595"/>
      <c r="K91" s="595"/>
      <c r="L91" s="596"/>
      <c r="M91" s="593"/>
      <c r="N91" s="585"/>
      <c r="O91" s="585"/>
      <c r="P91" s="585"/>
      <c r="Q91" s="42"/>
    </row>
    <row r="92" spans="1:17" x14ac:dyDescent="0.25">
      <c r="A92" s="2" t="s">
        <v>112</v>
      </c>
      <c r="B92" s="597">
        <v>0.12</v>
      </c>
      <c r="C92" s="598"/>
      <c r="D92" s="598"/>
      <c r="E92" s="598"/>
      <c r="F92" s="598"/>
      <c r="G92" s="598"/>
      <c r="H92" s="598"/>
      <c r="I92" s="598"/>
      <c r="J92" s="598"/>
      <c r="K92" s="598"/>
      <c r="L92" s="599"/>
      <c r="M92" s="593"/>
      <c r="N92" s="585"/>
      <c r="O92" s="585"/>
      <c r="P92" s="585"/>
      <c r="Q92" s="42"/>
    </row>
    <row r="93" spans="1:17" ht="15.75" thickBot="1" x14ac:dyDescent="0.3">
      <c r="A93" s="2" t="s">
        <v>107</v>
      </c>
      <c r="B93" s="594">
        <f>B91-(B91*B92)</f>
        <v>12.495999999999999</v>
      </c>
      <c r="C93" s="595"/>
      <c r="D93" s="595"/>
      <c r="E93" s="595"/>
      <c r="F93" s="595"/>
      <c r="G93" s="595"/>
      <c r="H93" s="595"/>
      <c r="I93" s="595"/>
      <c r="J93" s="595"/>
      <c r="K93" s="595"/>
      <c r="L93" s="596"/>
      <c r="M93" s="593"/>
      <c r="N93" s="586"/>
      <c r="O93" s="586"/>
      <c r="P93" s="586"/>
      <c r="Q93" s="42"/>
    </row>
    <row r="94" spans="1:17" x14ac:dyDescent="0.25">
      <c r="A94" s="2" t="s">
        <v>108</v>
      </c>
      <c r="B94" s="600">
        <f>B97/B93</f>
        <v>0.80413732394366211</v>
      </c>
      <c r="C94" s="601"/>
      <c r="D94" s="601"/>
      <c r="E94" s="601"/>
      <c r="F94" s="601"/>
      <c r="G94" s="601"/>
      <c r="H94" s="601"/>
      <c r="I94" s="601"/>
      <c r="J94" s="601"/>
      <c r="K94" s="601"/>
      <c r="L94" s="602"/>
      <c r="M94" s="593"/>
      <c r="N94" s="605"/>
      <c r="O94" s="45"/>
      <c r="P94" s="607"/>
      <c r="Q94" s="42"/>
    </row>
    <row r="95" spans="1:17" ht="15.75" thickBot="1" x14ac:dyDescent="0.3">
      <c r="A95" s="2" t="s">
        <v>113</v>
      </c>
      <c r="B95" s="594">
        <f>B99*(A102+A103+H102+H103)/1000</f>
        <v>33.494999999999997</v>
      </c>
      <c r="C95" s="595"/>
      <c r="D95" s="595"/>
      <c r="E95" s="595"/>
      <c r="F95" s="595"/>
      <c r="G95" s="595"/>
      <c r="H95" s="595"/>
      <c r="I95" s="595"/>
      <c r="J95" s="595"/>
      <c r="K95" s="595"/>
      <c r="L95" s="596"/>
      <c r="M95" s="593"/>
      <c r="N95" s="606"/>
      <c r="O95" s="46"/>
      <c r="P95" s="608"/>
      <c r="Q95" s="42"/>
    </row>
    <row r="96" spans="1:17" ht="15.75" thickBot="1" x14ac:dyDescent="0.3">
      <c r="A96" s="2" t="s">
        <v>109</v>
      </c>
      <c r="B96" s="600">
        <v>0.7</v>
      </c>
      <c r="C96" s="601"/>
      <c r="D96" s="601"/>
      <c r="E96" s="601"/>
      <c r="F96" s="601"/>
      <c r="G96" s="601"/>
      <c r="H96" s="601"/>
      <c r="I96" s="601"/>
      <c r="J96" s="601"/>
      <c r="K96" s="601"/>
      <c r="L96" s="602"/>
      <c r="M96" s="593"/>
      <c r="N96" s="47"/>
      <c r="O96" s="48"/>
      <c r="P96" s="46"/>
      <c r="Q96" s="42"/>
    </row>
    <row r="97" spans="1:17" ht="15.75" thickBot="1" x14ac:dyDescent="0.3">
      <c r="A97" s="2" t="s">
        <v>122</v>
      </c>
      <c r="B97" s="594">
        <f>B95-(B95*B96)</f>
        <v>10.048500000000001</v>
      </c>
      <c r="C97" s="595"/>
      <c r="D97" s="595"/>
      <c r="E97" s="595"/>
      <c r="F97" s="595"/>
      <c r="G97" s="595"/>
      <c r="H97" s="595"/>
      <c r="I97" s="595"/>
      <c r="J97" s="595"/>
      <c r="K97" s="595"/>
      <c r="L97" s="603"/>
      <c r="M97" s="593"/>
      <c r="N97" s="47"/>
      <c r="O97" s="48"/>
      <c r="P97" s="49"/>
      <c r="Q97" s="42"/>
    </row>
    <row r="98" spans="1:17" ht="15.75" thickBot="1" x14ac:dyDescent="0.3">
      <c r="A98" s="2" t="s">
        <v>110</v>
      </c>
      <c r="B98" s="587">
        <v>128</v>
      </c>
      <c r="C98" s="588"/>
      <c r="D98" s="588"/>
      <c r="E98" s="588"/>
      <c r="F98" s="588"/>
      <c r="G98" s="588"/>
      <c r="H98" s="588"/>
      <c r="I98" s="588"/>
      <c r="J98" s="588"/>
      <c r="K98" s="588"/>
      <c r="L98" s="589"/>
      <c r="M98" s="593"/>
      <c r="N98" s="47"/>
      <c r="O98" s="48"/>
      <c r="P98" s="49"/>
      <c r="Q98" s="42"/>
    </row>
    <row r="99" spans="1:17" x14ac:dyDescent="0.25">
      <c r="A99" s="2" t="s">
        <v>111</v>
      </c>
      <c r="B99" s="587">
        <v>15</v>
      </c>
      <c r="C99" s="588"/>
      <c r="D99" s="588"/>
      <c r="E99" s="588"/>
      <c r="F99" s="588"/>
      <c r="G99" s="588"/>
      <c r="H99" s="588"/>
      <c r="I99" s="588"/>
      <c r="J99" s="588"/>
      <c r="K99" s="588"/>
      <c r="L99" s="589"/>
      <c r="M99" s="593"/>
      <c r="N99" s="50"/>
      <c r="O99" s="609"/>
      <c r="P99" s="610"/>
      <c r="Q99" s="42"/>
    </row>
    <row r="100" spans="1:17" ht="15.75" thickBot="1" x14ac:dyDescent="0.3">
      <c r="A100" s="587" t="s">
        <v>127</v>
      </c>
      <c r="B100" s="588"/>
      <c r="C100" s="588"/>
      <c r="D100" s="588"/>
      <c r="E100" s="589"/>
      <c r="F100" s="51"/>
      <c r="G100" s="587" t="s">
        <v>128</v>
      </c>
      <c r="H100" s="588"/>
      <c r="I100" s="588"/>
      <c r="J100" s="588"/>
      <c r="K100" s="589"/>
      <c r="L100" s="51"/>
      <c r="M100" s="593"/>
      <c r="N100" s="47"/>
      <c r="O100" s="606"/>
      <c r="P100" s="611"/>
      <c r="Q100" s="42"/>
    </row>
    <row r="101" spans="1:17" ht="15.75" thickBot="1" x14ac:dyDescent="0.3">
      <c r="A101" s="52" t="s">
        <v>98</v>
      </c>
      <c r="B101" s="53" t="s">
        <v>102</v>
      </c>
      <c r="C101" s="53" t="s">
        <v>92</v>
      </c>
      <c r="D101" s="53" t="s">
        <v>93</v>
      </c>
      <c r="E101" s="53" t="s">
        <v>94</v>
      </c>
      <c r="F101" s="54" t="s">
        <v>99</v>
      </c>
      <c r="G101" s="53" t="s">
        <v>102</v>
      </c>
      <c r="H101" s="55" t="s">
        <v>98</v>
      </c>
      <c r="I101" s="53" t="s">
        <v>92</v>
      </c>
      <c r="J101" s="53" t="s">
        <v>93</v>
      </c>
      <c r="K101" s="53" t="s">
        <v>94</v>
      </c>
      <c r="L101" s="54" t="s">
        <v>99</v>
      </c>
      <c r="M101" s="593"/>
      <c r="N101" s="47"/>
      <c r="O101" s="48"/>
      <c r="P101" s="49"/>
      <c r="Q101" s="42"/>
    </row>
    <row r="102" spans="1:17" ht="15.75" thickBot="1" x14ac:dyDescent="0.3">
      <c r="A102" s="56">
        <v>990</v>
      </c>
      <c r="B102" s="53" t="s">
        <v>95</v>
      </c>
      <c r="C102" s="57">
        <v>409.8</v>
      </c>
      <c r="D102" s="57">
        <v>712.4</v>
      </c>
      <c r="E102" s="57">
        <v>248.5</v>
      </c>
      <c r="F102" s="58">
        <f t="shared" ref="F102:F109" si="16">SUM(C102:E102)</f>
        <v>1370.7</v>
      </c>
      <c r="G102" s="57" t="s">
        <v>175</v>
      </c>
      <c r="H102" s="59">
        <v>993</v>
      </c>
      <c r="I102" s="57">
        <v>732.7</v>
      </c>
      <c r="J102" s="57">
        <v>697.1</v>
      </c>
      <c r="K102" s="57">
        <v>30.8</v>
      </c>
      <c r="L102" s="58">
        <f>SUM(I102:K102)</f>
        <v>1460.6000000000001</v>
      </c>
      <c r="M102" s="593"/>
      <c r="N102" s="47"/>
      <c r="O102" s="48"/>
      <c r="P102" s="46"/>
      <c r="Q102" s="42"/>
    </row>
    <row r="103" spans="1:17" ht="15.75" thickBot="1" x14ac:dyDescent="0.3">
      <c r="A103" s="56">
        <v>125</v>
      </c>
      <c r="B103" s="53" t="s">
        <v>96</v>
      </c>
      <c r="C103" s="57">
        <v>85.9</v>
      </c>
      <c r="D103" s="57">
        <v>59</v>
      </c>
      <c r="E103" s="57">
        <v>38</v>
      </c>
      <c r="F103" s="58">
        <f t="shared" si="16"/>
        <v>182.9</v>
      </c>
      <c r="G103" s="57" t="s">
        <v>176</v>
      </c>
      <c r="H103" s="60">
        <v>125</v>
      </c>
      <c r="I103" s="57">
        <v>107.3</v>
      </c>
      <c r="J103" s="57">
        <v>114</v>
      </c>
      <c r="K103" s="57">
        <v>16.399999999999999</v>
      </c>
      <c r="L103" s="58">
        <f t="shared" ref="L103:L109" si="17">SUM(I103:K103)</f>
        <v>237.70000000000002</v>
      </c>
      <c r="M103" s="593"/>
      <c r="N103" s="47"/>
      <c r="O103" s="48"/>
      <c r="P103" s="46"/>
      <c r="Q103" s="42"/>
    </row>
    <row r="104" spans="1:17" ht="15.75" thickBot="1" x14ac:dyDescent="0.3">
      <c r="A104" s="52" t="s">
        <v>100</v>
      </c>
      <c r="B104" s="53" t="s">
        <v>95</v>
      </c>
      <c r="C104" s="526">
        <f>C102/$A$102</f>
        <v>0.41393939393939394</v>
      </c>
      <c r="D104" s="526">
        <f>D102/$A$102</f>
        <v>0.71959595959595957</v>
      </c>
      <c r="E104" s="526">
        <f>E102/$A$102</f>
        <v>0.25101010101010102</v>
      </c>
      <c r="F104" s="58">
        <f t="shared" si="16"/>
        <v>1.3845454545454547</v>
      </c>
      <c r="G104" s="57" t="s">
        <v>175</v>
      </c>
      <c r="H104" s="61" t="s">
        <v>177</v>
      </c>
      <c r="I104" s="66">
        <f t="shared" ref="I104:K105" si="18">I102/$H102</f>
        <v>0.73786505538771407</v>
      </c>
      <c r="J104" s="66">
        <f t="shared" si="18"/>
        <v>0.70201409869083586</v>
      </c>
      <c r="K104" s="66">
        <f t="shared" si="18"/>
        <v>3.1017119838872106E-2</v>
      </c>
      <c r="L104" s="58">
        <f t="shared" si="17"/>
        <v>1.4708962739174218</v>
      </c>
      <c r="M104" s="593"/>
      <c r="N104" s="47"/>
      <c r="O104" s="48"/>
      <c r="P104" s="46"/>
      <c r="Q104" s="42"/>
    </row>
    <row r="105" spans="1:17" ht="16.5" thickBot="1" x14ac:dyDescent="0.3">
      <c r="A105" s="52" t="s">
        <v>100</v>
      </c>
      <c r="B105" s="53" t="s">
        <v>96</v>
      </c>
      <c r="C105" s="66">
        <f>C103/$A$103</f>
        <v>0.68720000000000003</v>
      </c>
      <c r="D105" s="66">
        <f>D103/$A$103</f>
        <v>0.47199999999999998</v>
      </c>
      <c r="E105" s="66">
        <f>E103/$A$103</f>
        <v>0.30399999999999999</v>
      </c>
      <c r="F105" s="58">
        <f t="shared" si="16"/>
        <v>1.4632000000000001</v>
      </c>
      <c r="G105" s="57" t="s">
        <v>176</v>
      </c>
      <c r="H105" s="61" t="s">
        <v>177</v>
      </c>
      <c r="I105" s="66">
        <f t="shared" si="18"/>
        <v>0.85839999999999994</v>
      </c>
      <c r="J105" s="66">
        <f t="shared" si="18"/>
        <v>0.91200000000000003</v>
      </c>
      <c r="K105" s="66">
        <f t="shared" si="18"/>
        <v>0.13119999999999998</v>
      </c>
      <c r="L105" s="58">
        <f t="shared" si="17"/>
        <v>1.9016</v>
      </c>
      <c r="M105" s="593"/>
      <c r="N105" s="521"/>
      <c r="O105" s="63"/>
      <c r="P105" s="64"/>
      <c r="Q105" s="42"/>
    </row>
    <row r="106" spans="1:17" x14ac:dyDescent="0.25">
      <c r="A106" s="52" t="s">
        <v>104</v>
      </c>
      <c r="B106" s="53" t="s">
        <v>95</v>
      </c>
      <c r="C106" s="66">
        <f>C102/($A$102/7)</f>
        <v>2.8975757575757579</v>
      </c>
      <c r="D106" s="66">
        <f>D102/($A$102/7)</f>
        <v>5.0371717171717174</v>
      </c>
      <c r="E106" s="66">
        <f>E102/($A$102/7)</f>
        <v>1.7570707070707072</v>
      </c>
      <c r="F106" s="58">
        <f t="shared" si="16"/>
        <v>9.6918181818181814</v>
      </c>
      <c r="G106" s="65" t="s">
        <v>175</v>
      </c>
      <c r="H106" s="61" t="s">
        <v>178</v>
      </c>
      <c r="I106" s="66">
        <f t="shared" ref="I106:K107" si="19">I102/($H102/7.7)</f>
        <v>5.6815609264853988</v>
      </c>
      <c r="J106" s="66">
        <f t="shared" si="19"/>
        <v>5.4055085599194364</v>
      </c>
      <c r="K106" s="66">
        <f t="shared" si="19"/>
        <v>0.23883182275931522</v>
      </c>
      <c r="L106" s="58">
        <f t="shared" si="17"/>
        <v>11.325901309164152</v>
      </c>
      <c r="M106" s="593"/>
      <c r="N106" s="604"/>
      <c r="O106" s="604"/>
      <c r="P106" s="604"/>
      <c r="Q106" s="42"/>
    </row>
    <row r="107" spans="1:17" x14ac:dyDescent="0.25">
      <c r="A107" s="52" t="s">
        <v>104</v>
      </c>
      <c r="B107" s="53" t="s">
        <v>96</v>
      </c>
      <c r="C107" s="66">
        <f>C103/($A$103/7.7)</f>
        <v>5.2914400000000006</v>
      </c>
      <c r="D107" s="66">
        <f>D103/($A$103/7.7)</f>
        <v>3.6344000000000003</v>
      </c>
      <c r="E107" s="66">
        <f>E103/($A$103/7.7)</f>
        <v>2.3408000000000002</v>
      </c>
      <c r="F107" s="58">
        <f t="shared" si="16"/>
        <v>11.266640000000001</v>
      </c>
      <c r="G107" s="57" t="s">
        <v>176</v>
      </c>
      <c r="H107" s="61" t="s">
        <v>178</v>
      </c>
      <c r="I107" s="66">
        <f t="shared" si="19"/>
        <v>6.60968</v>
      </c>
      <c r="J107" s="66">
        <f t="shared" si="19"/>
        <v>7.0224000000000002</v>
      </c>
      <c r="K107" s="66">
        <f t="shared" si="19"/>
        <v>1.01024</v>
      </c>
      <c r="L107" s="58">
        <f t="shared" si="17"/>
        <v>14.64232</v>
      </c>
      <c r="M107" s="593"/>
      <c r="N107" s="593"/>
      <c r="O107" s="593"/>
      <c r="P107" s="593"/>
      <c r="Q107" s="42"/>
    </row>
    <row r="108" spans="1:17" x14ac:dyDescent="0.25">
      <c r="A108" s="52" t="s">
        <v>135</v>
      </c>
      <c r="B108" s="53" t="s">
        <v>95</v>
      </c>
      <c r="C108" s="66">
        <f>C102/((($A102*$B99)*(1-$B96))/$B94)</f>
        <v>7.3969803670507886E-2</v>
      </c>
      <c r="D108" s="66">
        <f>D102/((($A102*$B99)*(1-$B96))/$B94)</f>
        <v>0.12858977094892587</v>
      </c>
      <c r="E108" s="66">
        <f>E102/((($A102*$B99)*(1-$B96))/$B94)</f>
        <v>4.4854797979797974E-2</v>
      </c>
      <c r="F108" s="58">
        <f t="shared" si="16"/>
        <v>0.24741437259923171</v>
      </c>
      <c r="G108" s="66" t="s">
        <v>175</v>
      </c>
      <c r="H108" s="68" t="s">
        <v>179</v>
      </c>
      <c r="I108" s="66">
        <f>I102/((($H102*$B99)*(1-$B96))/$B94)</f>
        <v>0.13185440690467073</v>
      </c>
      <c r="J108" s="66">
        <f>J102/((($H102*$B99)*(1-$B96))/$B94)</f>
        <v>0.12544794193154901</v>
      </c>
      <c r="K108" s="66">
        <f>K102/((($H102*$B99)*(1-$B96))/$B94)</f>
        <v>5.5426719430378846E-3</v>
      </c>
      <c r="L108" s="58">
        <f t="shared" si="17"/>
        <v>0.26284502077925759</v>
      </c>
      <c r="M108" s="593"/>
      <c r="N108" s="593"/>
      <c r="O108" s="593"/>
      <c r="P108" s="593"/>
      <c r="Q108" s="42"/>
    </row>
    <row r="109" spans="1:17" x14ac:dyDescent="0.25">
      <c r="A109" s="52" t="s">
        <v>135</v>
      </c>
      <c r="B109" s="53" t="s">
        <v>96</v>
      </c>
      <c r="C109" s="66">
        <f>C103/((($A103*$B99)*(1-$B96))/$B94)</f>
        <v>0.12280070422535212</v>
      </c>
      <c r="D109" s="66">
        <f>D103/((($A103*$B99)*(1-$B96))/$B94)</f>
        <v>8.4345070422535209E-2</v>
      </c>
      <c r="E109" s="66">
        <f>E103/((($A103*$B99)*(1-$B96))/$B94)</f>
        <v>5.4323943661971831E-2</v>
      </c>
      <c r="F109" s="58">
        <f t="shared" si="16"/>
        <v>0.26146971830985916</v>
      </c>
      <c r="G109" s="66" t="s">
        <v>176</v>
      </c>
      <c r="H109" s="68" t="s">
        <v>179</v>
      </c>
      <c r="I109" s="66">
        <f>I103/((($H103*$B99)*(1-$B96))/$B94)</f>
        <v>0.15339366197183099</v>
      </c>
      <c r="J109" s="66">
        <f>J103/((($H103*$B99)*(1-$B96))/$B94)</f>
        <v>0.1629718309859155</v>
      </c>
      <c r="K109" s="66">
        <f>K103/((($H103*$B99)*(1-$B96))/$B94)</f>
        <v>2.344507042253521E-2</v>
      </c>
      <c r="L109" s="58">
        <f t="shared" si="17"/>
        <v>0.3398105633802817</v>
      </c>
      <c r="M109" s="593"/>
      <c r="N109" s="593"/>
      <c r="O109" s="593"/>
      <c r="P109" s="593"/>
      <c r="Q109" s="42"/>
    </row>
    <row r="110" spans="1:17" x14ac:dyDescent="0.25">
      <c r="A110" s="612"/>
      <c r="B110" s="612"/>
      <c r="C110" s="612"/>
      <c r="D110" s="612"/>
      <c r="E110" s="612"/>
      <c r="F110" s="612"/>
      <c r="G110" s="612"/>
      <c r="H110" s="612"/>
      <c r="I110" s="612"/>
      <c r="J110" s="612"/>
      <c r="K110" s="612"/>
      <c r="L110" s="612"/>
      <c r="M110" s="612"/>
      <c r="N110" s="612"/>
      <c r="O110" s="612"/>
      <c r="P110" s="612"/>
      <c r="Q110" s="612"/>
    </row>
    <row r="111" spans="1:17" ht="21" x14ac:dyDescent="0.35">
      <c r="A111" s="43"/>
      <c r="B111" s="613" t="s">
        <v>121</v>
      </c>
      <c r="C111" s="614"/>
      <c r="D111" s="614"/>
      <c r="E111" s="614"/>
      <c r="F111" s="614"/>
      <c r="G111" s="614"/>
      <c r="H111" s="614"/>
      <c r="I111" s="614"/>
      <c r="J111" s="614"/>
      <c r="K111" s="614"/>
      <c r="L111" s="615"/>
      <c r="M111" s="593" t="s">
        <v>97</v>
      </c>
      <c r="N111" s="585" t="s">
        <v>61</v>
      </c>
      <c r="O111" s="585"/>
      <c r="P111" s="585"/>
      <c r="Q111" s="42"/>
    </row>
    <row r="112" spans="1:17" x14ac:dyDescent="0.25">
      <c r="A112" s="44"/>
      <c r="B112" s="590" t="s">
        <v>115</v>
      </c>
      <c r="C112" s="591"/>
      <c r="D112" s="591"/>
      <c r="E112" s="591"/>
      <c r="F112" s="591"/>
      <c r="G112" s="591"/>
      <c r="H112" s="591"/>
      <c r="I112" s="591"/>
      <c r="J112" s="591"/>
      <c r="K112" s="591"/>
      <c r="L112" s="592"/>
      <c r="M112" s="593"/>
      <c r="N112" s="585"/>
      <c r="O112" s="585"/>
      <c r="P112" s="585"/>
      <c r="Q112" s="42"/>
    </row>
    <row r="113" spans="1:17" x14ac:dyDescent="0.25">
      <c r="A113" s="2" t="s">
        <v>106</v>
      </c>
      <c r="B113" s="594">
        <v>16</v>
      </c>
      <c r="C113" s="595"/>
      <c r="D113" s="595"/>
      <c r="E113" s="595"/>
      <c r="F113" s="595"/>
      <c r="G113" s="595"/>
      <c r="H113" s="595"/>
      <c r="I113" s="595"/>
      <c r="J113" s="595"/>
      <c r="K113" s="595"/>
      <c r="L113" s="596"/>
      <c r="M113" s="593"/>
      <c r="N113" s="585"/>
      <c r="O113" s="585"/>
      <c r="P113" s="585"/>
      <c r="Q113" s="42"/>
    </row>
    <row r="114" spans="1:17" x14ac:dyDescent="0.25">
      <c r="A114" s="2" t="s">
        <v>112</v>
      </c>
      <c r="B114" s="597">
        <v>0.12</v>
      </c>
      <c r="C114" s="598"/>
      <c r="D114" s="598"/>
      <c r="E114" s="598"/>
      <c r="F114" s="598"/>
      <c r="G114" s="598"/>
      <c r="H114" s="598"/>
      <c r="I114" s="598"/>
      <c r="J114" s="598"/>
      <c r="K114" s="598"/>
      <c r="L114" s="599"/>
      <c r="M114" s="593"/>
      <c r="N114" s="585"/>
      <c r="O114" s="585"/>
      <c r="P114" s="585"/>
      <c r="Q114" s="42"/>
    </row>
    <row r="115" spans="1:17" ht="15.75" thickBot="1" x14ac:dyDescent="0.3">
      <c r="A115" s="2" t="s">
        <v>107</v>
      </c>
      <c r="B115" s="594">
        <f>B113-(B113*B114)</f>
        <v>14.08</v>
      </c>
      <c r="C115" s="595"/>
      <c r="D115" s="595"/>
      <c r="E115" s="595"/>
      <c r="F115" s="595"/>
      <c r="G115" s="595"/>
      <c r="H115" s="595"/>
      <c r="I115" s="595"/>
      <c r="J115" s="595"/>
      <c r="K115" s="595"/>
      <c r="L115" s="596"/>
      <c r="M115" s="593"/>
      <c r="N115" s="586"/>
      <c r="O115" s="586"/>
      <c r="P115" s="586"/>
      <c r="Q115" s="42"/>
    </row>
    <row r="116" spans="1:17" x14ac:dyDescent="0.25">
      <c r="A116" s="2" t="s">
        <v>108</v>
      </c>
      <c r="B116" s="600">
        <f>B119/B115</f>
        <v>0.8873011363636365</v>
      </c>
      <c r="C116" s="601"/>
      <c r="D116" s="601"/>
      <c r="E116" s="601"/>
      <c r="F116" s="601"/>
      <c r="G116" s="601"/>
      <c r="H116" s="601"/>
      <c r="I116" s="601"/>
      <c r="J116" s="601"/>
      <c r="K116" s="601"/>
      <c r="L116" s="602"/>
      <c r="M116" s="593"/>
      <c r="N116" s="605"/>
      <c r="O116" s="45"/>
      <c r="P116" s="607"/>
      <c r="Q116" s="42"/>
    </row>
    <row r="117" spans="1:17" ht="15.75" thickBot="1" x14ac:dyDescent="0.3">
      <c r="A117" s="2" t="s">
        <v>113</v>
      </c>
      <c r="B117" s="594">
        <f>B121*(A124+A125+H124+H125)/1000</f>
        <v>41.643999999999998</v>
      </c>
      <c r="C117" s="595"/>
      <c r="D117" s="595"/>
      <c r="E117" s="595"/>
      <c r="F117" s="595"/>
      <c r="G117" s="595"/>
      <c r="H117" s="595"/>
      <c r="I117" s="595"/>
      <c r="J117" s="595"/>
      <c r="K117" s="595"/>
      <c r="L117" s="596"/>
      <c r="M117" s="593"/>
      <c r="N117" s="606"/>
      <c r="O117" s="46"/>
      <c r="P117" s="608"/>
      <c r="Q117" s="42"/>
    </row>
    <row r="118" spans="1:17" ht="15.75" thickBot="1" x14ac:dyDescent="0.3">
      <c r="A118" s="2" t="s">
        <v>109</v>
      </c>
      <c r="B118" s="600">
        <v>0.7</v>
      </c>
      <c r="C118" s="601"/>
      <c r="D118" s="601"/>
      <c r="E118" s="601"/>
      <c r="F118" s="601"/>
      <c r="G118" s="601"/>
      <c r="H118" s="601"/>
      <c r="I118" s="601"/>
      <c r="J118" s="601"/>
      <c r="K118" s="601"/>
      <c r="L118" s="602"/>
      <c r="M118" s="593"/>
      <c r="N118" s="47"/>
      <c r="O118" s="48"/>
      <c r="P118" s="46"/>
      <c r="Q118" s="42"/>
    </row>
    <row r="119" spans="1:17" ht="15.75" thickBot="1" x14ac:dyDescent="0.3">
      <c r="A119" s="2" t="s">
        <v>122</v>
      </c>
      <c r="B119" s="594">
        <f>B117-(B117*B118)</f>
        <v>12.493200000000002</v>
      </c>
      <c r="C119" s="595"/>
      <c r="D119" s="595"/>
      <c r="E119" s="595"/>
      <c r="F119" s="595"/>
      <c r="G119" s="595"/>
      <c r="H119" s="595"/>
      <c r="I119" s="595"/>
      <c r="J119" s="595"/>
      <c r="K119" s="595"/>
      <c r="L119" s="603"/>
      <c r="M119" s="593"/>
      <c r="N119" s="47"/>
      <c r="O119" s="48"/>
      <c r="P119" s="49"/>
      <c r="Q119" s="42"/>
    </row>
    <row r="120" spans="1:17" ht="15.75" thickBot="1" x14ac:dyDescent="0.3">
      <c r="A120" s="2" t="s">
        <v>110</v>
      </c>
      <c r="B120" s="587">
        <v>126</v>
      </c>
      <c r="C120" s="588"/>
      <c r="D120" s="588"/>
      <c r="E120" s="588"/>
      <c r="F120" s="588"/>
      <c r="G120" s="588"/>
      <c r="H120" s="588"/>
      <c r="I120" s="588"/>
      <c r="J120" s="588"/>
      <c r="K120" s="588"/>
      <c r="L120" s="589"/>
      <c r="M120" s="593"/>
      <c r="N120" s="47"/>
      <c r="O120" s="48"/>
      <c r="P120" s="49"/>
      <c r="Q120" s="42"/>
    </row>
    <row r="121" spans="1:17" x14ac:dyDescent="0.25">
      <c r="A121" s="2" t="s">
        <v>111</v>
      </c>
      <c r="B121" s="587">
        <v>14.5</v>
      </c>
      <c r="C121" s="588"/>
      <c r="D121" s="588"/>
      <c r="E121" s="588"/>
      <c r="F121" s="588"/>
      <c r="G121" s="588"/>
      <c r="H121" s="588"/>
      <c r="I121" s="588"/>
      <c r="J121" s="588"/>
      <c r="K121" s="588"/>
      <c r="L121" s="589"/>
      <c r="M121" s="593"/>
      <c r="N121" s="50"/>
      <c r="O121" s="609"/>
      <c r="P121" s="610"/>
      <c r="Q121" s="42"/>
    </row>
    <row r="122" spans="1:17" ht="15.75" thickBot="1" x14ac:dyDescent="0.3">
      <c r="A122" s="587" t="s">
        <v>127</v>
      </c>
      <c r="B122" s="588"/>
      <c r="C122" s="588"/>
      <c r="D122" s="588"/>
      <c r="E122" s="589"/>
      <c r="F122" s="51"/>
      <c r="G122" s="587" t="s">
        <v>128</v>
      </c>
      <c r="H122" s="588"/>
      <c r="I122" s="588"/>
      <c r="J122" s="588"/>
      <c r="K122" s="589"/>
      <c r="L122" s="51"/>
      <c r="M122" s="593"/>
      <c r="N122" s="47"/>
      <c r="O122" s="606"/>
      <c r="P122" s="611"/>
      <c r="Q122" s="42"/>
    </row>
    <row r="123" spans="1:17" ht="15.75" thickBot="1" x14ac:dyDescent="0.3">
      <c r="A123" s="52" t="s">
        <v>98</v>
      </c>
      <c r="B123" s="53" t="s">
        <v>102</v>
      </c>
      <c r="C123" s="53" t="s">
        <v>92</v>
      </c>
      <c r="D123" s="53" t="s">
        <v>93</v>
      </c>
      <c r="E123" s="53" t="s">
        <v>94</v>
      </c>
      <c r="F123" s="54" t="s">
        <v>99</v>
      </c>
      <c r="G123" s="53" t="s">
        <v>102</v>
      </c>
      <c r="H123" s="55" t="s">
        <v>98</v>
      </c>
      <c r="I123" s="53" t="s">
        <v>92</v>
      </c>
      <c r="J123" s="53" t="s">
        <v>93</v>
      </c>
      <c r="K123" s="53" t="s">
        <v>94</v>
      </c>
      <c r="L123" s="54" t="s">
        <v>99</v>
      </c>
      <c r="M123" s="593"/>
      <c r="N123" s="47"/>
      <c r="O123" s="48"/>
      <c r="P123" s="49"/>
      <c r="Q123" s="42"/>
    </row>
    <row r="124" spans="1:17" ht="15.75" thickBot="1" x14ac:dyDescent="0.3">
      <c r="A124" s="56">
        <v>1308</v>
      </c>
      <c r="B124" s="53" t="s">
        <v>95</v>
      </c>
      <c r="C124" s="57">
        <v>352.9</v>
      </c>
      <c r="D124" s="57">
        <v>213.8</v>
      </c>
      <c r="E124" s="57">
        <v>41.6</v>
      </c>
      <c r="F124" s="58">
        <f t="shared" ref="F124:F131" si="20">SUM(C124:E124)</f>
        <v>608.30000000000007</v>
      </c>
      <c r="G124" s="57" t="s">
        <v>175</v>
      </c>
      <c r="H124" s="59">
        <v>1309</v>
      </c>
      <c r="I124" s="57">
        <v>398.1</v>
      </c>
      <c r="J124" s="57">
        <v>135</v>
      </c>
      <c r="K124" s="57">
        <v>24.02</v>
      </c>
      <c r="L124" s="58">
        <f>SUM(I124:K124)</f>
        <v>557.12</v>
      </c>
      <c r="M124" s="593"/>
      <c r="N124" s="47"/>
      <c r="O124" s="48"/>
      <c r="P124" s="46"/>
      <c r="Q124" s="42"/>
    </row>
    <row r="125" spans="1:17" ht="15.75" thickBot="1" x14ac:dyDescent="0.3">
      <c r="A125" s="56">
        <v>128</v>
      </c>
      <c r="B125" s="53" t="s">
        <v>96</v>
      </c>
      <c r="C125" s="57">
        <v>34.4</v>
      </c>
      <c r="D125" s="57">
        <v>21.6</v>
      </c>
      <c r="E125" s="57">
        <v>4.2</v>
      </c>
      <c r="F125" s="58">
        <f t="shared" si="20"/>
        <v>60.2</v>
      </c>
      <c r="G125" s="57" t="s">
        <v>176</v>
      </c>
      <c r="H125" s="60">
        <v>127</v>
      </c>
      <c r="I125" s="57">
        <v>58.7</v>
      </c>
      <c r="J125" s="57">
        <v>23.2</v>
      </c>
      <c r="K125" s="57">
        <v>0</v>
      </c>
      <c r="L125" s="58">
        <f t="shared" ref="L125:L131" si="21">SUM(I125:K125)</f>
        <v>81.900000000000006</v>
      </c>
      <c r="M125" s="593"/>
      <c r="N125" s="47"/>
      <c r="O125" s="48"/>
      <c r="P125" s="46"/>
      <c r="Q125" s="42"/>
    </row>
    <row r="126" spans="1:17" ht="15.75" thickBot="1" x14ac:dyDescent="0.3">
      <c r="A126" s="52" t="s">
        <v>100</v>
      </c>
      <c r="B126" s="53" t="s">
        <v>95</v>
      </c>
      <c r="C126" s="66">
        <f>C124/$A$124</f>
        <v>0.26980122324159017</v>
      </c>
      <c r="D126" s="66">
        <f>D124/$A$124</f>
        <v>0.16345565749235474</v>
      </c>
      <c r="E126" s="66">
        <f>E124/$A$124</f>
        <v>3.1804281345565753E-2</v>
      </c>
      <c r="F126" s="58">
        <f t="shared" si="20"/>
        <v>0.46506116207951065</v>
      </c>
      <c r="G126" s="57" t="s">
        <v>175</v>
      </c>
      <c r="H126" s="61" t="s">
        <v>177</v>
      </c>
      <c r="I126" s="66">
        <f t="shared" ref="I126:K127" si="22">I124/$H124</f>
        <v>0.30412528647822767</v>
      </c>
      <c r="J126" s="66">
        <f t="shared" si="22"/>
        <v>0.10313216195569137</v>
      </c>
      <c r="K126" s="66">
        <f t="shared" si="22"/>
        <v>1.8349885408708938E-2</v>
      </c>
      <c r="L126" s="58">
        <f t="shared" si="21"/>
        <v>0.42560733384262794</v>
      </c>
      <c r="M126" s="593"/>
      <c r="N126" s="47"/>
      <c r="O126" s="48"/>
      <c r="P126" s="46"/>
      <c r="Q126" s="42"/>
    </row>
    <row r="127" spans="1:17" ht="16.5" thickBot="1" x14ac:dyDescent="0.3">
      <c r="A127" s="52" t="s">
        <v>100</v>
      </c>
      <c r="B127" s="53" t="s">
        <v>96</v>
      </c>
      <c r="C127" s="66">
        <f>C125/$A$125</f>
        <v>0.26874999999999999</v>
      </c>
      <c r="D127" s="66">
        <f>D125/$A$125</f>
        <v>0.16875000000000001</v>
      </c>
      <c r="E127" s="66">
        <f>E125/$A$125</f>
        <v>3.2812500000000001E-2</v>
      </c>
      <c r="F127" s="58">
        <f t="shared" si="20"/>
        <v>0.47031250000000002</v>
      </c>
      <c r="G127" s="57" t="s">
        <v>176</v>
      </c>
      <c r="H127" s="61" t="s">
        <v>177</v>
      </c>
      <c r="I127" s="66">
        <f t="shared" si="22"/>
        <v>0.46220472440944882</v>
      </c>
      <c r="J127" s="66">
        <f t="shared" si="22"/>
        <v>0.18267716535433071</v>
      </c>
      <c r="K127" s="66">
        <f t="shared" si="22"/>
        <v>0</v>
      </c>
      <c r="L127" s="58">
        <f t="shared" si="21"/>
        <v>0.64488188976377958</v>
      </c>
      <c r="M127" s="593"/>
      <c r="N127" s="521"/>
      <c r="O127" s="63"/>
      <c r="P127" s="64"/>
      <c r="Q127" s="42"/>
    </row>
    <row r="128" spans="1:17" x14ac:dyDescent="0.25">
      <c r="A128" s="52" t="s">
        <v>104</v>
      </c>
      <c r="B128" s="53" t="s">
        <v>95</v>
      </c>
      <c r="C128" s="66">
        <f>C124/($A$124/7.7)</f>
        <v>2.0774694189602445</v>
      </c>
      <c r="D128" s="66">
        <f>D124/($A$124/7.7)</f>
        <v>1.2586085626911316</v>
      </c>
      <c r="E128" s="66">
        <f>E124/($A$124/7.7)</f>
        <v>0.24489296636085631</v>
      </c>
      <c r="F128" s="58">
        <f t="shared" si="20"/>
        <v>3.5809709480122325</v>
      </c>
      <c r="G128" s="65" t="s">
        <v>175</v>
      </c>
      <c r="H128" s="61" t="s">
        <v>178</v>
      </c>
      <c r="I128" s="66">
        <f t="shared" ref="I128:K129" si="23">I124/($H124/7.7)</f>
        <v>2.341764705882353</v>
      </c>
      <c r="J128" s="66">
        <f t="shared" si="23"/>
        <v>0.79411764705882348</v>
      </c>
      <c r="K128" s="66">
        <f t="shared" si="23"/>
        <v>0.14129411764705882</v>
      </c>
      <c r="L128" s="58">
        <f t="shared" si="21"/>
        <v>3.2771764705882354</v>
      </c>
      <c r="M128" s="593"/>
      <c r="N128" s="604"/>
      <c r="O128" s="604"/>
      <c r="P128" s="604"/>
      <c r="Q128" s="42"/>
    </row>
    <row r="129" spans="1:17" x14ac:dyDescent="0.25">
      <c r="A129" s="52" t="s">
        <v>104</v>
      </c>
      <c r="B129" s="53" t="s">
        <v>96</v>
      </c>
      <c r="C129" s="66">
        <f>C125/($A$125/7.7)</f>
        <v>2.069375</v>
      </c>
      <c r="D129" s="66">
        <f>D125/($A$125/7.7)</f>
        <v>1.2993750000000002</v>
      </c>
      <c r="E129" s="66">
        <f>E125/($A$125/7.7)</f>
        <v>0.25265625000000003</v>
      </c>
      <c r="F129" s="58">
        <f t="shared" si="20"/>
        <v>3.6214062500000006</v>
      </c>
      <c r="G129" s="57" t="s">
        <v>176</v>
      </c>
      <c r="H129" s="61" t="s">
        <v>178</v>
      </c>
      <c r="I129" s="66">
        <f t="shared" si="23"/>
        <v>3.5589763779527561</v>
      </c>
      <c r="J129" s="66">
        <f t="shared" si="23"/>
        <v>1.4066141732283464</v>
      </c>
      <c r="K129" s="66">
        <f t="shared" si="23"/>
        <v>0</v>
      </c>
      <c r="L129" s="58">
        <f t="shared" si="21"/>
        <v>4.9655905511811023</v>
      </c>
      <c r="M129" s="593"/>
      <c r="N129" s="593"/>
      <c r="O129" s="593"/>
      <c r="P129" s="593"/>
      <c r="Q129" s="42"/>
    </row>
    <row r="130" spans="1:17" x14ac:dyDescent="0.25">
      <c r="A130" s="52" t="s">
        <v>135</v>
      </c>
      <c r="B130" s="53" t="s">
        <v>95</v>
      </c>
      <c r="C130" s="66">
        <f>C124/((($A124*$B121)*(1-$B118))/$B116)</f>
        <v>5.5033317695301634E-2</v>
      </c>
      <c r="D130" s="66">
        <f>D124/((($A124*$B121)*(1-$B118))/$B116)</f>
        <v>3.3341239227133723E-2</v>
      </c>
      <c r="E130" s="66">
        <f>E124/((($A124*$B121)*(1-$B118))/$B116)</f>
        <v>6.4873505699193767E-3</v>
      </c>
      <c r="F130" s="58">
        <f t="shared" si="20"/>
        <v>9.4861907492354736E-2</v>
      </c>
      <c r="G130" s="66" t="s">
        <v>175</v>
      </c>
      <c r="H130" s="68" t="s">
        <v>179</v>
      </c>
      <c r="I130" s="66">
        <f>I124/((($H124*$B121)*(1-$B118))/$B116)</f>
        <v>6.2034646503229401E-2</v>
      </c>
      <c r="J130" s="66">
        <f>J124/((($H124*$B121)*(1-$B118))/$B116)</f>
        <v>2.103661712618932E-2</v>
      </c>
      <c r="K130" s="66">
        <f>K124/((($H124*$B121)*(1-$B118))/$B116)</f>
        <v>3.7429595805264257E-3</v>
      </c>
      <c r="L130" s="58">
        <f t="shared" si="21"/>
        <v>8.6814223209945141E-2</v>
      </c>
      <c r="M130" s="593"/>
      <c r="N130" s="593"/>
      <c r="O130" s="593"/>
      <c r="P130" s="593"/>
      <c r="Q130" s="42"/>
    </row>
    <row r="131" spans="1:17" x14ac:dyDescent="0.25">
      <c r="A131" s="52" t="s">
        <v>135</v>
      </c>
      <c r="B131" s="53" t="s">
        <v>96</v>
      </c>
      <c r="C131" s="66">
        <f>C125/((($A125*$B121)*(1-$B118))/$B116)</f>
        <v>5.4818892045454544E-2</v>
      </c>
      <c r="D131" s="66">
        <f>D125/((($A125*$B121)*(1-$B118))/$B116)</f>
        <v>3.4421164772727275E-2</v>
      </c>
      <c r="E131" s="66">
        <f>E125/((($A125*$B121)*(1-$B118))/$B116)</f>
        <v>6.6930042613636371E-3</v>
      </c>
      <c r="F131" s="58">
        <f t="shared" si="20"/>
        <v>9.5933061079545454E-2</v>
      </c>
      <c r="G131" s="66" t="s">
        <v>176</v>
      </c>
      <c r="H131" s="68" t="s">
        <v>179</v>
      </c>
      <c r="I131" s="66">
        <f>I125/((($H125*$B121)*(1-$B118))/$B116)</f>
        <v>9.4279259126700071E-2</v>
      </c>
      <c r="J131" s="66">
        <f>J125/((($H125*$B121)*(1-$B118))/$B116)</f>
        <v>3.7261989978525409E-2</v>
      </c>
      <c r="K131" s="66">
        <f>K125/((($H125*$B121)*(1-$B118))/$B116)</f>
        <v>0</v>
      </c>
      <c r="L131" s="58">
        <f t="shared" si="21"/>
        <v>0.13154124910522547</v>
      </c>
      <c r="M131" s="593"/>
      <c r="N131" s="593"/>
      <c r="O131" s="593"/>
      <c r="P131" s="593"/>
      <c r="Q131" s="42"/>
    </row>
    <row r="132" spans="1:17" x14ac:dyDescent="0.25">
      <c r="A132" s="612"/>
      <c r="B132" s="612"/>
      <c r="C132" s="612"/>
      <c r="D132" s="612"/>
      <c r="E132" s="612"/>
      <c r="F132" s="612"/>
      <c r="G132" s="612"/>
      <c r="H132" s="612"/>
      <c r="I132" s="612"/>
      <c r="J132" s="612"/>
      <c r="K132" s="612"/>
      <c r="L132" s="612"/>
      <c r="M132" s="612"/>
      <c r="N132" s="612"/>
      <c r="O132" s="612"/>
      <c r="P132" s="612"/>
      <c r="Q132" s="612"/>
    </row>
    <row r="133" spans="1:17" ht="21" x14ac:dyDescent="0.35">
      <c r="A133" s="43"/>
      <c r="B133" s="613" t="s">
        <v>125</v>
      </c>
      <c r="C133" s="614"/>
      <c r="D133" s="614"/>
      <c r="E133" s="614"/>
      <c r="F133" s="614"/>
      <c r="G133" s="614"/>
      <c r="H133" s="614"/>
      <c r="I133" s="614"/>
      <c r="J133" s="614"/>
      <c r="K133" s="614"/>
      <c r="L133" s="615"/>
      <c r="M133" s="593" t="s">
        <v>97</v>
      </c>
      <c r="N133" s="585" t="s">
        <v>61</v>
      </c>
      <c r="O133" s="585"/>
      <c r="P133" s="585"/>
      <c r="Q133" s="42"/>
    </row>
    <row r="134" spans="1:17" x14ac:dyDescent="0.25">
      <c r="A134" s="44"/>
      <c r="B134" s="590" t="s">
        <v>115</v>
      </c>
      <c r="C134" s="591"/>
      <c r="D134" s="591"/>
      <c r="E134" s="591"/>
      <c r="F134" s="591"/>
      <c r="G134" s="591"/>
      <c r="H134" s="591"/>
      <c r="I134" s="591"/>
      <c r="J134" s="591"/>
      <c r="K134" s="591"/>
      <c r="L134" s="592"/>
      <c r="M134" s="593"/>
      <c r="N134" s="585"/>
      <c r="O134" s="585"/>
      <c r="P134" s="585"/>
      <c r="Q134" s="42"/>
    </row>
    <row r="135" spans="1:17" x14ac:dyDescent="0.25">
      <c r="A135" s="2" t="s">
        <v>106</v>
      </c>
      <c r="B135" s="594">
        <v>16</v>
      </c>
      <c r="C135" s="595"/>
      <c r="D135" s="595"/>
      <c r="E135" s="595"/>
      <c r="F135" s="595"/>
      <c r="G135" s="595"/>
      <c r="H135" s="595"/>
      <c r="I135" s="595"/>
      <c r="J135" s="595"/>
      <c r="K135" s="595"/>
      <c r="L135" s="596"/>
      <c r="M135" s="593"/>
      <c r="N135" s="585"/>
      <c r="O135" s="585"/>
      <c r="P135" s="585"/>
      <c r="Q135" s="42"/>
    </row>
    <row r="136" spans="1:17" x14ac:dyDescent="0.25">
      <c r="A136" s="2" t="s">
        <v>112</v>
      </c>
      <c r="B136" s="597">
        <v>0.12</v>
      </c>
      <c r="C136" s="598"/>
      <c r="D136" s="598"/>
      <c r="E136" s="598"/>
      <c r="F136" s="598"/>
      <c r="G136" s="598"/>
      <c r="H136" s="598"/>
      <c r="I136" s="598"/>
      <c r="J136" s="598"/>
      <c r="K136" s="598"/>
      <c r="L136" s="599"/>
      <c r="M136" s="593"/>
      <c r="N136" s="585"/>
      <c r="O136" s="585"/>
      <c r="P136" s="585"/>
      <c r="Q136" s="42"/>
    </row>
    <row r="137" spans="1:17" ht="15.75" thickBot="1" x14ac:dyDescent="0.3">
      <c r="A137" s="2" t="s">
        <v>107</v>
      </c>
      <c r="B137" s="594">
        <f>B135-(B135*B136)</f>
        <v>14.08</v>
      </c>
      <c r="C137" s="595"/>
      <c r="D137" s="595"/>
      <c r="E137" s="595"/>
      <c r="F137" s="595"/>
      <c r="G137" s="595"/>
      <c r="H137" s="595"/>
      <c r="I137" s="595"/>
      <c r="J137" s="595"/>
      <c r="K137" s="595"/>
      <c r="L137" s="596"/>
      <c r="M137" s="593"/>
      <c r="N137" s="586"/>
      <c r="O137" s="586"/>
      <c r="P137" s="586"/>
      <c r="Q137" s="42"/>
    </row>
    <row r="138" spans="1:17" x14ac:dyDescent="0.25">
      <c r="A138" s="2" t="s">
        <v>108</v>
      </c>
      <c r="B138" s="600">
        <f>B141/B137</f>
        <v>0.89405681818181837</v>
      </c>
      <c r="C138" s="601"/>
      <c r="D138" s="601"/>
      <c r="E138" s="601"/>
      <c r="F138" s="601"/>
      <c r="G138" s="601"/>
      <c r="H138" s="601"/>
      <c r="I138" s="601"/>
      <c r="J138" s="601"/>
      <c r="K138" s="601"/>
      <c r="L138" s="602"/>
      <c r="M138" s="593"/>
      <c r="N138" s="605"/>
      <c r="O138" s="45"/>
      <c r="P138" s="607"/>
      <c r="Q138" s="42"/>
    </row>
    <row r="139" spans="1:17" ht="15.75" thickBot="1" x14ac:dyDescent="0.3">
      <c r="A139" s="2" t="s">
        <v>113</v>
      </c>
      <c r="B139" s="594">
        <f>B143*(A146+A147+H146+H147)/1000</f>
        <v>43.408000000000001</v>
      </c>
      <c r="C139" s="595"/>
      <c r="D139" s="595"/>
      <c r="E139" s="595"/>
      <c r="F139" s="595"/>
      <c r="G139" s="595"/>
      <c r="H139" s="595"/>
      <c r="I139" s="595"/>
      <c r="J139" s="595"/>
      <c r="K139" s="595"/>
      <c r="L139" s="596"/>
      <c r="M139" s="593"/>
      <c r="N139" s="606"/>
      <c r="O139" s="46"/>
      <c r="P139" s="608"/>
      <c r="Q139" s="42"/>
    </row>
    <row r="140" spans="1:17" ht="15.75" thickBot="1" x14ac:dyDescent="0.3">
      <c r="A140" s="2" t="s">
        <v>109</v>
      </c>
      <c r="B140" s="600">
        <v>0.71</v>
      </c>
      <c r="C140" s="601"/>
      <c r="D140" s="601"/>
      <c r="E140" s="601"/>
      <c r="F140" s="601"/>
      <c r="G140" s="601"/>
      <c r="H140" s="601"/>
      <c r="I140" s="601"/>
      <c r="J140" s="601"/>
      <c r="K140" s="601"/>
      <c r="L140" s="602"/>
      <c r="M140" s="593"/>
      <c r="N140" s="47"/>
      <c r="O140" s="48"/>
      <c r="P140" s="46"/>
      <c r="Q140" s="42"/>
    </row>
    <row r="141" spans="1:17" ht="15.75" thickBot="1" x14ac:dyDescent="0.3">
      <c r="A141" s="2" t="s">
        <v>122</v>
      </c>
      <c r="B141" s="594">
        <f>B139-(B139*B140)</f>
        <v>12.588320000000003</v>
      </c>
      <c r="C141" s="595"/>
      <c r="D141" s="595"/>
      <c r="E141" s="595"/>
      <c r="F141" s="595"/>
      <c r="G141" s="595"/>
      <c r="H141" s="595"/>
      <c r="I141" s="595"/>
      <c r="J141" s="595"/>
      <c r="K141" s="595"/>
      <c r="L141" s="603"/>
      <c r="M141" s="593"/>
      <c r="N141" s="47"/>
      <c r="O141" s="48"/>
      <c r="P141" s="49"/>
      <c r="Q141" s="42"/>
    </row>
    <row r="142" spans="1:17" ht="15.75" thickBot="1" x14ac:dyDescent="0.3">
      <c r="A142" s="2" t="s">
        <v>110</v>
      </c>
      <c r="B142" s="587">
        <v>131</v>
      </c>
      <c r="C142" s="588"/>
      <c r="D142" s="588"/>
      <c r="E142" s="588"/>
      <c r="F142" s="588"/>
      <c r="G142" s="588"/>
      <c r="H142" s="588"/>
      <c r="I142" s="588"/>
      <c r="J142" s="588"/>
      <c r="K142" s="588"/>
      <c r="L142" s="589"/>
      <c r="M142" s="593"/>
      <c r="N142" s="47"/>
      <c r="O142" s="48"/>
      <c r="P142" s="49"/>
      <c r="Q142" s="42"/>
    </row>
    <row r="143" spans="1:17" x14ac:dyDescent="0.25">
      <c r="A143" s="2" t="s">
        <v>111</v>
      </c>
      <c r="B143" s="587">
        <v>16</v>
      </c>
      <c r="C143" s="588"/>
      <c r="D143" s="588"/>
      <c r="E143" s="588"/>
      <c r="F143" s="588"/>
      <c r="G143" s="588"/>
      <c r="H143" s="588"/>
      <c r="I143" s="588"/>
      <c r="J143" s="588"/>
      <c r="K143" s="588"/>
      <c r="L143" s="589"/>
      <c r="M143" s="593"/>
      <c r="N143" s="50"/>
      <c r="O143" s="609"/>
      <c r="P143" s="610"/>
      <c r="Q143" s="42"/>
    </row>
    <row r="144" spans="1:17" ht="15.75" thickBot="1" x14ac:dyDescent="0.3">
      <c r="A144" s="587" t="s">
        <v>127</v>
      </c>
      <c r="B144" s="588"/>
      <c r="C144" s="588"/>
      <c r="D144" s="588"/>
      <c r="E144" s="589"/>
      <c r="F144" s="51"/>
      <c r="G144" s="587" t="s">
        <v>128</v>
      </c>
      <c r="H144" s="588"/>
      <c r="I144" s="588"/>
      <c r="J144" s="588"/>
      <c r="K144" s="589"/>
      <c r="L144" s="51"/>
      <c r="M144" s="593"/>
      <c r="N144" s="47"/>
      <c r="O144" s="606"/>
      <c r="P144" s="611"/>
      <c r="Q144" s="42"/>
    </row>
    <row r="145" spans="1:17" ht="15.75" thickBot="1" x14ac:dyDescent="0.3">
      <c r="A145" s="52" t="s">
        <v>98</v>
      </c>
      <c r="B145" s="53" t="s">
        <v>102</v>
      </c>
      <c r="C145" s="53" t="s">
        <v>92</v>
      </c>
      <c r="D145" s="53" t="s">
        <v>93</v>
      </c>
      <c r="E145" s="53" t="s">
        <v>94</v>
      </c>
      <c r="F145" s="54" t="s">
        <v>99</v>
      </c>
      <c r="G145" s="53" t="s">
        <v>102</v>
      </c>
      <c r="H145" s="55" t="s">
        <v>98</v>
      </c>
      <c r="I145" s="53" t="s">
        <v>92</v>
      </c>
      <c r="J145" s="53" t="s">
        <v>93</v>
      </c>
      <c r="K145" s="53" t="s">
        <v>94</v>
      </c>
      <c r="L145" s="54" t="s">
        <v>99</v>
      </c>
      <c r="M145" s="593"/>
      <c r="N145" s="47"/>
      <c r="O145" s="48"/>
      <c r="P145" s="49"/>
      <c r="Q145" s="42"/>
    </row>
    <row r="146" spans="1:17" ht="15.75" thickBot="1" x14ac:dyDescent="0.3">
      <c r="A146" s="56">
        <v>1202</v>
      </c>
      <c r="B146" s="53" t="s">
        <v>95</v>
      </c>
      <c r="C146" s="57">
        <v>574.29999999999995</v>
      </c>
      <c r="D146" s="57">
        <v>403.5</v>
      </c>
      <c r="E146" s="57">
        <v>63.3</v>
      </c>
      <c r="F146" s="58">
        <f t="shared" ref="F146:F153" si="24">SUM(C146:E146)</f>
        <v>1041.0999999999999</v>
      </c>
      <c r="G146" s="57" t="s">
        <v>175</v>
      </c>
      <c r="H146" s="59">
        <v>1208</v>
      </c>
      <c r="I146" s="57">
        <v>692.4</v>
      </c>
      <c r="J146" s="57">
        <v>286</v>
      </c>
      <c r="K146" s="57">
        <v>257.8</v>
      </c>
      <c r="L146" s="58">
        <f>SUM(I146:K146)</f>
        <v>1236.2</v>
      </c>
      <c r="M146" s="593"/>
      <c r="N146" s="47"/>
      <c r="O146" s="48"/>
      <c r="P146" s="46"/>
      <c r="Q146" s="42"/>
    </row>
    <row r="147" spans="1:17" ht="15.75" thickBot="1" x14ac:dyDescent="0.3">
      <c r="A147" s="56">
        <v>152</v>
      </c>
      <c r="B147" s="53" t="s">
        <v>96</v>
      </c>
      <c r="C147" s="57">
        <v>101.9</v>
      </c>
      <c r="D147" s="57">
        <v>92.6</v>
      </c>
      <c r="E147" s="57">
        <v>0</v>
      </c>
      <c r="F147" s="58">
        <f t="shared" si="24"/>
        <v>194.5</v>
      </c>
      <c r="G147" s="57" t="s">
        <v>176</v>
      </c>
      <c r="H147" s="60">
        <v>151</v>
      </c>
      <c r="I147" s="57">
        <v>94.2</v>
      </c>
      <c r="J147" s="57">
        <v>80.5</v>
      </c>
      <c r="K147" s="57">
        <v>92</v>
      </c>
      <c r="L147" s="58">
        <f t="shared" ref="L147:L153" si="25">SUM(I147:K147)</f>
        <v>266.7</v>
      </c>
      <c r="M147" s="593"/>
      <c r="N147" s="47"/>
      <c r="O147" s="48"/>
      <c r="P147" s="46"/>
      <c r="Q147" s="42"/>
    </row>
    <row r="148" spans="1:17" ht="15.75" thickBot="1" x14ac:dyDescent="0.3">
      <c r="A148" s="52" t="s">
        <v>100</v>
      </c>
      <c r="B148" s="53" t="s">
        <v>95</v>
      </c>
      <c r="C148" s="66">
        <f>C146/$A$146</f>
        <v>0.47778702163061559</v>
      </c>
      <c r="D148" s="66">
        <f>D146/$A$146</f>
        <v>0.33569051580698833</v>
      </c>
      <c r="E148" s="66">
        <f>E146/$A$146</f>
        <v>5.266222961730449E-2</v>
      </c>
      <c r="F148" s="58">
        <f t="shared" si="24"/>
        <v>0.86613976705490847</v>
      </c>
      <c r="G148" s="57" t="s">
        <v>175</v>
      </c>
      <c r="H148" s="61" t="s">
        <v>177</v>
      </c>
      <c r="I148" s="66">
        <f t="shared" ref="I148:K149" si="26">I146/$H146</f>
        <v>0.57317880794701981</v>
      </c>
      <c r="J148" s="66">
        <f t="shared" si="26"/>
        <v>0.23675496688741721</v>
      </c>
      <c r="K148" s="66">
        <f t="shared" si="26"/>
        <v>0.21341059602649007</v>
      </c>
      <c r="L148" s="58">
        <f t="shared" si="25"/>
        <v>1.0233443708609271</v>
      </c>
      <c r="M148" s="593"/>
      <c r="N148" s="47"/>
      <c r="O148" s="48"/>
      <c r="P148" s="46"/>
      <c r="Q148" s="42"/>
    </row>
    <row r="149" spans="1:17" ht="16.5" thickBot="1" x14ac:dyDescent="0.3">
      <c r="A149" s="52" t="s">
        <v>100</v>
      </c>
      <c r="B149" s="53" t="s">
        <v>96</v>
      </c>
      <c r="C149" s="66">
        <f>C147/$A$147</f>
        <v>0.67039473684210527</v>
      </c>
      <c r="D149" s="66">
        <f>D147/$A$147</f>
        <v>0.60921052631578942</v>
      </c>
      <c r="E149" s="66">
        <f>E147/$A$147</f>
        <v>0</v>
      </c>
      <c r="F149" s="58">
        <f t="shared" si="24"/>
        <v>1.2796052631578947</v>
      </c>
      <c r="G149" s="57" t="s">
        <v>176</v>
      </c>
      <c r="H149" s="61" t="s">
        <v>177</v>
      </c>
      <c r="I149" s="66">
        <f t="shared" si="26"/>
        <v>0.62384105960264902</v>
      </c>
      <c r="J149" s="66">
        <f t="shared" si="26"/>
        <v>0.5331125827814569</v>
      </c>
      <c r="K149" s="66">
        <f t="shared" si="26"/>
        <v>0.60927152317880795</v>
      </c>
      <c r="L149" s="58">
        <f t="shared" si="25"/>
        <v>1.766225165562914</v>
      </c>
      <c r="M149" s="593"/>
      <c r="N149" s="521"/>
      <c r="O149" s="63"/>
      <c r="P149" s="64"/>
      <c r="Q149" s="42"/>
    </row>
    <row r="150" spans="1:17" x14ac:dyDescent="0.25">
      <c r="A150" s="52" t="s">
        <v>104</v>
      </c>
      <c r="B150" s="53" t="s">
        <v>95</v>
      </c>
      <c r="C150" s="57">
        <f>C146/($A$146/7.7)</f>
        <v>3.6789600665557405</v>
      </c>
      <c r="D150" s="57">
        <f>D146/($A$146/7.7)</f>
        <v>2.5848169717138108</v>
      </c>
      <c r="E150" s="57">
        <f>E146/($A$146/7.7)</f>
        <v>0.4054991680532446</v>
      </c>
      <c r="F150" s="58">
        <f t="shared" si="24"/>
        <v>6.6692762063227962</v>
      </c>
      <c r="G150" s="65" t="s">
        <v>175</v>
      </c>
      <c r="H150" s="61" t="s">
        <v>178</v>
      </c>
      <c r="I150" s="66">
        <f t="shared" ref="I150:K151" si="27">I146/($H146/7.7)</f>
        <v>4.4134768211920532</v>
      </c>
      <c r="J150" s="66">
        <f t="shared" si="27"/>
        <v>1.8230132450331127</v>
      </c>
      <c r="K150" s="66">
        <f t="shared" si="27"/>
        <v>1.6432615894039735</v>
      </c>
      <c r="L150" s="58">
        <f t="shared" si="25"/>
        <v>7.8797516556291392</v>
      </c>
      <c r="M150" s="593"/>
      <c r="N150" s="604"/>
      <c r="O150" s="604"/>
      <c r="P150" s="604"/>
      <c r="Q150" s="42"/>
    </row>
    <row r="151" spans="1:17" x14ac:dyDescent="0.25">
      <c r="A151" s="52" t="s">
        <v>104</v>
      </c>
      <c r="B151" s="53" t="s">
        <v>96</v>
      </c>
      <c r="C151" s="57">
        <f>C147/($A$147/7.7)</f>
        <v>5.1620394736842101</v>
      </c>
      <c r="D151" s="57">
        <f>D147/($A$147/7.7)</f>
        <v>4.6909210526315785</v>
      </c>
      <c r="E151" s="57">
        <f>E147/($A$147/7.7)</f>
        <v>0</v>
      </c>
      <c r="F151" s="58">
        <f t="shared" si="24"/>
        <v>9.8529605263157887</v>
      </c>
      <c r="G151" s="57" t="s">
        <v>176</v>
      </c>
      <c r="H151" s="61" t="s">
        <v>178</v>
      </c>
      <c r="I151" s="66">
        <f t="shared" si="27"/>
        <v>4.8035761589403974</v>
      </c>
      <c r="J151" s="66">
        <f t="shared" si="27"/>
        <v>4.1049668874172189</v>
      </c>
      <c r="K151" s="66">
        <f t="shared" si="27"/>
        <v>4.6913907284768213</v>
      </c>
      <c r="L151" s="58">
        <f t="shared" si="25"/>
        <v>13.599933774834437</v>
      </c>
      <c r="M151" s="593"/>
      <c r="N151" s="593"/>
      <c r="O151" s="593"/>
      <c r="P151" s="593"/>
      <c r="Q151" s="42"/>
    </row>
    <row r="152" spans="1:17" x14ac:dyDescent="0.25">
      <c r="A152" s="52" t="s">
        <v>135</v>
      </c>
      <c r="B152" s="53" t="s">
        <v>95</v>
      </c>
      <c r="C152" s="66">
        <f>C146/((($A146*$B143)*(1-$B140))/$B138)</f>
        <v>9.2062229380955984E-2</v>
      </c>
      <c r="D152" s="66">
        <f>D146/((($A146*$B143)*(1-$B140))/$B138)</f>
        <v>6.4682412598320985E-2</v>
      </c>
      <c r="E152" s="66">
        <f>E146/((($A146*$B143)*(1-$B140))/$B138)</f>
        <v>1.0147203760777494E-2</v>
      </c>
      <c r="F152" s="58">
        <f t="shared" si="24"/>
        <v>0.16689184574005445</v>
      </c>
      <c r="G152" s="66" t="s">
        <v>175</v>
      </c>
      <c r="H152" s="68" t="s">
        <v>179</v>
      </c>
      <c r="I152" s="66">
        <f>I146/((($H146*$B143)*(1-$B140))/$B138)</f>
        <v>0.11044276320740519</v>
      </c>
      <c r="J152" s="66">
        <f>J146/((($H146*$B143)*(1-$B140))/$B138)</f>
        <v>4.5619050082781464E-2</v>
      </c>
      <c r="K152" s="66">
        <f>K146/((($H146*$B143)*(1-$B140))/$B138)</f>
        <v>4.1120947941751966E-2</v>
      </c>
      <c r="L152" s="58">
        <f t="shared" si="25"/>
        <v>0.19718276123193862</v>
      </c>
      <c r="M152" s="593"/>
      <c r="N152" s="593"/>
      <c r="O152" s="593"/>
      <c r="P152" s="593"/>
      <c r="Q152" s="42"/>
    </row>
    <row r="153" spans="1:17" x14ac:dyDescent="0.25">
      <c r="A153" s="52" t="s">
        <v>135</v>
      </c>
      <c r="B153" s="53" t="s">
        <v>96</v>
      </c>
      <c r="C153" s="66">
        <f>C147/((($A147*$B143)*(1-$B140))/$B138)</f>
        <v>0.12917478132476079</v>
      </c>
      <c r="D153" s="66">
        <f>D147/((($A147*$B143)*(1-$B140))/$B138)</f>
        <v>0.1173855225777512</v>
      </c>
      <c r="E153" s="66">
        <f>E147/((($A147*$B143)*(1-$B140))/$B138)</f>
        <v>0</v>
      </c>
      <c r="F153" s="58">
        <f t="shared" si="24"/>
        <v>0.24656030390251199</v>
      </c>
      <c r="G153" s="66" t="s">
        <v>176</v>
      </c>
      <c r="H153" s="68" t="s">
        <v>179</v>
      </c>
      <c r="I153" s="66">
        <f>I147/((($H147*$B143)*(1-$B140))/$B138)</f>
        <v>0.12020460189644794</v>
      </c>
      <c r="J153" s="66">
        <f>J147/((($H147*$B143)*(1-$B140))/$B138)</f>
        <v>0.1027226162703191</v>
      </c>
      <c r="K153" s="66">
        <f>K147/((($H147*$B143)*(1-$B140))/$B138)</f>
        <v>0.11739727573750754</v>
      </c>
      <c r="L153" s="58">
        <f t="shared" si="25"/>
        <v>0.34032449390427455</v>
      </c>
      <c r="M153" s="593"/>
      <c r="N153" s="593"/>
      <c r="O153" s="593"/>
      <c r="P153" s="593"/>
      <c r="Q153" s="42"/>
    </row>
    <row r="154" spans="1:17" x14ac:dyDescent="0.25">
      <c r="A154" s="612"/>
      <c r="B154" s="612"/>
      <c r="C154" s="612"/>
      <c r="D154" s="612"/>
      <c r="E154" s="612"/>
      <c r="F154" s="612"/>
      <c r="G154" s="612"/>
      <c r="H154" s="612"/>
      <c r="I154" s="612"/>
      <c r="J154" s="612"/>
      <c r="K154" s="612"/>
      <c r="L154" s="612"/>
      <c r="M154" s="612"/>
      <c r="N154" s="612"/>
      <c r="O154" s="612"/>
      <c r="P154" s="612"/>
      <c r="Q154" s="612"/>
    </row>
    <row r="155" spans="1:17" ht="21" x14ac:dyDescent="0.35">
      <c r="A155" s="43"/>
      <c r="B155" s="613" t="s">
        <v>126</v>
      </c>
      <c r="C155" s="614"/>
      <c r="D155" s="614"/>
      <c r="E155" s="614"/>
      <c r="F155" s="614"/>
      <c r="G155" s="614"/>
      <c r="H155" s="614"/>
      <c r="I155" s="614"/>
      <c r="J155" s="614"/>
      <c r="K155" s="614"/>
      <c r="L155" s="615"/>
      <c r="M155" s="593" t="s">
        <v>97</v>
      </c>
      <c r="N155" s="585" t="s">
        <v>61</v>
      </c>
      <c r="O155" s="585"/>
      <c r="P155" s="585"/>
      <c r="Q155" s="42"/>
    </row>
    <row r="156" spans="1:17" x14ac:dyDescent="0.25">
      <c r="A156" s="44"/>
      <c r="B156" s="590" t="s">
        <v>115</v>
      </c>
      <c r="C156" s="591"/>
      <c r="D156" s="591"/>
      <c r="E156" s="591"/>
      <c r="F156" s="591"/>
      <c r="G156" s="591"/>
      <c r="H156" s="591"/>
      <c r="I156" s="591"/>
      <c r="J156" s="591"/>
      <c r="K156" s="591"/>
      <c r="L156" s="592"/>
      <c r="M156" s="593"/>
      <c r="N156" s="585"/>
      <c r="O156" s="585"/>
      <c r="P156" s="585"/>
      <c r="Q156" s="42"/>
    </row>
    <row r="157" spans="1:17" x14ac:dyDescent="0.25">
      <c r="A157" s="2" t="s">
        <v>106</v>
      </c>
      <c r="B157" s="594">
        <v>16</v>
      </c>
      <c r="C157" s="595"/>
      <c r="D157" s="595"/>
      <c r="E157" s="595"/>
      <c r="F157" s="595"/>
      <c r="G157" s="595"/>
      <c r="H157" s="595"/>
      <c r="I157" s="595"/>
      <c r="J157" s="595"/>
      <c r="K157" s="595"/>
      <c r="L157" s="596"/>
      <c r="M157" s="593"/>
      <c r="N157" s="585"/>
      <c r="O157" s="585"/>
      <c r="P157" s="585"/>
      <c r="Q157" s="42"/>
    </row>
    <row r="158" spans="1:17" x14ac:dyDescent="0.25">
      <c r="A158" s="2" t="s">
        <v>112</v>
      </c>
      <c r="B158" s="597">
        <v>0.12</v>
      </c>
      <c r="C158" s="598"/>
      <c r="D158" s="598"/>
      <c r="E158" s="598"/>
      <c r="F158" s="598"/>
      <c r="G158" s="598"/>
      <c r="H158" s="598"/>
      <c r="I158" s="598"/>
      <c r="J158" s="598"/>
      <c r="K158" s="598"/>
      <c r="L158" s="599"/>
      <c r="M158" s="593"/>
      <c r="N158" s="585"/>
      <c r="O158" s="585"/>
      <c r="P158" s="585"/>
      <c r="Q158" s="42"/>
    </row>
    <row r="159" spans="1:17" ht="15.75" thickBot="1" x14ac:dyDescent="0.3">
      <c r="A159" s="2" t="s">
        <v>107</v>
      </c>
      <c r="B159" s="594">
        <f>B157-(B157*B158)</f>
        <v>14.08</v>
      </c>
      <c r="C159" s="595"/>
      <c r="D159" s="595"/>
      <c r="E159" s="595"/>
      <c r="F159" s="595"/>
      <c r="G159" s="595"/>
      <c r="H159" s="595"/>
      <c r="I159" s="595"/>
      <c r="J159" s="595"/>
      <c r="K159" s="595"/>
      <c r="L159" s="596"/>
      <c r="M159" s="593"/>
      <c r="N159" s="586"/>
      <c r="O159" s="586"/>
      <c r="P159" s="586"/>
      <c r="Q159" s="42"/>
    </row>
    <row r="160" spans="1:17" x14ac:dyDescent="0.25">
      <c r="A160" s="2" t="s">
        <v>108</v>
      </c>
      <c r="B160" s="600">
        <f>B163/B159</f>
        <v>0.90236363636363626</v>
      </c>
      <c r="C160" s="601"/>
      <c r="D160" s="601"/>
      <c r="E160" s="601"/>
      <c r="F160" s="601"/>
      <c r="G160" s="601"/>
      <c r="H160" s="601"/>
      <c r="I160" s="601"/>
      <c r="J160" s="601"/>
      <c r="K160" s="601"/>
      <c r="L160" s="602"/>
      <c r="M160" s="593"/>
      <c r="N160" s="605"/>
      <c r="O160" s="45"/>
      <c r="P160" s="607"/>
      <c r="Q160" s="42"/>
    </row>
    <row r="161" spans="1:17" ht="15.75" thickBot="1" x14ac:dyDescent="0.3">
      <c r="A161" s="2" t="s">
        <v>113</v>
      </c>
      <c r="B161" s="594">
        <f>B165*(A168+A169+H168+H169)/1000</f>
        <v>39.704000000000001</v>
      </c>
      <c r="C161" s="595"/>
      <c r="D161" s="595"/>
      <c r="E161" s="595"/>
      <c r="F161" s="595"/>
      <c r="G161" s="595"/>
      <c r="H161" s="595"/>
      <c r="I161" s="595"/>
      <c r="J161" s="595"/>
      <c r="K161" s="595"/>
      <c r="L161" s="596"/>
      <c r="M161" s="593"/>
      <c r="N161" s="606"/>
      <c r="O161" s="46"/>
      <c r="P161" s="608"/>
      <c r="Q161" s="42"/>
    </row>
    <row r="162" spans="1:17" ht="15.75" thickBot="1" x14ac:dyDescent="0.3">
      <c r="A162" s="2" t="s">
        <v>109</v>
      </c>
      <c r="B162" s="600">
        <v>0.68</v>
      </c>
      <c r="C162" s="601"/>
      <c r="D162" s="601"/>
      <c r="E162" s="601"/>
      <c r="F162" s="601"/>
      <c r="G162" s="601"/>
      <c r="H162" s="601"/>
      <c r="I162" s="601"/>
      <c r="J162" s="601"/>
      <c r="K162" s="601"/>
      <c r="L162" s="602"/>
      <c r="M162" s="593"/>
      <c r="N162" s="47"/>
      <c r="O162" s="48"/>
      <c r="P162" s="46"/>
      <c r="Q162" s="42"/>
    </row>
    <row r="163" spans="1:17" ht="15.75" thickBot="1" x14ac:dyDescent="0.3">
      <c r="A163" s="2" t="s">
        <v>122</v>
      </c>
      <c r="B163" s="594">
        <f>B161-(B161*B162)</f>
        <v>12.705279999999998</v>
      </c>
      <c r="C163" s="595"/>
      <c r="D163" s="595"/>
      <c r="E163" s="595"/>
      <c r="F163" s="595"/>
      <c r="G163" s="595"/>
      <c r="H163" s="595"/>
      <c r="I163" s="595"/>
      <c r="J163" s="595"/>
      <c r="K163" s="595"/>
      <c r="L163" s="603"/>
      <c r="M163" s="593"/>
      <c r="N163" s="47"/>
      <c r="O163" s="48"/>
      <c r="P163" s="49"/>
      <c r="Q163" s="42"/>
    </row>
    <row r="164" spans="1:17" ht="15.75" thickBot="1" x14ac:dyDescent="0.3">
      <c r="A164" s="2" t="s">
        <v>110</v>
      </c>
      <c r="B164" s="587">
        <v>132</v>
      </c>
      <c r="C164" s="588"/>
      <c r="D164" s="588"/>
      <c r="E164" s="588"/>
      <c r="F164" s="588"/>
      <c r="G164" s="588"/>
      <c r="H164" s="588"/>
      <c r="I164" s="588"/>
      <c r="J164" s="588"/>
      <c r="K164" s="588"/>
      <c r="L164" s="589"/>
      <c r="M164" s="593"/>
      <c r="N164" s="47"/>
      <c r="O164" s="48"/>
      <c r="P164" s="49"/>
      <c r="Q164" s="42"/>
    </row>
    <row r="165" spans="1:17" x14ac:dyDescent="0.25">
      <c r="A165" s="2" t="s">
        <v>111</v>
      </c>
      <c r="B165" s="587">
        <v>14</v>
      </c>
      <c r="C165" s="588"/>
      <c r="D165" s="588"/>
      <c r="E165" s="588"/>
      <c r="F165" s="588"/>
      <c r="G165" s="588"/>
      <c r="H165" s="588"/>
      <c r="I165" s="588"/>
      <c r="J165" s="588"/>
      <c r="K165" s="588"/>
      <c r="L165" s="589"/>
      <c r="M165" s="593"/>
      <c r="N165" s="50"/>
      <c r="O165" s="609"/>
      <c r="P165" s="610"/>
      <c r="Q165" s="42"/>
    </row>
    <row r="166" spans="1:17" ht="15.75" thickBot="1" x14ac:dyDescent="0.3">
      <c r="A166" s="587" t="s">
        <v>127</v>
      </c>
      <c r="B166" s="588"/>
      <c r="C166" s="588"/>
      <c r="D166" s="588"/>
      <c r="E166" s="589"/>
      <c r="F166" s="51"/>
      <c r="G166" s="587" t="s">
        <v>128</v>
      </c>
      <c r="H166" s="588"/>
      <c r="I166" s="588"/>
      <c r="J166" s="588"/>
      <c r="K166" s="589"/>
      <c r="L166" s="51"/>
      <c r="M166" s="593"/>
      <c r="N166" s="47"/>
      <c r="O166" s="606"/>
      <c r="P166" s="611"/>
      <c r="Q166" s="42"/>
    </row>
    <row r="167" spans="1:17" ht="15.75" thickBot="1" x14ac:dyDescent="0.3">
      <c r="A167" s="52" t="s">
        <v>98</v>
      </c>
      <c r="B167" s="53" t="s">
        <v>102</v>
      </c>
      <c r="C167" s="53" t="s">
        <v>92</v>
      </c>
      <c r="D167" s="53" t="s">
        <v>93</v>
      </c>
      <c r="E167" s="53" t="s">
        <v>94</v>
      </c>
      <c r="F167" s="54" t="s">
        <v>99</v>
      </c>
      <c r="G167" s="53" t="s">
        <v>102</v>
      </c>
      <c r="H167" s="55" t="s">
        <v>98</v>
      </c>
      <c r="I167" s="53" t="s">
        <v>92</v>
      </c>
      <c r="J167" s="53" t="s">
        <v>93</v>
      </c>
      <c r="K167" s="53" t="s">
        <v>94</v>
      </c>
      <c r="L167" s="54" t="s">
        <v>99</v>
      </c>
      <c r="M167" s="593"/>
      <c r="N167" s="47"/>
      <c r="O167" s="48"/>
      <c r="P167" s="49"/>
      <c r="Q167" s="42"/>
    </row>
    <row r="168" spans="1:17" ht="15.75" thickBot="1" x14ac:dyDescent="0.3">
      <c r="A168" s="56">
        <v>1252</v>
      </c>
      <c r="B168" s="53" t="s">
        <v>95</v>
      </c>
      <c r="C168" s="57">
        <v>670.2</v>
      </c>
      <c r="D168" s="57">
        <v>310.2</v>
      </c>
      <c r="E168" s="57">
        <v>95.9</v>
      </c>
      <c r="F168" s="58">
        <f t="shared" ref="F168:F175" si="28">SUM(C168:E168)</f>
        <v>1076.3000000000002</v>
      </c>
      <c r="G168" s="57" t="s">
        <v>175</v>
      </c>
      <c r="H168" s="59">
        <v>1234</v>
      </c>
      <c r="I168" s="57">
        <v>663.6</v>
      </c>
      <c r="J168" s="57">
        <v>59.4</v>
      </c>
      <c r="K168" s="57">
        <v>17</v>
      </c>
      <c r="L168" s="58">
        <f>SUM(I168:K168)</f>
        <v>740</v>
      </c>
      <c r="M168" s="593"/>
      <c r="N168" s="47"/>
      <c r="O168" s="48"/>
      <c r="P168" s="46"/>
      <c r="Q168" s="42"/>
    </row>
    <row r="169" spans="1:17" ht="15.75" thickBot="1" x14ac:dyDescent="0.3">
      <c r="A169" s="56">
        <v>175</v>
      </c>
      <c r="B169" s="53" t="s">
        <v>96</v>
      </c>
      <c r="C169" s="57">
        <v>101.2</v>
      </c>
      <c r="D169" s="57">
        <v>44</v>
      </c>
      <c r="E169" s="57">
        <v>35</v>
      </c>
      <c r="F169" s="58">
        <f t="shared" si="28"/>
        <v>180.2</v>
      </c>
      <c r="G169" s="57" t="s">
        <v>176</v>
      </c>
      <c r="H169" s="60">
        <v>175</v>
      </c>
      <c r="I169" s="57">
        <v>167.3</v>
      </c>
      <c r="J169" s="57">
        <v>33</v>
      </c>
      <c r="K169" s="57">
        <v>27.9</v>
      </c>
      <c r="L169" s="58">
        <f t="shared" ref="L169:L175" si="29">SUM(I169:K169)</f>
        <v>228.20000000000002</v>
      </c>
      <c r="M169" s="593"/>
      <c r="N169" s="47"/>
      <c r="O169" s="48"/>
      <c r="P169" s="46"/>
      <c r="Q169" s="42"/>
    </row>
    <row r="170" spans="1:17" ht="15.75" thickBot="1" x14ac:dyDescent="0.3">
      <c r="A170" s="52" t="s">
        <v>100</v>
      </c>
      <c r="B170" s="53" t="s">
        <v>95</v>
      </c>
      <c r="C170" s="66">
        <f>C168/$A$168</f>
        <v>0.53530351437699686</v>
      </c>
      <c r="D170" s="66">
        <f>D168/$A$168</f>
        <v>0.24776357827476037</v>
      </c>
      <c r="E170" s="66">
        <f>E168/$A$168</f>
        <v>7.6597444089456873E-2</v>
      </c>
      <c r="F170" s="58">
        <f t="shared" si="28"/>
        <v>0.85966453674121412</v>
      </c>
      <c r="G170" s="57" t="s">
        <v>175</v>
      </c>
      <c r="H170" s="61" t="s">
        <v>177</v>
      </c>
      <c r="I170" s="66">
        <f t="shared" ref="I170:K171" si="30">I168/$H168</f>
        <v>0.53776337115072936</v>
      </c>
      <c r="J170" s="66">
        <f t="shared" si="30"/>
        <v>4.8136142625607781E-2</v>
      </c>
      <c r="K170" s="66">
        <f t="shared" si="30"/>
        <v>1.3776337115072933E-2</v>
      </c>
      <c r="L170" s="58">
        <f t="shared" si="29"/>
        <v>0.59967585089141018</v>
      </c>
      <c r="M170" s="593"/>
      <c r="N170" s="47"/>
      <c r="O170" s="48"/>
      <c r="P170" s="46"/>
      <c r="Q170" s="42"/>
    </row>
    <row r="171" spans="1:17" ht="16.5" thickBot="1" x14ac:dyDescent="0.3">
      <c r="A171" s="52" t="s">
        <v>100</v>
      </c>
      <c r="B171" s="53" t="s">
        <v>96</v>
      </c>
      <c r="C171" s="66">
        <f>C169/$A$169</f>
        <v>0.57828571428571429</v>
      </c>
      <c r="D171" s="66">
        <f>D169/$A$169</f>
        <v>0.25142857142857145</v>
      </c>
      <c r="E171" s="66">
        <f>E169/$A$169</f>
        <v>0.2</v>
      </c>
      <c r="F171" s="58">
        <f t="shared" si="28"/>
        <v>1.0297142857142858</v>
      </c>
      <c r="G171" s="57" t="s">
        <v>176</v>
      </c>
      <c r="H171" s="61" t="s">
        <v>177</v>
      </c>
      <c r="I171" s="66">
        <f t="shared" si="30"/>
        <v>0.95600000000000007</v>
      </c>
      <c r="J171" s="66">
        <f t="shared" si="30"/>
        <v>0.18857142857142858</v>
      </c>
      <c r="K171" s="66">
        <f t="shared" si="30"/>
        <v>0.15942857142857142</v>
      </c>
      <c r="L171" s="58">
        <f t="shared" si="29"/>
        <v>1.304</v>
      </c>
      <c r="M171" s="593"/>
      <c r="N171" s="521"/>
      <c r="O171" s="63"/>
      <c r="P171" s="64"/>
      <c r="Q171" s="42"/>
    </row>
    <row r="172" spans="1:17" x14ac:dyDescent="0.25">
      <c r="A172" s="52" t="s">
        <v>104</v>
      </c>
      <c r="B172" s="53" t="s">
        <v>95</v>
      </c>
      <c r="C172" s="66">
        <f>C168/($A$168/7.7)</f>
        <v>4.1218370607028758</v>
      </c>
      <c r="D172" s="66">
        <f>D168/($A$168/7.7)</f>
        <v>1.9077795527156547</v>
      </c>
      <c r="E172" s="66">
        <f>E168/($A$168/7.7)</f>
        <v>0.58980031948881795</v>
      </c>
      <c r="F172" s="58">
        <f t="shared" si="28"/>
        <v>6.6194169329073489</v>
      </c>
      <c r="G172" s="65" t="s">
        <v>175</v>
      </c>
      <c r="H172" s="61" t="s">
        <v>178</v>
      </c>
      <c r="I172" s="66">
        <f t="shared" ref="I172:K173" si="31">I168/($H168/7.7)</f>
        <v>4.1407779578606165</v>
      </c>
      <c r="J172" s="66">
        <f t="shared" si="31"/>
        <v>0.37064829821717993</v>
      </c>
      <c r="K172" s="66">
        <f t="shared" si="31"/>
        <v>0.10607779578606159</v>
      </c>
      <c r="L172" s="58">
        <f t="shared" si="29"/>
        <v>4.6175040518638584</v>
      </c>
      <c r="M172" s="593"/>
      <c r="N172" s="604"/>
      <c r="O172" s="604"/>
      <c r="P172" s="604"/>
      <c r="Q172" s="42"/>
    </row>
    <row r="173" spans="1:17" x14ac:dyDescent="0.25">
      <c r="A173" s="52" t="s">
        <v>104</v>
      </c>
      <c r="B173" s="53" t="s">
        <v>96</v>
      </c>
      <c r="C173" s="66">
        <f>C169/($A$169/7.7)</f>
        <v>4.4527999999999999</v>
      </c>
      <c r="D173" s="66">
        <f>D169/($A$169/7.7)</f>
        <v>1.9360000000000002</v>
      </c>
      <c r="E173" s="66">
        <f>E169/($A$169/7.7)</f>
        <v>1.54</v>
      </c>
      <c r="F173" s="58">
        <f t="shared" si="28"/>
        <v>7.9287999999999998</v>
      </c>
      <c r="G173" s="57" t="s">
        <v>176</v>
      </c>
      <c r="H173" s="61" t="s">
        <v>178</v>
      </c>
      <c r="I173" s="66">
        <f t="shared" si="31"/>
        <v>7.3612000000000011</v>
      </c>
      <c r="J173" s="66">
        <f t="shared" si="31"/>
        <v>1.452</v>
      </c>
      <c r="K173" s="66">
        <f t="shared" si="31"/>
        <v>1.2276</v>
      </c>
      <c r="L173" s="58">
        <f t="shared" si="29"/>
        <v>10.040800000000003</v>
      </c>
      <c r="M173" s="593"/>
      <c r="N173" s="593"/>
      <c r="O173" s="593"/>
      <c r="P173" s="593"/>
      <c r="Q173" s="42"/>
    </row>
    <row r="174" spans="1:17" x14ac:dyDescent="0.25">
      <c r="A174" s="52" t="s">
        <v>135</v>
      </c>
      <c r="B174" s="53" t="s">
        <v>95</v>
      </c>
      <c r="C174" s="66">
        <f>C168/((($A168*$B165)*(1-$B162))/$B160)</f>
        <v>0.10782107718559397</v>
      </c>
      <c r="D174" s="66">
        <f>D168/((($A168*$B165)*(1-$B162))/$B160)</f>
        <v>4.9904652555910541E-2</v>
      </c>
      <c r="E174" s="66">
        <f>E168/((($A168*$B165)*(1-$B162))/$B160)</f>
        <v>1.5428292005518445E-2</v>
      </c>
      <c r="F174" s="58">
        <f t="shared" si="28"/>
        <v>0.17315402174702296</v>
      </c>
      <c r="G174" s="66" t="s">
        <v>175</v>
      </c>
      <c r="H174" s="68" t="s">
        <v>179</v>
      </c>
      <c r="I174" s="66">
        <f>I168/((($H168*$B165)*(1-$B162))/$B160)</f>
        <v>0.1083165426550759</v>
      </c>
      <c r="J174" s="66">
        <f>J168/((($H168*$B165)*(1-$B162))/$B160)</f>
        <v>9.6956037277147501E-3</v>
      </c>
      <c r="K174" s="66">
        <f>K168/((($H168*$B165)*(1-$B162))/$B160)</f>
        <v>2.7748360836894067E-3</v>
      </c>
      <c r="L174" s="58">
        <f t="shared" si="29"/>
        <v>0.12078698246648005</v>
      </c>
      <c r="M174" s="593"/>
      <c r="N174" s="593"/>
      <c r="O174" s="593"/>
      <c r="P174" s="593"/>
      <c r="Q174" s="42"/>
    </row>
    <row r="175" spans="1:17" x14ac:dyDescent="0.25">
      <c r="A175" s="52" t="s">
        <v>135</v>
      </c>
      <c r="B175" s="53" t="s">
        <v>96</v>
      </c>
      <c r="C175" s="66">
        <f>C169/((($A169*$B165)*(1-$B162))/$B160)</f>
        <v>0.11647857142857145</v>
      </c>
      <c r="D175" s="66">
        <f>D169/((($A169*$B165)*(1-$B162))/$B160)</f>
        <v>5.0642857142857149E-2</v>
      </c>
      <c r="E175" s="66">
        <f>E169/((($A169*$B165)*(1-$B162))/$B160)</f>
        <v>4.0284090909090908E-2</v>
      </c>
      <c r="F175" s="58">
        <f t="shared" si="28"/>
        <v>0.2074055194805195</v>
      </c>
      <c r="G175" s="66" t="s">
        <v>176</v>
      </c>
      <c r="H175" s="68" t="s">
        <v>179</v>
      </c>
      <c r="I175" s="66">
        <f>I169/((($H169*$B165)*(1-$B162))/$B160)</f>
        <v>0.19255795454545457</v>
      </c>
      <c r="J175" s="66">
        <f>J169/((($H169*$B165)*(1-$B162))/$B160)</f>
        <v>3.798214285714286E-2</v>
      </c>
      <c r="K175" s="66">
        <f>K169/((($H169*$B165)*(1-$B162))/$B160)</f>
        <v>3.2112175324675328E-2</v>
      </c>
      <c r="L175" s="58">
        <f t="shared" si="29"/>
        <v>0.26265227272727276</v>
      </c>
      <c r="M175" s="593"/>
      <c r="N175" s="593"/>
      <c r="O175" s="593"/>
      <c r="P175" s="593"/>
      <c r="Q175" s="42"/>
    </row>
    <row r="176" spans="1:17" x14ac:dyDescent="0.25">
      <c r="A176" s="612"/>
      <c r="B176" s="612"/>
      <c r="C176" s="612"/>
      <c r="D176" s="612"/>
      <c r="E176" s="612"/>
      <c r="F176" s="612"/>
      <c r="G176" s="612"/>
      <c r="H176" s="612"/>
      <c r="I176" s="612"/>
      <c r="J176" s="612"/>
      <c r="K176" s="612"/>
      <c r="L176" s="612"/>
      <c r="M176" s="612"/>
      <c r="N176" s="612"/>
      <c r="O176" s="612"/>
      <c r="P176" s="612"/>
      <c r="Q176" s="612"/>
    </row>
    <row r="177" spans="1:17" ht="21" x14ac:dyDescent="0.35">
      <c r="A177" s="43"/>
      <c r="B177" s="613" t="s">
        <v>35</v>
      </c>
      <c r="C177" s="614"/>
      <c r="D177" s="614"/>
      <c r="E177" s="614"/>
      <c r="F177" s="614"/>
      <c r="G177" s="614"/>
      <c r="H177" s="614"/>
      <c r="I177" s="614"/>
      <c r="J177" s="614"/>
      <c r="K177" s="614"/>
      <c r="L177" s="615"/>
      <c r="M177" s="520"/>
      <c r="N177" s="585" t="s">
        <v>61</v>
      </c>
      <c r="O177" s="585"/>
      <c r="P177" s="585"/>
      <c r="Q177" s="42"/>
    </row>
    <row r="178" spans="1:17" x14ac:dyDescent="0.25">
      <c r="A178" s="44"/>
      <c r="B178" s="590" t="s">
        <v>115</v>
      </c>
      <c r="C178" s="591"/>
      <c r="D178" s="591"/>
      <c r="E178" s="591"/>
      <c r="F178" s="591"/>
      <c r="G178" s="591"/>
      <c r="H178" s="591"/>
      <c r="I178" s="591"/>
      <c r="J178" s="591"/>
      <c r="K178" s="591"/>
      <c r="L178" s="592"/>
      <c r="M178" s="593" t="s">
        <v>97</v>
      </c>
      <c r="N178" s="585"/>
      <c r="O178" s="585"/>
      <c r="P178" s="585"/>
      <c r="Q178" s="42"/>
    </row>
    <row r="179" spans="1:17" x14ac:dyDescent="0.25">
      <c r="A179" s="2" t="s">
        <v>106</v>
      </c>
      <c r="B179" s="594">
        <v>16</v>
      </c>
      <c r="C179" s="595"/>
      <c r="D179" s="595"/>
      <c r="E179" s="595"/>
      <c r="F179" s="595"/>
      <c r="G179" s="595"/>
      <c r="H179" s="595"/>
      <c r="I179" s="595"/>
      <c r="J179" s="595"/>
      <c r="K179" s="595"/>
      <c r="L179" s="596"/>
      <c r="M179" s="593"/>
      <c r="N179" s="585"/>
      <c r="O179" s="585"/>
      <c r="P179" s="585"/>
      <c r="Q179" s="42"/>
    </row>
    <row r="180" spans="1:17" x14ac:dyDescent="0.25">
      <c r="A180" s="2" t="s">
        <v>112</v>
      </c>
      <c r="B180" s="597">
        <v>0.12</v>
      </c>
      <c r="C180" s="598"/>
      <c r="D180" s="598"/>
      <c r="E180" s="598"/>
      <c r="F180" s="598"/>
      <c r="G180" s="598"/>
      <c r="H180" s="598"/>
      <c r="I180" s="598"/>
      <c r="J180" s="598"/>
      <c r="K180" s="598"/>
      <c r="L180" s="599"/>
      <c r="M180" s="593"/>
      <c r="N180" s="585"/>
      <c r="O180" s="585"/>
      <c r="P180" s="585"/>
      <c r="Q180" s="42"/>
    </row>
    <row r="181" spans="1:17" ht="15.75" thickBot="1" x14ac:dyDescent="0.3">
      <c r="A181" s="2" t="s">
        <v>107</v>
      </c>
      <c r="B181" s="594">
        <f>B179-(B179*B180)</f>
        <v>14.08</v>
      </c>
      <c r="C181" s="595"/>
      <c r="D181" s="595"/>
      <c r="E181" s="595"/>
      <c r="F181" s="595"/>
      <c r="G181" s="595"/>
      <c r="H181" s="595"/>
      <c r="I181" s="595"/>
      <c r="J181" s="595"/>
      <c r="K181" s="595"/>
      <c r="L181" s="596"/>
      <c r="M181" s="593"/>
      <c r="N181" s="586"/>
      <c r="O181" s="586"/>
      <c r="P181" s="586"/>
      <c r="Q181" s="42"/>
    </row>
    <row r="182" spans="1:17" x14ac:dyDescent="0.25">
      <c r="A182" s="2" t="s">
        <v>108</v>
      </c>
      <c r="B182" s="600">
        <f>B185/B181</f>
        <v>0.7673650568181819</v>
      </c>
      <c r="C182" s="601"/>
      <c r="D182" s="601"/>
      <c r="E182" s="601"/>
      <c r="F182" s="601"/>
      <c r="G182" s="601"/>
      <c r="H182" s="601"/>
      <c r="I182" s="601"/>
      <c r="J182" s="601"/>
      <c r="K182" s="601"/>
      <c r="L182" s="602"/>
      <c r="M182" s="593"/>
      <c r="N182" s="605"/>
      <c r="O182" s="45"/>
      <c r="P182" s="607"/>
      <c r="Q182" s="42"/>
    </row>
    <row r="183" spans="1:17" ht="15.75" thickBot="1" x14ac:dyDescent="0.3">
      <c r="A183" s="2" t="s">
        <v>113</v>
      </c>
      <c r="B183" s="594">
        <f>B187*(A190+A191+H190+H191)/1000</f>
        <v>36.015000000000001</v>
      </c>
      <c r="C183" s="595"/>
      <c r="D183" s="595"/>
      <c r="E183" s="595"/>
      <c r="F183" s="595"/>
      <c r="G183" s="595"/>
      <c r="H183" s="595"/>
      <c r="I183" s="595"/>
      <c r="J183" s="595"/>
      <c r="K183" s="595"/>
      <c r="L183" s="596"/>
      <c r="M183" s="593"/>
      <c r="N183" s="606"/>
      <c r="O183" s="46"/>
      <c r="P183" s="608"/>
      <c r="Q183" s="42"/>
    </row>
    <row r="184" spans="1:17" ht="15.75" thickBot="1" x14ac:dyDescent="0.3">
      <c r="A184" s="2" t="s">
        <v>109</v>
      </c>
      <c r="B184" s="600">
        <v>0.7</v>
      </c>
      <c r="C184" s="601"/>
      <c r="D184" s="601"/>
      <c r="E184" s="601"/>
      <c r="F184" s="601"/>
      <c r="G184" s="601"/>
      <c r="H184" s="601"/>
      <c r="I184" s="601"/>
      <c r="J184" s="601"/>
      <c r="K184" s="601"/>
      <c r="L184" s="602"/>
      <c r="M184" s="593"/>
      <c r="N184" s="47"/>
      <c r="O184" s="48"/>
      <c r="P184" s="46"/>
      <c r="Q184" s="42"/>
    </row>
    <row r="185" spans="1:17" ht="15.75" thickBot="1" x14ac:dyDescent="0.3">
      <c r="A185" s="2" t="s">
        <v>122</v>
      </c>
      <c r="B185" s="594">
        <f>B183-(B183*B184)</f>
        <v>10.804500000000001</v>
      </c>
      <c r="C185" s="595"/>
      <c r="D185" s="595"/>
      <c r="E185" s="595"/>
      <c r="F185" s="595"/>
      <c r="G185" s="595"/>
      <c r="H185" s="595"/>
      <c r="I185" s="595"/>
      <c r="J185" s="595"/>
      <c r="K185" s="595"/>
      <c r="L185" s="603"/>
      <c r="M185" s="593"/>
      <c r="N185" s="47"/>
      <c r="O185" s="48"/>
      <c r="P185" s="49"/>
      <c r="Q185" s="42"/>
    </row>
    <row r="186" spans="1:17" ht="15.75" thickBot="1" x14ac:dyDescent="0.3">
      <c r="A186" s="2" t="s">
        <v>110</v>
      </c>
      <c r="B186" s="587">
        <v>132</v>
      </c>
      <c r="C186" s="588"/>
      <c r="D186" s="588"/>
      <c r="E186" s="588"/>
      <c r="F186" s="588"/>
      <c r="G186" s="588"/>
      <c r="H186" s="588"/>
      <c r="I186" s="588"/>
      <c r="J186" s="588"/>
      <c r="K186" s="588"/>
      <c r="L186" s="589"/>
      <c r="M186" s="593"/>
      <c r="N186" s="47"/>
      <c r="O186" s="48"/>
      <c r="P186" s="49"/>
      <c r="Q186" s="42"/>
    </row>
    <row r="187" spans="1:17" x14ac:dyDescent="0.25">
      <c r="A187" s="2" t="s">
        <v>111</v>
      </c>
      <c r="B187" s="587">
        <v>15</v>
      </c>
      <c r="C187" s="588"/>
      <c r="D187" s="588"/>
      <c r="E187" s="588"/>
      <c r="F187" s="588"/>
      <c r="G187" s="588"/>
      <c r="H187" s="588"/>
      <c r="I187" s="588"/>
      <c r="J187" s="588"/>
      <c r="K187" s="588"/>
      <c r="L187" s="589"/>
      <c r="M187" s="593"/>
      <c r="N187" s="50"/>
      <c r="O187" s="609"/>
      <c r="P187" s="610"/>
      <c r="Q187" s="42"/>
    </row>
    <row r="188" spans="1:17" ht="15.75" thickBot="1" x14ac:dyDescent="0.3">
      <c r="A188" s="587" t="s">
        <v>127</v>
      </c>
      <c r="B188" s="588"/>
      <c r="C188" s="588"/>
      <c r="D188" s="588"/>
      <c r="E188" s="589"/>
      <c r="F188" s="51"/>
      <c r="G188" s="587" t="s">
        <v>128</v>
      </c>
      <c r="H188" s="588"/>
      <c r="I188" s="588"/>
      <c r="J188" s="588"/>
      <c r="K188" s="589"/>
      <c r="L188" s="51"/>
      <c r="M188" s="593"/>
      <c r="N188" s="47"/>
      <c r="O188" s="606"/>
      <c r="P188" s="611"/>
      <c r="Q188" s="42"/>
    </row>
    <row r="189" spans="1:17" ht="15.75" thickBot="1" x14ac:dyDescent="0.3">
      <c r="A189" s="52" t="s">
        <v>98</v>
      </c>
      <c r="B189" s="53" t="s">
        <v>102</v>
      </c>
      <c r="C189" s="53" t="s">
        <v>92</v>
      </c>
      <c r="D189" s="53" t="s">
        <v>93</v>
      </c>
      <c r="E189" s="53" t="s">
        <v>94</v>
      </c>
      <c r="F189" s="54" t="s">
        <v>99</v>
      </c>
      <c r="G189" s="53" t="s">
        <v>102</v>
      </c>
      <c r="H189" s="55" t="s">
        <v>98</v>
      </c>
      <c r="I189" s="53" t="s">
        <v>92</v>
      </c>
      <c r="J189" s="53" t="s">
        <v>93</v>
      </c>
      <c r="K189" s="53" t="s">
        <v>94</v>
      </c>
      <c r="L189" s="54" t="s">
        <v>99</v>
      </c>
      <c r="M189" s="593"/>
      <c r="N189" s="47"/>
      <c r="O189" s="48"/>
      <c r="P189" s="49"/>
      <c r="Q189" s="42"/>
    </row>
    <row r="190" spans="1:17" ht="15.75" thickBot="1" x14ac:dyDescent="0.3">
      <c r="A190" s="56">
        <v>1024</v>
      </c>
      <c r="B190" s="53" t="s">
        <v>95</v>
      </c>
      <c r="C190" s="57">
        <v>192.9</v>
      </c>
      <c r="D190" s="57">
        <v>187.9</v>
      </c>
      <c r="E190" s="57">
        <v>201</v>
      </c>
      <c r="F190" s="58">
        <f t="shared" ref="F190:F197" si="32">SUM(C190:E190)</f>
        <v>581.79999999999995</v>
      </c>
      <c r="G190" s="57" t="s">
        <v>175</v>
      </c>
      <c r="H190" s="59">
        <v>1025</v>
      </c>
      <c r="I190" s="57">
        <v>204.2</v>
      </c>
      <c r="J190" s="57">
        <v>302.5</v>
      </c>
      <c r="K190" s="57">
        <v>98.9</v>
      </c>
      <c r="L190" s="58">
        <f>SUM(I190:K190)</f>
        <v>605.6</v>
      </c>
      <c r="M190" s="593"/>
      <c r="N190" s="47"/>
      <c r="O190" s="48"/>
      <c r="P190" s="46"/>
      <c r="Q190" s="42"/>
    </row>
    <row r="191" spans="1:17" ht="15.75" thickBot="1" x14ac:dyDescent="0.3">
      <c r="A191" s="56">
        <v>176</v>
      </c>
      <c r="B191" s="53" t="s">
        <v>96</v>
      </c>
      <c r="C191" s="57">
        <v>28.6</v>
      </c>
      <c r="D191" s="57">
        <v>27.6</v>
      </c>
      <c r="E191" s="57">
        <v>14</v>
      </c>
      <c r="F191" s="58">
        <f t="shared" si="32"/>
        <v>70.2</v>
      </c>
      <c r="G191" s="57" t="s">
        <v>176</v>
      </c>
      <c r="H191" s="60">
        <v>176</v>
      </c>
      <c r="I191" s="57">
        <v>65.599999999999994</v>
      </c>
      <c r="J191" s="57">
        <v>110.7</v>
      </c>
      <c r="K191" s="57">
        <v>8.1</v>
      </c>
      <c r="L191" s="58">
        <f t="shared" ref="L191:L197" si="33">SUM(I191:K191)</f>
        <v>184.4</v>
      </c>
      <c r="M191" s="593"/>
      <c r="N191" s="47"/>
      <c r="O191" s="48"/>
      <c r="P191" s="46"/>
      <c r="Q191" s="42"/>
    </row>
    <row r="192" spans="1:17" ht="15.75" thickBot="1" x14ac:dyDescent="0.3">
      <c r="A192" s="52" t="s">
        <v>100</v>
      </c>
      <c r="B192" s="53" t="s">
        <v>95</v>
      </c>
      <c r="C192" s="66">
        <f>C190/$A$190</f>
        <v>0.18837890625000001</v>
      </c>
      <c r="D192" s="66">
        <f>D190/$A$190</f>
        <v>0.18349609375000001</v>
      </c>
      <c r="E192" s="66">
        <f>E190/$A$190</f>
        <v>0.1962890625</v>
      </c>
      <c r="F192" s="58">
        <f t="shared" si="32"/>
        <v>0.56816406249999996</v>
      </c>
      <c r="G192" s="57" t="s">
        <v>175</v>
      </c>
      <c r="H192" s="61" t="s">
        <v>177</v>
      </c>
      <c r="I192" s="66">
        <f t="shared" ref="I192:K193" si="34">I190/$H190</f>
        <v>0.19921951219512193</v>
      </c>
      <c r="J192" s="66">
        <f t="shared" si="34"/>
        <v>0.29512195121951218</v>
      </c>
      <c r="K192" s="66">
        <f t="shared" si="34"/>
        <v>9.6487804878048783E-2</v>
      </c>
      <c r="L192" s="58">
        <f t="shared" si="33"/>
        <v>0.5908292682926829</v>
      </c>
      <c r="M192" s="593"/>
      <c r="N192" s="47"/>
      <c r="O192" s="48"/>
      <c r="P192" s="46"/>
      <c r="Q192" s="42"/>
    </row>
    <row r="193" spans="1:17" ht="16.5" thickBot="1" x14ac:dyDescent="0.3">
      <c r="A193" s="52" t="s">
        <v>100</v>
      </c>
      <c r="B193" s="53" t="s">
        <v>96</v>
      </c>
      <c r="C193" s="66">
        <f>C191/$A$191</f>
        <v>0.16250000000000001</v>
      </c>
      <c r="D193" s="66">
        <f>D191/$A$191</f>
        <v>0.15681818181818183</v>
      </c>
      <c r="E193" s="66">
        <f>E191/$A$191</f>
        <v>7.9545454545454544E-2</v>
      </c>
      <c r="F193" s="58">
        <f t="shared" si="32"/>
        <v>0.39886363636363636</v>
      </c>
      <c r="G193" s="57" t="s">
        <v>176</v>
      </c>
      <c r="H193" s="61" t="s">
        <v>177</v>
      </c>
      <c r="I193" s="66">
        <f t="shared" si="34"/>
        <v>0.37272727272727268</v>
      </c>
      <c r="J193" s="66">
        <f t="shared" si="34"/>
        <v>0.62897727272727277</v>
      </c>
      <c r="K193" s="66">
        <f t="shared" si="34"/>
        <v>4.6022727272727271E-2</v>
      </c>
      <c r="L193" s="58">
        <f t="shared" si="33"/>
        <v>1.0477272727272728</v>
      </c>
      <c r="M193" s="593"/>
      <c r="N193" s="521"/>
      <c r="O193" s="63"/>
      <c r="P193" s="64"/>
      <c r="Q193" s="42"/>
    </row>
    <row r="194" spans="1:17" ht="16.5" thickBot="1" x14ac:dyDescent="0.3">
      <c r="A194" s="52" t="s">
        <v>104</v>
      </c>
      <c r="B194" s="53" t="s">
        <v>95</v>
      </c>
      <c r="C194" s="66">
        <f>C190/($A$190/7.7)</f>
        <v>1.4505175781250002</v>
      </c>
      <c r="D194" s="66">
        <f>D190/($A$190/7.7)</f>
        <v>1.4129199218750002</v>
      </c>
      <c r="E194" s="66">
        <f>E190/($A$190/7.7)</f>
        <v>1.51142578125</v>
      </c>
      <c r="F194" s="58">
        <f t="shared" si="32"/>
        <v>4.3748632812500006</v>
      </c>
      <c r="G194" s="65" t="s">
        <v>175</v>
      </c>
      <c r="H194" s="61" t="s">
        <v>178</v>
      </c>
      <c r="I194" s="66">
        <f t="shared" ref="I194:K195" si="35">I190/($H190/7.7)</f>
        <v>1.5339902439024389</v>
      </c>
      <c r="J194" s="66">
        <f t="shared" si="35"/>
        <v>2.2724390243902439</v>
      </c>
      <c r="K194" s="66">
        <f t="shared" si="35"/>
        <v>0.74295609756097569</v>
      </c>
      <c r="L194" s="58">
        <f t="shared" si="33"/>
        <v>4.5493853658536585</v>
      </c>
      <c r="M194" s="593"/>
      <c r="N194" s="521"/>
      <c r="O194" s="63"/>
      <c r="P194" s="64"/>
      <c r="Q194" s="42"/>
    </row>
    <row r="195" spans="1:17" x14ac:dyDescent="0.25">
      <c r="A195" s="52" t="s">
        <v>104</v>
      </c>
      <c r="B195" s="53" t="s">
        <v>96</v>
      </c>
      <c r="C195" s="66">
        <f>C191/($A$191/7.7)</f>
        <v>1.25125</v>
      </c>
      <c r="D195" s="66">
        <f>D191/($A$191/7.7)</f>
        <v>1.2075</v>
      </c>
      <c r="E195" s="66">
        <f>E191/($A$191/7.7)</f>
        <v>0.61249999999999993</v>
      </c>
      <c r="F195" s="58">
        <f t="shared" si="32"/>
        <v>3.07125</v>
      </c>
      <c r="G195" s="57" t="s">
        <v>176</v>
      </c>
      <c r="H195" s="61" t="s">
        <v>178</v>
      </c>
      <c r="I195" s="66">
        <f t="shared" si="35"/>
        <v>2.8699999999999997</v>
      </c>
      <c r="J195" s="66">
        <f t="shared" si="35"/>
        <v>4.8431249999999997</v>
      </c>
      <c r="K195" s="66">
        <f t="shared" si="35"/>
        <v>0.354375</v>
      </c>
      <c r="L195" s="58">
        <f t="shared" si="33"/>
        <v>8.067499999999999</v>
      </c>
      <c r="M195" s="593"/>
      <c r="N195" s="604"/>
      <c r="O195" s="604"/>
      <c r="P195" s="604"/>
      <c r="Q195" s="42"/>
    </row>
    <row r="196" spans="1:17" x14ac:dyDescent="0.25">
      <c r="A196" s="52" t="s">
        <v>135</v>
      </c>
      <c r="B196" s="53" t="s">
        <v>95</v>
      </c>
      <c r="C196" s="66">
        <f>C190/((($A190*$B187)*(1-$B184))/$B182)</f>
        <v>3.2123420021750705E-2</v>
      </c>
      <c r="D196" s="66">
        <f>D190/((($A190*$B187)*(1-$B184))/$B182)</f>
        <v>3.1290775645862925E-2</v>
      </c>
      <c r="E196" s="66">
        <f>E190/((($A190*$B187)*(1-$B184))/$B182)</f>
        <v>3.3472303910688915E-2</v>
      </c>
      <c r="F196" s="58">
        <f t="shared" si="32"/>
        <v>9.688649957830256E-2</v>
      </c>
      <c r="G196" s="66" t="s">
        <v>175</v>
      </c>
      <c r="H196" s="68" t="s">
        <v>179</v>
      </c>
      <c r="I196" s="66">
        <f>I190/((($H190*$B187)*(1-$B184))/$B182)</f>
        <v>3.3972020509977822E-2</v>
      </c>
      <c r="J196" s="66">
        <f>J190/((($H190*$B187)*(1-$B184))/$B182)</f>
        <v>5.0325838414634144E-2</v>
      </c>
      <c r="K196" s="66">
        <f>K190/((($H190*$B187)*(1-$B184))/$B182)</f>
        <v>1.6453637749445676E-2</v>
      </c>
      <c r="L196" s="58">
        <f t="shared" si="33"/>
        <v>0.10075149667405765</v>
      </c>
      <c r="M196" s="593"/>
      <c r="N196" s="593"/>
      <c r="O196" s="593"/>
      <c r="P196" s="593"/>
      <c r="Q196" s="42"/>
    </row>
    <row r="197" spans="1:17" x14ac:dyDescent="0.25">
      <c r="A197" s="52" t="s">
        <v>135</v>
      </c>
      <c r="B197" s="53" t="s">
        <v>96</v>
      </c>
      <c r="C197" s="66">
        <f>C191/((($A191*$B187)*(1-$B184))/$B182)</f>
        <v>2.7710404829545454E-2</v>
      </c>
      <c r="D197" s="66">
        <f>D191/((($A191*$B187)*(1-$B184))/$B182)</f>
        <v>2.6741509555785123E-2</v>
      </c>
      <c r="E197" s="66">
        <f>E191/((($A191*$B187)*(1-$B184))/$B182)</f>
        <v>1.3564533832644627E-2</v>
      </c>
      <c r="F197" s="58">
        <f t="shared" si="32"/>
        <v>6.8016448217975201E-2</v>
      </c>
      <c r="G197" s="66" t="s">
        <v>176</v>
      </c>
      <c r="H197" s="68" t="s">
        <v>179</v>
      </c>
      <c r="I197" s="66">
        <f>I191/((($H191*$B187)*(1-$B184))/$B182)</f>
        <v>6.3559529958677682E-2</v>
      </c>
      <c r="J197" s="66">
        <f>J191/((($H191*$B187)*(1-$B184))/$B182)</f>
        <v>0.1072567068052686</v>
      </c>
      <c r="K197" s="66">
        <f>K191/((($H191*$B187)*(1-$B184))/$B182)</f>
        <v>7.8480517174586775E-3</v>
      </c>
      <c r="L197" s="58">
        <f t="shared" si="33"/>
        <v>0.17866428848140495</v>
      </c>
      <c r="M197" s="593"/>
      <c r="N197" s="593"/>
      <c r="O197" s="593"/>
      <c r="P197" s="593"/>
      <c r="Q197" s="42"/>
    </row>
    <row r="198" spans="1:17" x14ac:dyDescent="0.25">
      <c r="A198" s="612"/>
      <c r="B198" s="612"/>
      <c r="C198" s="612"/>
      <c r="D198" s="612"/>
      <c r="E198" s="612"/>
      <c r="F198" s="612"/>
      <c r="G198" s="612"/>
      <c r="H198" s="612"/>
      <c r="I198" s="612"/>
      <c r="J198" s="612"/>
      <c r="K198" s="612"/>
      <c r="L198" s="612"/>
      <c r="M198" s="612"/>
      <c r="N198" s="612"/>
      <c r="O198" s="612"/>
      <c r="P198" s="612"/>
      <c r="Q198" s="612"/>
    </row>
    <row r="199" spans="1:17" ht="21" x14ac:dyDescent="0.35">
      <c r="A199" s="43"/>
      <c r="B199" s="613" t="s">
        <v>62</v>
      </c>
      <c r="C199" s="614"/>
      <c r="D199" s="614"/>
      <c r="E199" s="614"/>
      <c r="F199" s="614"/>
      <c r="G199" s="614"/>
      <c r="H199" s="614"/>
      <c r="I199" s="614"/>
      <c r="J199" s="614"/>
      <c r="K199" s="614"/>
      <c r="L199" s="615"/>
      <c r="M199" s="593" t="s">
        <v>97</v>
      </c>
      <c r="N199" s="585" t="s">
        <v>61</v>
      </c>
      <c r="O199" s="585"/>
      <c r="P199" s="585"/>
      <c r="Q199" s="42"/>
    </row>
    <row r="200" spans="1:17" x14ac:dyDescent="0.25">
      <c r="A200" s="44"/>
      <c r="B200" s="590" t="s">
        <v>115</v>
      </c>
      <c r="C200" s="591"/>
      <c r="D200" s="591"/>
      <c r="E200" s="591"/>
      <c r="F200" s="591"/>
      <c r="G200" s="591"/>
      <c r="H200" s="591"/>
      <c r="I200" s="591"/>
      <c r="J200" s="591"/>
      <c r="K200" s="591"/>
      <c r="L200" s="592"/>
      <c r="M200" s="593"/>
      <c r="N200" s="585"/>
      <c r="O200" s="585"/>
      <c r="P200" s="585"/>
      <c r="Q200" s="42"/>
    </row>
    <row r="201" spans="1:17" x14ac:dyDescent="0.25">
      <c r="A201" s="2" t="s">
        <v>106</v>
      </c>
      <c r="B201" s="594">
        <v>16</v>
      </c>
      <c r="C201" s="595"/>
      <c r="D201" s="595"/>
      <c r="E201" s="595"/>
      <c r="F201" s="595"/>
      <c r="G201" s="595"/>
      <c r="H201" s="595"/>
      <c r="I201" s="595"/>
      <c r="J201" s="595"/>
      <c r="K201" s="595"/>
      <c r="L201" s="596"/>
      <c r="M201" s="593"/>
      <c r="N201" s="585"/>
      <c r="O201" s="585"/>
      <c r="P201" s="585"/>
      <c r="Q201" s="42"/>
    </row>
    <row r="202" spans="1:17" x14ac:dyDescent="0.25">
      <c r="A202" s="2" t="s">
        <v>112</v>
      </c>
      <c r="B202" s="597">
        <v>0.12</v>
      </c>
      <c r="C202" s="598"/>
      <c r="D202" s="598"/>
      <c r="E202" s="598"/>
      <c r="F202" s="598"/>
      <c r="G202" s="598"/>
      <c r="H202" s="598"/>
      <c r="I202" s="598"/>
      <c r="J202" s="598"/>
      <c r="K202" s="598"/>
      <c r="L202" s="599"/>
      <c r="M202" s="593"/>
      <c r="N202" s="585"/>
      <c r="O202" s="585"/>
      <c r="P202" s="585"/>
      <c r="Q202" s="42"/>
    </row>
    <row r="203" spans="1:17" ht="15.75" thickBot="1" x14ac:dyDescent="0.3">
      <c r="A203" s="2" t="s">
        <v>107</v>
      </c>
      <c r="B203" s="594">
        <f>B201-(B201*B202)</f>
        <v>14.08</v>
      </c>
      <c r="C203" s="595"/>
      <c r="D203" s="595"/>
      <c r="E203" s="595"/>
      <c r="F203" s="595"/>
      <c r="G203" s="595"/>
      <c r="H203" s="595"/>
      <c r="I203" s="595"/>
      <c r="J203" s="595"/>
      <c r="K203" s="595"/>
      <c r="L203" s="596"/>
      <c r="M203" s="593"/>
      <c r="N203" s="586"/>
      <c r="O203" s="586"/>
      <c r="P203" s="586"/>
      <c r="Q203" s="42"/>
    </row>
    <row r="204" spans="1:17" x14ac:dyDescent="0.25">
      <c r="A204" s="2" t="s">
        <v>108</v>
      </c>
      <c r="B204" s="600">
        <f>B207/B203</f>
        <v>0.83448153409090919</v>
      </c>
      <c r="C204" s="601"/>
      <c r="D204" s="601"/>
      <c r="E204" s="601"/>
      <c r="F204" s="601"/>
      <c r="G204" s="601"/>
      <c r="H204" s="601"/>
      <c r="I204" s="601"/>
      <c r="J204" s="601"/>
      <c r="K204" s="601"/>
      <c r="L204" s="602"/>
      <c r="M204" s="593"/>
      <c r="N204" s="605"/>
      <c r="O204" s="45"/>
      <c r="P204" s="607"/>
      <c r="Q204" s="42"/>
    </row>
    <row r="205" spans="1:17" ht="15.75" thickBot="1" x14ac:dyDescent="0.3">
      <c r="A205" s="2" t="s">
        <v>113</v>
      </c>
      <c r="B205" s="594">
        <f>B209*(A212+A213+H212+H213)/1000</f>
        <v>39.164999999999999</v>
      </c>
      <c r="C205" s="595"/>
      <c r="D205" s="595"/>
      <c r="E205" s="595"/>
      <c r="F205" s="595"/>
      <c r="G205" s="595"/>
      <c r="H205" s="595"/>
      <c r="I205" s="595"/>
      <c r="J205" s="595"/>
      <c r="K205" s="595"/>
      <c r="L205" s="596"/>
      <c r="M205" s="593"/>
      <c r="N205" s="606"/>
      <c r="O205" s="46"/>
      <c r="P205" s="608"/>
      <c r="Q205" s="42"/>
    </row>
    <row r="206" spans="1:17" ht="15.75" thickBot="1" x14ac:dyDescent="0.3">
      <c r="A206" s="2" t="s">
        <v>109</v>
      </c>
      <c r="B206" s="600">
        <v>0.7</v>
      </c>
      <c r="C206" s="601"/>
      <c r="D206" s="601"/>
      <c r="E206" s="601"/>
      <c r="F206" s="601"/>
      <c r="G206" s="601"/>
      <c r="H206" s="601"/>
      <c r="I206" s="601"/>
      <c r="J206" s="601"/>
      <c r="K206" s="601"/>
      <c r="L206" s="602"/>
      <c r="M206" s="593"/>
      <c r="N206" s="47"/>
      <c r="O206" s="48"/>
      <c r="P206" s="46"/>
      <c r="Q206" s="42"/>
    </row>
    <row r="207" spans="1:17" ht="15.75" thickBot="1" x14ac:dyDescent="0.3">
      <c r="A207" s="2" t="s">
        <v>122</v>
      </c>
      <c r="B207" s="594">
        <f>B205-(B205*B206)</f>
        <v>11.749500000000001</v>
      </c>
      <c r="C207" s="595"/>
      <c r="D207" s="595"/>
      <c r="E207" s="595"/>
      <c r="F207" s="595"/>
      <c r="G207" s="595"/>
      <c r="H207" s="595"/>
      <c r="I207" s="595"/>
      <c r="J207" s="595"/>
      <c r="K207" s="595"/>
      <c r="L207" s="603"/>
      <c r="M207" s="593"/>
      <c r="N207" s="47"/>
      <c r="O207" s="48"/>
      <c r="P207" s="49"/>
      <c r="Q207" s="42"/>
    </row>
    <row r="208" spans="1:17" ht="15" customHeight="1" thickBot="1" x14ac:dyDescent="0.3">
      <c r="A208" s="2" t="s">
        <v>110</v>
      </c>
      <c r="B208" s="587">
        <v>132</v>
      </c>
      <c r="C208" s="588"/>
      <c r="D208" s="588"/>
      <c r="E208" s="588"/>
      <c r="F208" s="588"/>
      <c r="G208" s="588"/>
      <c r="H208" s="588"/>
      <c r="I208" s="588"/>
      <c r="J208" s="588"/>
      <c r="K208" s="588"/>
      <c r="L208" s="589"/>
      <c r="M208" s="593"/>
      <c r="N208" s="47"/>
      <c r="O208" s="48"/>
      <c r="P208" s="49"/>
      <c r="Q208" s="42"/>
    </row>
    <row r="209" spans="1:17" ht="14.1" customHeight="1" x14ac:dyDescent="0.25">
      <c r="A209" s="2" t="s">
        <v>111</v>
      </c>
      <c r="B209" s="587">
        <v>15</v>
      </c>
      <c r="C209" s="588"/>
      <c r="D209" s="588"/>
      <c r="E209" s="588"/>
      <c r="F209" s="588"/>
      <c r="G209" s="588"/>
      <c r="H209" s="588"/>
      <c r="I209" s="588"/>
      <c r="J209" s="588"/>
      <c r="K209" s="588"/>
      <c r="L209" s="589"/>
      <c r="M209" s="593"/>
      <c r="N209" s="50"/>
      <c r="O209" s="624"/>
      <c r="P209" s="625"/>
      <c r="Q209" s="42"/>
    </row>
    <row r="210" spans="1:17" ht="15.75" thickBot="1" x14ac:dyDescent="0.3">
      <c r="A210" s="587" t="s">
        <v>127</v>
      </c>
      <c r="B210" s="588"/>
      <c r="C210" s="588"/>
      <c r="D210" s="588"/>
      <c r="E210" s="589"/>
      <c r="F210" s="51"/>
      <c r="G210" s="587" t="s">
        <v>128</v>
      </c>
      <c r="H210" s="588"/>
      <c r="I210" s="588"/>
      <c r="J210" s="588"/>
      <c r="K210" s="589"/>
      <c r="L210" s="51"/>
      <c r="M210" s="593"/>
      <c r="N210" s="47"/>
      <c r="O210" s="606"/>
      <c r="P210" s="611"/>
      <c r="Q210" s="42"/>
    </row>
    <row r="211" spans="1:17" ht="15.75" thickBot="1" x14ac:dyDescent="0.3">
      <c r="A211" s="52" t="s">
        <v>98</v>
      </c>
      <c r="B211" s="53" t="s">
        <v>102</v>
      </c>
      <c r="C211" s="53" t="s">
        <v>92</v>
      </c>
      <c r="D211" s="53" t="s">
        <v>93</v>
      </c>
      <c r="E211" s="53" t="s">
        <v>94</v>
      </c>
      <c r="F211" s="54" t="s">
        <v>99</v>
      </c>
      <c r="G211" s="53" t="s">
        <v>102</v>
      </c>
      <c r="H211" s="55" t="s">
        <v>98</v>
      </c>
      <c r="I211" s="53" t="s">
        <v>92</v>
      </c>
      <c r="J211" s="53" t="s">
        <v>93</v>
      </c>
      <c r="K211" s="53" t="s">
        <v>94</v>
      </c>
      <c r="L211" s="54" t="s">
        <v>99</v>
      </c>
      <c r="M211" s="593"/>
      <c r="N211" s="47"/>
      <c r="O211" s="48"/>
      <c r="P211" s="49"/>
      <c r="Q211" s="42"/>
    </row>
    <row r="212" spans="1:17" ht="15.75" thickBot="1" x14ac:dyDescent="0.3">
      <c r="A212" s="56">
        <v>1130</v>
      </c>
      <c r="B212" s="53" t="s">
        <v>95</v>
      </c>
      <c r="C212" s="57">
        <v>598.4</v>
      </c>
      <c r="D212" s="57">
        <v>284.60000000000002</v>
      </c>
      <c r="E212" s="57">
        <v>276.3</v>
      </c>
      <c r="F212" s="58">
        <f t="shared" ref="F212:F219" si="36">SUM(C212:E212)</f>
        <v>1159.3</v>
      </c>
      <c r="G212" s="57" t="s">
        <v>175</v>
      </c>
      <c r="H212" s="59">
        <v>1131</v>
      </c>
      <c r="I212" s="57">
        <v>284.7</v>
      </c>
      <c r="J212" s="57">
        <v>842.2</v>
      </c>
      <c r="K212" s="57">
        <v>281.3</v>
      </c>
      <c r="L212" s="58">
        <f>SUM(I212:K212)</f>
        <v>1408.2</v>
      </c>
      <c r="M212" s="593"/>
      <c r="N212" s="47"/>
      <c r="O212" s="48"/>
      <c r="P212" s="46"/>
      <c r="Q212" s="42"/>
    </row>
    <row r="213" spans="1:17" ht="15.75" thickBot="1" x14ac:dyDescent="0.3">
      <c r="A213" s="56">
        <v>175</v>
      </c>
      <c r="B213" s="53" t="s">
        <v>96</v>
      </c>
      <c r="C213" s="57">
        <v>85.22</v>
      </c>
      <c r="D213" s="57">
        <v>79.48</v>
      </c>
      <c r="E213" s="57">
        <v>108.2</v>
      </c>
      <c r="F213" s="58">
        <f t="shared" si="36"/>
        <v>272.89999999999998</v>
      </c>
      <c r="G213" s="57" t="s">
        <v>176</v>
      </c>
      <c r="H213" s="60">
        <v>175</v>
      </c>
      <c r="I213" s="57">
        <v>40.1</v>
      </c>
      <c r="J213" s="57">
        <v>122.9</v>
      </c>
      <c r="K213" s="57">
        <v>112.7</v>
      </c>
      <c r="L213" s="58">
        <f t="shared" ref="L213:L219" si="37">SUM(I213:K213)</f>
        <v>275.7</v>
      </c>
      <c r="M213" s="593"/>
      <c r="N213" s="47"/>
      <c r="O213" s="48"/>
      <c r="P213" s="46"/>
      <c r="Q213" s="42"/>
    </row>
    <row r="214" spans="1:17" ht="15.75" thickBot="1" x14ac:dyDescent="0.3">
      <c r="A214" s="52" t="s">
        <v>100</v>
      </c>
      <c r="B214" s="53" t="s">
        <v>95</v>
      </c>
      <c r="C214" s="66">
        <f>C212/$A$212</f>
        <v>0.52955752212389373</v>
      </c>
      <c r="D214" s="66">
        <f>D212/$A$212</f>
        <v>0.25185840707964602</v>
      </c>
      <c r="E214" s="66">
        <f>E212/$A$212</f>
        <v>0.2445132743362832</v>
      </c>
      <c r="F214" s="58">
        <f t="shared" si="36"/>
        <v>1.0259292035398229</v>
      </c>
      <c r="G214" s="57" t="s">
        <v>175</v>
      </c>
      <c r="H214" s="61" t="s">
        <v>177</v>
      </c>
      <c r="I214" s="66">
        <f t="shared" ref="I214:K215" si="38">I212/$H212</f>
        <v>0.25172413793103449</v>
      </c>
      <c r="J214" s="66">
        <f t="shared" si="38"/>
        <v>0.74465075154730331</v>
      </c>
      <c r="K214" s="66">
        <f t="shared" si="38"/>
        <v>0.24871794871794872</v>
      </c>
      <c r="L214" s="58">
        <f t="shared" si="37"/>
        <v>1.2450928381962865</v>
      </c>
      <c r="M214" s="593"/>
      <c r="N214" s="47"/>
      <c r="O214" s="48"/>
      <c r="P214" s="46"/>
      <c r="Q214" s="42"/>
    </row>
    <row r="215" spans="1:17" ht="16.5" thickBot="1" x14ac:dyDescent="0.3">
      <c r="A215" s="52" t="s">
        <v>100</v>
      </c>
      <c r="B215" s="53" t="s">
        <v>96</v>
      </c>
      <c r="C215" s="66">
        <f>C213/$A$213</f>
        <v>0.48697142857142856</v>
      </c>
      <c r="D215" s="66">
        <f>D213/$A$213</f>
        <v>0.45417142857142861</v>
      </c>
      <c r="E215" s="66">
        <f>E213/$A$213</f>
        <v>0.61828571428571433</v>
      </c>
      <c r="F215" s="58">
        <f t="shared" si="36"/>
        <v>1.5594285714285716</v>
      </c>
      <c r="G215" s="57" t="s">
        <v>176</v>
      </c>
      <c r="H215" s="61" t="s">
        <v>177</v>
      </c>
      <c r="I215" s="66">
        <f t="shared" si="38"/>
        <v>0.22914285714285715</v>
      </c>
      <c r="J215" s="66">
        <f t="shared" si="38"/>
        <v>0.70228571428571429</v>
      </c>
      <c r="K215" s="66">
        <f t="shared" si="38"/>
        <v>0.64400000000000002</v>
      </c>
      <c r="L215" s="58">
        <f t="shared" si="37"/>
        <v>1.5754285714285716</v>
      </c>
      <c r="M215" s="593"/>
      <c r="N215" s="62"/>
      <c r="O215" s="63"/>
      <c r="P215" s="64"/>
      <c r="Q215" s="42"/>
    </row>
    <row r="216" spans="1:17" x14ac:dyDescent="0.25">
      <c r="A216" s="52" t="s">
        <v>104</v>
      </c>
      <c r="B216" s="53" t="s">
        <v>95</v>
      </c>
      <c r="C216" s="66">
        <f>C212/($A$212/7)</f>
        <v>3.7069026548672568</v>
      </c>
      <c r="D216" s="66">
        <f>D212/($A$212/7)</f>
        <v>1.7630088495575225</v>
      </c>
      <c r="E216" s="66">
        <f>E212/($A$212/7)</f>
        <v>1.7115929203539826</v>
      </c>
      <c r="F216" s="58">
        <f t="shared" si="36"/>
        <v>7.1815044247787618</v>
      </c>
      <c r="G216" s="65" t="s">
        <v>175</v>
      </c>
      <c r="H216" s="61" t="s">
        <v>178</v>
      </c>
      <c r="I216" s="66">
        <f t="shared" ref="I216:K217" si="39">I212/($H212/7.7)</f>
        <v>1.9382758620689655</v>
      </c>
      <c r="J216" s="66">
        <f t="shared" si="39"/>
        <v>5.7338107869142352</v>
      </c>
      <c r="K216" s="66">
        <f t="shared" si="39"/>
        <v>1.9151282051282053</v>
      </c>
      <c r="L216" s="58">
        <f t="shared" si="37"/>
        <v>9.5872148541114051</v>
      </c>
      <c r="M216" s="593"/>
      <c r="N216" s="604"/>
      <c r="O216" s="604"/>
      <c r="P216" s="604"/>
      <c r="Q216" s="42"/>
    </row>
    <row r="217" spans="1:17" x14ac:dyDescent="0.25">
      <c r="A217" s="52" t="s">
        <v>104</v>
      </c>
      <c r="B217" s="53" t="s">
        <v>96</v>
      </c>
      <c r="C217" s="66">
        <f>C213/($A$213/7.7)</f>
        <v>3.7496800000000001</v>
      </c>
      <c r="D217" s="66">
        <f>D213/($A$213/7.7)</f>
        <v>3.4971200000000002</v>
      </c>
      <c r="E217" s="66">
        <f>E213/($A$213/7.7)</f>
        <v>4.7608000000000006</v>
      </c>
      <c r="F217" s="58">
        <f t="shared" si="36"/>
        <v>12.0076</v>
      </c>
      <c r="G217" s="57" t="s">
        <v>176</v>
      </c>
      <c r="H217" s="61" t="s">
        <v>178</v>
      </c>
      <c r="I217" s="66">
        <f t="shared" si="39"/>
        <v>1.7644000000000002</v>
      </c>
      <c r="J217" s="66">
        <f t="shared" si="39"/>
        <v>5.4076000000000004</v>
      </c>
      <c r="K217" s="66">
        <f t="shared" si="39"/>
        <v>4.9588000000000001</v>
      </c>
      <c r="L217" s="58">
        <f t="shared" si="37"/>
        <v>12.130800000000001</v>
      </c>
      <c r="M217" s="593"/>
      <c r="N217" s="593"/>
      <c r="O217" s="593"/>
      <c r="P217" s="593"/>
      <c r="Q217" s="42"/>
    </row>
    <row r="218" spans="1:17" x14ac:dyDescent="0.25">
      <c r="A218" s="52" t="s">
        <v>135</v>
      </c>
      <c r="B218" s="53" t="s">
        <v>95</v>
      </c>
      <c r="C218" s="66">
        <f>C212/((($A212*$B209)*(1-$B206))/$B204)</f>
        <v>9.8201327433628305E-2</v>
      </c>
      <c r="D218" s="66">
        <f>D212/((($A212*$B209)*(1-$B206))/$B204)</f>
        <v>4.6704708869670153E-2</v>
      </c>
      <c r="E218" s="66">
        <f>E212/((($A212*$B209)*(1-$B206))/$B204)</f>
        <v>4.534262494971842E-2</v>
      </c>
      <c r="F218" s="58">
        <f t="shared" si="36"/>
        <v>0.19024866125301687</v>
      </c>
      <c r="G218" s="66" t="s">
        <v>175</v>
      </c>
      <c r="H218" s="68" t="s">
        <v>179</v>
      </c>
      <c r="I218" s="66">
        <f>I212/((($H212*$B209)*(1-$B206))/$B204)</f>
        <v>4.6679809952978053E-2</v>
      </c>
      <c r="J218" s="66">
        <f>J212/((($H212*$B209)*(1-$B206))/$B204)</f>
        <v>0.13808828922514269</v>
      </c>
      <c r="K218" s="66">
        <f>K212/((($H212*$B209)*(1-$B206))/$B204)</f>
        <v>4.6122341200466196E-2</v>
      </c>
      <c r="L218" s="58">
        <f t="shared" si="37"/>
        <v>0.23089044037858691</v>
      </c>
      <c r="M218" s="593"/>
      <c r="N218" s="593"/>
      <c r="O218" s="593"/>
      <c r="P218" s="593"/>
      <c r="Q218" s="42"/>
    </row>
    <row r="219" spans="1:17" x14ac:dyDescent="0.25">
      <c r="A219" s="52" t="s">
        <v>135</v>
      </c>
      <c r="B219" s="53" t="s">
        <v>96</v>
      </c>
      <c r="C219" s="66">
        <f>C213/((($A213*$B209)*(1-$B206))/$B204)</f>
        <v>9.0304147727272729E-2</v>
      </c>
      <c r="D219" s="66">
        <f>D213/((($A213*$B209)*(1-$B206))/$B204)</f>
        <v>8.4221704545454551E-2</v>
      </c>
      <c r="E219" s="66">
        <f>E213/((($A213*$B209)*(1-$B206))/$B204)</f>
        <v>0.11465511363636365</v>
      </c>
      <c r="F219" s="58">
        <f t="shared" si="36"/>
        <v>0.28918096590909093</v>
      </c>
      <c r="G219" s="66" t="s">
        <v>176</v>
      </c>
      <c r="H219" s="68" t="s">
        <v>179</v>
      </c>
      <c r="I219" s="66">
        <f>I213/((($H213*$B209)*(1-$B206))/$B204)</f>
        <v>4.2492329545454545E-2</v>
      </c>
      <c r="J219" s="66">
        <f>J213/((($H213*$B209)*(1-$B206))/$B204)</f>
        <v>0.13023210227272727</v>
      </c>
      <c r="K219" s="66">
        <f>K213/((($H213*$B209)*(1-$B206))/$B204)</f>
        <v>0.11942357954545454</v>
      </c>
      <c r="L219" s="58">
        <f t="shared" si="37"/>
        <v>0.29214801136363633</v>
      </c>
      <c r="M219" s="593"/>
      <c r="N219" s="593"/>
      <c r="O219" s="593"/>
      <c r="P219" s="593"/>
      <c r="Q219" s="42"/>
    </row>
    <row r="220" spans="1:17" x14ac:dyDescent="0.25">
      <c r="A220" s="612"/>
      <c r="B220" s="612"/>
      <c r="C220" s="612"/>
      <c r="D220" s="612"/>
      <c r="E220" s="612"/>
      <c r="F220" s="612"/>
      <c r="G220" s="612"/>
      <c r="H220" s="612"/>
      <c r="I220" s="612"/>
      <c r="J220" s="612"/>
      <c r="K220" s="612"/>
      <c r="L220" s="612"/>
      <c r="M220" s="612"/>
      <c r="N220" s="612"/>
      <c r="O220" s="612"/>
      <c r="P220" s="612"/>
      <c r="Q220" s="612"/>
    </row>
    <row r="221" spans="1:17" ht="21" x14ac:dyDescent="0.35">
      <c r="A221" s="43"/>
      <c r="B221" s="613" t="s">
        <v>65</v>
      </c>
      <c r="C221" s="614"/>
      <c r="D221" s="614"/>
      <c r="E221" s="614"/>
      <c r="F221" s="614"/>
      <c r="G221" s="614"/>
      <c r="H221" s="614"/>
      <c r="I221" s="614"/>
      <c r="J221" s="614"/>
      <c r="K221" s="614"/>
      <c r="L221" s="615"/>
      <c r="M221" s="593" t="s">
        <v>97</v>
      </c>
      <c r="N221" s="585" t="s">
        <v>66</v>
      </c>
      <c r="O221" s="585"/>
      <c r="P221" s="585"/>
      <c r="Q221" s="42"/>
    </row>
    <row r="222" spans="1:17" x14ac:dyDescent="0.25">
      <c r="A222" s="44"/>
      <c r="B222" s="590" t="s">
        <v>115</v>
      </c>
      <c r="C222" s="591"/>
      <c r="D222" s="591"/>
      <c r="E222" s="591"/>
      <c r="F222" s="591"/>
      <c r="G222" s="591"/>
      <c r="H222" s="591"/>
      <c r="I222" s="591"/>
      <c r="J222" s="591"/>
      <c r="K222" s="591"/>
      <c r="L222" s="592"/>
      <c r="M222" s="593"/>
      <c r="N222" s="585"/>
      <c r="O222" s="585"/>
      <c r="P222" s="585"/>
      <c r="Q222" s="42"/>
    </row>
    <row r="223" spans="1:17" x14ac:dyDescent="0.25">
      <c r="A223" s="2" t="s">
        <v>106</v>
      </c>
      <c r="B223" s="594">
        <v>16</v>
      </c>
      <c r="C223" s="595"/>
      <c r="D223" s="595"/>
      <c r="E223" s="595"/>
      <c r="F223" s="595"/>
      <c r="G223" s="595"/>
      <c r="H223" s="595"/>
      <c r="I223" s="595"/>
      <c r="J223" s="595"/>
      <c r="K223" s="595"/>
      <c r="L223" s="596"/>
      <c r="M223" s="593"/>
      <c r="N223" s="585"/>
      <c r="O223" s="585"/>
      <c r="P223" s="585"/>
      <c r="Q223" s="42"/>
    </row>
    <row r="224" spans="1:17" x14ac:dyDescent="0.25">
      <c r="A224" s="2" t="s">
        <v>112</v>
      </c>
      <c r="B224" s="597">
        <v>0.17799999999999999</v>
      </c>
      <c r="C224" s="598"/>
      <c r="D224" s="598"/>
      <c r="E224" s="598"/>
      <c r="F224" s="598"/>
      <c r="G224" s="598"/>
      <c r="H224" s="598"/>
      <c r="I224" s="598"/>
      <c r="J224" s="598"/>
      <c r="K224" s="598"/>
      <c r="L224" s="599"/>
      <c r="M224" s="593"/>
      <c r="N224" s="585"/>
      <c r="O224" s="585"/>
      <c r="P224" s="585"/>
      <c r="Q224" s="42"/>
    </row>
    <row r="225" spans="1:17" ht="15.75" thickBot="1" x14ac:dyDescent="0.3">
      <c r="A225" s="2" t="s">
        <v>107</v>
      </c>
      <c r="B225" s="594">
        <f>B223-(B223*B224)</f>
        <v>13.152000000000001</v>
      </c>
      <c r="C225" s="595"/>
      <c r="D225" s="595"/>
      <c r="E225" s="595"/>
      <c r="F225" s="595"/>
      <c r="G225" s="595"/>
      <c r="H225" s="595"/>
      <c r="I225" s="595"/>
      <c r="J225" s="595"/>
      <c r="K225" s="595"/>
      <c r="L225" s="596"/>
      <c r="M225" s="593"/>
      <c r="N225" s="586"/>
      <c r="O225" s="586"/>
      <c r="P225" s="586"/>
      <c r="Q225" s="42"/>
    </row>
    <row r="226" spans="1:17" x14ac:dyDescent="0.25">
      <c r="A226" s="2" t="s">
        <v>108</v>
      </c>
      <c r="B226" s="600">
        <f>B229/B225</f>
        <v>0.65089817518248183</v>
      </c>
      <c r="C226" s="601"/>
      <c r="D226" s="601"/>
      <c r="E226" s="601"/>
      <c r="F226" s="601"/>
      <c r="G226" s="601"/>
      <c r="H226" s="601"/>
      <c r="I226" s="601"/>
      <c r="J226" s="601"/>
      <c r="K226" s="601"/>
      <c r="L226" s="602"/>
      <c r="M226" s="593"/>
      <c r="N226" s="605"/>
      <c r="O226" s="45"/>
      <c r="P226" s="607"/>
      <c r="Q226" s="42"/>
    </row>
    <row r="227" spans="1:17" ht="15.75" thickBot="1" x14ac:dyDescent="0.3">
      <c r="A227" s="2" t="s">
        <v>113</v>
      </c>
      <c r="B227" s="594">
        <f>B231*2.286</f>
        <v>28.346400000000003</v>
      </c>
      <c r="C227" s="595"/>
      <c r="D227" s="595"/>
      <c r="E227" s="595"/>
      <c r="F227" s="595"/>
      <c r="G227" s="595"/>
      <c r="H227" s="595"/>
      <c r="I227" s="595"/>
      <c r="J227" s="595"/>
      <c r="K227" s="595"/>
      <c r="L227" s="603"/>
      <c r="M227" s="593"/>
      <c r="N227" s="606"/>
      <c r="O227" s="46"/>
      <c r="P227" s="608"/>
      <c r="Q227" s="42"/>
    </row>
    <row r="228" spans="1:17" ht="15.75" thickBot="1" x14ac:dyDescent="0.3">
      <c r="A228" s="2" t="s">
        <v>109</v>
      </c>
      <c r="B228" s="600">
        <v>0.69799999999999995</v>
      </c>
      <c r="C228" s="601"/>
      <c r="D228" s="601"/>
      <c r="E228" s="601"/>
      <c r="F228" s="601"/>
      <c r="G228" s="601"/>
      <c r="H228" s="601"/>
      <c r="I228" s="601"/>
      <c r="J228" s="601"/>
      <c r="K228" s="601"/>
      <c r="L228" s="602"/>
      <c r="M228" s="593"/>
      <c r="N228" s="47"/>
      <c r="O228" s="48"/>
      <c r="P228" s="46"/>
      <c r="Q228" s="42"/>
    </row>
    <row r="229" spans="1:17" ht="15.75" thickBot="1" x14ac:dyDescent="0.3">
      <c r="A229" s="2" t="s">
        <v>122</v>
      </c>
      <c r="B229" s="594">
        <f>B227-(B227*B228)</f>
        <v>8.5606128000000012</v>
      </c>
      <c r="C229" s="595"/>
      <c r="D229" s="595"/>
      <c r="E229" s="595"/>
      <c r="F229" s="595"/>
      <c r="G229" s="595"/>
      <c r="H229" s="595"/>
      <c r="I229" s="595"/>
      <c r="J229" s="595"/>
      <c r="K229" s="595"/>
      <c r="L229" s="603"/>
      <c r="M229" s="593"/>
      <c r="N229" s="47"/>
      <c r="O229" s="48"/>
      <c r="P229" s="49"/>
      <c r="Q229" s="42"/>
    </row>
    <row r="230" spans="1:17" ht="15" customHeight="1" thickBot="1" x14ac:dyDescent="0.3">
      <c r="A230" s="2" t="s">
        <v>110</v>
      </c>
      <c r="B230" s="587">
        <v>128</v>
      </c>
      <c r="C230" s="588"/>
      <c r="D230" s="588"/>
      <c r="E230" s="588"/>
      <c r="F230" s="588"/>
      <c r="G230" s="588"/>
      <c r="H230" s="588"/>
      <c r="I230" s="588"/>
      <c r="J230" s="588"/>
      <c r="K230" s="588"/>
      <c r="L230" s="589"/>
      <c r="M230" s="593"/>
      <c r="N230" s="47"/>
      <c r="O230" s="48"/>
      <c r="P230" s="49"/>
      <c r="Q230" s="42"/>
    </row>
    <row r="231" spans="1:17" ht="14.1" customHeight="1" x14ac:dyDescent="0.25">
      <c r="A231" s="2" t="s">
        <v>111</v>
      </c>
      <c r="B231" s="587">
        <v>12.4</v>
      </c>
      <c r="C231" s="588"/>
      <c r="D231" s="588"/>
      <c r="E231" s="588"/>
      <c r="F231" s="588"/>
      <c r="G231" s="588"/>
      <c r="H231" s="588"/>
      <c r="I231" s="588"/>
      <c r="J231" s="588"/>
      <c r="K231" s="588"/>
      <c r="L231" s="589"/>
      <c r="M231" s="593"/>
      <c r="N231" s="50"/>
      <c r="O231" s="624"/>
      <c r="P231" s="625"/>
      <c r="Q231" s="42"/>
    </row>
    <row r="232" spans="1:17" ht="15.75" thickBot="1" x14ac:dyDescent="0.3">
      <c r="A232" s="587" t="s">
        <v>127</v>
      </c>
      <c r="B232" s="588"/>
      <c r="C232" s="588"/>
      <c r="D232" s="588"/>
      <c r="E232" s="589"/>
      <c r="F232" s="51"/>
      <c r="G232" s="587" t="s">
        <v>128</v>
      </c>
      <c r="H232" s="588"/>
      <c r="I232" s="588"/>
      <c r="J232" s="588"/>
      <c r="K232" s="589"/>
      <c r="L232" s="51"/>
      <c r="M232" s="593"/>
      <c r="N232" s="47"/>
      <c r="O232" s="606"/>
      <c r="P232" s="611"/>
      <c r="Q232" s="42"/>
    </row>
    <row r="233" spans="1:17" ht="15.75" thickBot="1" x14ac:dyDescent="0.3">
      <c r="A233" s="52" t="s">
        <v>98</v>
      </c>
      <c r="B233" s="53" t="s">
        <v>102</v>
      </c>
      <c r="C233" s="53" t="s">
        <v>92</v>
      </c>
      <c r="D233" s="53" t="s">
        <v>93</v>
      </c>
      <c r="E233" s="53" t="s">
        <v>94</v>
      </c>
      <c r="F233" s="54" t="s">
        <v>99</v>
      </c>
      <c r="G233" s="53" t="s">
        <v>102</v>
      </c>
      <c r="H233" s="55" t="s">
        <v>98</v>
      </c>
      <c r="I233" s="53" t="s">
        <v>92</v>
      </c>
      <c r="J233" s="53" t="s">
        <v>93</v>
      </c>
      <c r="K233" s="53" t="s">
        <v>94</v>
      </c>
      <c r="L233" s="54" t="s">
        <v>99</v>
      </c>
      <c r="M233" s="593"/>
      <c r="N233" s="47"/>
      <c r="O233" s="48"/>
      <c r="P233" s="49"/>
      <c r="Q233" s="42"/>
    </row>
    <row r="234" spans="1:17" ht="15.75" thickBot="1" x14ac:dyDescent="0.3">
      <c r="A234" s="56">
        <v>964</v>
      </c>
      <c r="B234" s="53" t="s">
        <v>95</v>
      </c>
      <c r="C234" s="57">
        <v>561.1</v>
      </c>
      <c r="D234" s="57">
        <v>651.20000000000005</v>
      </c>
      <c r="E234" s="57">
        <v>776.3</v>
      </c>
      <c r="F234" s="58">
        <f t="shared" ref="F234:F241" si="40">SUM(C234:E234)</f>
        <v>1988.6000000000001</v>
      </c>
      <c r="G234" s="57" t="s">
        <v>175</v>
      </c>
      <c r="H234" s="59">
        <v>968</v>
      </c>
      <c r="I234" s="57">
        <v>121.3</v>
      </c>
      <c r="J234" s="57">
        <v>152.5</v>
      </c>
      <c r="K234" s="57"/>
      <c r="L234" s="58">
        <f>SUM(I234:K234)</f>
        <v>273.8</v>
      </c>
      <c r="M234" s="593"/>
      <c r="N234" s="47"/>
      <c r="O234" s="48"/>
      <c r="P234" s="46"/>
      <c r="Q234" s="42"/>
    </row>
    <row r="235" spans="1:17" ht="15.75" thickBot="1" x14ac:dyDescent="0.3">
      <c r="A235" s="56">
        <v>175</v>
      </c>
      <c r="B235" s="53" t="s">
        <v>96</v>
      </c>
      <c r="C235" s="57">
        <v>94.6</v>
      </c>
      <c r="D235" s="57">
        <v>138.69999999999999</v>
      </c>
      <c r="E235" s="57">
        <v>187.22</v>
      </c>
      <c r="F235" s="58">
        <f t="shared" si="40"/>
        <v>420.52</v>
      </c>
      <c r="G235" s="57" t="s">
        <v>176</v>
      </c>
      <c r="H235" s="60">
        <v>175</v>
      </c>
      <c r="I235" s="57">
        <v>29.5</v>
      </c>
      <c r="J235" s="57">
        <v>78.7</v>
      </c>
      <c r="K235" s="57">
        <v>0</v>
      </c>
      <c r="L235" s="58">
        <f t="shared" ref="L235:L241" si="41">SUM(I235:K235)</f>
        <v>108.2</v>
      </c>
      <c r="M235" s="593"/>
      <c r="N235" s="47"/>
      <c r="O235" s="48"/>
      <c r="P235" s="46"/>
      <c r="Q235" s="42"/>
    </row>
    <row r="236" spans="1:17" ht="15.75" thickBot="1" x14ac:dyDescent="0.3">
      <c r="A236" s="52" t="s">
        <v>100</v>
      </c>
      <c r="B236" s="53" t="s">
        <v>95</v>
      </c>
      <c r="C236" s="57">
        <f t="shared" ref="C236:E237" si="42">C234/$A234</f>
        <v>0.58205394190871373</v>
      </c>
      <c r="D236" s="57">
        <f t="shared" si="42"/>
        <v>0.67551867219917017</v>
      </c>
      <c r="E236" s="57">
        <f t="shared" si="42"/>
        <v>0.80529045643153518</v>
      </c>
      <c r="F236" s="58">
        <f t="shared" si="40"/>
        <v>2.0628630705394189</v>
      </c>
      <c r="G236" s="57" t="s">
        <v>175</v>
      </c>
      <c r="H236" s="61" t="s">
        <v>177</v>
      </c>
      <c r="I236" s="57">
        <f t="shared" ref="I236:K237" si="43">I234/$H234</f>
        <v>0.12530991735537189</v>
      </c>
      <c r="J236" s="57">
        <f t="shared" si="43"/>
        <v>0.15754132231404958</v>
      </c>
      <c r="K236" s="57">
        <f t="shared" si="43"/>
        <v>0</v>
      </c>
      <c r="L236" s="58">
        <f t="shared" si="41"/>
        <v>0.28285123966942149</v>
      </c>
      <c r="M236" s="593"/>
      <c r="N236" s="47"/>
      <c r="O236" s="48"/>
      <c r="P236" s="46"/>
      <c r="Q236" s="42"/>
    </row>
    <row r="237" spans="1:17" ht="16.5" thickBot="1" x14ac:dyDescent="0.3">
      <c r="A237" s="52" t="s">
        <v>100</v>
      </c>
      <c r="B237" s="53" t="s">
        <v>96</v>
      </c>
      <c r="C237" s="57">
        <f t="shared" si="42"/>
        <v>0.54057142857142859</v>
      </c>
      <c r="D237" s="57">
        <f t="shared" si="42"/>
        <v>0.79257142857142848</v>
      </c>
      <c r="E237" s="57">
        <f t="shared" si="42"/>
        <v>1.0698285714285714</v>
      </c>
      <c r="F237" s="58">
        <f t="shared" si="40"/>
        <v>2.4029714285714285</v>
      </c>
      <c r="G237" s="57" t="s">
        <v>176</v>
      </c>
      <c r="H237" s="61" t="s">
        <v>177</v>
      </c>
      <c r="I237" s="57">
        <f t="shared" si="43"/>
        <v>0.16857142857142857</v>
      </c>
      <c r="J237" s="57">
        <f t="shared" si="43"/>
        <v>0.44971428571428573</v>
      </c>
      <c r="K237" s="57">
        <f t="shared" si="43"/>
        <v>0</v>
      </c>
      <c r="L237" s="58">
        <f t="shared" si="41"/>
        <v>0.61828571428571433</v>
      </c>
      <c r="M237" s="593"/>
      <c r="N237" s="62"/>
      <c r="O237" s="63"/>
      <c r="P237" s="64"/>
      <c r="Q237" s="42"/>
    </row>
    <row r="238" spans="1:17" x14ac:dyDescent="0.25">
      <c r="A238" s="52" t="s">
        <v>104</v>
      </c>
      <c r="B238" s="53" t="s">
        <v>95</v>
      </c>
      <c r="C238" s="57">
        <f>C234/($A234/7)</f>
        <v>4.074377593360996</v>
      </c>
      <c r="D238" s="57">
        <f>D234/($A234/7)</f>
        <v>4.7286307053941909</v>
      </c>
      <c r="E238" s="57">
        <f>E234/($A234/7)</f>
        <v>5.637033195020746</v>
      </c>
      <c r="F238" s="58">
        <f t="shared" si="40"/>
        <v>14.440041493775933</v>
      </c>
      <c r="G238" s="65" t="s">
        <v>175</v>
      </c>
      <c r="H238" s="61" t="s">
        <v>178</v>
      </c>
      <c r="I238" s="57">
        <f t="shared" ref="I238:K239" si="44">I234/($H234/7.7)</f>
        <v>0.96488636363636371</v>
      </c>
      <c r="J238" s="57">
        <f t="shared" si="44"/>
        <v>1.2130681818181819</v>
      </c>
      <c r="K238" s="57">
        <f t="shared" si="44"/>
        <v>0</v>
      </c>
      <c r="L238" s="58">
        <f t="shared" si="41"/>
        <v>2.1779545454545457</v>
      </c>
      <c r="M238" s="593"/>
      <c r="N238" s="604"/>
      <c r="O238" s="604"/>
      <c r="P238" s="604"/>
      <c r="Q238" s="42"/>
    </row>
    <row r="239" spans="1:17" x14ac:dyDescent="0.25">
      <c r="A239" s="52" t="s">
        <v>104</v>
      </c>
      <c r="B239" s="53" t="s">
        <v>96</v>
      </c>
      <c r="C239" s="57">
        <f>C235/($A235/7.7)</f>
        <v>4.1623999999999999</v>
      </c>
      <c r="D239" s="57">
        <f>D235/($A235/7.7)</f>
        <v>6.1027999999999993</v>
      </c>
      <c r="E239" s="57">
        <f>E235/($A235/7.7)</f>
        <v>8.237680000000001</v>
      </c>
      <c r="F239" s="58">
        <f t="shared" si="40"/>
        <v>18.502880000000001</v>
      </c>
      <c r="G239" s="57" t="s">
        <v>176</v>
      </c>
      <c r="H239" s="61" t="s">
        <v>178</v>
      </c>
      <c r="I239" s="57">
        <f t="shared" si="44"/>
        <v>1.298</v>
      </c>
      <c r="J239" s="57">
        <f t="shared" si="44"/>
        <v>3.4628000000000001</v>
      </c>
      <c r="K239" s="57">
        <f t="shared" si="44"/>
        <v>0</v>
      </c>
      <c r="L239" s="58">
        <f t="shared" si="41"/>
        <v>4.7607999999999997</v>
      </c>
      <c r="M239" s="593"/>
      <c r="N239" s="593"/>
      <c r="O239" s="593"/>
      <c r="P239" s="593"/>
      <c r="Q239" s="42"/>
    </row>
    <row r="240" spans="1:17" x14ac:dyDescent="0.25">
      <c r="A240" s="52" t="s">
        <v>135</v>
      </c>
      <c r="B240" s="53" t="s">
        <v>95</v>
      </c>
      <c r="C240" s="57">
        <f>C234/((($A234*$B231)*(1-$B228))/$B226)</f>
        <v>0.10116904738468062</v>
      </c>
      <c r="D240" s="57">
        <f>D234/((($A234*$B231)*(1-$B228))/$B226)</f>
        <v>0.11741451373534846</v>
      </c>
      <c r="E240" s="57">
        <f>E234/((($A234*$B231)*(1-$B228))/$B226)</f>
        <v>0.13997064958960534</v>
      </c>
      <c r="F240" s="58">
        <f t="shared" si="40"/>
        <v>0.35855421070963445</v>
      </c>
      <c r="G240" s="66" t="s">
        <v>175</v>
      </c>
      <c r="H240" s="68" t="s">
        <v>179</v>
      </c>
      <c r="I240" s="66">
        <f>I234/((($H234*$B231)*(1-$B228))/$B226)</f>
        <v>2.1780601511129875E-2</v>
      </c>
      <c r="J240" s="66">
        <f>J234/((($H234*$B231)*(1-$B228))/$B226)</f>
        <v>2.7382866697834345E-2</v>
      </c>
      <c r="K240" s="66">
        <f>K234/((($H234*$B231)*(1-$B228))/$B226)</f>
        <v>0</v>
      </c>
      <c r="L240" s="58">
        <f t="shared" si="41"/>
        <v>4.9163468208964223E-2</v>
      </c>
      <c r="M240" s="593"/>
      <c r="N240" s="593"/>
      <c r="O240" s="593"/>
      <c r="P240" s="593"/>
      <c r="Q240" s="42"/>
    </row>
    <row r="241" spans="1:17" x14ac:dyDescent="0.25">
      <c r="A241" s="52" t="s">
        <v>135</v>
      </c>
      <c r="B241" s="53" t="s">
        <v>96</v>
      </c>
      <c r="C241" s="57">
        <f>C235/((($A235*$B231)*(1-$B228))/$B226)</f>
        <v>9.3958811261730946E-2</v>
      </c>
      <c r="D241" s="57">
        <f>D235/((($A235*$B231)*(1-$B228))/$B226)</f>
        <v>0.13775990615224187</v>
      </c>
      <c r="E241" s="57">
        <f>E235/((($A235*$B231)*(1-$B228))/$B226)</f>
        <v>0.18595104275286753</v>
      </c>
      <c r="F241" s="58">
        <f t="shared" si="40"/>
        <v>0.41766976016684032</v>
      </c>
      <c r="G241" s="66" t="s">
        <v>176</v>
      </c>
      <c r="H241" s="68" t="s">
        <v>179</v>
      </c>
      <c r="I241" s="66">
        <f>I235/((($H235*$B231)*(1-$B228))/$B226)</f>
        <v>2.9300052137643372E-2</v>
      </c>
      <c r="J241" s="66">
        <f>J235/((($H235*$B231)*(1-$B228))/$B226)</f>
        <v>7.8166579770594366E-2</v>
      </c>
      <c r="K241" s="66">
        <f>K235/((($H235*$B231)*(1-$B228))/$B226)</f>
        <v>0</v>
      </c>
      <c r="L241" s="58">
        <f t="shared" si="41"/>
        <v>0.10746663190823774</v>
      </c>
      <c r="M241" s="593"/>
      <c r="N241" s="593"/>
      <c r="O241" s="593"/>
      <c r="P241" s="593"/>
      <c r="Q241" s="42"/>
    </row>
    <row r="242" spans="1:17" x14ac:dyDescent="0.25">
      <c r="A242" s="612"/>
      <c r="B242" s="612"/>
      <c r="C242" s="612"/>
      <c r="D242" s="612"/>
      <c r="E242" s="612"/>
      <c r="F242" s="612"/>
      <c r="G242" s="612"/>
      <c r="H242" s="612"/>
      <c r="I242" s="612"/>
      <c r="J242" s="612"/>
      <c r="K242" s="612"/>
      <c r="L242" s="612"/>
      <c r="M242" s="612"/>
      <c r="N242" s="612"/>
      <c r="O242" s="612"/>
      <c r="P242" s="612"/>
      <c r="Q242" s="612"/>
    </row>
    <row r="243" spans="1:17" ht="21" x14ac:dyDescent="0.35">
      <c r="A243" s="43"/>
      <c r="B243" s="613" t="s">
        <v>67</v>
      </c>
      <c r="C243" s="614"/>
      <c r="D243" s="614"/>
      <c r="E243" s="614"/>
      <c r="F243" s="614"/>
      <c r="G243" s="614"/>
      <c r="H243" s="614"/>
      <c r="I243" s="614"/>
      <c r="J243" s="614"/>
      <c r="K243" s="614"/>
      <c r="L243" s="615"/>
      <c r="M243" s="593" t="s">
        <v>97</v>
      </c>
      <c r="N243" s="585" t="s">
        <v>68</v>
      </c>
      <c r="O243" s="585"/>
      <c r="P243" s="585"/>
      <c r="Q243" s="42"/>
    </row>
    <row r="244" spans="1:17" x14ac:dyDescent="0.25">
      <c r="A244" s="44"/>
      <c r="B244" s="590" t="s">
        <v>115</v>
      </c>
      <c r="C244" s="591"/>
      <c r="D244" s="591"/>
      <c r="E244" s="591"/>
      <c r="F244" s="591"/>
      <c r="G244" s="591"/>
      <c r="H244" s="591"/>
      <c r="I244" s="591"/>
      <c r="J244" s="591"/>
      <c r="K244" s="591"/>
      <c r="L244" s="592"/>
      <c r="M244" s="593"/>
      <c r="N244" s="585"/>
      <c r="O244" s="585"/>
      <c r="P244" s="585"/>
      <c r="Q244" s="42"/>
    </row>
    <row r="245" spans="1:17" x14ac:dyDescent="0.25">
      <c r="A245" s="2" t="s">
        <v>106</v>
      </c>
      <c r="B245" s="594">
        <v>17</v>
      </c>
      <c r="C245" s="595"/>
      <c r="D245" s="595"/>
      <c r="E245" s="595"/>
      <c r="F245" s="595"/>
      <c r="G245" s="595"/>
      <c r="H245" s="595"/>
      <c r="I245" s="595"/>
      <c r="J245" s="595"/>
      <c r="K245" s="595"/>
      <c r="L245" s="596"/>
      <c r="M245" s="593"/>
      <c r="N245" s="585"/>
      <c r="O245" s="585"/>
      <c r="P245" s="585"/>
      <c r="Q245" s="42"/>
    </row>
    <row r="246" spans="1:17" x14ac:dyDescent="0.25">
      <c r="A246" s="2" t="s">
        <v>112</v>
      </c>
      <c r="B246" s="597">
        <v>0.16700000000000001</v>
      </c>
      <c r="C246" s="598"/>
      <c r="D246" s="598"/>
      <c r="E246" s="598"/>
      <c r="F246" s="598"/>
      <c r="G246" s="598"/>
      <c r="H246" s="598"/>
      <c r="I246" s="598"/>
      <c r="J246" s="598"/>
      <c r="K246" s="598"/>
      <c r="L246" s="599"/>
      <c r="M246" s="593"/>
      <c r="N246" s="585"/>
      <c r="O246" s="585"/>
      <c r="P246" s="585"/>
      <c r="Q246" s="42"/>
    </row>
    <row r="247" spans="1:17" ht="15.75" thickBot="1" x14ac:dyDescent="0.3">
      <c r="A247" s="2" t="s">
        <v>107</v>
      </c>
      <c r="B247" s="594">
        <f>B245-(B245*B246)</f>
        <v>14.161</v>
      </c>
      <c r="C247" s="595"/>
      <c r="D247" s="595"/>
      <c r="E247" s="595"/>
      <c r="F247" s="595"/>
      <c r="G247" s="595"/>
      <c r="H247" s="595"/>
      <c r="I247" s="595"/>
      <c r="J247" s="595"/>
      <c r="K247" s="595"/>
      <c r="L247" s="596"/>
      <c r="M247" s="593"/>
      <c r="N247" s="586"/>
      <c r="O247" s="586"/>
      <c r="P247" s="586"/>
      <c r="Q247" s="42"/>
    </row>
    <row r="248" spans="1:17" x14ac:dyDescent="0.25">
      <c r="A248" s="2" t="s">
        <v>108</v>
      </c>
      <c r="B248" s="600">
        <f>B251/B247</f>
        <v>0.47945743944636682</v>
      </c>
      <c r="C248" s="601"/>
      <c r="D248" s="601"/>
      <c r="E248" s="601"/>
      <c r="F248" s="601"/>
      <c r="G248" s="601"/>
      <c r="H248" s="601"/>
      <c r="I248" s="601"/>
      <c r="J248" s="601"/>
      <c r="K248" s="601"/>
      <c r="L248" s="602"/>
      <c r="M248" s="593"/>
      <c r="N248" s="605"/>
      <c r="O248" s="45"/>
      <c r="P248" s="607"/>
      <c r="Q248" s="42"/>
    </row>
    <row r="249" spans="1:17" ht="15.75" thickBot="1" x14ac:dyDescent="0.3">
      <c r="A249" s="2" t="s">
        <v>113</v>
      </c>
      <c r="B249" s="594">
        <f>B253*2.128</f>
        <v>22.556799999999999</v>
      </c>
      <c r="C249" s="595"/>
      <c r="D249" s="595"/>
      <c r="E249" s="595"/>
      <c r="F249" s="595"/>
      <c r="G249" s="595"/>
      <c r="H249" s="595"/>
      <c r="I249" s="595"/>
      <c r="J249" s="595"/>
      <c r="K249" s="595"/>
      <c r="L249" s="603"/>
      <c r="M249" s="593"/>
      <c r="N249" s="606"/>
      <c r="O249" s="46"/>
      <c r="P249" s="608"/>
      <c r="Q249" s="42"/>
    </row>
    <row r="250" spans="1:17" ht="15.75" thickBot="1" x14ac:dyDescent="0.3">
      <c r="A250" s="2" t="s">
        <v>109</v>
      </c>
      <c r="B250" s="600">
        <v>0.69899999999999995</v>
      </c>
      <c r="C250" s="601"/>
      <c r="D250" s="601"/>
      <c r="E250" s="601"/>
      <c r="F250" s="601"/>
      <c r="G250" s="601"/>
      <c r="H250" s="601"/>
      <c r="I250" s="601"/>
      <c r="J250" s="601"/>
      <c r="K250" s="601"/>
      <c r="L250" s="602"/>
      <c r="M250" s="593"/>
      <c r="N250" s="47"/>
      <c r="O250" s="48"/>
      <c r="P250" s="46"/>
      <c r="Q250" s="42"/>
    </row>
    <row r="251" spans="1:17" ht="15.75" thickBot="1" x14ac:dyDescent="0.3">
      <c r="A251" s="2" t="s">
        <v>122</v>
      </c>
      <c r="B251" s="594">
        <f>B249-(B249*B250)</f>
        <v>6.7895968</v>
      </c>
      <c r="C251" s="595"/>
      <c r="D251" s="595"/>
      <c r="E251" s="595"/>
      <c r="F251" s="595"/>
      <c r="G251" s="595"/>
      <c r="H251" s="595"/>
      <c r="I251" s="595"/>
      <c r="J251" s="595"/>
      <c r="K251" s="595"/>
      <c r="L251" s="603"/>
      <c r="M251" s="593"/>
      <c r="N251" s="47"/>
      <c r="O251" s="48"/>
      <c r="P251" s="49"/>
      <c r="Q251" s="42"/>
    </row>
    <row r="252" spans="1:17" ht="15.75" thickBot="1" x14ac:dyDescent="0.3">
      <c r="A252" s="2" t="s">
        <v>110</v>
      </c>
      <c r="B252" s="587">
        <v>128</v>
      </c>
      <c r="C252" s="588"/>
      <c r="D252" s="588"/>
      <c r="E252" s="588"/>
      <c r="F252" s="588"/>
      <c r="G252" s="588"/>
      <c r="H252" s="588"/>
      <c r="I252" s="588"/>
      <c r="J252" s="588"/>
      <c r="K252" s="588"/>
      <c r="L252" s="589"/>
      <c r="M252" s="593"/>
      <c r="N252" s="47"/>
      <c r="O252" s="48"/>
      <c r="P252" s="49"/>
      <c r="Q252" s="42"/>
    </row>
    <row r="253" spans="1:17" ht="14.1" customHeight="1" x14ac:dyDescent="0.25">
      <c r="A253" s="2" t="s">
        <v>111</v>
      </c>
      <c r="B253" s="587">
        <v>10.6</v>
      </c>
      <c r="C253" s="588"/>
      <c r="D253" s="588"/>
      <c r="E253" s="588"/>
      <c r="F253" s="588"/>
      <c r="G253" s="588"/>
      <c r="H253" s="588"/>
      <c r="I253" s="588"/>
      <c r="J253" s="588"/>
      <c r="K253" s="588"/>
      <c r="L253" s="589"/>
      <c r="M253" s="593"/>
      <c r="N253" s="50"/>
      <c r="O253" s="624"/>
      <c r="P253" s="625"/>
      <c r="Q253" s="42"/>
    </row>
    <row r="254" spans="1:17" ht="15.75" thickBot="1" x14ac:dyDescent="0.3">
      <c r="A254" s="587" t="s">
        <v>127</v>
      </c>
      <c r="B254" s="588"/>
      <c r="C254" s="588"/>
      <c r="D254" s="588"/>
      <c r="E254" s="589"/>
      <c r="F254" s="51"/>
      <c r="G254" s="587" t="s">
        <v>128</v>
      </c>
      <c r="H254" s="588"/>
      <c r="I254" s="588"/>
      <c r="J254" s="588"/>
      <c r="K254" s="589"/>
      <c r="L254" s="51"/>
      <c r="M254" s="593"/>
      <c r="N254" s="47"/>
      <c r="O254" s="606"/>
      <c r="P254" s="611"/>
      <c r="Q254" s="42"/>
    </row>
    <row r="255" spans="1:17" ht="15.75" thickBot="1" x14ac:dyDescent="0.3">
      <c r="A255" s="52" t="s">
        <v>98</v>
      </c>
      <c r="B255" s="53" t="s">
        <v>102</v>
      </c>
      <c r="C255" s="53" t="s">
        <v>92</v>
      </c>
      <c r="D255" s="53" t="s">
        <v>93</v>
      </c>
      <c r="E255" s="53" t="s">
        <v>94</v>
      </c>
      <c r="F255" s="54" t="s">
        <v>99</v>
      </c>
      <c r="G255" s="53" t="s">
        <v>102</v>
      </c>
      <c r="H255" s="55" t="s">
        <v>98</v>
      </c>
      <c r="I255" s="53" t="s">
        <v>92</v>
      </c>
      <c r="J255" s="53" t="s">
        <v>93</v>
      </c>
      <c r="K255" s="53" t="s">
        <v>94</v>
      </c>
      <c r="L255" s="54" t="s">
        <v>99</v>
      </c>
      <c r="M255" s="593"/>
      <c r="N255" s="47"/>
      <c r="O255" s="48"/>
      <c r="P255" s="49"/>
      <c r="Q255" s="42"/>
    </row>
    <row r="256" spans="1:17" ht="15.75" thickBot="1" x14ac:dyDescent="0.3">
      <c r="A256" s="56">
        <v>889</v>
      </c>
      <c r="B256" s="53" t="s">
        <v>95</v>
      </c>
      <c r="C256" s="57">
        <v>500.3</v>
      </c>
      <c r="D256" s="57">
        <v>520.5</v>
      </c>
      <c r="E256" s="57">
        <v>265.60000000000002</v>
      </c>
      <c r="F256" s="67">
        <f t="shared" ref="F256:F263" si="45">SUM(C256:E256)</f>
        <v>1286.4000000000001</v>
      </c>
      <c r="G256" s="57" t="s">
        <v>175</v>
      </c>
      <c r="H256" s="59">
        <v>889</v>
      </c>
      <c r="I256" s="57">
        <v>303.10000000000002</v>
      </c>
      <c r="J256" s="57">
        <v>706</v>
      </c>
      <c r="K256" s="57">
        <v>399.4</v>
      </c>
      <c r="L256" s="67">
        <f>SUM(I256:K256)</f>
        <v>1408.5</v>
      </c>
      <c r="M256" s="593"/>
      <c r="N256" s="47"/>
      <c r="O256" s="48"/>
      <c r="P256" s="46"/>
      <c r="Q256" s="42"/>
    </row>
    <row r="257" spans="1:17" ht="15.75" thickBot="1" x14ac:dyDescent="0.3">
      <c r="A257" s="56">
        <v>175</v>
      </c>
      <c r="B257" s="53" t="s">
        <v>96</v>
      </c>
      <c r="C257" s="57">
        <v>87.88</v>
      </c>
      <c r="D257" s="57">
        <v>96.4</v>
      </c>
      <c r="E257" s="57">
        <v>44</v>
      </c>
      <c r="F257" s="67">
        <f t="shared" si="45"/>
        <v>228.28</v>
      </c>
      <c r="G257" s="57" t="s">
        <v>176</v>
      </c>
      <c r="H257" s="60">
        <v>175</v>
      </c>
      <c r="I257" s="57">
        <v>30.9</v>
      </c>
      <c r="J257" s="57">
        <v>166.3</v>
      </c>
      <c r="K257" s="57">
        <v>69.400000000000006</v>
      </c>
      <c r="L257" s="67">
        <f t="shared" ref="L257:L263" si="46">SUM(I257:K257)</f>
        <v>266.60000000000002</v>
      </c>
      <c r="M257" s="593"/>
      <c r="N257" s="47"/>
      <c r="O257" s="48"/>
      <c r="P257" s="46"/>
      <c r="Q257" s="42"/>
    </row>
    <row r="258" spans="1:17" ht="15.75" thickBot="1" x14ac:dyDescent="0.3">
      <c r="A258" s="52" t="s">
        <v>100</v>
      </c>
      <c r="B258" s="53" t="s">
        <v>95</v>
      </c>
      <c r="C258" s="57">
        <f t="shared" ref="C258:E259" si="47">C256/$A256</f>
        <v>0.56276715410573674</v>
      </c>
      <c r="D258" s="57">
        <f t="shared" si="47"/>
        <v>0.58548931383577052</v>
      </c>
      <c r="E258" s="57">
        <f t="shared" si="47"/>
        <v>0.29876265466816648</v>
      </c>
      <c r="F258" s="67">
        <f t="shared" si="45"/>
        <v>1.4470191226096738</v>
      </c>
      <c r="G258" s="57" t="s">
        <v>175</v>
      </c>
      <c r="H258" s="61" t="s">
        <v>177</v>
      </c>
      <c r="I258" s="57">
        <f t="shared" ref="I258:K259" si="48">I256/$H256</f>
        <v>0.3409448818897638</v>
      </c>
      <c r="J258" s="57">
        <f t="shared" si="48"/>
        <v>0.79415073115860513</v>
      </c>
      <c r="K258" s="57">
        <f t="shared" si="48"/>
        <v>0.44926884139482565</v>
      </c>
      <c r="L258" s="67">
        <f t="shared" si="46"/>
        <v>1.5843644544431945</v>
      </c>
      <c r="M258" s="593"/>
      <c r="N258" s="47"/>
      <c r="O258" s="48"/>
      <c r="P258" s="46"/>
      <c r="Q258" s="42"/>
    </row>
    <row r="259" spans="1:17" ht="16.5" thickBot="1" x14ac:dyDescent="0.3">
      <c r="A259" s="52" t="s">
        <v>100</v>
      </c>
      <c r="B259" s="53" t="s">
        <v>96</v>
      </c>
      <c r="C259" s="57">
        <f t="shared" si="47"/>
        <v>0.50217142857142849</v>
      </c>
      <c r="D259" s="57">
        <f t="shared" si="47"/>
        <v>0.55085714285714293</v>
      </c>
      <c r="E259" s="57">
        <f t="shared" si="47"/>
        <v>0.25142857142857145</v>
      </c>
      <c r="F259" s="67">
        <f t="shared" si="45"/>
        <v>1.3044571428571428</v>
      </c>
      <c r="G259" s="57" t="s">
        <v>176</v>
      </c>
      <c r="H259" s="61" t="s">
        <v>177</v>
      </c>
      <c r="I259" s="57">
        <f t="shared" si="48"/>
        <v>0.17657142857142857</v>
      </c>
      <c r="J259" s="57">
        <f t="shared" si="48"/>
        <v>0.9502857142857144</v>
      </c>
      <c r="K259" s="57">
        <f t="shared" si="48"/>
        <v>0.39657142857142863</v>
      </c>
      <c r="L259" s="67">
        <f t="shared" si="46"/>
        <v>1.5234285714285716</v>
      </c>
      <c r="M259" s="593"/>
      <c r="N259" s="62"/>
      <c r="O259" s="63"/>
      <c r="P259" s="64"/>
      <c r="Q259" s="42"/>
    </row>
    <row r="260" spans="1:17" x14ac:dyDescent="0.25">
      <c r="A260" s="52" t="s">
        <v>104</v>
      </c>
      <c r="B260" s="53" t="s">
        <v>95</v>
      </c>
      <c r="C260" s="57">
        <f>C256/($A256/7)</f>
        <v>3.9393700787401578</v>
      </c>
      <c r="D260" s="57">
        <f>D256/($A256/7)</f>
        <v>4.0984251968503935</v>
      </c>
      <c r="E260" s="57">
        <f>E256/($A256/7)</f>
        <v>2.0913385826771655</v>
      </c>
      <c r="F260" s="67">
        <f t="shared" si="45"/>
        <v>10.129133858267716</v>
      </c>
      <c r="G260" s="65" t="s">
        <v>175</v>
      </c>
      <c r="H260" s="61" t="s">
        <v>178</v>
      </c>
      <c r="I260" s="57">
        <f t="shared" ref="I260:K261" si="49">I256/($H256/7.7)</f>
        <v>2.6252755905511815</v>
      </c>
      <c r="J260" s="57">
        <f t="shared" si="49"/>
        <v>6.11496062992126</v>
      </c>
      <c r="K260" s="57">
        <f t="shared" si="49"/>
        <v>3.4593700787401573</v>
      </c>
      <c r="L260" s="67">
        <f t="shared" si="46"/>
        <v>12.199606299212599</v>
      </c>
      <c r="M260" s="593"/>
      <c r="N260" s="604"/>
      <c r="O260" s="604"/>
      <c r="P260" s="604"/>
      <c r="Q260" s="42"/>
    </row>
    <row r="261" spans="1:17" x14ac:dyDescent="0.25">
      <c r="A261" s="52" t="s">
        <v>104</v>
      </c>
      <c r="B261" s="53" t="s">
        <v>96</v>
      </c>
      <c r="C261" s="57">
        <f>C257/($A257/7.7)</f>
        <v>3.8667199999999999</v>
      </c>
      <c r="D261" s="57">
        <f>D257/($A257/7.7)</f>
        <v>4.2416</v>
      </c>
      <c r="E261" s="57">
        <f>E257/($A257/7.7)</f>
        <v>1.9360000000000002</v>
      </c>
      <c r="F261" s="67">
        <f t="shared" si="45"/>
        <v>10.044319999999999</v>
      </c>
      <c r="G261" s="57" t="s">
        <v>176</v>
      </c>
      <c r="H261" s="61" t="s">
        <v>178</v>
      </c>
      <c r="I261" s="57">
        <f t="shared" si="49"/>
        <v>1.3595999999999999</v>
      </c>
      <c r="J261" s="57">
        <f t="shared" si="49"/>
        <v>7.3172000000000006</v>
      </c>
      <c r="K261" s="57">
        <f t="shared" si="49"/>
        <v>3.0536000000000003</v>
      </c>
      <c r="L261" s="67">
        <f t="shared" si="46"/>
        <v>11.730399999999999</v>
      </c>
      <c r="M261" s="593"/>
      <c r="N261" s="593"/>
      <c r="O261" s="593"/>
      <c r="P261" s="593"/>
      <c r="Q261" s="42"/>
    </row>
    <row r="262" spans="1:17" x14ac:dyDescent="0.25">
      <c r="A262" s="52" t="s">
        <v>135</v>
      </c>
      <c r="B262" s="53" t="s">
        <v>95</v>
      </c>
      <c r="C262" s="66">
        <f>C256/((($A256*$B253)*(1-$B250))/$B248)</f>
        <v>8.45680745665566E-2</v>
      </c>
      <c r="D262" s="66">
        <f>D256/((($A256*$B253)*(1-$B250))/$B248)</f>
        <v>8.798257607813853E-2</v>
      </c>
      <c r="E262" s="66">
        <f>E256/((($A256*$B253)*(1-$B250))/$B248)</f>
        <v>4.4895623835453591E-2</v>
      </c>
      <c r="F262" s="67">
        <f t="shared" si="45"/>
        <v>0.21744627448014872</v>
      </c>
      <c r="G262" s="66" t="s">
        <v>175</v>
      </c>
      <c r="H262" s="68" t="s">
        <v>179</v>
      </c>
      <c r="I262" s="66">
        <f>I256/((($H256*$B253)*(1-$B250))/$B248)</f>
        <v>5.1234426146558674E-2</v>
      </c>
      <c r="J262" s="66">
        <f>J256/((($H256*$B253)*(1-$B250))/$B248)</f>
        <v>0.11933851817707167</v>
      </c>
      <c r="K262" s="66">
        <f>K256/((($H256*$B253)*(1-$B250))/$B248)</f>
        <v>6.7512470481476516E-2</v>
      </c>
      <c r="L262" s="67">
        <f t="shared" si="46"/>
        <v>0.23808541480510687</v>
      </c>
      <c r="M262" s="593"/>
      <c r="N262" s="593"/>
      <c r="O262" s="593"/>
      <c r="P262" s="593"/>
      <c r="Q262" s="42"/>
    </row>
    <row r="263" spans="1:17" x14ac:dyDescent="0.25">
      <c r="A263" s="52" t="s">
        <v>135</v>
      </c>
      <c r="B263" s="53" t="s">
        <v>96</v>
      </c>
      <c r="C263" s="66">
        <f>C257/((($A257*$B253)*(1-$B250))/$B248)</f>
        <v>7.5462241367135086E-2</v>
      </c>
      <c r="D263" s="66">
        <f>D257/((($A257*$B253)*(1-$B250))/$B248)</f>
        <v>8.2778334863357103E-2</v>
      </c>
      <c r="E263" s="66">
        <f>E257/((($A257*$B253)*(1-$B250))/$B248)</f>
        <v>3.7782642468752202E-2</v>
      </c>
      <c r="F263" s="67">
        <f t="shared" si="45"/>
        <v>0.19602321869924441</v>
      </c>
      <c r="G263" s="66" t="s">
        <v>176</v>
      </c>
      <c r="H263" s="68" t="s">
        <v>179</v>
      </c>
      <c r="I263" s="66">
        <f>I257/((($H257*$B253)*(1-$B250))/$B248)</f>
        <v>2.6533719370100978E-2</v>
      </c>
      <c r="J263" s="66">
        <f>J257/((($H257*$B253)*(1-$B250))/$B248)</f>
        <v>0.14280121460348846</v>
      </c>
      <c r="K263" s="66">
        <f>K257/((($H257*$B253)*(1-$B250))/$B248)</f>
        <v>5.9593531530259161E-2</v>
      </c>
      <c r="L263" s="67">
        <f t="shared" si="46"/>
        <v>0.2289284655038486</v>
      </c>
      <c r="M263" s="593"/>
      <c r="N263" s="593"/>
      <c r="O263" s="593"/>
      <c r="P263" s="593"/>
      <c r="Q263" s="42"/>
    </row>
    <row r="264" spans="1:17" x14ac:dyDescent="0.25">
      <c r="A264" s="612"/>
      <c r="B264" s="612"/>
      <c r="C264" s="612"/>
      <c r="D264" s="612"/>
      <c r="E264" s="612"/>
      <c r="F264" s="612"/>
      <c r="G264" s="612"/>
      <c r="H264" s="612"/>
      <c r="I264" s="612"/>
      <c r="J264" s="612"/>
      <c r="K264" s="612"/>
      <c r="L264" s="612"/>
      <c r="M264" s="612"/>
      <c r="N264" s="612"/>
      <c r="O264" s="612"/>
      <c r="P264" s="612"/>
      <c r="Q264" s="612"/>
    </row>
    <row r="265" spans="1:17" ht="21" x14ac:dyDescent="0.35">
      <c r="A265" s="43"/>
      <c r="B265" s="613" t="s">
        <v>69</v>
      </c>
      <c r="C265" s="614"/>
      <c r="D265" s="614"/>
      <c r="E265" s="614"/>
      <c r="F265" s="614"/>
      <c r="G265" s="614"/>
      <c r="H265" s="614"/>
      <c r="I265" s="614"/>
      <c r="J265" s="614"/>
      <c r="K265" s="614"/>
      <c r="L265" s="615"/>
      <c r="M265" s="593" t="s">
        <v>97</v>
      </c>
      <c r="N265" s="585" t="s">
        <v>72</v>
      </c>
      <c r="O265" s="585"/>
      <c r="P265" s="585"/>
      <c r="Q265" s="42"/>
    </row>
    <row r="266" spans="1:17" x14ac:dyDescent="0.25">
      <c r="A266" s="44"/>
      <c r="B266" s="590" t="s">
        <v>115</v>
      </c>
      <c r="C266" s="591"/>
      <c r="D266" s="591"/>
      <c r="E266" s="591"/>
      <c r="F266" s="591"/>
      <c r="G266" s="591"/>
      <c r="H266" s="591"/>
      <c r="I266" s="591"/>
      <c r="J266" s="591"/>
      <c r="K266" s="591"/>
      <c r="L266" s="592"/>
      <c r="M266" s="593"/>
      <c r="N266" s="585"/>
      <c r="O266" s="585"/>
      <c r="P266" s="585"/>
      <c r="Q266" s="42"/>
    </row>
    <row r="267" spans="1:17" x14ac:dyDescent="0.25">
      <c r="A267" s="2" t="s">
        <v>106</v>
      </c>
      <c r="B267" s="594">
        <v>17.007999999999999</v>
      </c>
      <c r="C267" s="595"/>
      <c r="D267" s="595"/>
      <c r="E267" s="595"/>
      <c r="F267" s="595"/>
      <c r="G267" s="595"/>
      <c r="H267" s="595"/>
      <c r="I267" s="595"/>
      <c r="J267" s="595"/>
      <c r="K267" s="595"/>
      <c r="L267" s="596"/>
      <c r="M267" s="593"/>
      <c r="N267" s="585"/>
      <c r="O267" s="585"/>
      <c r="P267" s="585"/>
      <c r="Q267" s="42"/>
    </row>
    <row r="268" spans="1:17" x14ac:dyDescent="0.25">
      <c r="A268" s="2" t="s">
        <v>112</v>
      </c>
      <c r="B268" s="597">
        <v>0.20050000000000001</v>
      </c>
      <c r="C268" s="598"/>
      <c r="D268" s="598"/>
      <c r="E268" s="598"/>
      <c r="F268" s="598"/>
      <c r="G268" s="598"/>
      <c r="H268" s="598"/>
      <c r="I268" s="598"/>
      <c r="J268" s="598"/>
      <c r="K268" s="598"/>
      <c r="L268" s="599"/>
      <c r="M268" s="593"/>
      <c r="N268" s="585"/>
      <c r="O268" s="585"/>
      <c r="P268" s="585"/>
      <c r="Q268" s="42"/>
    </row>
    <row r="269" spans="1:17" ht="15.75" thickBot="1" x14ac:dyDescent="0.3">
      <c r="A269" s="2" t="s">
        <v>107</v>
      </c>
      <c r="B269" s="594">
        <f>B267-(B267*B268)</f>
        <v>13.597895999999999</v>
      </c>
      <c r="C269" s="595"/>
      <c r="D269" s="595"/>
      <c r="E269" s="595"/>
      <c r="F269" s="595"/>
      <c r="G269" s="595"/>
      <c r="H269" s="595"/>
      <c r="I269" s="595"/>
      <c r="J269" s="595"/>
      <c r="K269" s="595"/>
      <c r="L269" s="596"/>
      <c r="M269" s="593"/>
      <c r="N269" s="586"/>
      <c r="O269" s="586"/>
      <c r="P269" s="586"/>
      <c r="Q269" s="42"/>
    </row>
    <row r="270" spans="1:17" x14ac:dyDescent="0.25">
      <c r="A270" s="2" t="s">
        <v>108</v>
      </c>
      <c r="B270" s="600">
        <f>B273/B269</f>
        <v>0.88079802934218654</v>
      </c>
      <c r="C270" s="601"/>
      <c r="D270" s="601"/>
      <c r="E270" s="601"/>
      <c r="F270" s="601"/>
      <c r="G270" s="601"/>
      <c r="H270" s="601"/>
      <c r="I270" s="601"/>
      <c r="J270" s="601"/>
      <c r="K270" s="601"/>
      <c r="L270" s="602"/>
      <c r="M270" s="593"/>
      <c r="N270" s="605"/>
      <c r="O270" s="45"/>
      <c r="P270" s="607"/>
      <c r="Q270" s="42"/>
    </row>
    <row r="271" spans="1:17" ht="15.75" thickBot="1" x14ac:dyDescent="0.3">
      <c r="A271" s="2" t="s">
        <v>113</v>
      </c>
      <c r="B271" s="594">
        <f>B275*2.8</f>
        <v>40.599999999999994</v>
      </c>
      <c r="C271" s="595"/>
      <c r="D271" s="595"/>
      <c r="E271" s="595"/>
      <c r="F271" s="595"/>
      <c r="G271" s="595"/>
      <c r="H271" s="595"/>
      <c r="I271" s="595"/>
      <c r="J271" s="595"/>
      <c r="K271" s="595"/>
      <c r="L271" s="603"/>
      <c r="M271" s="593"/>
      <c r="N271" s="606"/>
      <c r="O271" s="46"/>
      <c r="P271" s="608"/>
      <c r="Q271" s="42"/>
    </row>
    <row r="272" spans="1:17" ht="15.75" thickBot="1" x14ac:dyDescent="0.3">
      <c r="A272" s="2" t="s">
        <v>109</v>
      </c>
      <c r="B272" s="600">
        <v>0.70499999999999996</v>
      </c>
      <c r="C272" s="601"/>
      <c r="D272" s="601"/>
      <c r="E272" s="601"/>
      <c r="F272" s="601"/>
      <c r="G272" s="601"/>
      <c r="H272" s="601"/>
      <c r="I272" s="601"/>
      <c r="J272" s="601"/>
      <c r="K272" s="601"/>
      <c r="L272" s="602"/>
      <c r="M272" s="593"/>
      <c r="N272" s="47"/>
      <c r="O272" s="48"/>
      <c r="P272" s="46"/>
      <c r="Q272" s="42"/>
    </row>
    <row r="273" spans="1:17" ht="15.75" thickBot="1" x14ac:dyDescent="0.3">
      <c r="A273" s="2" t="s">
        <v>122</v>
      </c>
      <c r="B273" s="594">
        <f>B271-(B271*B272)</f>
        <v>11.977</v>
      </c>
      <c r="C273" s="595"/>
      <c r="D273" s="595"/>
      <c r="E273" s="595"/>
      <c r="F273" s="595"/>
      <c r="G273" s="595"/>
      <c r="H273" s="595"/>
      <c r="I273" s="595"/>
      <c r="J273" s="595"/>
      <c r="K273" s="595"/>
      <c r="L273" s="603"/>
      <c r="M273" s="593"/>
      <c r="N273" s="47"/>
      <c r="O273" s="48"/>
      <c r="P273" s="49"/>
      <c r="Q273" s="42"/>
    </row>
    <row r="274" spans="1:17" ht="15" customHeight="1" thickBot="1" x14ac:dyDescent="0.3">
      <c r="A274" s="2" t="s">
        <v>110</v>
      </c>
      <c r="B274" s="587">
        <v>126</v>
      </c>
      <c r="C274" s="588"/>
      <c r="D274" s="588"/>
      <c r="E274" s="588"/>
      <c r="F274" s="588"/>
      <c r="G274" s="588"/>
      <c r="H274" s="588"/>
      <c r="I274" s="588"/>
      <c r="J274" s="588"/>
      <c r="K274" s="588"/>
      <c r="L274" s="589"/>
      <c r="M274" s="593"/>
      <c r="N274" s="47"/>
      <c r="O274" s="48"/>
      <c r="P274" s="49"/>
      <c r="Q274" s="42"/>
    </row>
    <row r="275" spans="1:17" ht="14.1" customHeight="1" x14ac:dyDescent="0.25">
      <c r="A275" s="2" t="s">
        <v>111</v>
      </c>
      <c r="B275" s="587">
        <v>14.5</v>
      </c>
      <c r="C275" s="588"/>
      <c r="D275" s="588"/>
      <c r="E275" s="588"/>
      <c r="F275" s="588"/>
      <c r="G275" s="588"/>
      <c r="H275" s="588"/>
      <c r="I275" s="588"/>
      <c r="J275" s="588"/>
      <c r="K275" s="588"/>
      <c r="L275" s="589"/>
      <c r="M275" s="593"/>
      <c r="N275" s="50"/>
      <c r="O275" s="624"/>
      <c r="P275" s="625"/>
      <c r="Q275" s="42"/>
    </row>
    <row r="276" spans="1:17" ht="15.75" thickBot="1" x14ac:dyDescent="0.3">
      <c r="A276" s="587" t="s">
        <v>127</v>
      </c>
      <c r="B276" s="588"/>
      <c r="C276" s="588"/>
      <c r="D276" s="588"/>
      <c r="E276" s="589"/>
      <c r="F276" s="51"/>
      <c r="G276" s="587" t="s">
        <v>128</v>
      </c>
      <c r="H276" s="588"/>
      <c r="I276" s="588"/>
      <c r="J276" s="588"/>
      <c r="K276" s="589"/>
      <c r="L276" s="51"/>
      <c r="M276" s="593"/>
      <c r="N276" s="47"/>
      <c r="O276" s="606"/>
      <c r="P276" s="611"/>
      <c r="Q276" s="42"/>
    </row>
    <row r="277" spans="1:17" ht="15.75" thickBot="1" x14ac:dyDescent="0.3">
      <c r="A277" s="52" t="s">
        <v>98</v>
      </c>
      <c r="B277" s="53" t="s">
        <v>102</v>
      </c>
      <c r="C277" s="53" t="s">
        <v>92</v>
      </c>
      <c r="D277" s="53" t="s">
        <v>93</v>
      </c>
      <c r="E277" s="53" t="s">
        <v>94</v>
      </c>
      <c r="F277" s="54" t="s">
        <v>99</v>
      </c>
      <c r="G277" s="53" t="s">
        <v>102</v>
      </c>
      <c r="H277" s="55" t="s">
        <v>98</v>
      </c>
      <c r="I277" s="53" t="s">
        <v>92</v>
      </c>
      <c r="J277" s="53" t="s">
        <v>93</v>
      </c>
      <c r="K277" s="53" t="s">
        <v>94</v>
      </c>
      <c r="L277" s="54" t="s">
        <v>99</v>
      </c>
      <c r="M277" s="593"/>
      <c r="N277" s="47"/>
      <c r="O277" s="48"/>
      <c r="P277" s="49"/>
      <c r="Q277" s="42"/>
    </row>
    <row r="278" spans="1:17" ht="15.75" thickBot="1" x14ac:dyDescent="0.3">
      <c r="A278" s="56">
        <v>1209</v>
      </c>
      <c r="B278" s="53" t="s">
        <v>95</v>
      </c>
      <c r="C278" s="57">
        <v>482.9</v>
      </c>
      <c r="D278" s="57">
        <v>466.5</v>
      </c>
      <c r="E278" s="57">
        <v>571.9</v>
      </c>
      <c r="F278" s="67">
        <f t="shared" ref="F278:F285" si="50">SUM(C278:E278)</f>
        <v>1521.3</v>
      </c>
      <c r="G278" s="57" t="s">
        <v>175</v>
      </c>
      <c r="H278" s="59">
        <v>1246</v>
      </c>
      <c r="I278" s="57">
        <v>324.3</v>
      </c>
      <c r="J278" s="57">
        <v>907.1</v>
      </c>
      <c r="K278" s="57">
        <v>555.1</v>
      </c>
      <c r="L278" s="67">
        <f>SUM(I278:K278)</f>
        <v>1786.5</v>
      </c>
      <c r="M278" s="593"/>
      <c r="N278" s="47"/>
      <c r="O278" s="48"/>
      <c r="P278" s="46"/>
      <c r="Q278" s="42"/>
    </row>
    <row r="279" spans="1:17" ht="15.75" thickBot="1" x14ac:dyDescent="0.3">
      <c r="A279" s="56">
        <v>170</v>
      </c>
      <c r="B279" s="53" t="s">
        <v>96</v>
      </c>
      <c r="C279" s="57">
        <v>61.7</v>
      </c>
      <c r="D279" s="57">
        <v>136.9</v>
      </c>
      <c r="E279" s="57">
        <v>87.4</v>
      </c>
      <c r="F279" s="67">
        <f t="shared" si="50"/>
        <v>286</v>
      </c>
      <c r="G279" s="57" t="s">
        <v>176</v>
      </c>
      <c r="H279" s="60">
        <v>175</v>
      </c>
      <c r="I279" s="57">
        <v>71.099999999999994</v>
      </c>
      <c r="J279" s="57">
        <v>235.6</v>
      </c>
      <c r="K279" s="57">
        <v>75.5</v>
      </c>
      <c r="L279" s="67">
        <f t="shared" ref="L279:L285" si="51">SUM(I279:K279)</f>
        <v>382.2</v>
      </c>
      <c r="M279" s="593"/>
      <c r="N279" s="47"/>
      <c r="O279" s="48"/>
      <c r="P279" s="46"/>
      <c r="Q279" s="42"/>
    </row>
    <row r="280" spans="1:17" ht="15.75" thickBot="1" x14ac:dyDescent="0.3">
      <c r="A280" s="52" t="s">
        <v>100</v>
      </c>
      <c r="B280" s="53" t="s">
        <v>95</v>
      </c>
      <c r="C280" s="57">
        <f t="shared" ref="C280:E281" si="52">C278/$A278</f>
        <v>0.39942100909842843</v>
      </c>
      <c r="D280" s="57">
        <f t="shared" si="52"/>
        <v>0.38585607940446648</v>
      </c>
      <c r="E280" s="57">
        <f t="shared" si="52"/>
        <v>0.47303556658395368</v>
      </c>
      <c r="F280" s="67">
        <f t="shared" si="50"/>
        <v>1.2583126550868486</v>
      </c>
      <c r="G280" s="57" t="s">
        <v>175</v>
      </c>
      <c r="H280" s="61" t="s">
        <v>177</v>
      </c>
      <c r="I280" s="57">
        <f t="shared" ref="I280:K281" si="53">I278/$H278</f>
        <v>0.26027287319422154</v>
      </c>
      <c r="J280" s="57">
        <f t="shared" si="53"/>
        <v>0.72800963081861958</v>
      </c>
      <c r="K280" s="57">
        <f t="shared" si="53"/>
        <v>0.44550561797752813</v>
      </c>
      <c r="L280" s="67">
        <f t="shared" si="51"/>
        <v>1.4337881219903692</v>
      </c>
      <c r="M280" s="593"/>
      <c r="N280" s="47"/>
      <c r="O280" s="48"/>
      <c r="P280" s="46"/>
      <c r="Q280" s="42"/>
    </row>
    <row r="281" spans="1:17" ht="16.5" thickBot="1" x14ac:dyDescent="0.3">
      <c r="A281" s="52" t="s">
        <v>100</v>
      </c>
      <c r="B281" s="53" t="s">
        <v>96</v>
      </c>
      <c r="C281" s="57">
        <f t="shared" si="52"/>
        <v>0.36294117647058827</v>
      </c>
      <c r="D281" s="57">
        <f t="shared" si="52"/>
        <v>0.80529411764705883</v>
      </c>
      <c r="E281" s="57">
        <f t="shared" si="52"/>
        <v>0.51411764705882357</v>
      </c>
      <c r="F281" s="67">
        <f t="shared" si="50"/>
        <v>1.6823529411764706</v>
      </c>
      <c r="G281" s="57" t="s">
        <v>176</v>
      </c>
      <c r="H281" s="61" t="s">
        <v>177</v>
      </c>
      <c r="I281" s="57">
        <f t="shared" si="53"/>
        <v>0.40628571428571425</v>
      </c>
      <c r="J281" s="57">
        <f t="shared" si="53"/>
        <v>1.3462857142857143</v>
      </c>
      <c r="K281" s="57">
        <f t="shared" si="53"/>
        <v>0.43142857142857144</v>
      </c>
      <c r="L281" s="67">
        <f t="shared" si="51"/>
        <v>2.1840000000000002</v>
      </c>
      <c r="M281" s="593"/>
      <c r="N281" s="62"/>
      <c r="O281" s="63"/>
      <c r="P281" s="64"/>
      <c r="Q281" s="42"/>
    </row>
    <row r="282" spans="1:17" x14ac:dyDescent="0.25">
      <c r="A282" s="52" t="s">
        <v>104</v>
      </c>
      <c r="B282" s="53" t="s">
        <v>95</v>
      </c>
      <c r="C282" s="57">
        <f>C278/($A278/7)</f>
        <v>2.7959470636889989</v>
      </c>
      <c r="D282" s="57">
        <f>D278/($A278/7)</f>
        <v>2.7009925558312653</v>
      </c>
      <c r="E282" s="57">
        <f>E278/($A278/7)</f>
        <v>3.3112489660876756</v>
      </c>
      <c r="F282" s="67">
        <f t="shared" si="50"/>
        <v>8.8081885856079403</v>
      </c>
      <c r="G282" s="65" t="s">
        <v>175</v>
      </c>
      <c r="H282" s="61" t="s">
        <v>178</v>
      </c>
      <c r="I282" s="57">
        <f t="shared" ref="I282:K283" si="54">I278/($H278/7.7)</f>
        <v>2.0041011235955057</v>
      </c>
      <c r="J282" s="57">
        <f t="shared" si="54"/>
        <v>5.6056741573033708</v>
      </c>
      <c r="K282" s="57">
        <f t="shared" si="54"/>
        <v>3.4303932584269665</v>
      </c>
      <c r="L282" s="67">
        <f t="shared" si="51"/>
        <v>11.040168539325844</v>
      </c>
      <c r="M282" s="593"/>
      <c r="N282" s="604"/>
      <c r="O282" s="604"/>
      <c r="P282" s="604"/>
      <c r="Q282" s="42"/>
    </row>
    <row r="283" spans="1:17" x14ac:dyDescent="0.25">
      <c r="A283" s="52" t="s">
        <v>104</v>
      </c>
      <c r="B283" s="53" t="s">
        <v>96</v>
      </c>
      <c r="C283" s="57">
        <f>C279/($A279/7.7)</f>
        <v>2.7946470588235295</v>
      </c>
      <c r="D283" s="57">
        <f>D279/($A279/7.7)</f>
        <v>6.200764705882353</v>
      </c>
      <c r="E283" s="57">
        <f>E279/($A279/7.7)</f>
        <v>3.9587058823529415</v>
      </c>
      <c r="F283" s="67">
        <f t="shared" si="50"/>
        <v>12.954117647058823</v>
      </c>
      <c r="G283" s="57" t="s">
        <v>176</v>
      </c>
      <c r="H283" s="61" t="s">
        <v>178</v>
      </c>
      <c r="I283" s="57">
        <f t="shared" si="54"/>
        <v>3.1283999999999996</v>
      </c>
      <c r="J283" s="57">
        <f t="shared" si="54"/>
        <v>10.366400000000001</v>
      </c>
      <c r="K283" s="57">
        <f t="shared" si="54"/>
        <v>3.3220000000000001</v>
      </c>
      <c r="L283" s="67">
        <f t="shared" si="51"/>
        <v>16.816800000000001</v>
      </c>
      <c r="M283" s="593"/>
      <c r="N283" s="593"/>
      <c r="O283" s="593"/>
      <c r="P283" s="593"/>
      <c r="Q283" s="42"/>
    </row>
    <row r="284" spans="1:17" x14ac:dyDescent="0.25">
      <c r="A284" s="52" t="s">
        <v>135</v>
      </c>
      <c r="B284" s="53" t="s">
        <v>95</v>
      </c>
      <c r="C284" s="66">
        <f>C278/((($A278*$B275)*(1-$B272))/$B270)</f>
        <v>8.2246461178670557E-2</v>
      </c>
      <c r="D284" s="66">
        <f>D278/((($A278*$B275)*(1-$B272))/$B270)</f>
        <v>7.9453249409504698E-2</v>
      </c>
      <c r="E284" s="66">
        <f>E278/((($A278*$B275)*(1-$B272))/$B270)</f>
        <v>9.7404744560119466E-2</v>
      </c>
      <c r="F284" s="67">
        <f t="shared" si="50"/>
        <v>0.25910445514829472</v>
      </c>
      <c r="G284" s="66" t="s">
        <v>175</v>
      </c>
      <c r="H284" s="68" t="s">
        <v>179</v>
      </c>
      <c r="I284" s="66">
        <f>I278/((($H278*$B275)*(1-$B272))/$B270)</f>
        <v>5.3593882828918547E-2</v>
      </c>
      <c r="J284" s="66">
        <f>J278/((($H278*$B275)*(1-$B272))/$B270)</f>
        <v>0.14990752733306204</v>
      </c>
      <c r="K284" s="66">
        <f>K278/((($H278*$B275)*(1-$B272))/$B270)</f>
        <v>9.1735936966798298E-2</v>
      </c>
      <c r="L284" s="67">
        <f t="shared" si="51"/>
        <v>0.29523734712877892</v>
      </c>
      <c r="M284" s="593"/>
      <c r="N284" s="593"/>
      <c r="O284" s="593"/>
      <c r="P284" s="593"/>
      <c r="Q284" s="42"/>
    </row>
    <row r="285" spans="1:17" x14ac:dyDescent="0.25">
      <c r="A285" s="52" t="s">
        <v>135</v>
      </c>
      <c r="B285" s="53" t="s">
        <v>96</v>
      </c>
      <c r="C285" s="66">
        <f>C279/((($A279*$B275)*(1-$B272))/$B270)</f>
        <v>7.4734745295716859E-2</v>
      </c>
      <c r="D285" s="66">
        <f>D279/((($A279*$B275)*(1-$B272))/$B270)</f>
        <v>0.1658215013125387</v>
      </c>
      <c r="E285" s="66">
        <f>E279/((($A279*$B275)*(1-$B272))/$B270)</f>
        <v>0.1058641286684871</v>
      </c>
      <c r="F285" s="67">
        <f t="shared" si="50"/>
        <v>0.34642037527674263</v>
      </c>
      <c r="G285" s="66" t="s">
        <v>176</v>
      </c>
      <c r="H285" s="68" t="s">
        <v>179</v>
      </c>
      <c r="I285" s="66">
        <f>I279/((($H279*$B275)*(1-$B272))/$B270)</f>
        <v>8.3660001517881874E-2</v>
      </c>
      <c r="J285" s="66">
        <f>J279/((($H279*$B275)*(1-$B272))/$B270)</f>
        <v>0.2772193580536283</v>
      </c>
      <c r="K285" s="66">
        <f>K279/((($H279*$B275)*(1-$B272))/$B270)</f>
        <v>8.8837273060479352E-2</v>
      </c>
      <c r="L285" s="67">
        <f t="shared" si="51"/>
        <v>0.44971663263198952</v>
      </c>
      <c r="M285" s="593"/>
      <c r="N285" s="593"/>
      <c r="O285" s="593"/>
      <c r="P285" s="593"/>
      <c r="Q285" s="42"/>
    </row>
    <row r="286" spans="1:17" x14ac:dyDescent="0.25">
      <c r="A286" s="612"/>
      <c r="B286" s="612"/>
      <c r="C286" s="612"/>
      <c r="D286" s="612"/>
      <c r="E286" s="612"/>
      <c r="F286" s="612"/>
      <c r="G286" s="612"/>
      <c r="H286" s="612"/>
      <c r="I286" s="612"/>
      <c r="J286" s="612"/>
      <c r="K286" s="612"/>
      <c r="L286" s="612"/>
      <c r="M286" s="612"/>
      <c r="N286" s="612"/>
      <c r="O286" s="612"/>
      <c r="P286" s="612"/>
      <c r="Q286" s="612"/>
    </row>
    <row r="287" spans="1:17" ht="21" x14ac:dyDescent="0.35">
      <c r="A287" s="43"/>
      <c r="B287" s="613" t="s">
        <v>70</v>
      </c>
      <c r="C287" s="614"/>
      <c r="D287" s="614"/>
      <c r="E287" s="614"/>
      <c r="F287" s="614"/>
      <c r="G287" s="614"/>
      <c r="H287" s="614"/>
      <c r="I287" s="614"/>
      <c r="J287" s="614"/>
      <c r="K287" s="614"/>
      <c r="L287" s="615"/>
      <c r="M287" s="593" t="s">
        <v>97</v>
      </c>
      <c r="N287" s="585" t="s">
        <v>73</v>
      </c>
      <c r="O287" s="585"/>
      <c r="P287" s="585"/>
      <c r="Q287" s="42"/>
    </row>
    <row r="288" spans="1:17" x14ac:dyDescent="0.25">
      <c r="A288" s="44"/>
      <c r="B288" s="590" t="s">
        <v>115</v>
      </c>
      <c r="C288" s="591"/>
      <c r="D288" s="591"/>
      <c r="E288" s="591"/>
      <c r="F288" s="591"/>
      <c r="G288" s="591"/>
      <c r="H288" s="591"/>
      <c r="I288" s="591"/>
      <c r="J288" s="591"/>
      <c r="K288" s="591"/>
      <c r="L288" s="592"/>
      <c r="M288" s="593"/>
      <c r="N288" s="585"/>
      <c r="O288" s="585"/>
      <c r="P288" s="585"/>
      <c r="Q288" s="42"/>
    </row>
    <row r="289" spans="1:17" x14ac:dyDescent="0.25">
      <c r="A289" s="2" t="s">
        <v>106</v>
      </c>
      <c r="B289" s="594">
        <v>18.547999999999998</v>
      </c>
      <c r="C289" s="595"/>
      <c r="D289" s="595"/>
      <c r="E289" s="595"/>
      <c r="F289" s="595"/>
      <c r="G289" s="595"/>
      <c r="H289" s="595"/>
      <c r="I289" s="595"/>
      <c r="J289" s="595"/>
      <c r="K289" s="595"/>
      <c r="L289" s="596"/>
      <c r="M289" s="593"/>
      <c r="N289" s="585"/>
      <c r="O289" s="585"/>
      <c r="P289" s="585"/>
      <c r="Q289" s="42"/>
    </row>
    <row r="290" spans="1:17" x14ac:dyDescent="0.25">
      <c r="A290" s="2" t="s">
        <v>112</v>
      </c>
      <c r="B290" s="597">
        <v>0.27600000000000002</v>
      </c>
      <c r="C290" s="598"/>
      <c r="D290" s="598"/>
      <c r="E290" s="598"/>
      <c r="F290" s="598"/>
      <c r="G290" s="598"/>
      <c r="H290" s="598"/>
      <c r="I290" s="598"/>
      <c r="J290" s="598"/>
      <c r="K290" s="598"/>
      <c r="L290" s="599"/>
      <c r="M290" s="593"/>
      <c r="N290" s="585"/>
      <c r="O290" s="585"/>
      <c r="P290" s="585"/>
      <c r="Q290" s="42"/>
    </row>
    <row r="291" spans="1:17" ht="15.75" thickBot="1" x14ac:dyDescent="0.3">
      <c r="A291" s="2" t="s">
        <v>107</v>
      </c>
      <c r="B291" s="594">
        <f>B289-(B289*B290)</f>
        <v>13.428751999999999</v>
      </c>
      <c r="C291" s="595"/>
      <c r="D291" s="595"/>
      <c r="E291" s="595"/>
      <c r="F291" s="595"/>
      <c r="G291" s="595"/>
      <c r="H291" s="595"/>
      <c r="I291" s="595"/>
      <c r="J291" s="595"/>
      <c r="K291" s="595"/>
      <c r="L291" s="596"/>
      <c r="M291" s="593"/>
      <c r="N291" s="586"/>
      <c r="O291" s="586"/>
      <c r="P291" s="586"/>
      <c r="Q291" s="42"/>
    </row>
    <row r="292" spans="1:17" x14ac:dyDescent="0.25">
      <c r="A292" s="2" t="s">
        <v>108</v>
      </c>
      <c r="B292" s="600">
        <f>B295/B291</f>
        <v>0.60905696970202461</v>
      </c>
      <c r="C292" s="601"/>
      <c r="D292" s="601"/>
      <c r="E292" s="601"/>
      <c r="F292" s="601"/>
      <c r="G292" s="601"/>
      <c r="H292" s="601"/>
      <c r="I292" s="601"/>
      <c r="J292" s="601"/>
      <c r="K292" s="601"/>
      <c r="L292" s="602"/>
      <c r="M292" s="593"/>
      <c r="N292" s="605"/>
      <c r="O292" s="45"/>
      <c r="P292" s="607"/>
      <c r="Q292" s="42"/>
    </row>
    <row r="293" spans="1:17" ht="15.75" thickBot="1" x14ac:dyDescent="0.3">
      <c r="A293" s="2" t="s">
        <v>113</v>
      </c>
      <c r="B293" s="594">
        <f>B297*2.218</f>
        <v>27.725000000000001</v>
      </c>
      <c r="C293" s="595"/>
      <c r="D293" s="595"/>
      <c r="E293" s="595"/>
      <c r="F293" s="595"/>
      <c r="G293" s="595"/>
      <c r="H293" s="595"/>
      <c r="I293" s="595"/>
      <c r="J293" s="595"/>
      <c r="K293" s="595"/>
      <c r="L293" s="603"/>
      <c r="M293" s="593"/>
      <c r="N293" s="606"/>
      <c r="O293" s="46"/>
      <c r="P293" s="608"/>
      <c r="Q293" s="42"/>
    </row>
    <row r="294" spans="1:17" ht="15.75" thickBot="1" x14ac:dyDescent="0.3">
      <c r="A294" s="2" t="s">
        <v>109</v>
      </c>
      <c r="B294" s="600">
        <v>0.70499999999999996</v>
      </c>
      <c r="C294" s="601"/>
      <c r="D294" s="601"/>
      <c r="E294" s="601"/>
      <c r="F294" s="601"/>
      <c r="G294" s="601"/>
      <c r="H294" s="601"/>
      <c r="I294" s="601"/>
      <c r="J294" s="601"/>
      <c r="K294" s="601"/>
      <c r="L294" s="602"/>
      <c r="M294" s="593"/>
      <c r="N294" s="47"/>
      <c r="O294" s="48"/>
      <c r="P294" s="46"/>
      <c r="Q294" s="42"/>
    </row>
    <row r="295" spans="1:17" ht="15.75" thickBot="1" x14ac:dyDescent="0.3">
      <c r="A295" s="2" t="s">
        <v>122</v>
      </c>
      <c r="B295" s="594">
        <f>B293-(B293*B294)</f>
        <v>8.1788750000000014</v>
      </c>
      <c r="C295" s="595"/>
      <c r="D295" s="595"/>
      <c r="E295" s="595"/>
      <c r="F295" s="595"/>
      <c r="G295" s="595"/>
      <c r="H295" s="595"/>
      <c r="I295" s="595"/>
      <c r="J295" s="595"/>
      <c r="K295" s="595"/>
      <c r="L295" s="603"/>
      <c r="M295" s="593"/>
      <c r="N295" s="47"/>
      <c r="O295" s="48"/>
      <c r="P295" s="49"/>
      <c r="Q295" s="42"/>
    </row>
    <row r="296" spans="1:17" ht="14.1" customHeight="1" thickBot="1" x14ac:dyDescent="0.3">
      <c r="A296" s="2" t="s">
        <v>110</v>
      </c>
      <c r="B296" s="587">
        <v>126</v>
      </c>
      <c r="C296" s="588"/>
      <c r="D296" s="588"/>
      <c r="E296" s="588"/>
      <c r="F296" s="588"/>
      <c r="G296" s="588"/>
      <c r="H296" s="588"/>
      <c r="I296" s="588"/>
      <c r="J296" s="588"/>
      <c r="K296" s="588"/>
      <c r="L296" s="589"/>
      <c r="M296" s="593"/>
      <c r="N296" s="47"/>
      <c r="O296" s="48"/>
      <c r="P296" s="49"/>
      <c r="Q296" s="42"/>
    </row>
    <row r="297" spans="1:17" ht="14.1" customHeight="1" x14ac:dyDescent="0.25">
      <c r="A297" s="2" t="s">
        <v>111</v>
      </c>
      <c r="B297" s="587">
        <v>12.5</v>
      </c>
      <c r="C297" s="588"/>
      <c r="D297" s="588"/>
      <c r="E297" s="588"/>
      <c r="F297" s="588"/>
      <c r="G297" s="588"/>
      <c r="H297" s="588"/>
      <c r="I297" s="588"/>
      <c r="J297" s="588"/>
      <c r="K297" s="588"/>
      <c r="L297" s="589"/>
      <c r="M297" s="593"/>
      <c r="N297" s="50"/>
      <c r="O297" s="624"/>
      <c r="P297" s="625"/>
      <c r="Q297" s="42"/>
    </row>
    <row r="298" spans="1:17" ht="15.75" thickBot="1" x14ac:dyDescent="0.3">
      <c r="A298" s="587" t="s">
        <v>127</v>
      </c>
      <c r="B298" s="588"/>
      <c r="C298" s="588"/>
      <c r="D298" s="588"/>
      <c r="E298" s="589"/>
      <c r="F298" s="51"/>
      <c r="G298" s="587" t="s">
        <v>128</v>
      </c>
      <c r="H298" s="588"/>
      <c r="I298" s="588"/>
      <c r="J298" s="588"/>
      <c r="K298" s="589"/>
      <c r="L298" s="51"/>
      <c r="M298" s="593"/>
      <c r="N298" s="47"/>
      <c r="O298" s="606"/>
      <c r="P298" s="611"/>
      <c r="Q298" s="42"/>
    </row>
    <row r="299" spans="1:17" ht="15.75" thickBot="1" x14ac:dyDescent="0.3">
      <c r="A299" s="52" t="s">
        <v>98</v>
      </c>
      <c r="B299" s="53" t="s">
        <v>102</v>
      </c>
      <c r="C299" s="53" t="s">
        <v>92</v>
      </c>
      <c r="D299" s="53" t="s">
        <v>93</v>
      </c>
      <c r="E299" s="53" t="s">
        <v>94</v>
      </c>
      <c r="F299" s="54" t="s">
        <v>99</v>
      </c>
      <c r="G299" s="53" t="s">
        <v>102</v>
      </c>
      <c r="H299" s="55" t="s">
        <v>98</v>
      </c>
      <c r="I299" s="53" t="s">
        <v>92</v>
      </c>
      <c r="J299" s="53" t="s">
        <v>93</v>
      </c>
      <c r="K299" s="53" t="s">
        <v>94</v>
      </c>
      <c r="L299" s="54" t="s">
        <v>99</v>
      </c>
      <c r="M299" s="593"/>
      <c r="N299" s="47"/>
      <c r="O299" s="48"/>
      <c r="P299" s="49"/>
      <c r="Q299" s="42"/>
    </row>
    <row r="300" spans="1:17" ht="15.75" thickBot="1" x14ac:dyDescent="0.3">
      <c r="A300" s="56">
        <v>952</v>
      </c>
      <c r="B300" s="53" t="s">
        <v>95</v>
      </c>
      <c r="C300" s="57">
        <v>577.9</v>
      </c>
      <c r="D300" s="57">
        <v>356.4</v>
      </c>
      <c r="E300" s="57">
        <v>287.7</v>
      </c>
      <c r="F300" s="67">
        <f t="shared" ref="F300:F307" si="55">SUM(C300:E300)</f>
        <v>1222</v>
      </c>
      <c r="G300" s="57" t="s">
        <v>175</v>
      </c>
      <c r="H300" s="59">
        <v>965</v>
      </c>
      <c r="I300" s="57">
        <v>138</v>
      </c>
      <c r="J300" s="57">
        <v>340.6</v>
      </c>
      <c r="K300" s="57">
        <v>706.9</v>
      </c>
      <c r="L300" s="67">
        <f>SUM(I300:K300)</f>
        <v>1185.5</v>
      </c>
      <c r="M300" s="593"/>
      <c r="N300" s="47"/>
      <c r="O300" s="48"/>
      <c r="P300" s="46"/>
      <c r="Q300" s="42"/>
    </row>
    <row r="301" spans="1:17" ht="15.75" thickBot="1" x14ac:dyDescent="0.3">
      <c r="A301" s="56">
        <v>152</v>
      </c>
      <c r="B301" s="53" t="s">
        <v>96</v>
      </c>
      <c r="C301" s="57">
        <v>82.4</v>
      </c>
      <c r="D301" s="57">
        <v>122.2</v>
      </c>
      <c r="E301" s="57">
        <v>31.2</v>
      </c>
      <c r="F301" s="67">
        <f t="shared" si="55"/>
        <v>235.8</v>
      </c>
      <c r="G301" s="57" t="s">
        <v>176</v>
      </c>
      <c r="H301" s="60">
        <v>149</v>
      </c>
      <c r="I301" s="57">
        <v>32.700000000000003</v>
      </c>
      <c r="J301" s="57">
        <v>93.5</v>
      </c>
      <c r="K301" s="57">
        <v>103.7</v>
      </c>
      <c r="L301" s="67">
        <f t="shared" ref="L301:L307" si="56">SUM(I301:K301)</f>
        <v>229.9</v>
      </c>
      <c r="M301" s="593"/>
      <c r="N301" s="47"/>
      <c r="O301" s="48"/>
      <c r="P301" s="46"/>
      <c r="Q301" s="42"/>
    </row>
    <row r="302" spans="1:17" ht="15.75" thickBot="1" x14ac:dyDescent="0.3">
      <c r="A302" s="52" t="s">
        <v>100</v>
      </c>
      <c r="B302" s="53" t="s">
        <v>95</v>
      </c>
      <c r="C302" s="57">
        <f t="shared" ref="C302:E303" si="57">C300/$A300</f>
        <v>0.60703781512605037</v>
      </c>
      <c r="D302" s="57">
        <f t="shared" si="57"/>
        <v>0.37436974789915967</v>
      </c>
      <c r="E302" s="57">
        <f t="shared" si="57"/>
        <v>0.30220588235294116</v>
      </c>
      <c r="F302" s="67">
        <f t="shared" si="55"/>
        <v>1.2836134453781511</v>
      </c>
      <c r="G302" s="57" t="s">
        <v>175</v>
      </c>
      <c r="H302" s="61" t="s">
        <v>177</v>
      </c>
      <c r="I302" s="57">
        <f t="shared" ref="I302:K303" si="58">I300/$H300</f>
        <v>0.14300518134715026</v>
      </c>
      <c r="J302" s="57">
        <f t="shared" si="58"/>
        <v>0.35295336787564768</v>
      </c>
      <c r="K302" s="57">
        <f t="shared" si="58"/>
        <v>0.7325388601036269</v>
      </c>
      <c r="L302" s="67">
        <f t="shared" si="56"/>
        <v>1.2284974093264247</v>
      </c>
      <c r="M302" s="593"/>
      <c r="N302" s="47"/>
      <c r="O302" s="48"/>
      <c r="P302" s="46"/>
      <c r="Q302" s="42"/>
    </row>
    <row r="303" spans="1:17" ht="16.5" thickBot="1" x14ac:dyDescent="0.3">
      <c r="A303" s="52" t="s">
        <v>100</v>
      </c>
      <c r="B303" s="53" t="s">
        <v>96</v>
      </c>
      <c r="C303" s="57">
        <f t="shared" si="57"/>
        <v>0.54210526315789476</v>
      </c>
      <c r="D303" s="57">
        <f t="shared" si="57"/>
        <v>0.80394736842105263</v>
      </c>
      <c r="E303" s="57">
        <f t="shared" si="57"/>
        <v>0.20526315789473684</v>
      </c>
      <c r="F303" s="67">
        <f t="shared" si="55"/>
        <v>1.5513157894736842</v>
      </c>
      <c r="G303" s="57" t="s">
        <v>176</v>
      </c>
      <c r="H303" s="61" t="s">
        <v>177</v>
      </c>
      <c r="I303" s="57">
        <f t="shared" si="58"/>
        <v>0.21946308724832217</v>
      </c>
      <c r="J303" s="57">
        <f t="shared" si="58"/>
        <v>0.62751677852348997</v>
      </c>
      <c r="K303" s="57">
        <f t="shared" si="58"/>
        <v>0.69597315436241614</v>
      </c>
      <c r="L303" s="67">
        <f t="shared" si="56"/>
        <v>1.5429530201342283</v>
      </c>
      <c r="M303" s="593"/>
      <c r="N303" s="62"/>
      <c r="O303" s="63"/>
      <c r="P303" s="64"/>
      <c r="Q303" s="42"/>
    </row>
    <row r="304" spans="1:17" x14ac:dyDescent="0.25">
      <c r="A304" s="52" t="s">
        <v>104</v>
      </c>
      <c r="B304" s="53" t="s">
        <v>95</v>
      </c>
      <c r="C304" s="57">
        <f>C300/($A300/7)</f>
        <v>4.2492647058823527</v>
      </c>
      <c r="D304" s="57">
        <f>D300/($A300/7)</f>
        <v>2.6205882352941177</v>
      </c>
      <c r="E304" s="57">
        <f>E300/($A300/7)</f>
        <v>2.115441176470588</v>
      </c>
      <c r="F304" s="67">
        <f t="shared" si="55"/>
        <v>8.985294117647058</v>
      </c>
      <c r="G304" s="65" t="s">
        <v>175</v>
      </c>
      <c r="H304" s="61" t="s">
        <v>178</v>
      </c>
      <c r="I304" s="57">
        <f t="shared" ref="I304:K305" si="59">I300/($H300/7.7)</f>
        <v>1.101139896373057</v>
      </c>
      <c r="J304" s="57">
        <f t="shared" si="59"/>
        <v>2.7177409326424873</v>
      </c>
      <c r="K304" s="57">
        <f t="shared" si="59"/>
        <v>5.6405492227979268</v>
      </c>
      <c r="L304" s="67">
        <f t="shared" si="56"/>
        <v>9.4594300518134702</v>
      </c>
      <c r="M304" s="593"/>
      <c r="N304" s="604"/>
      <c r="O304" s="604"/>
      <c r="P304" s="604"/>
      <c r="Q304" s="42"/>
    </row>
    <row r="305" spans="1:17" x14ac:dyDescent="0.25">
      <c r="A305" s="52" t="s">
        <v>104</v>
      </c>
      <c r="B305" s="53" t="s">
        <v>96</v>
      </c>
      <c r="C305" s="57">
        <f>C301/($A301/7.7)</f>
        <v>4.1742105263157896</v>
      </c>
      <c r="D305" s="57">
        <f>D301/($A301/7.7)</f>
        <v>6.1903947368421051</v>
      </c>
      <c r="E305" s="57">
        <f>E301/($A301/7.7)</f>
        <v>1.5805263157894736</v>
      </c>
      <c r="F305" s="67">
        <f t="shared" si="55"/>
        <v>11.945131578947368</v>
      </c>
      <c r="G305" s="57" t="s">
        <v>176</v>
      </c>
      <c r="H305" s="61" t="s">
        <v>178</v>
      </c>
      <c r="I305" s="57">
        <f t="shared" si="59"/>
        <v>1.6898657718120809</v>
      </c>
      <c r="J305" s="57">
        <f t="shared" si="59"/>
        <v>4.831879194630873</v>
      </c>
      <c r="K305" s="57">
        <f t="shared" si="59"/>
        <v>5.3589932885906046</v>
      </c>
      <c r="L305" s="67">
        <f t="shared" si="56"/>
        <v>11.88073825503356</v>
      </c>
      <c r="M305" s="593"/>
      <c r="N305" s="593"/>
      <c r="O305" s="593"/>
      <c r="P305" s="593"/>
      <c r="Q305" s="42"/>
    </row>
    <row r="306" spans="1:17" x14ac:dyDescent="0.25">
      <c r="A306" s="52" t="s">
        <v>135</v>
      </c>
      <c r="B306" s="53" t="s">
        <v>95</v>
      </c>
      <c r="C306" s="66">
        <f>C300/((($A300*$B297)*(1-$B294))/$B292)</f>
        <v>0.10026321686107391</v>
      </c>
      <c r="D306" s="66">
        <f>D300/((($A300*$B297)*(1-$B294))/$B292)</f>
        <v>6.1833899445036755E-2</v>
      </c>
      <c r="E306" s="66">
        <f>E300/((($A300*$B297)*(1-$B294))/$B292)</f>
        <v>4.9914738693426136E-2</v>
      </c>
      <c r="F306" s="67">
        <f t="shared" si="55"/>
        <v>0.21201185499953681</v>
      </c>
      <c r="G306" s="66" t="s">
        <v>175</v>
      </c>
      <c r="H306" s="68" t="s">
        <v>179</v>
      </c>
      <c r="I306" s="66">
        <f>I300/((($H300*$B297)*(1-$B294))/$B292)</f>
        <v>2.3619878617758324E-2</v>
      </c>
      <c r="J306" s="66">
        <f>J300/((($H300*$B297)*(1-$B294))/$B292)</f>
        <v>5.8296598965278883E-2</v>
      </c>
      <c r="K306" s="66">
        <f>K300/((($H300*$B297)*(1-$B294))/$B292)</f>
        <v>0.12099197242676346</v>
      </c>
      <c r="L306" s="67">
        <f t="shared" si="56"/>
        <v>0.20290845000980068</v>
      </c>
      <c r="M306" s="593"/>
      <c r="N306" s="593"/>
      <c r="O306" s="593"/>
      <c r="P306" s="593"/>
      <c r="Q306" s="42"/>
    </row>
    <row r="307" spans="1:17" x14ac:dyDescent="0.25">
      <c r="A307" s="52" t="s">
        <v>135</v>
      </c>
      <c r="B307" s="53" t="s">
        <v>96</v>
      </c>
      <c r="C307" s="66">
        <f>C301/((($A301*$B297)*(1-$B294))/$B292)</f>
        <v>8.9538437651109415E-2</v>
      </c>
      <c r="D307" s="66">
        <f>D301/((($A301*$B297)*(1-$B294))/$B292)</f>
        <v>0.13278637234181517</v>
      </c>
      <c r="E307" s="66">
        <f>E301/((($A301*$B297)*(1-$B294))/$B292)</f>
        <v>3.3902903576633656E-2</v>
      </c>
      <c r="F307" s="67">
        <f t="shared" si="55"/>
        <v>0.25622771356955826</v>
      </c>
      <c r="G307" s="66" t="s">
        <v>176</v>
      </c>
      <c r="H307" s="68" t="s">
        <v>179</v>
      </c>
      <c r="I307" s="66">
        <f>I301/((($H301*$B297)*(1-$B294))/$B292)</f>
        <v>3.6248277391434332E-2</v>
      </c>
      <c r="J307" s="66">
        <f>J301/((($H301*$B297)*(1-$B294))/$B292)</f>
        <v>0.10364568611923884</v>
      </c>
      <c r="K307" s="66">
        <f>K301/((($H301*$B297)*(1-$B294))/$B292)</f>
        <v>0.11495248824133762</v>
      </c>
      <c r="L307" s="67">
        <f t="shared" si="56"/>
        <v>0.25484645175201082</v>
      </c>
      <c r="M307" s="593"/>
      <c r="N307" s="593"/>
      <c r="O307" s="593"/>
      <c r="P307" s="593"/>
      <c r="Q307" s="42"/>
    </row>
    <row r="308" spans="1:17" x14ac:dyDescent="0.25">
      <c r="A308" s="612"/>
      <c r="B308" s="612"/>
      <c r="C308" s="612"/>
      <c r="D308" s="612"/>
      <c r="E308" s="612"/>
      <c r="F308" s="612"/>
      <c r="G308" s="612"/>
      <c r="H308" s="612"/>
      <c r="I308" s="612"/>
      <c r="J308" s="612"/>
      <c r="K308" s="612"/>
      <c r="L308" s="612"/>
      <c r="M308" s="612"/>
      <c r="N308" s="612"/>
      <c r="O308" s="612"/>
      <c r="P308" s="612"/>
      <c r="Q308" s="612"/>
    </row>
    <row r="309" spans="1:17" ht="21" x14ac:dyDescent="0.35">
      <c r="A309" s="43"/>
      <c r="B309" s="613" t="s">
        <v>71</v>
      </c>
      <c r="C309" s="614"/>
      <c r="D309" s="614"/>
      <c r="E309" s="614"/>
      <c r="F309" s="614"/>
      <c r="G309" s="614"/>
      <c r="H309" s="614"/>
      <c r="I309" s="614"/>
      <c r="J309" s="614"/>
      <c r="K309" s="614"/>
      <c r="L309" s="615"/>
      <c r="M309" s="593" t="s">
        <v>97</v>
      </c>
      <c r="N309" s="585" t="s">
        <v>74</v>
      </c>
      <c r="O309" s="585"/>
      <c r="P309" s="585"/>
      <c r="Q309" s="42"/>
    </row>
    <row r="310" spans="1:17" x14ac:dyDescent="0.25">
      <c r="A310" s="44"/>
      <c r="B310" s="590" t="s">
        <v>115</v>
      </c>
      <c r="C310" s="591"/>
      <c r="D310" s="591"/>
      <c r="E310" s="591"/>
      <c r="F310" s="591"/>
      <c r="G310" s="591"/>
      <c r="H310" s="591"/>
      <c r="I310" s="591"/>
      <c r="J310" s="591"/>
      <c r="K310" s="591"/>
      <c r="L310" s="592"/>
      <c r="M310" s="593"/>
      <c r="N310" s="585"/>
      <c r="O310" s="585"/>
      <c r="P310" s="585"/>
      <c r="Q310" s="42"/>
    </row>
    <row r="311" spans="1:17" x14ac:dyDescent="0.25">
      <c r="A311" s="2" t="s">
        <v>106</v>
      </c>
      <c r="B311" s="594">
        <v>12</v>
      </c>
      <c r="C311" s="595"/>
      <c r="D311" s="595"/>
      <c r="E311" s="595"/>
      <c r="F311" s="595"/>
      <c r="G311" s="595"/>
      <c r="H311" s="595"/>
      <c r="I311" s="595"/>
      <c r="J311" s="595"/>
      <c r="K311" s="595"/>
      <c r="L311" s="596"/>
      <c r="M311" s="593"/>
      <c r="N311" s="585"/>
      <c r="O311" s="585"/>
      <c r="P311" s="585"/>
      <c r="Q311" s="42"/>
    </row>
    <row r="312" spans="1:17" x14ac:dyDescent="0.25">
      <c r="A312" s="2" t="s">
        <v>112</v>
      </c>
      <c r="B312" s="597">
        <v>0.1</v>
      </c>
      <c r="C312" s="598"/>
      <c r="D312" s="598"/>
      <c r="E312" s="598"/>
      <c r="F312" s="598"/>
      <c r="G312" s="598"/>
      <c r="H312" s="598"/>
      <c r="I312" s="598"/>
      <c r="J312" s="598"/>
      <c r="K312" s="598"/>
      <c r="L312" s="599"/>
      <c r="M312" s="593"/>
      <c r="N312" s="585"/>
      <c r="O312" s="585"/>
      <c r="P312" s="585"/>
      <c r="Q312" s="42"/>
    </row>
    <row r="313" spans="1:17" ht="15.75" thickBot="1" x14ac:dyDescent="0.3">
      <c r="A313" s="2" t="s">
        <v>107</v>
      </c>
      <c r="B313" s="594">
        <f>B311-(B311*B312)</f>
        <v>10.8</v>
      </c>
      <c r="C313" s="595"/>
      <c r="D313" s="595"/>
      <c r="E313" s="595"/>
      <c r="F313" s="595"/>
      <c r="G313" s="595"/>
      <c r="H313" s="595"/>
      <c r="I313" s="595"/>
      <c r="J313" s="595"/>
      <c r="K313" s="595"/>
      <c r="L313" s="596"/>
      <c r="M313" s="593"/>
      <c r="N313" s="586"/>
      <c r="O313" s="586"/>
      <c r="P313" s="586"/>
      <c r="Q313" s="42"/>
    </row>
    <row r="314" spans="1:17" x14ac:dyDescent="0.25">
      <c r="A314" s="2" t="s">
        <v>108</v>
      </c>
      <c r="B314" s="600">
        <f>B317/B313</f>
        <v>0.60923333333333329</v>
      </c>
      <c r="C314" s="601"/>
      <c r="D314" s="601"/>
      <c r="E314" s="601"/>
      <c r="F314" s="601"/>
      <c r="G314" s="601"/>
      <c r="H314" s="601"/>
      <c r="I314" s="601"/>
      <c r="J314" s="601"/>
      <c r="K314" s="601"/>
      <c r="L314" s="602"/>
      <c r="M314" s="593"/>
      <c r="N314" s="605"/>
      <c r="O314" s="45"/>
      <c r="P314" s="607"/>
      <c r="Q314" s="42"/>
    </row>
    <row r="315" spans="1:17" ht="15.75" thickBot="1" x14ac:dyDescent="0.3">
      <c r="A315" s="2" t="s">
        <v>113</v>
      </c>
      <c r="B315" s="594">
        <f>B319*2.238</f>
        <v>22.38</v>
      </c>
      <c r="C315" s="595"/>
      <c r="D315" s="595"/>
      <c r="E315" s="595"/>
      <c r="F315" s="595"/>
      <c r="G315" s="595"/>
      <c r="H315" s="595"/>
      <c r="I315" s="595"/>
      <c r="J315" s="595"/>
      <c r="K315" s="595"/>
      <c r="L315" s="603"/>
      <c r="M315" s="593"/>
      <c r="N315" s="606"/>
      <c r="O315" s="46"/>
      <c r="P315" s="608"/>
      <c r="Q315" s="42"/>
    </row>
    <row r="316" spans="1:17" ht="15.75" thickBot="1" x14ac:dyDescent="0.3">
      <c r="A316" s="2" t="s">
        <v>109</v>
      </c>
      <c r="B316" s="600">
        <v>0.70599999999999996</v>
      </c>
      <c r="C316" s="601"/>
      <c r="D316" s="601"/>
      <c r="E316" s="601"/>
      <c r="F316" s="601"/>
      <c r="G316" s="601"/>
      <c r="H316" s="601"/>
      <c r="I316" s="601"/>
      <c r="J316" s="601"/>
      <c r="K316" s="601"/>
      <c r="L316" s="602"/>
      <c r="M316" s="593"/>
      <c r="N316" s="47"/>
      <c r="O316" s="48"/>
      <c r="P316" s="46"/>
      <c r="Q316" s="42"/>
    </row>
    <row r="317" spans="1:17" ht="15.75" thickBot="1" x14ac:dyDescent="0.3">
      <c r="A317" s="2" t="s">
        <v>122</v>
      </c>
      <c r="B317" s="594">
        <f>B315-(B315*B316)</f>
        <v>6.57972</v>
      </c>
      <c r="C317" s="595"/>
      <c r="D317" s="595"/>
      <c r="E317" s="595"/>
      <c r="F317" s="595"/>
      <c r="G317" s="595"/>
      <c r="H317" s="595"/>
      <c r="I317" s="595"/>
      <c r="J317" s="595"/>
      <c r="K317" s="595"/>
      <c r="L317" s="603"/>
      <c r="M317" s="593"/>
      <c r="N317" s="47"/>
      <c r="O317" s="48"/>
      <c r="P317" s="49"/>
      <c r="Q317" s="42"/>
    </row>
    <row r="318" spans="1:17" ht="14.1" customHeight="1" thickBot="1" x14ac:dyDescent="0.3">
      <c r="A318" s="2" t="s">
        <v>110</v>
      </c>
      <c r="B318" s="587">
        <v>120</v>
      </c>
      <c r="C318" s="588"/>
      <c r="D318" s="588"/>
      <c r="E318" s="588"/>
      <c r="F318" s="588"/>
      <c r="G318" s="588"/>
      <c r="H318" s="588"/>
      <c r="I318" s="588"/>
      <c r="J318" s="588"/>
      <c r="K318" s="588"/>
      <c r="L318" s="589"/>
      <c r="M318" s="593"/>
      <c r="N318" s="47"/>
      <c r="O318" s="48"/>
      <c r="P318" s="49"/>
      <c r="Q318" s="42"/>
    </row>
    <row r="319" spans="1:17" x14ac:dyDescent="0.25">
      <c r="A319" s="2" t="s">
        <v>111</v>
      </c>
      <c r="B319" s="587">
        <v>10</v>
      </c>
      <c r="C319" s="588"/>
      <c r="D319" s="588"/>
      <c r="E319" s="588"/>
      <c r="F319" s="588"/>
      <c r="G319" s="588"/>
      <c r="H319" s="588"/>
      <c r="I319" s="588"/>
      <c r="J319" s="588"/>
      <c r="K319" s="588"/>
      <c r="L319" s="589"/>
      <c r="M319" s="593"/>
      <c r="N319" s="50"/>
      <c r="O319" s="624"/>
      <c r="P319" s="625"/>
      <c r="Q319" s="42"/>
    </row>
    <row r="320" spans="1:17" ht="15.75" thickBot="1" x14ac:dyDescent="0.3">
      <c r="A320" s="587" t="s">
        <v>127</v>
      </c>
      <c r="B320" s="588"/>
      <c r="C320" s="588"/>
      <c r="D320" s="588"/>
      <c r="E320" s="589"/>
      <c r="F320" s="51"/>
      <c r="G320" s="587" t="s">
        <v>128</v>
      </c>
      <c r="H320" s="588"/>
      <c r="I320" s="588"/>
      <c r="J320" s="588"/>
      <c r="K320" s="589"/>
      <c r="L320" s="51"/>
      <c r="M320" s="593"/>
      <c r="N320" s="47"/>
      <c r="O320" s="606"/>
      <c r="P320" s="611"/>
      <c r="Q320" s="42"/>
    </row>
    <row r="321" spans="1:17" ht="15.75" thickBot="1" x14ac:dyDescent="0.3">
      <c r="A321" s="52" t="s">
        <v>98</v>
      </c>
      <c r="B321" s="53" t="s">
        <v>102</v>
      </c>
      <c r="C321" s="53" t="s">
        <v>92</v>
      </c>
      <c r="D321" s="53" t="s">
        <v>93</v>
      </c>
      <c r="E321" s="53" t="s">
        <v>94</v>
      </c>
      <c r="F321" s="54" t="s">
        <v>99</v>
      </c>
      <c r="G321" s="53" t="s">
        <v>102</v>
      </c>
      <c r="H321" s="55" t="s">
        <v>98</v>
      </c>
      <c r="I321" s="53" t="s">
        <v>92</v>
      </c>
      <c r="J321" s="53" t="s">
        <v>93</v>
      </c>
      <c r="K321" s="53" t="s">
        <v>94</v>
      </c>
      <c r="L321" s="54" t="s">
        <v>99</v>
      </c>
      <c r="M321" s="593"/>
      <c r="N321" s="47"/>
      <c r="O321" s="48"/>
      <c r="P321" s="49"/>
      <c r="Q321" s="42"/>
    </row>
    <row r="322" spans="1:17" ht="15.75" thickBot="1" x14ac:dyDescent="0.3">
      <c r="A322" s="56">
        <v>896</v>
      </c>
      <c r="B322" s="53" t="s">
        <v>95</v>
      </c>
      <c r="C322" s="57">
        <v>50.7</v>
      </c>
      <c r="D322" s="57">
        <v>542.9</v>
      </c>
      <c r="E322" s="57">
        <v>579.29999999999995</v>
      </c>
      <c r="F322" s="67">
        <f t="shared" ref="F322:F329" si="60">SUM(C322:E322)</f>
        <v>1172.9000000000001</v>
      </c>
      <c r="G322" s="57" t="s">
        <v>175</v>
      </c>
      <c r="H322" s="59">
        <v>1006</v>
      </c>
      <c r="I322" s="57">
        <v>243.6</v>
      </c>
      <c r="J322" s="57">
        <v>680.9</v>
      </c>
      <c r="K322" s="57">
        <v>161.6</v>
      </c>
      <c r="L322" s="67">
        <f>SUM(I322:K322)</f>
        <v>1086.0999999999999</v>
      </c>
      <c r="M322" s="593"/>
      <c r="N322" s="47"/>
      <c r="O322" s="48"/>
      <c r="P322" s="46"/>
      <c r="Q322" s="42"/>
    </row>
    <row r="323" spans="1:17" ht="15.75" thickBot="1" x14ac:dyDescent="0.3">
      <c r="A323" s="56">
        <v>176</v>
      </c>
      <c r="B323" s="53" t="s">
        <v>96</v>
      </c>
      <c r="C323" s="57">
        <v>29.2</v>
      </c>
      <c r="D323" s="57">
        <v>220.7</v>
      </c>
      <c r="E323" s="57">
        <v>87.6</v>
      </c>
      <c r="F323" s="67">
        <f t="shared" si="60"/>
        <v>337.5</v>
      </c>
      <c r="G323" s="57" t="s">
        <v>176</v>
      </c>
      <c r="H323" s="60">
        <v>158</v>
      </c>
      <c r="I323" s="57">
        <v>25.2</v>
      </c>
      <c r="J323" s="57">
        <v>173.7</v>
      </c>
      <c r="K323" s="57">
        <v>2.2000000000000002</v>
      </c>
      <c r="L323" s="67">
        <f t="shared" ref="L323:L329" si="61">SUM(I323:K323)</f>
        <v>201.09999999999997</v>
      </c>
      <c r="M323" s="593"/>
      <c r="N323" s="47"/>
      <c r="O323" s="48"/>
      <c r="P323" s="46"/>
      <c r="Q323" s="42"/>
    </row>
    <row r="324" spans="1:17" ht="15.75" thickBot="1" x14ac:dyDescent="0.3">
      <c r="A324" s="52" t="s">
        <v>100</v>
      </c>
      <c r="B324" s="53" t="s">
        <v>95</v>
      </c>
      <c r="C324" s="57">
        <f t="shared" ref="C324:E325" si="62">C322/$A322</f>
        <v>5.6584821428571429E-2</v>
      </c>
      <c r="D324" s="57">
        <f t="shared" si="62"/>
        <v>0.60591517857142851</v>
      </c>
      <c r="E324" s="57">
        <f t="shared" si="62"/>
        <v>0.64654017857142854</v>
      </c>
      <c r="F324" s="67">
        <f t="shared" si="60"/>
        <v>1.3090401785714285</v>
      </c>
      <c r="G324" s="57" t="s">
        <v>175</v>
      </c>
      <c r="H324" s="61" t="s">
        <v>177</v>
      </c>
      <c r="I324" s="57">
        <f t="shared" ref="I324:K325" si="63">I322/$H322</f>
        <v>0.24214711729622265</v>
      </c>
      <c r="J324" s="57">
        <f t="shared" si="63"/>
        <v>0.67683896620278328</v>
      </c>
      <c r="K324" s="57">
        <f t="shared" si="63"/>
        <v>0.1606361829025845</v>
      </c>
      <c r="L324" s="67">
        <f t="shared" si="61"/>
        <v>1.0796222664015904</v>
      </c>
      <c r="M324" s="593"/>
      <c r="N324" s="47"/>
      <c r="O324" s="48"/>
      <c r="P324" s="46"/>
      <c r="Q324" s="42"/>
    </row>
    <row r="325" spans="1:17" ht="16.5" thickBot="1" x14ac:dyDescent="0.3">
      <c r="A325" s="52" t="s">
        <v>100</v>
      </c>
      <c r="B325" s="53" t="s">
        <v>96</v>
      </c>
      <c r="C325" s="57">
        <f t="shared" si="62"/>
        <v>0.16590909090909089</v>
      </c>
      <c r="D325" s="57">
        <f t="shared" si="62"/>
        <v>1.2539772727272727</v>
      </c>
      <c r="E325" s="57">
        <f t="shared" si="62"/>
        <v>0.49772727272727268</v>
      </c>
      <c r="F325" s="67">
        <f t="shared" si="60"/>
        <v>1.9176136363636362</v>
      </c>
      <c r="G325" s="57" t="s">
        <v>176</v>
      </c>
      <c r="H325" s="61" t="s">
        <v>177</v>
      </c>
      <c r="I325" s="57">
        <f t="shared" si="63"/>
        <v>0.15949367088607594</v>
      </c>
      <c r="J325" s="57">
        <f t="shared" si="63"/>
        <v>1.0993670886075948</v>
      </c>
      <c r="K325" s="57">
        <f t="shared" si="63"/>
        <v>1.3924050632911394E-2</v>
      </c>
      <c r="L325" s="67">
        <f t="shared" si="61"/>
        <v>1.2727848101265822</v>
      </c>
      <c r="M325" s="593"/>
      <c r="N325" s="62"/>
      <c r="O325" s="63"/>
      <c r="P325" s="64"/>
      <c r="Q325" s="42"/>
    </row>
    <row r="326" spans="1:17" x14ac:dyDescent="0.25">
      <c r="A326" s="52" t="s">
        <v>104</v>
      </c>
      <c r="B326" s="53" t="s">
        <v>95</v>
      </c>
      <c r="C326" s="57">
        <f>C322/($A322/7)</f>
        <v>0.39609375000000002</v>
      </c>
      <c r="D326" s="57">
        <f>D322/($A322/7)</f>
        <v>4.2414062499999998</v>
      </c>
      <c r="E326" s="57">
        <f>E322/($A322/7)</f>
        <v>4.5257812499999996</v>
      </c>
      <c r="F326" s="67">
        <f t="shared" si="60"/>
        <v>9.1632812500000007</v>
      </c>
      <c r="G326" s="65" t="s">
        <v>175</v>
      </c>
      <c r="H326" s="61" t="s">
        <v>178</v>
      </c>
      <c r="I326" s="57">
        <f t="shared" ref="I326:K327" si="64">I322/($H322/7.7)</f>
        <v>1.8645328031809145</v>
      </c>
      <c r="J326" s="57">
        <f t="shared" si="64"/>
        <v>5.2116600397614308</v>
      </c>
      <c r="K326" s="57">
        <f t="shared" si="64"/>
        <v>1.2368986083499005</v>
      </c>
      <c r="L326" s="67">
        <f t="shared" si="61"/>
        <v>8.3130914512922462</v>
      </c>
      <c r="M326" s="593"/>
      <c r="N326" s="604"/>
      <c r="O326" s="604"/>
      <c r="P326" s="604"/>
      <c r="Q326" s="42"/>
    </row>
    <row r="327" spans="1:17" x14ac:dyDescent="0.25">
      <c r="A327" s="52" t="s">
        <v>104</v>
      </c>
      <c r="B327" s="53" t="s">
        <v>96</v>
      </c>
      <c r="C327" s="57">
        <f>C323/($A323/7.7)</f>
        <v>1.2774999999999999</v>
      </c>
      <c r="D327" s="57">
        <f>D323/($A323/7.7)</f>
        <v>9.6556249999999988</v>
      </c>
      <c r="E327" s="57">
        <f>E323/($A323/7.7)</f>
        <v>3.8324999999999996</v>
      </c>
      <c r="F327" s="67">
        <f t="shared" si="60"/>
        <v>14.765624999999998</v>
      </c>
      <c r="G327" s="57" t="s">
        <v>176</v>
      </c>
      <c r="H327" s="61" t="s">
        <v>178</v>
      </c>
      <c r="I327" s="57">
        <f t="shared" si="64"/>
        <v>1.2281012658227848</v>
      </c>
      <c r="J327" s="57">
        <f t="shared" si="64"/>
        <v>8.4651265822784794</v>
      </c>
      <c r="K327" s="57">
        <f t="shared" si="64"/>
        <v>0.10721518987341773</v>
      </c>
      <c r="L327" s="67">
        <f t="shared" si="61"/>
        <v>9.8004430379746825</v>
      </c>
      <c r="M327" s="593"/>
      <c r="N327" s="593"/>
      <c r="O327" s="593"/>
      <c r="P327" s="593"/>
      <c r="Q327" s="42"/>
    </row>
    <row r="328" spans="1:17" x14ac:dyDescent="0.25">
      <c r="A328" s="52" t="s">
        <v>135</v>
      </c>
      <c r="B328" s="53" t="s">
        <v>95</v>
      </c>
      <c r="C328" s="66">
        <f>C322/((($A322*$B319)*(1-$B316))/$B314)</f>
        <v>1.1725632440476188E-2</v>
      </c>
      <c r="D328" s="66">
        <f>D322/((($A322*$B319)*(1-$B316))/$B314)</f>
        <v>0.12555908978174601</v>
      </c>
      <c r="E328" s="66">
        <f>E322/((($A322*$B319)*(1-$B316))/$B314)</f>
        <v>0.13397749255952376</v>
      </c>
      <c r="F328" s="67">
        <f t="shared" si="60"/>
        <v>0.27126221478174595</v>
      </c>
      <c r="G328" s="66" t="s">
        <v>175</v>
      </c>
      <c r="H328" s="68" t="s">
        <v>179</v>
      </c>
      <c r="I328" s="66">
        <f>I322/((($H322*$B319)*(1-$B316))/$B314)</f>
        <v>5.0178263750828352E-2</v>
      </c>
      <c r="J328" s="66">
        <f>J322/((($H322*$B319)*(1-$B316))/$B314)</f>
        <v>0.14025607466313228</v>
      </c>
      <c r="K328" s="66">
        <f>K322/((($H322*$B319)*(1-$B316))/$B314)</f>
        <v>3.3287386790368891E-2</v>
      </c>
      <c r="L328" s="67">
        <f t="shared" si="61"/>
        <v>0.22372172520432951</v>
      </c>
      <c r="M328" s="593"/>
      <c r="N328" s="593"/>
      <c r="O328" s="593"/>
      <c r="P328" s="593"/>
      <c r="Q328" s="42"/>
    </row>
    <row r="329" spans="1:17" x14ac:dyDescent="0.25">
      <c r="A329" s="52" t="s">
        <v>135</v>
      </c>
      <c r="B329" s="53" t="s">
        <v>96</v>
      </c>
      <c r="C329" s="66">
        <f>C323/((($A323*$B319)*(1-$B316))/$B314)</f>
        <v>3.4380050505050497E-2</v>
      </c>
      <c r="D329" s="66">
        <f>D323/((($A323*$B319)*(1-$B316))/$B314)</f>
        <v>0.25985195707070702</v>
      </c>
      <c r="E329" s="66">
        <f>E323/((($A323*$B319)*(1-$B316))/$B314)</f>
        <v>0.10314015151515149</v>
      </c>
      <c r="F329" s="67">
        <f t="shared" si="60"/>
        <v>0.39737215909090901</v>
      </c>
      <c r="G329" s="66" t="s">
        <v>176</v>
      </c>
      <c r="H329" s="68" t="s">
        <v>179</v>
      </c>
      <c r="I329" s="66">
        <f>I323/((($H323*$B319)*(1-$B316))/$B314)</f>
        <v>3.3050632911392402E-2</v>
      </c>
      <c r="J329" s="66">
        <f>J323/((($H323*$B319)*(1-$B316))/$B314)</f>
        <v>0.22781329113924048</v>
      </c>
      <c r="K329" s="66">
        <f>K323/((($H323*$B319)*(1-$B316))/$B314)</f>
        <v>2.8853727144866385E-3</v>
      </c>
      <c r="L329" s="67">
        <f t="shared" si="61"/>
        <v>0.26374929676511949</v>
      </c>
      <c r="M329" s="593"/>
      <c r="N329" s="593"/>
      <c r="O329" s="593"/>
      <c r="P329" s="593"/>
      <c r="Q329" s="42"/>
    </row>
    <row r="330" spans="1:17" x14ac:dyDescent="0.25">
      <c r="A330" s="612"/>
      <c r="B330" s="612"/>
      <c r="C330" s="612"/>
      <c r="D330" s="612"/>
      <c r="E330" s="612"/>
      <c r="F330" s="612"/>
      <c r="G330" s="612"/>
      <c r="H330" s="612"/>
      <c r="I330" s="612"/>
      <c r="J330" s="612"/>
      <c r="K330" s="612"/>
      <c r="L330" s="612"/>
      <c r="M330" s="612"/>
      <c r="N330" s="612"/>
      <c r="O330" s="612"/>
      <c r="P330" s="612"/>
      <c r="Q330" s="612"/>
    </row>
    <row r="331" spans="1:17" ht="21" x14ac:dyDescent="0.35">
      <c r="A331" s="43"/>
      <c r="B331" s="613" t="s">
        <v>172</v>
      </c>
      <c r="C331" s="614"/>
      <c r="D331" s="614"/>
      <c r="E331" s="614"/>
      <c r="F331" s="614"/>
      <c r="G331" s="614"/>
      <c r="H331" s="614"/>
      <c r="I331" s="614"/>
      <c r="J331" s="614"/>
      <c r="K331" s="614"/>
      <c r="L331" s="615"/>
      <c r="M331" s="593" t="s">
        <v>97</v>
      </c>
      <c r="N331" s="585" t="s">
        <v>173</v>
      </c>
      <c r="O331" s="585"/>
      <c r="P331" s="585"/>
      <c r="Q331" s="42"/>
    </row>
    <row r="332" spans="1:17" x14ac:dyDescent="0.25">
      <c r="A332" s="44"/>
      <c r="B332" s="590" t="s">
        <v>115</v>
      </c>
      <c r="C332" s="591"/>
      <c r="D332" s="591"/>
      <c r="E332" s="591"/>
      <c r="F332" s="591"/>
      <c r="G332" s="591"/>
      <c r="H332" s="591"/>
      <c r="I332" s="591"/>
      <c r="J332" s="591"/>
      <c r="K332" s="591"/>
      <c r="L332" s="592"/>
      <c r="M332" s="593"/>
      <c r="N332" s="585"/>
      <c r="O332" s="585"/>
      <c r="P332" s="585"/>
      <c r="Q332" s="42"/>
    </row>
    <row r="333" spans="1:17" x14ac:dyDescent="0.25">
      <c r="A333" s="2" t="s">
        <v>106</v>
      </c>
      <c r="B333" s="594">
        <v>15</v>
      </c>
      <c r="C333" s="595"/>
      <c r="D333" s="595"/>
      <c r="E333" s="595"/>
      <c r="F333" s="595"/>
      <c r="G333" s="595"/>
      <c r="H333" s="595"/>
      <c r="I333" s="595"/>
      <c r="J333" s="595"/>
      <c r="K333" s="595"/>
      <c r="L333" s="596"/>
      <c r="M333" s="593"/>
      <c r="N333" s="585"/>
      <c r="O333" s="585"/>
      <c r="P333" s="585"/>
      <c r="Q333" s="42"/>
    </row>
    <row r="334" spans="1:17" x14ac:dyDescent="0.25">
      <c r="A334" s="2" t="s">
        <v>112</v>
      </c>
      <c r="B334" s="597">
        <v>0.11</v>
      </c>
      <c r="C334" s="598"/>
      <c r="D334" s="598"/>
      <c r="E334" s="598"/>
      <c r="F334" s="598"/>
      <c r="G334" s="598"/>
      <c r="H334" s="598"/>
      <c r="I334" s="598"/>
      <c r="J334" s="598"/>
      <c r="K334" s="598"/>
      <c r="L334" s="599"/>
      <c r="M334" s="593"/>
      <c r="N334" s="585"/>
      <c r="O334" s="585"/>
      <c r="P334" s="585"/>
      <c r="Q334" s="42"/>
    </row>
    <row r="335" spans="1:17" ht="15.75" thickBot="1" x14ac:dyDescent="0.3">
      <c r="A335" s="2" t="s">
        <v>107</v>
      </c>
      <c r="B335" s="594">
        <f>B333-(B333*B334)</f>
        <v>13.35</v>
      </c>
      <c r="C335" s="595"/>
      <c r="D335" s="595"/>
      <c r="E335" s="595"/>
      <c r="F335" s="595"/>
      <c r="G335" s="595"/>
      <c r="H335" s="595"/>
      <c r="I335" s="595"/>
      <c r="J335" s="595"/>
      <c r="K335" s="595"/>
      <c r="L335" s="596"/>
      <c r="M335" s="593"/>
      <c r="N335" s="586"/>
      <c r="O335" s="586"/>
      <c r="P335" s="586"/>
      <c r="Q335" s="42"/>
    </row>
    <row r="336" spans="1:17" x14ac:dyDescent="0.25">
      <c r="A336" s="2" t="s">
        <v>108</v>
      </c>
      <c r="B336" s="600">
        <f>B339/B335</f>
        <v>0.57358861423220975</v>
      </c>
      <c r="C336" s="601"/>
      <c r="D336" s="601"/>
      <c r="E336" s="601"/>
      <c r="F336" s="601"/>
      <c r="G336" s="601"/>
      <c r="H336" s="601"/>
      <c r="I336" s="601"/>
      <c r="J336" s="601"/>
      <c r="K336" s="601"/>
      <c r="L336" s="602"/>
      <c r="M336" s="593"/>
      <c r="N336" s="605"/>
      <c r="O336" s="45"/>
      <c r="P336" s="607"/>
      <c r="Q336" s="42"/>
    </row>
    <row r="337" spans="1:17" ht="15.75" thickBot="1" x14ac:dyDescent="0.3">
      <c r="A337" s="2" t="s">
        <v>113</v>
      </c>
      <c r="B337" s="594">
        <f>B341*2.384</f>
        <v>26.224</v>
      </c>
      <c r="C337" s="595"/>
      <c r="D337" s="595"/>
      <c r="E337" s="595"/>
      <c r="F337" s="595"/>
      <c r="G337" s="595"/>
      <c r="H337" s="595"/>
      <c r="I337" s="595"/>
      <c r="J337" s="595"/>
      <c r="K337" s="595"/>
      <c r="L337" s="603"/>
      <c r="M337" s="593"/>
      <c r="N337" s="606"/>
      <c r="O337" s="46"/>
      <c r="P337" s="608"/>
      <c r="Q337" s="42"/>
    </row>
    <row r="338" spans="1:17" ht="15.75" thickBot="1" x14ac:dyDescent="0.3">
      <c r="A338" s="2" t="s">
        <v>109</v>
      </c>
      <c r="B338" s="600">
        <v>0.70799999999999996</v>
      </c>
      <c r="C338" s="601"/>
      <c r="D338" s="601"/>
      <c r="E338" s="601"/>
      <c r="F338" s="601"/>
      <c r="G338" s="601"/>
      <c r="H338" s="601"/>
      <c r="I338" s="601"/>
      <c r="J338" s="601"/>
      <c r="K338" s="601"/>
      <c r="L338" s="602"/>
      <c r="M338" s="593"/>
      <c r="N338" s="47"/>
      <c r="O338" s="48"/>
      <c r="P338" s="46"/>
      <c r="Q338" s="42"/>
    </row>
    <row r="339" spans="1:17" ht="15.75" thickBot="1" x14ac:dyDescent="0.3">
      <c r="A339" s="2" t="s">
        <v>122</v>
      </c>
      <c r="B339" s="594">
        <f>B337-(B337*B338)</f>
        <v>7.6574080000000002</v>
      </c>
      <c r="C339" s="595"/>
      <c r="D339" s="595"/>
      <c r="E339" s="595"/>
      <c r="F339" s="595"/>
      <c r="G339" s="595"/>
      <c r="H339" s="595"/>
      <c r="I339" s="595"/>
      <c r="J339" s="595"/>
      <c r="K339" s="595"/>
      <c r="L339" s="603"/>
      <c r="M339" s="593"/>
      <c r="N339" s="47"/>
      <c r="O339" s="48"/>
      <c r="P339" s="49"/>
      <c r="Q339" s="42"/>
    </row>
    <row r="340" spans="1:17" ht="15.75" thickBot="1" x14ac:dyDescent="0.3">
      <c r="A340" s="2" t="s">
        <v>110</v>
      </c>
      <c r="B340" s="587">
        <v>127</v>
      </c>
      <c r="C340" s="588"/>
      <c r="D340" s="588"/>
      <c r="E340" s="588"/>
      <c r="F340" s="588"/>
      <c r="G340" s="588"/>
      <c r="H340" s="588"/>
      <c r="I340" s="588"/>
      <c r="J340" s="588"/>
      <c r="K340" s="588"/>
      <c r="L340" s="589"/>
      <c r="M340" s="593"/>
      <c r="N340" s="47"/>
      <c r="O340" s="48"/>
      <c r="P340" s="49"/>
      <c r="Q340" s="42"/>
    </row>
    <row r="341" spans="1:17" x14ac:dyDescent="0.25">
      <c r="A341" s="2" t="s">
        <v>111</v>
      </c>
      <c r="B341" s="587">
        <v>11</v>
      </c>
      <c r="C341" s="588"/>
      <c r="D341" s="588"/>
      <c r="E341" s="588"/>
      <c r="F341" s="588"/>
      <c r="G341" s="588"/>
      <c r="H341" s="588"/>
      <c r="I341" s="588"/>
      <c r="J341" s="588"/>
      <c r="K341" s="588"/>
      <c r="L341" s="589"/>
      <c r="M341" s="593"/>
      <c r="N341" s="50"/>
      <c r="O341" s="624"/>
      <c r="P341" s="625"/>
      <c r="Q341" s="42"/>
    </row>
    <row r="342" spans="1:17" ht="15.75" thickBot="1" x14ac:dyDescent="0.3">
      <c r="A342" s="587" t="s">
        <v>127</v>
      </c>
      <c r="B342" s="588"/>
      <c r="C342" s="588"/>
      <c r="D342" s="588"/>
      <c r="E342" s="589"/>
      <c r="F342" s="51"/>
      <c r="G342" s="587" t="s">
        <v>128</v>
      </c>
      <c r="H342" s="588"/>
      <c r="I342" s="588"/>
      <c r="J342" s="588"/>
      <c r="K342" s="589"/>
      <c r="L342" s="51"/>
      <c r="M342" s="593"/>
      <c r="N342" s="47"/>
      <c r="O342" s="606"/>
      <c r="P342" s="611"/>
      <c r="Q342" s="42"/>
    </row>
    <row r="343" spans="1:17" ht="15.75" thickBot="1" x14ac:dyDescent="0.3">
      <c r="A343" s="52" t="s">
        <v>98</v>
      </c>
      <c r="B343" s="53" t="s">
        <v>102</v>
      </c>
      <c r="C343" s="53" t="s">
        <v>92</v>
      </c>
      <c r="D343" s="53" t="s">
        <v>93</v>
      </c>
      <c r="E343" s="53" t="s">
        <v>94</v>
      </c>
      <c r="F343" s="54" t="s">
        <v>99</v>
      </c>
      <c r="G343" s="53" t="s">
        <v>102</v>
      </c>
      <c r="H343" s="55" t="s">
        <v>98</v>
      </c>
      <c r="I343" s="53" t="s">
        <v>92</v>
      </c>
      <c r="J343" s="53" t="s">
        <v>93</v>
      </c>
      <c r="K343" s="53" t="s">
        <v>94</v>
      </c>
      <c r="L343" s="54" t="s">
        <v>99</v>
      </c>
      <c r="M343" s="593"/>
      <c r="N343" s="47"/>
      <c r="O343" s="48"/>
      <c r="P343" s="49"/>
      <c r="Q343" s="42"/>
    </row>
    <row r="344" spans="1:17" ht="15.75" thickBot="1" x14ac:dyDescent="0.3">
      <c r="A344" s="56">
        <v>1054</v>
      </c>
      <c r="B344" s="53" t="s">
        <v>95</v>
      </c>
      <c r="C344" s="57">
        <v>424.1</v>
      </c>
      <c r="D344" s="57">
        <v>456.5</v>
      </c>
      <c r="E344" s="57">
        <v>510</v>
      </c>
      <c r="F344" s="58">
        <f t="shared" ref="F344:F351" si="65">SUM(C344:E344)</f>
        <v>1390.6</v>
      </c>
      <c r="G344" s="57" t="s">
        <v>175</v>
      </c>
      <c r="H344" s="59">
        <v>1026</v>
      </c>
      <c r="I344" s="57">
        <v>513</v>
      </c>
      <c r="J344" s="57">
        <v>772.7</v>
      </c>
      <c r="K344" s="57">
        <v>690.7</v>
      </c>
      <c r="L344" s="58">
        <f>SUM(I344:K344)</f>
        <v>1976.4</v>
      </c>
      <c r="M344" s="593"/>
      <c r="N344" s="47"/>
      <c r="O344" s="48"/>
      <c r="P344" s="46"/>
      <c r="Q344" s="42"/>
    </row>
    <row r="345" spans="1:17" ht="15.75" thickBot="1" x14ac:dyDescent="0.3">
      <c r="A345" s="56">
        <v>151</v>
      </c>
      <c r="B345" s="53" t="s">
        <v>96</v>
      </c>
      <c r="C345" s="57">
        <v>76.8</v>
      </c>
      <c r="D345" s="57">
        <v>93.9</v>
      </c>
      <c r="E345" s="57">
        <v>67.2</v>
      </c>
      <c r="F345" s="58">
        <f t="shared" si="65"/>
        <v>237.89999999999998</v>
      </c>
      <c r="G345" s="57" t="s">
        <v>176</v>
      </c>
      <c r="H345" s="60">
        <v>153</v>
      </c>
      <c r="I345" s="57">
        <v>133.6</v>
      </c>
      <c r="J345" s="57">
        <v>77.5</v>
      </c>
      <c r="K345" s="57">
        <v>93.7</v>
      </c>
      <c r="L345" s="58">
        <f t="shared" ref="L345:L351" si="66">SUM(I345:K345)</f>
        <v>304.8</v>
      </c>
      <c r="M345" s="593"/>
      <c r="N345" s="47"/>
      <c r="O345" s="48"/>
      <c r="P345" s="46"/>
      <c r="Q345" s="42"/>
    </row>
    <row r="346" spans="1:17" ht="15.75" thickBot="1" x14ac:dyDescent="0.3">
      <c r="A346" s="52" t="s">
        <v>100</v>
      </c>
      <c r="B346" s="53" t="s">
        <v>95</v>
      </c>
      <c r="C346" s="57">
        <f t="shared" ref="C346:E347" si="67">C344/$A344</f>
        <v>0.40237191650853893</v>
      </c>
      <c r="D346" s="57">
        <f t="shared" si="67"/>
        <v>0.43311195445920303</v>
      </c>
      <c r="E346" s="57">
        <f t="shared" si="67"/>
        <v>0.4838709677419355</v>
      </c>
      <c r="F346" s="67">
        <f t="shared" si="65"/>
        <v>1.3193548387096774</v>
      </c>
      <c r="G346" s="57" t="s">
        <v>175</v>
      </c>
      <c r="H346" s="61" t="s">
        <v>177</v>
      </c>
      <c r="I346" s="57">
        <f t="shared" ref="I346:K347" si="68">I344/$H344</f>
        <v>0.5</v>
      </c>
      <c r="J346" s="57">
        <f t="shared" si="68"/>
        <v>0.7531189083820663</v>
      </c>
      <c r="K346" s="57">
        <f t="shared" si="68"/>
        <v>0.67319688109161802</v>
      </c>
      <c r="L346" s="67">
        <f t="shared" si="66"/>
        <v>1.9263157894736842</v>
      </c>
      <c r="M346" s="593"/>
      <c r="N346" s="47"/>
      <c r="O346" s="48"/>
      <c r="P346" s="46"/>
      <c r="Q346" s="42"/>
    </row>
    <row r="347" spans="1:17" ht="16.5" thickBot="1" x14ac:dyDescent="0.3">
      <c r="A347" s="52" t="s">
        <v>100</v>
      </c>
      <c r="B347" s="53" t="s">
        <v>96</v>
      </c>
      <c r="C347" s="57">
        <f t="shared" si="67"/>
        <v>0.50860927152317881</v>
      </c>
      <c r="D347" s="57">
        <f t="shared" si="67"/>
        <v>0.62185430463576163</v>
      </c>
      <c r="E347" s="57">
        <f t="shared" si="67"/>
        <v>0.4450331125827815</v>
      </c>
      <c r="F347" s="67">
        <f t="shared" si="65"/>
        <v>1.5754966887417219</v>
      </c>
      <c r="G347" s="57" t="s">
        <v>176</v>
      </c>
      <c r="H347" s="61" t="s">
        <v>177</v>
      </c>
      <c r="I347" s="57">
        <f t="shared" si="68"/>
        <v>0.87320261437908497</v>
      </c>
      <c r="J347" s="57">
        <f t="shared" si="68"/>
        <v>0.50653594771241828</v>
      </c>
      <c r="K347" s="57">
        <f t="shared" si="68"/>
        <v>0.61241830065359482</v>
      </c>
      <c r="L347" s="67">
        <f t="shared" si="66"/>
        <v>1.9921568627450981</v>
      </c>
      <c r="M347" s="593"/>
      <c r="N347" s="62"/>
      <c r="O347" s="63"/>
      <c r="P347" s="64"/>
      <c r="Q347" s="42"/>
    </row>
    <row r="348" spans="1:17" x14ac:dyDescent="0.25">
      <c r="A348" s="52" t="s">
        <v>104</v>
      </c>
      <c r="B348" s="53" t="s">
        <v>95</v>
      </c>
      <c r="C348" s="57">
        <f>C344/($A344/7)</f>
        <v>2.8166034155597721</v>
      </c>
      <c r="D348" s="57">
        <f>D344/($A344/7)</f>
        <v>3.0317836812144212</v>
      </c>
      <c r="E348" s="57">
        <f>E344/($A344/7)</f>
        <v>3.387096774193548</v>
      </c>
      <c r="F348" s="67">
        <f t="shared" si="65"/>
        <v>9.2354838709677409</v>
      </c>
      <c r="G348" s="65" t="s">
        <v>175</v>
      </c>
      <c r="H348" s="61" t="s">
        <v>178</v>
      </c>
      <c r="I348" s="57">
        <f t="shared" ref="I348:K349" si="69">I344/($H344/7.7)</f>
        <v>3.8499999999999996</v>
      </c>
      <c r="J348" s="57">
        <f t="shared" si="69"/>
        <v>5.7990155945419106</v>
      </c>
      <c r="K348" s="57">
        <f t="shared" si="69"/>
        <v>5.1836159844054581</v>
      </c>
      <c r="L348" s="67">
        <f t="shared" si="66"/>
        <v>14.832631578947369</v>
      </c>
      <c r="M348" s="593"/>
      <c r="N348" s="604"/>
      <c r="O348" s="604"/>
      <c r="P348" s="604"/>
      <c r="Q348" s="42"/>
    </row>
    <row r="349" spans="1:17" x14ac:dyDescent="0.25">
      <c r="A349" s="52" t="s">
        <v>104</v>
      </c>
      <c r="B349" s="53" t="s">
        <v>96</v>
      </c>
      <c r="C349" s="57">
        <f>C345/($A345/7.7)</f>
        <v>3.9162913907284769</v>
      </c>
      <c r="D349" s="57">
        <f>D345/($A345/7.7)</f>
        <v>4.7882781456953643</v>
      </c>
      <c r="E349" s="57">
        <f>E345/($A345/7.7)</f>
        <v>3.4267549668874175</v>
      </c>
      <c r="F349" s="67">
        <f t="shared" si="65"/>
        <v>12.131324503311259</v>
      </c>
      <c r="G349" s="57" t="s">
        <v>176</v>
      </c>
      <c r="H349" s="61" t="s">
        <v>178</v>
      </c>
      <c r="I349" s="57">
        <f t="shared" si="69"/>
        <v>6.7236601307189545</v>
      </c>
      <c r="J349" s="57">
        <f t="shared" si="69"/>
        <v>3.9003267973856213</v>
      </c>
      <c r="K349" s="57">
        <f t="shared" si="69"/>
        <v>4.7156209150326802</v>
      </c>
      <c r="L349" s="67">
        <f t="shared" si="66"/>
        <v>15.339607843137255</v>
      </c>
      <c r="M349" s="593"/>
      <c r="N349" s="593"/>
      <c r="O349" s="593"/>
      <c r="P349" s="593"/>
      <c r="Q349" s="42"/>
    </row>
    <row r="350" spans="1:17" x14ac:dyDescent="0.25">
      <c r="A350" s="52" t="s">
        <v>135</v>
      </c>
      <c r="B350" s="53" t="s">
        <v>95</v>
      </c>
      <c r="C350" s="66">
        <f>C344/((($A344*$B341)*(1-$B338))/$B336)</f>
        <v>7.1854280820700875E-2</v>
      </c>
      <c r="D350" s="66">
        <f>D344/((($A344*$B341)*(1-$B338))/$B336)</f>
        <v>7.7343737785074154E-2</v>
      </c>
      <c r="E350" s="66">
        <f>E344/((($A344*$B341)*(1-$B338))/$B336)</f>
        <v>8.640811888365349E-2</v>
      </c>
      <c r="F350" s="67">
        <f t="shared" si="65"/>
        <v>0.23560613748942852</v>
      </c>
      <c r="G350" s="66" t="s">
        <v>175</v>
      </c>
      <c r="H350" s="68" t="s">
        <v>179</v>
      </c>
      <c r="I350" s="66">
        <f>I344/((($H344*$B341)*(1-$B338))/$B336)</f>
        <v>8.9288389513108607E-2</v>
      </c>
      <c r="J350" s="66">
        <f>J344/((($H344*$B341)*(1-$B338))/$B336)</f>
        <v>0.13448954888261019</v>
      </c>
      <c r="K350" s="66">
        <f>K344/((($H344*$B341)*(1-$B338))/$B336)</f>
        <v>0.12021733067583648</v>
      </c>
      <c r="L350" s="67">
        <f t="shared" si="66"/>
        <v>0.34399526907155531</v>
      </c>
      <c r="M350" s="593"/>
      <c r="N350" s="593"/>
      <c r="O350" s="593"/>
      <c r="P350" s="593"/>
      <c r="Q350" s="42"/>
    </row>
    <row r="351" spans="1:17" x14ac:dyDescent="0.25">
      <c r="A351" s="52" t="s">
        <v>135</v>
      </c>
      <c r="B351" s="53" t="s">
        <v>96</v>
      </c>
      <c r="C351" s="66">
        <f>C345/((($A345*$B341)*(1-$B338))/$B336)</f>
        <v>9.0825805491480019E-2</v>
      </c>
      <c r="D351" s="66">
        <f>D345/((($A345*$B341)*(1-$B338))/$B336)</f>
        <v>0.11104873874544237</v>
      </c>
      <c r="E351" s="66">
        <f>E345/((($A345*$B341)*(1-$B338))/$B336)</f>
        <v>7.9472579805045018E-2</v>
      </c>
      <c r="F351" s="67">
        <f t="shared" si="65"/>
        <v>0.28134712404196738</v>
      </c>
      <c r="G351" s="66" t="s">
        <v>176</v>
      </c>
      <c r="H351" s="68" t="s">
        <v>179</v>
      </c>
      <c r="I351" s="66">
        <f>I345/((($H345*$B341)*(1-$B338))/$B336)</f>
        <v>0.155933710313089</v>
      </c>
      <c r="J351" s="66">
        <f>J345/((($H345*$B341)*(1-$B338))/$B336)</f>
        <v>9.0455558003476044E-2</v>
      </c>
      <c r="K351" s="66">
        <f>K345/((($H345*$B341)*(1-$B338))/$B336)</f>
        <v>0.10936368754742845</v>
      </c>
      <c r="L351" s="67">
        <f t="shared" si="66"/>
        <v>0.35575295586399347</v>
      </c>
      <c r="M351" s="593"/>
      <c r="N351" s="593"/>
      <c r="O351" s="593"/>
      <c r="P351" s="593"/>
      <c r="Q351" s="42"/>
    </row>
    <row r="352" spans="1:17" x14ac:dyDescent="0.25">
      <c r="A352" s="612"/>
      <c r="B352" s="612"/>
      <c r="C352" s="612"/>
      <c r="D352" s="612"/>
      <c r="E352" s="612"/>
      <c r="F352" s="612"/>
      <c r="G352" s="612"/>
      <c r="H352" s="612"/>
      <c r="I352" s="612"/>
      <c r="J352" s="612"/>
      <c r="K352" s="612"/>
      <c r="L352" s="612"/>
      <c r="M352" s="612"/>
      <c r="N352" s="612"/>
      <c r="O352" s="612"/>
      <c r="P352" s="612"/>
      <c r="Q352" s="612"/>
    </row>
    <row r="353" spans="1:17" ht="21" x14ac:dyDescent="0.35">
      <c r="A353" s="43"/>
      <c r="B353" s="613" t="s">
        <v>180</v>
      </c>
      <c r="C353" s="614"/>
      <c r="D353" s="614"/>
      <c r="E353" s="614"/>
      <c r="F353" s="614"/>
      <c r="G353" s="614"/>
      <c r="H353" s="614"/>
      <c r="I353" s="614"/>
      <c r="J353" s="614"/>
      <c r="K353" s="614"/>
      <c r="L353" s="615"/>
      <c r="M353" s="593" t="s">
        <v>97</v>
      </c>
      <c r="N353" s="585" t="s">
        <v>181</v>
      </c>
      <c r="O353" s="585"/>
      <c r="P353" s="585"/>
      <c r="Q353" s="42"/>
    </row>
    <row r="354" spans="1:17" x14ac:dyDescent="0.25">
      <c r="A354" s="44"/>
      <c r="B354" s="590" t="s">
        <v>115</v>
      </c>
      <c r="C354" s="591"/>
      <c r="D354" s="591"/>
      <c r="E354" s="591"/>
      <c r="F354" s="591"/>
      <c r="G354" s="591"/>
      <c r="H354" s="591"/>
      <c r="I354" s="591"/>
      <c r="J354" s="591"/>
      <c r="K354" s="591"/>
      <c r="L354" s="592"/>
      <c r="M354" s="593"/>
      <c r="N354" s="585"/>
      <c r="O354" s="585"/>
      <c r="P354" s="585"/>
      <c r="Q354" s="42"/>
    </row>
    <row r="355" spans="1:17" x14ac:dyDescent="0.25">
      <c r="A355" s="2" t="s">
        <v>106</v>
      </c>
      <c r="B355" s="594">
        <v>15.324999999999999</v>
      </c>
      <c r="C355" s="595"/>
      <c r="D355" s="595"/>
      <c r="E355" s="595"/>
      <c r="F355" s="595"/>
      <c r="G355" s="595"/>
      <c r="H355" s="595"/>
      <c r="I355" s="595"/>
      <c r="J355" s="595"/>
      <c r="K355" s="595"/>
      <c r="L355" s="596"/>
      <c r="M355" s="593"/>
      <c r="N355" s="585"/>
      <c r="O355" s="585"/>
      <c r="P355" s="585"/>
      <c r="Q355" s="42"/>
    </row>
    <row r="356" spans="1:17" x14ac:dyDescent="0.25">
      <c r="A356" s="2" t="s">
        <v>112</v>
      </c>
      <c r="B356" s="597">
        <v>0.1133</v>
      </c>
      <c r="C356" s="598"/>
      <c r="D356" s="598"/>
      <c r="E356" s="598"/>
      <c r="F356" s="598"/>
      <c r="G356" s="598"/>
      <c r="H356" s="598"/>
      <c r="I356" s="598"/>
      <c r="J356" s="598"/>
      <c r="K356" s="598"/>
      <c r="L356" s="599"/>
      <c r="M356" s="593"/>
      <c r="N356" s="585"/>
      <c r="O356" s="585"/>
      <c r="P356" s="585"/>
      <c r="Q356" s="42"/>
    </row>
    <row r="357" spans="1:17" ht="15.75" thickBot="1" x14ac:dyDescent="0.3">
      <c r="A357" s="2" t="s">
        <v>107</v>
      </c>
      <c r="B357" s="594">
        <f>B355-(B355*B356)</f>
        <v>13.588677499999999</v>
      </c>
      <c r="C357" s="595"/>
      <c r="D357" s="595"/>
      <c r="E357" s="595"/>
      <c r="F357" s="595"/>
      <c r="G357" s="595"/>
      <c r="H357" s="595"/>
      <c r="I357" s="595"/>
      <c r="J357" s="595"/>
      <c r="K357" s="595"/>
      <c r="L357" s="596"/>
      <c r="M357" s="593"/>
      <c r="N357" s="586"/>
      <c r="O357" s="586"/>
      <c r="P357" s="586"/>
      <c r="Q357" s="42"/>
    </row>
    <row r="358" spans="1:17" x14ac:dyDescent="0.25">
      <c r="A358" s="2" t="s">
        <v>108</v>
      </c>
      <c r="B358" s="600">
        <f>B361/B357</f>
        <v>0.64794200907336275</v>
      </c>
      <c r="C358" s="601"/>
      <c r="D358" s="601"/>
      <c r="E358" s="601"/>
      <c r="F358" s="601"/>
      <c r="G358" s="601"/>
      <c r="H358" s="601"/>
      <c r="I358" s="601"/>
      <c r="J358" s="601"/>
      <c r="K358" s="601"/>
      <c r="L358" s="602"/>
      <c r="M358" s="593"/>
      <c r="N358" s="605"/>
      <c r="O358" s="45"/>
      <c r="P358" s="607"/>
      <c r="Q358" s="42"/>
    </row>
    <row r="359" spans="1:17" ht="15.75" thickBot="1" x14ac:dyDescent="0.3">
      <c r="A359" s="2" t="s">
        <v>113</v>
      </c>
      <c r="B359" s="594">
        <f>B363*2.525</f>
        <v>27.774999999999999</v>
      </c>
      <c r="C359" s="595"/>
      <c r="D359" s="595"/>
      <c r="E359" s="595"/>
      <c r="F359" s="595"/>
      <c r="G359" s="595"/>
      <c r="H359" s="595"/>
      <c r="I359" s="595"/>
      <c r="J359" s="595"/>
      <c r="K359" s="595"/>
      <c r="L359" s="603"/>
      <c r="M359" s="593"/>
      <c r="N359" s="606"/>
      <c r="O359" s="46"/>
      <c r="P359" s="608"/>
      <c r="Q359" s="42"/>
    </row>
    <row r="360" spans="1:17" ht="15.75" thickBot="1" x14ac:dyDescent="0.3">
      <c r="A360" s="2" t="s">
        <v>109</v>
      </c>
      <c r="B360" s="600">
        <v>0.68300000000000005</v>
      </c>
      <c r="C360" s="601"/>
      <c r="D360" s="601"/>
      <c r="E360" s="601"/>
      <c r="F360" s="601"/>
      <c r="G360" s="601"/>
      <c r="H360" s="601"/>
      <c r="I360" s="601"/>
      <c r="J360" s="601"/>
      <c r="K360" s="601"/>
      <c r="L360" s="602"/>
      <c r="M360" s="593"/>
      <c r="N360" s="47"/>
      <c r="O360" s="48"/>
      <c r="P360" s="46"/>
      <c r="Q360" s="42"/>
    </row>
    <row r="361" spans="1:17" ht="15.75" thickBot="1" x14ac:dyDescent="0.3">
      <c r="A361" s="2" t="s">
        <v>122</v>
      </c>
      <c r="B361" s="594">
        <f>B359-(B359*B360)</f>
        <v>8.8046749999999996</v>
      </c>
      <c r="C361" s="595"/>
      <c r="D361" s="595"/>
      <c r="E361" s="595"/>
      <c r="F361" s="595"/>
      <c r="G361" s="595"/>
      <c r="H361" s="595"/>
      <c r="I361" s="595"/>
      <c r="J361" s="595"/>
      <c r="K361" s="595"/>
      <c r="L361" s="603"/>
      <c r="M361" s="593"/>
      <c r="N361" s="47"/>
      <c r="O361" s="48"/>
      <c r="P361" s="49"/>
      <c r="Q361" s="42"/>
    </row>
    <row r="362" spans="1:17" ht="15.75" thickBot="1" x14ac:dyDescent="0.3">
      <c r="A362" s="2" t="s">
        <v>110</v>
      </c>
      <c r="B362" s="587">
        <v>139</v>
      </c>
      <c r="C362" s="588"/>
      <c r="D362" s="588"/>
      <c r="E362" s="588"/>
      <c r="F362" s="588"/>
      <c r="G362" s="588"/>
      <c r="H362" s="588"/>
      <c r="I362" s="588"/>
      <c r="J362" s="588"/>
      <c r="K362" s="588"/>
      <c r="L362" s="589"/>
      <c r="M362" s="593"/>
      <c r="N362" s="47"/>
      <c r="O362" s="48"/>
      <c r="P362" s="49"/>
      <c r="Q362" s="42"/>
    </row>
    <row r="363" spans="1:17" x14ac:dyDescent="0.25">
      <c r="A363" s="2" t="s">
        <v>111</v>
      </c>
      <c r="B363" s="587">
        <v>11</v>
      </c>
      <c r="C363" s="588"/>
      <c r="D363" s="588"/>
      <c r="E363" s="588"/>
      <c r="F363" s="588"/>
      <c r="G363" s="588"/>
      <c r="H363" s="588"/>
      <c r="I363" s="588"/>
      <c r="J363" s="588"/>
      <c r="K363" s="588"/>
      <c r="L363" s="589"/>
      <c r="M363" s="593"/>
      <c r="N363" s="50"/>
      <c r="O363" s="624"/>
      <c r="P363" s="625"/>
      <c r="Q363" s="42"/>
    </row>
    <row r="364" spans="1:17" ht="15.75" thickBot="1" x14ac:dyDescent="0.3">
      <c r="A364" s="587" t="s">
        <v>127</v>
      </c>
      <c r="B364" s="588"/>
      <c r="C364" s="588"/>
      <c r="D364" s="588"/>
      <c r="E364" s="589"/>
      <c r="F364" s="51"/>
      <c r="G364" s="587" t="s">
        <v>128</v>
      </c>
      <c r="H364" s="588"/>
      <c r="I364" s="588"/>
      <c r="J364" s="588"/>
      <c r="K364" s="589"/>
      <c r="L364" s="51"/>
      <c r="M364" s="593"/>
      <c r="N364" s="47"/>
      <c r="O364" s="606"/>
      <c r="P364" s="611"/>
      <c r="Q364" s="42"/>
    </row>
    <row r="365" spans="1:17" ht="15.75" thickBot="1" x14ac:dyDescent="0.3">
      <c r="A365" s="52" t="s">
        <v>98</v>
      </c>
      <c r="B365" s="53" t="s">
        <v>102</v>
      </c>
      <c r="C365" s="53" t="s">
        <v>92</v>
      </c>
      <c r="D365" s="53" t="s">
        <v>93</v>
      </c>
      <c r="E365" s="53" t="s">
        <v>94</v>
      </c>
      <c r="F365" s="54" t="s">
        <v>99</v>
      </c>
      <c r="G365" s="53" t="s">
        <v>102</v>
      </c>
      <c r="H365" s="55" t="s">
        <v>98</v>
      </c>
      <c r="I365" s="53" t="s">
        <v>92</v>
      </c>
      <c r="J365" s="53" t="s">
        <v>93</v>
      </c>
      <c r="K365" s="53" t="s">
        <v>94</v>
      </c>
      <c r="L365" s="54" t="s">
        <v>99</v>
      </c>
      <c r="M365" s="593"/>
      <c r="N365" s="47"/>
      <c r="O365" s="48"/>
      <c r="P365" s="49"/>
      <c r="Q365" s="42"/>
    </row>
    <row r="366" spans="1:17" ht="15.75" thickBot="1" x14ac:dyDescent="0.3">
      <c r="A366" s="56">
        <v>1106</v>
      </c>
      <c r="B366" s="53" t="s">
        <v>95</v>
      </c>
      <c r="C366" s="57">
        <v>488.6</v>
      </c>
      <c r="D366" s="57">
        <v>537</v>
      </c>
      <c r="E366" s="57">
        <v>368</v>
      </c>
      <c r="F366" s="58">
        <f t="shared" ref="F366:F373" si="70">SUM(C366:E366)</f>
        <v>1393.6</v>
      </c>
      <c r="G366" s="57" t="s">
        <v>175</v>
      </c>
      <c r="H366" s="59">
        <v>1118</v>
      </c>
      <c r="I366" s="57">
        <v>596</v>
      </c>
      <c r="J366" s="57">
        <v>681</v>
      </c>
      <c r="K366" s="57">
        <v>611.70000000000005</v>
      </c>
      <c r="L366" s="58">
        <f>SUM(I366:K366)</f>
        <v>1888.7</v>
      </c>
      <c r="M366" s="593"/>
      <c r="N366" s="47"/>
      <c r="O366" s="48"/>
      <c r="P366" s="46"/>
      <c r="Q366" s="42"/>
    </row>
    <row r="367" spans="1:17" ht="15.75" thickBot="1" x14ac:dyDescent="0.3">
      <c r="A367" s="56">
        <v>152</v>
      </c>
      <c r="B367" s="53" t="s">
        <v>96</v>
      </c>
      <c r="C367" s="57">
        <v>59.3</v>
      </c>
      <c r="D367" s="57">
        <v>80.7</v>
      </c>
      <c r="E367" s="57">
        <v>70.599999999999994</v>
      </c>
      <c r="F367" s="58">
        <f t="shared" si="70"/>
        <v>210.6</v>
      </c>
      <c r="G367" s="57" t="s">
        <v>176</v>
      </c>
      <c r="H367" s="60">
        <v>154</v>
      </c>
      <c r="I367" s="57">
        <v>63.8</v>
      </c>
      <c r="J367" s="57">
        <v>78.900000000000006</v>
      </c>
      <c r="K367" s="57">
        <v>95.7</v>
      </c>
      <c r="L367" s="58">
        <f t="shared" ref="L367:L373" si="71">SUM(I367:K367)</f>
        <v>238.39999999999998</v>
      </c>
      <c r="M367" s="593"/>
      <c r="N367" s="47"/>
      <c r="O367" s="48"/>
      <c r="P367" s="46"/>
      <c r="Q367" s="42"/>
    </row>
    <row r="368" spans="1:17" ht="15.75" thickBot="1" x14ac:dyDescent="0.3">
      <c r="A368" s="52" t="s">
        <v>100</v>
      </c>
      <c r="B368" s="53" t="s">
        <v>95</v>
      </c>
      <c r="C368" s="57">
        <f t="shared" ref="C368:E369" si="72">C366/$A366</f>
        <v>0.4417721518987342</v>
      </c>
      <c r="D368" s="57">
        <f t="shared" si="72"/>
        <v>0.48553345388788427</v>
      </c>
      <c r="E368" s="57">
        <f t="shared" si="72"/>
        <v>0.33273056057866185</v>
      </c>
      <c r="F368" s="67">
        <f t="shared" si="70"/>
        <v>1.2600361663652804</v>
      </c>
      <c r="G368" s="57" t="s">
        <v>175</v>
      </c>
      <c r="H368" s="61" t="s">
        <v>177</v>
      </c>
      <c r="I368" s="57">
        <f t="shared" ref="I368:K369" si="73">I366/$H366</f>
        <v>0.53309481216457966</v>
      </c>
      <c r="J368" s="57">
        <f t="shared" si="73"/>
        <v>0.6091234347048301</v>
      </c>
      <c r="K368" s="57">
        <f t="shared" si="73"/>
        <v>0.54713774597495535</v>
      </c>
      <c r="L368" s="67">
        <f t="shared" si="71"/>
        <v>1.6893559928443651</v>
      </c>
      <c r="M368" s="593"/>
      <c r="N368" s="47"/>
      <c r="O368" s="48"/>
      <c r="P368" s="46"/>
      <c r="Q368" s="42"/>
    </row>
    <row r="369" spans="1:17" ht="16.5" thickBot="1" x14ac:dyDescent="0.3">
      <c r="A369" s="52" t="s">
        <v>100</v>
      </c>
      <c r="B369" s="53" t="s">
        <v>96</v>
      </c>
      <c r="C369" s="57">
        <f t="shared" si="72"/>
        <v>0.39013157894736838</v>
      </c>
      <c r="D369" s="57">
        <f t="shared" si="72"/>
        <v>0.53092105263157896</v>
      </c>
      <c r="E369" s="57">
        <f t="shared" si="72"/>
        <v>0.46447368421052626</v>
      </c>
      <c r="F369" s="67">
        <f t="shared" si="70"/>
        <v>1.3855263157894737</v>
      </c>
      <c r="G369" s="57" t="s">
        <v>176</v>
      </c>
      <c r="H369" s="61" t="s">
        <v>177</v>
      </c>
      <c r="I369" s="57">
        <f t="shared" si="73"/>
        <v>0.41428571428571426</v>
      </c>
      <c r="J369" s="57">
        <f t="shared" si="73"/>
        <v>0.51233766233766243</v>
      </c>
      <c r="K369" s="57">
        <f t="shared" si="73"/>
        <v>0.62142857142857144</v>
      </c>
      <c r="L369" s="67">
        <f t="shared" si="71"/>
        <v>1.5480519480519481</v>
      </c>
      <c r="M369" s="593"/>
      <c r="N369" s="62"/>
      <c r="O369" s="63"/>
      <c r="P369" s="64"/>
      <c r="Q369" s="42"/>
    </row>
    <row r="370" spans="1:17" x14ac:dyDescent="0.25">
      <c r="A370" s="52" t="s">
        <v>104</v>
      </c>
      <c r="B370" s="53" t="s">
        <v>95</v>
      </c>
      <c r="C370" s="57">
        <f>C366/($A366/7)</f>
        <v>3.0924050632911393</v>
      </c>
      <c r="D370" s="57">
        <f>D366/($A366/7)</f>
        <v>3.3987341772151898</v>
      </c>
      <c r="E370" s="57">
        <f>E366/($A366/7)</f>
        <v>2.3291139240506329</v>
      </c>
      <c r="F370" s="67">
        <f t="shared" si="70"/>
        <v>8.8202531645569628</v>
      </c>
      <c r="G370" s="65" t="s">
        <v>175</v>
      </c>
      <c r="H370" s="61" t="s">
        <v>178</v>
      </c>
      <c r="I370" s="57">
        <f t="shared" ref="I370:K371" si="74">I366/($H366/7.7)</f>
        <v>4.1048300536672633</v>
      </c>
      <c r="J370" s="57">
        <f t="shared" si="74"/>
        <v>4.690250447227192</v>
      </c>
      <c r="K370" s="57">
        <f t="shared" si="74"/>
        <v>4.2129606440071559</v>
      </c>
      <c r="L370" s="67">
        <f t="shared" si="71"/>
        <v>13.008041144901611</v>
      </c>
      <c r="M370" s="593"/>
      <c r="N370" s="604"/>
      <c r="O370" s="604"/>
      <c r="P370" s="604"/>
      <c r="Q370" s="42"/>
    </row>
    <row r="371" spans="1:17" x14ac:dyDescent="0.25">
      <c r="A371" s="52" t="s">
        <v>104</v>
      </c>
      <c r="B371" s="53" t="s">
        <v>96</v>
      </c>
      <c r="C371" s="57">
        <f>C367/($A367/7.7)</f>
        <v>3.0040131578947364</v>
      </c>
      <c r="D371" s="57">
        <f>D367/($A367/7.7)</f>
        <v>4.0880921052631578</v>
      </c>
      <c r="E371" s="57">
        <f>E367/($A367/7.7)</f>
        <v>3.5764473684210523</v>
      </c>
      <c r="F371" s="67">
        <f t="shared" si="70"/>
        <v>10.668552631578946</v>
      </c>
      <c r="G371" s="57" t="s">
        <v>176</v>
      </c>
      <c r="H371" s="61" t="s">
        <v>178</v>
      </c>
      <c r="I371" s="57">
        <f t="shared" si="74"/>
        <v>3.19</v>
      </c>
      <c r="J371" s="57">
        <f t="shared" si="74"/>
        <v>3.9450000000000003</v>
      </c>
      <c r="K371" s="57">
        <f t="shared" si="74"/>
        <v>4.7850000000000001</v>
      </c>
      <c r="L371" s="67">
        <f t="shared" si="71"/>
        <v>11.92</v>
      </c>
      <c r="M371" s="593"/>
      <c r="N371" s="593"/>
      <c r="O371" s="593"/>
      <c r="P371" s="593"/>
      <c r="Q371" s="42"/>
    </row>
    <row r="372" spans="1:17" x14ac:dyDescent="0.25">
      <c r="A372" s="52" t="s">
        <v>135</v>
      </c>
      <c r="B372" s="53" t="s">
        <v>95</v>
      </c>
      <c r="C372" s="66">
        <f>C366/((($A366*$B363)*(1-$B360))/$B358)</f>
        <v>8.2088539046151043E-2</v>
      </c>
      <c r="D372" s="66">
        <f>D366/((($A366*$B363)*(1-$B360))/$B358)</f>
        <v>9.022010943058352E-2</v>
      </c>
      <c r="E372" s="66">
        <f>E366/((($A366*$B363)*(1-$B360))/$B358)</f>
        <v>6.1826816146098203E-2</v>
      </c>
      <c r="F372" s="67">
        <f t="shared" si="70"/>
        <v>0.23413546462283275</v>
      </c>
      <c r="G372" s="66" t="s">
        <v>175</v>
      </c>
      <c r="H372" s="68" t="s">
        <v>179</v>
      </c>
      <c r="I372" s="66">
        <f>I366/((($H366*$B363)*(1-$B360))/$B358)</f>
        <v>9.9057792836393654E-2</v>
      </c>
      <c r="J372" s="66">
        <f>J366/((($H366*$B363)*(1-$B360))/$B358)</f>
        <v>0.11318516262010753</v>
      </c>
      <c r="K372" s="66">
        <f>K366/((($H366*$B363)*(1-$B360))/$B358)</f>
        <v>0.10166720113762082</v>
      </c>
      <c r="L372" s="67">
        <f t="shared" si="71"/>
        <v>0.31391015659412203</v>
      </c>
      <c r="M372" s="593"/>
      <c r="N372" s="593"/>
      <c r="O372" s="593"/>
      <c r="P372" s="593"/>
      <c r="Q372" s="42"/>
    </row>
    <row r="373" spans="1:17" x14ac:dyDescent="0.25">
      <c r="A373" s="52" t="s">
        <v>135</v>
      </c>
      <c r="B373" s="53" t="s">
        <v>96</v>
      </c>
      <c r="C373" s="66">
        <f>C367/((($A367*$B363)*(1-$B360))/$B358)</f>
        <v>7.2492870394643291E-2</v>
      </c>
      <c r="D373" s="66">
        <f>D367/((($A367*$B363)*(1-$B360))/$B358)</f>
        <v>9.865387252694291E-2</v>
      </c>
      <c r="E373" s="66">
        <f>E367/((($A367*$B363)*(1-$B360))/$B358)</f>
        <v>8.6306857501885603E-2</v>
      </c>
      <c r="F373" s="67">
        <f t="shared" si="70"/>
        <v>0.25745360042347182</v>
      </c>
      <c r="G373" s="66" t="s">
        <v>176</v>
      </c>
      <c r="H373" s="68" t="s">
        <v>179</v>
      </c>
      <c r="I373" s="66">
        <f>I367/((($H367*$B363)*(1-$B360))/$B358)</f>
        <v>7.698110640799509E-2</v>
      </c>
      <c r="J373" s="66">
        <f>J367/((($H367*$B363)*(1-$B360))/$B358)</f>
        <v>9.5200772658163207E-2</v>
      </c>
      <c r="K373" s="66">
        <f>K367/((($H367*$B363)*(1-$B360))/$B358)</f>
        <v>0.11547165961199264</v>
      </c>
      <c r="L373" s="67">
        <f t="shared" si="71"/>
        <v>0.28765353867815091</v>
      </c>
      <c r="M373" s="593"/>
      <c r="N373" s="593"/>
      <c r="O373" s="593"/>
      <c r="P373" s="593"/>
      <c r="Q373" s="42"/>
    </row>
    <row r="374" spans="1:17" x14ac:dyDescent="0.25">
      <c r="A374" s="612"/>
      <c r="B374" s="612"/>
      <c r="C374" s="612"/>
      <c r="D374" s="612"/>
      <c r="E374" s="612"/>
      <c r="F374" s="612"/>
      <c r="G374" s="612"/>
      <c r="H374" s="612"/>
      <c r="I374" s="612"/>
      <c r="J374" s="612"/>
      <c r="K374" s="612"/>
      <c r="L374" s="612"/>
      <c r="M374" s="612"/>
      <c r="N374" s="612"/>
      <c r="O374" s="612"/>
      <c r="P374" s="612"/>
      <c r="Q374" s="612"/>
    </row>
    <row r="375" spans="1:17" ht="21" x14ac:dyDescent="0.35">
      <c r="A375" s="43"/>
      <c r="B375" s="613" t="s">
        <v>182</v>
      </c>
      <c r="C375" s="614"/>
      <c r="D375" s="614"/>
      <c r="E375" s="614"/>
      <c r="F375" s="614"/>
      <c r="G375" s="614"/>
      <c r="H375" s="614"/>
      <c r="I375" s="614"/>
      <c r="J375" s="614"/>
      <c r="K375" s="614"/>
      <c r="L375" s="615"/>
      <c r="M375" s="593" t="s">
        <v>97</v>
      </c>
      <c r="N375" s="585" t="s">
        <v>183</v>
      </c>
      <c r="O375" s="585"/>
      <c r="P375" s="585"/>
      <c r="Q375" s="42"/>
    </row>
    <row r="376" spans="1:17" x14ac:dyDescent="0.25">
      <c r="A376" s="44"/>
      <c r="B376" s="590" t="s">
        <v>115</v>
      </c>
      <c r="C376" s="591"/>
      <c r="D376" s="591"/>
      <c r="E376" s="591"/>
      <c r="F376" s="591"/>
      <c r="G376" s="591"/>
      <c r="H376" s="591"/>
      <c r="I376" s="591"/>
      <c r="J376" s="591"/>
      <c r="K376" s="591"/>
      <c r="L376" s="592"/>
      <c r="M376" s="593"/>
      <c r="N376" s="585"/>
      <c r="O376" s="585"/>
      <c r="P376" s="585"/>
      <c r="Q376" s="42"/>
    </row>
    <row r="377" spans="1:17" x14ac:dyDescent="0.25">
      <c r="A377" s="2" t="s">
        <v>106</v>
      </c>
      <c r="B377" s="594">
        <v>17.5</v>
      </c>
      <c r="C377" s="595"/>
      <c r="D377" s="595"/>
      <c r="E377" s="595"/>
      <c r="F377" s="595"/>
      <c r="G377" s="595"/>
      <c r="H377" s="595"/>
      <c r="I377" s="595"/>
      <c r="J377" s="595"/>
      <c r="K377" s="595"/>
      <c r="L377" s="596"/>
      <c r="M377" s="593"/>
      <c r="N377" s="585"/>
      <c r="O377" s="585"/>
      <c r="P377" s="585"/>
      <c r="Q377" s="42"/>
    </row>
    <row r="378" spans="1:17" x14ac:dyDescent="0.25">
      <c r="A378" s="2" t="s">
        <v>112</v>
      </c>
      <c r="B378" s="597">
        <v>0.22</v>
      </c>
      <c r="C378" s="598"/>
      <c r="D378" s="598"/>
      <c r="E378" s="598"/>
      <c r="F378" s="598"/>
      <c r="G378" s="598"/>
      <c r="H378" s="598"/>
      <c r="I378" s="598"/>
      <c r="J378" s="598"/>
      <c r="K378" s="598"/>
      <c r="L378" s="599"/>
      <c r="M378" s="593"/>
      <c r="N378" s="585"/>
      <c r="O378" s="585"/>
      <c r="P378" s="585"/>
      <c r="Q378" s="42"/>
    </row>
    <row r="379" spans="1:17" ht="15.75" thickBot="1" x14ac:dyDescent="0.3">
      <c r="A379" s="2" t="s">
        <v>107</v>
      </c>
      <c r="B379" s="594">
        <f>B377-(B377*B378)</f>
        <v>13.65</v>
      </c>
      <c r="C379" s="595"/>
      <c r="D379" s="595"/>
      <c r="E379" s="595"/>
      <c r="F379" s="595"/>
      <c r="G379" s="595"/>
      <c r="H379" s="595"/>
      <c r="I379" s="595"/>
      <c r="J379" s="595"/>
      <c r="K379" s="595"/>
      <c r="L379" s="596"/>
      <c r="M379" s="593"/>
      <c r="N379" s="586"/>
      <c r="O379" s="586"/>
      <c r="P379" s="586"/>
      <c r="Q379" s="42"/>
    </row>
    <row r="380" spans="1:17" x14ac:dyDescent="0.25">
      <c r="A380" s="2" t="s">
        <v>108</v>
      </c>
      <c r="B380" s="600">
        <f>B383/B379</f>
        <v>0.93114395604395617</v>
      </c>
      <c r="C380" s="601"/>
      <c r="D380" s="601"/>
      <c r="E380" s="601"/>
      <c r="F380" s="601"/>
      <c r="G380" s="601"/>
      <c r="H380" s="601"/>
      <c r="I380" s="601"/>
      <c r="J380" s="601"/>
      <c r="K380" s="601"/>
      <c r="L380" s="602"/>
      <c r="M380" s="593"/>
      <c r="N380" s="605"/>
      <c r="O380" s="45"/>
      <c r="P380" s="607"/>
      <c r="Q380" s="42"/>
    </row>
    <row r="381" spans="1:17" ht="15.75" thickBot="1" x14ac:dyDescent="0.3">
      <c r="A381" s="2" t="s">
        <v>113</v>
      </c>
      <c r="B381" s="594">
        <f>B385*2.853</f>
        <v>42.795000000000002</v>
      </c>
      <c r="C381" s="595"/>
      <c r="D381" s="595"/>
      <c r="E381" s="595"/>
      <c r="F381" s="595"/>
      <c r="G381" s="595"/>
      <c r="H381" s="595"/>
      <c r="I381" s="595"/>
      <c r="J381" s="595"/>
      <c r="K381" s="595"/>
      <c r="L381" s="603"/>
      <c r="M381" s="593"/>
      <c r="N381" s="606"/>
      <c r="O381" s="46"/>
      <c r="P381" s="608"/>
      <c r="Q381" s="42"/>
    </row>
    <row r="382" spans="1:17" ht="15.75" thickBot="1" x14ac:dyDescent="0.3">
      <c r="A382" s="2" t="s">
        <v>109</v>
      </c>
      <c r="B382" s="600">
        <v>0.70299999999999996</v>
      </c>
      <c r="C382" s="601"/>
      <c r="D382" s="601"/>
      <c r="E382" s="601"/>
      <c r="F382" s="601"/>
      <c r="G382" s="601"/>
      <c r="H382" s="601"/>
      <c r="I382" s="601"/>
      <c r="J382" s="601"/>
      <c r="K382" s="601"/>
      <c r="L382" s="602"/>
      <c r="M382" s="593"/>
      <c r="N382" s="47"/>
      <c r="O382" s="48"/>
      <c r="P382" s="46"/>
      <c r="Q382" s="42"/>
    </row>
    <row r="383" spans="1:17" ht="15.75" thickBot="1" x14ac:dyDescent="0.3">
      <c r="A383" s="2" t="s">
        <v>122</v>
      </c>
      <c r="B383" s="594">
        <f>B381-(B381*B382)</f>
        <v>12.710115000000002</v>
      </c>
      <c r="C383" s="595"/>
      <c r="D383" s="595"/>
      <c r="E383" s="595"/>
      <c r="F383" s="595"/>
      <c r="G383" s="595"/>
      <c r="H383" s="595"/>
      <c r="I383" s="595"/>
      <c r="J383" s="595"/>
      <c r="K383" s="595"/>
      <c r="L383" s="603"/>
      <c r="M383" s="593"/>
      <c r="N383" s="47"/>
      <c r="O383" s="48"/>
      <c r="P383" s="49"/>
      <c r="Q383" s="42"/>
    </row>
    <row r="384" spans="1:17" ht="15.75" thickBot="1" x14ac:dyDescent="0.3">
      <c r="A384" s="2" t="s">
        <v>110</v>
      </c>
      <c r="B384" s="587">
        <v>139</v>
      </c>
      <c r="C384" s="588"/>
      <c r="D384" s="588"/>
      <c r="E384" s="588"/>
      <c r="F384" s="588"/>
      <c r="G384" s="588"/>
      <c r="H384" s="588"/>
      <c r="I384" s="588"/>
      <c r="J384" s="588"/>
      <c r="K384" s="588"/>
      <c r="L384" s="589"/>
      <c r="M384" s="593"/>
      <c r="N384" s="47"/>
      <c r="O384" s="48"/>
      <c r="P384" s="49"/>
      <c r="Q384" s="42"/>
    </row>
    <row r="385" spans="1:17" x14ac:dyDescent="0.25">
      <c r="A385" s="2" t="s">
        <v>111</v>
      </c>
      <c r="B385" s="587">
        <v>15</v>
      </c>
      <c r="C385" s="588"/>
      <c r="D385" s="588"/>
      <c r="E385" s="588"/>
      <c r="F385" s="588"/>
      <c r="G385" s="588"/>
      <c r="H385" s="588"/>
      <c r="I385" s="588"/>
      <c r="J385" s="588"/>
      <c r="K385" s="588"/>
      <c r="L385" s="589"/>
      <c r="M385" s="593"/>
      <c r="N385" s="50"/>
      <c r="O385" s="624"/>
      <c r="P385" s="625"/>
      <c r="Q385" s="42"/>
    </row>
    <row r="386" spans="1:17" ht="15.75" thickBot="1" x14ac:dyDescent="0.3">
      <c r="A386" s="587" t="s">
        <v>127</v>
      </c>
      <c r="B386" s="588"/>
      <c r="C386" s="588"/>
      <c r="D386" s="588"/>
      <c r="E386" s="589"/>
      <c r="F386" s="51"/>
      <c r="G386" s="587" t="s">
        <v>128</v>
      </c>
      <c r="H386" s="588"/>
      <c r="I386" s="588"/>
      <c r="J386" s="588"/>
      <c r="K386" s="589"/>
      <c r="L386" s="51"/>
      <c r="M386" s="593"/>
      <c r="N386" s="47"/>
      <c r="O386" s="606"/>
      <c r="P386" s="611"/>
      <c r="Q386" s="42"/>
    </row>
    <row r="387" spans="1:17" ht="15.75" thickBot="1" x14ac:dyDescent="0.3">
      <c r="A387" s="52" t="s">
        <v>98</v>
      </c>
      <c r="B387" s="53" t="s">
        <v>102</v>
      </c>
      <c r="C387" s="53" t="s">
        <v>92</v>
      </c>
      <c r="D387" s="53" t="s">
        <v>93</v>
      </c>
      <c r="E387" s="53" t="s">
        <v>94</v>
      </c>
      <c r="F387" s="54" t="s">
        <v>99</v>
      </c>
      <c r="G387" s="53" t="s">
        <v>102</v>
      </c>
      <c r="H387" s="55" t="s">
        <v>98</v>
      </c>
      <c r="I387" s="53" t="s">
        <v>92</v>
      </c>
      <c r="J387" s="53" t="s">
        <v>93</v>
      </c>
      <c r="K387" s="53" t="s">
        <v>94</v>
      </c>
      <c r="L387" s="54" t="s">
        <v>99</v>
      </c>
      <c r="M387" s="593"/>
      <c r="N387" s="47"/>
      <c r="O387" s="48"/>
      <c r="P387" s="49"/>
      <c r="Q387" s="42"/>
    </row>
    <row r="388" spans="1:17" ht="15.75" thickBot="1" x14ac:dyDescent="0.3">
      <c r="A388" s="56">
        <v>1278</v>
      </c>
      <c r="B388" s="53" t="s">
        <v>95</v>
      </c>
      <c r="C388" s="57">
        <v>579.20000000000005</v>
      </c>
      <c r="D388" s="57">
        <v>715.5</v>
      </c>
      <c r="E388" s="57">
        <v>696.5</v>
      </c>
      <c r="F388" s="58">
        <f t="shared" ref="F388:F395" si="75">SUM(C388:E388)</f>
        <v>1991.2</v>
      </c>
      <c r="G388" s="57" t="s">
        <v>175</v>
      </c>
      <c r="H388" s="59">
        <v>1271</v>
      </c>
      <c r="I388" s="57">
        <v>675.4</v>
      </c>
      <c r="J388" s="57">
        <v>771.1</v>
      </c>
      <c r="K388" s="57">
        <v>527.9</v>
      </c>
      <c r="L388" s="58">
        <f>SUM(I388:K388)</f>
        <v>1974.4</v>
      </c>
      <c r="M388" s="593"/>
      <c r="N388" s="47"/>
      <c r="O388" s="48"/>
      <c r="P388" s="46"/>
      <c r="Q388" s="42"/>
    </row>
    <row r="389" spans="1:17" ht="15.75" thickBot="1" x14ac:dyDescent="0.3">
      <c r="A389" s="56">
        <v>151</v>
      </c>
      <c r="B389" s="53" t="s">
        <v>96</v>
      </c>
      <c r="C389" s="57">
        <v>61.2</v>
      </c>
      <c r="D389" s="57">
        <v>58.4</v>
      </c>
      <c r="E389" s="57">
        <v>28.2</v>
      </c>
      <c r="F389" s="58">
        <f t="shared" si="75"/>
        <v>147.79999999999998</v>
      </c>
      <c r="G389" s="57" t="s">
        <v>176</v>
      </c>
      <c r="H389" s="60">
        <v>139</v>
      </c>
      <c r="I389" s="57">
        <v>110</v>
      </c>
      <c r="J389" s="57">
        <v>42.4</v>
      </c>
      <c r="K389" s="57">
        <v>7.8</v>
      </c>
      <c r="L389" s="58">
        <f t="shared" ref="L389:L395" si="76">SUM(I389:K389)</f>
        <v>160.20000000000002</v>
      </c>
      <c r="M389" s="593"/>
      <c r="N389" s="47"/>
      <c r="O389" s="48"/>
      <c r="P389" s="46"/>
      <c r="Q389" s="42"/>
    </row>
    <row r="390" spans="1:17" ht="15.75" thickBot="1" x14ac:dyDescent="0.3">
      <c r="A390" s="52" t="s">
        <v>100</v>
      </c>
      <c r="B390" s="53" t="s">
        <v>95</v>
      </c>
      <c r="C390" s="57">
        <f t="shared" ref="C390:E391" si="77">C388/$A388</f>
        <v>0.45320813771517998</v>
      </c>
      <c r="D390" s="57">
        <f t="shared" si="77"/>
        <v>0.5598591549295775</v>
      </c>
      <c r="E390" s="57">
        <f t="shared" si="77"/>
        <v>0.54499217527386545</v>
      </c>
      <c r="F390" s="67">
        <f t="shared" si="75"/>
        <v>1.558059467918623</v>
      </c>
      <c r="G390" s="57" t="s">
        <v>175</v>
      </c>
      <c r="H390" s="61" t="s">
        <v>177</v>
      </c>
      <c r="I390" s="57">
        <f t="shared" ref="I390:K391" si="78">I388/$H388</f>
        <v>0.53139260424862311</v>
      </c>
      <c r="J390" s="57">
        <f t="shared" si="78"/>
        <v>0.60668764752163651</v>
      </c>
      <c r="K390" s="57">
        <f t="shared" si="78"/>
        <v>0.41534225019669552</v>
      </c>
      <c r="L390" s="67">
        <f t="shared" si="76"/>
        <v>1.5534225019669552</v>
      </c>
      <c r="M390" s="593"/>
      <c r="N390" s="47"/>
      <c r="O390" s="48"/>
      <c r="P390" s="46"/>
      <c r="Q390" s="42"/>
    </row>
    <row r="391" spans="1:17" ht="16.5" thickBot="1" x14ac:dyDescent="0.3">
      <c r="A391" s="52" t="s">
        <v>100</v>
      </c>
      <c r="B391" s="53" t="s">
        <v>96</v>
      </c>
      <c r="C391" s="57">
        <f t="shared" si="77"/>
        <v>0.40529801324503312</v>
      </c>
      <c r="D391" s="57">
        <f t="shared" si="77"/>
        <v>0.38675496688741723</v>
      </c>
      <c r="E391" s="57">
        <f t="shared" si="77"/>
        <v>0.18675496688741722</v>
      </c>
      <c r="F391" s="67">
        <f t="shared" si="75"/>
        <v>0.97880794701986751</v>
      </c>
      <c r="G391" s="57" t="s">
        <v>176</v>
      </c>
      <c r="H391" s="61" t="s">
        <v>177</v>
      </c>
      <c r="I391" s="57">
        <f t="shared" si="78"/>
        <v>0.79136690647482011</v>
      </c>
      <c r="J391" s="57">
        <f t="shared" si="78"/>
        <v>0.30503597122302156</v>
      </c>
      <c r="K391" s="57">
        <f t="shared" si="78"/>
        <v>5.6115107913669061E-2</v>
      </c>
      <c r="L391" s="67">
        <f t="shared" si="76"/>
        <v>1.1525179856115106</v>
      </c>
      <c r="M391" s="593"/>
      <c r="N391" s="62"/>
      <c r="O391" s="63"/>
      <c r="P391" s="64"/>
      <c r="Q391" s="42"/>
    </row>
    <row r="392" spans="1:17" x14ac:dyDescent="0.25">
      <c r="A392" s="52" t="s">
        <v>104</v>
      </c>
      <c r="B392" s="53" t="s">
        <v>95</v>
      </c>
      <c r="C392" s="57">
        <f>C388/($A388/7)</f>
        <v>3.1724569640062596</v>
      </c>
      <c r="D392" s="57">
        <f>D388/($A388/7)</f>
        <v>3.919014084507042</v>
      </c>
      <c r="E392" s="57">
        <f>E388/($A388/7)</f>
        <v>3.8149452269170578</v>
      </c>
      <c r="F392" s="67">
        <f t="shared" si="75"/>
        <v>10.90641627543036</v>
      </c>
      <c r="G392" s="65" t="s">
        <v>175</v>
      </c>
      <c r="H392" s="61" t="s">
        <v>178</v>
      </c>
      <c r="I392" s="57">
        <f t="shared" ref="I392:K393" si="79">I388/($H388/7.7)</f>
        <v>4.0917230527143982</v>
      </c>
      <c r="J392" s="57">
        <f t="shared" si="79"/>
        <v>4.6714948859166014</v>
      </c>
      <c r="K392" s="57">
        <f t="shared" si="79"/>
        <v>3.1981353265145551</v>
      </c>
      <c r="L392" s="67">
        <f t="shared" si="76"/>
        <v>11.961353265145554</v>
      </c>
      <c r="M392" s="593"/>
      <c r="N392" s="604"/>
      <c r="O392" s="604"/>
      <c r="P392" s="604"/>
      <c r="Q392" s="42"/>
    </row>
    <row r="393" spans="1:17" x14ac:dyDescent="0.25">
      <c r="A393" s="52" t="s">
        <v>104</v>
      </c>
      <c r="B393" s="53" t="s">
        <v>96</v>
      </c>
      <c r="C393" s="57">
        <f>C389/($A389/7.7)</f>
        <v>3.120794701986755</v>
      </c>
      <c r="D393" s="57">
        <f>D389/($A389/7.7)</f>
        <v>2.9780132450331127</v>
      </c>
      <c r="E393" s="57">
        <f>E389/($A389/7.7)</f>
        <v>1.4380132450331125</v>
      </c>
      <c r="F393" s="67">
        <f t="shared" si="75"/>
        <v>7.5368211920529804</v>
      </c>
      <c r="G393" s="57" t="s">
        <v>176</v>
      </c>
      <c r="H393" s="61" t="s">
        <v>178</v>
      </c>
      <c r="I393" s="57">
        <f t="shared" si="79"/>
        <v>6.0935251798561145</v>
      </c>
      <c r="J393" s="57">
        <f t="shared" si="79"/>
        <v>2.3487769784172658</v>
      </c>
      <c r="K393" s="57">
        <f t="shared" si="79"/>
        <v>0.43208633093525178</v>
      </c>
      <c r="L393" s="67">
        <f t="shared" si="76"/>
        <v>8.8743884892086324</v>
      </c>
      <c r="M393" s="593"/>
      <c r="N393" s="593"/>
      <c r="O393" s="593"/>
      <c r="P393" s="593"/>
      <c r="Q393" s="42"/>
    </row>
    <row r="394" spans="1:17" x14ac:dyDescent="0.25">
      <c r="A394" s="52" t="s">
        <v>135</v>
      </c>
      <c r="B394" s="53" t="s">
        <v>95</v>
      </c>
      <c r="C394" s="66">
        <f>C388/((($A388*$B385)*(1-$B382))/$B380)</f>
        <v>9.4725481091678276E-2</v>
      </c>
      <c r="D394" s="66">
        <f>D388/((($A388*$B385)*(1-$B382))/$B380)</f>
        <v>0.1170167156786875</v>
      </c>
      <c r="E394" s="66">
        <f>E388/((($A388*$B385)*(1-$B382))/$B380)</f>
        <v>0.11390935355724088</v>
      </c>
      <c r="F394" s="67">
        <f t="shared" si="75"/>
        <v>0.32565155032760662</v>
      </c>
      <c r="G394" s="66" t="s">
        <v>175</v>
      </c>
      <c r="H394" s="68" t="s">
        <v>179</v>
      </c>
      <c r="I394" s="66">
        <f>I388/((($H388*$B385)*(1-$B382))/$B380)</f>
        <v>0.11106689376712979</v>
      </c>
      <c r="J394" s="66">
        <f>J388/((($H388*$B385)*(1-$B382))/$B380)</f>
        <v>0.12680438522924753</v>
      </c>
      <c r="K394" s="66">
        <f>K388/((($H388*$B385)*(1-$B382))/$B380)</f>
        <v>8.6811094491660967E-2</v>
      </c>
      <c r="L394" s="67">
        <f t="shared" si="76"/>
        <v>0.3246823734880383</v>
      </c>
      <c r="M394" s="593"/>
      <c r="N394" s="593"/>
      <c r="O394" s="593"/>
      <c r="P394" s="593"/>
      <c r="Q394" s="42"/>
    </row>
    <row r="395" spans="1:17" x14ac:dyDescent="0.25">
      <c r="A395" s="52" t="s">
        <v>135</v>
      </c>
      <c r="B395" s="53" t="s">
        <v>96</v>
      </c>
      <c r="C395" s="66">
        <f>C389/((($A389*$B385)*(1-$B382))/$B380)</f>
        <v>8.4711738592533295E-2</v>
      </c>
      <c r="D395" s="66">
        <f>D389/((($A389*$B385)*(1-$B382))/$B380)</f>
        <v>8.083603813405138E-2</v>
      </c>
      <c r="E395" s="66">
        <f>E389/((($A389*$B385)*(1-$B382))/$B380)</f>
        <v>3.903384033185358E-2</v>
      </c>
      <c r="F395" s="67">
        <f t="shared" si="75"/>
        <v>0.20458161705843825</v>
      </c>
      <c r="G395" s="66" t="s">
        <v>176</v>
      </c>
      <c r="H395" s="68" t="s">
        <v>179</v>
      </c>
      <c r="I395" s="66">
        <f>I389/((($H389*$B385)*(1-$B382))/$B380)</f>
        <v>0.16540437979286898</v>
      </c>
      <c r="J395" s="66">
        <f>J389/((($H389*$B385)*(1-$B382))/$B380)</f>
        <v>6.3755870029251316E-2</v>
      </c>
      <c r="K395" s="66">
        <f>K389/((($H389*$B385)*(1-$B382))/$B380)</f>
        <v>1.1728674203494346E-2</v>
      </c>
      <c r="L395" s="67">
        <f t="shared" si="76"/>
        <v>0.24088892402561465</v>
      </c>
      <c r="M395" s="593"/>
      <c r="N395" s="593"/>
      <c r="O395" s="593"/>
      <c r="P395" s="593"/>
      <c r="Q395" s="42"/>
    </row>
    <row r="396" spans="1:17" x14ac:dyDescent="0.25">
      <c r="A396" s="612"/>
      <c r="B396" s="612"/>
      <c r="C396" s="612"/>
      <c r="D396" s="612"/>
      <c r="E396" s="612"/>
      <c r="F396" s="612"/>
      <c r="G396" s="612"/>
      <c r="H396" s="612"/>
      <c r="I396" s="612"/>
      <c r="J396" s="612"/>
      <c r="K396" s="612"/>
      <c r="L396" s="612"/>
      <c r="M396" s="612"/>
      <c r="N396" s="612"/>
      <c r="O396" s="612"/>
      <c r="P396" s="612"/>
      <c r="Q396" s="612"/>
    </row>
    <row r="397" spans="1:17" ht="21" x14ac:dyDescent="0.35">
      <c r="A397" s="43"/>
      <c r="B397" s="613" t="s">
        <v>184</v>
      </c>
      <c r="C397" s="614"/>
      <c r="D397" s="614"/>
      <c r="E397" s="614"/>
      <c r="F397" s="614"/>
      <c r="G397" s="614"/>
      <c r="H397" s="614"/>
      <c r="I397" s="614"/>
      <c r="J397" s="614"/>
      <c r="K397" s="614"/>
      <c r="L397" s="615"/>
      <c r="M397" s="593" t="s">
        <v>97</v>
      </c>
      <c r="N397" s="585" t="s">
        <v>185</v>
      </c>
      <c r="O397" s="585"/>
      <c r="P397" s="585"/>
      <c r="Q397" s="42"/>
    </row>
    <row r="398" spans="1:17" x14ac:dyDescent="0.25">
      <c r="A398" s="44"/>
      <c r="B398" s="590" t="s">
        <v>115</v>
      </c>
      <c r="C398" s="591"/>
      <c r="D398" s="591"/>
      <c r="E398" s="591"/>
      <c r="F398" s="591"/>
      <c r="G398" s="591"/>
      <c r="H398" s="591"/>
      <c r="I398" s="591"/>
      <c r="J398" s="591"/>
      <c r="K398" s="591"/>
      <c r="L398" s="592"/>
      <c r="M398" s="593"/>
      <c r="N398" s="585"/>
      <c r="O398" s="585"/>
      <c r="P398" s="585"/>
      <c r="Q398" s="42"/>
    </row>
    <row r="399" spans="1:17" x14ac:dyDescent="0.25">
      <c r="A399" s="2" t="s">
        <v>106</v>
      </c>
      <c r="B399" s="594">
        <v>15.68</v>
      </c>
      <c r="C399" s="595"/>
      <c r="D399" s="595"/>
      <c r="E399" s="595"/>
      <c r="F399" s="595"/>
      <c r="G399" s="595"/>
      <c r="H399" s="595"/>
      <c r="I399" s="595"/>
      <c r="J399" s="595"/>
      <c r="K399" s="595"/>
      <c r="L399" s="596"/>
      <c r="M399" s="593"/>
      <c r="N399" s="585"/>
      <c r="O399" s="585"/>
      <c r="P399" s="585"/>
      <c r="Q399" s="42"/>
    </row>
    <row r="400" spans="1:17" x14ac:dyDescent="0.25">
      <c r="A400" s="2" t="s">
        <v>112</v>
      </c>
      <c r="B400" s="597">
        <v>0.1</v>
      </c>
      <c r="C400" s="598"/>
      <c r="D400" s="598"/>
      <c r="E400" s="598"/>
      <c r="F400" s="598"/>
      <c r="G400" s="598"/>
      <c r="H400" s="598"/>
      <c r="I400" s="598"/>
      <c r="J400" s="598"/>
      <c r="K400" s="598"/>
      <c r="L400" s="599"/>
      <c r="M400" s="593"/>
      <c r="N400" s="585"/>
      <c r="O400" s="585"/>
      <c r="P400" s="585"/>
      <c r="Q400" s="42"/>
    </row>
    <row r="401" spans="1:17" ht="15.75" thickBot="1" x14ac:dyDescent="0.3">
      <c r="A401" s="2" t="s">
        <v>107</v>
      </c>
      <c r="B401" s="594">
        <f>B399-(B399*B400)</f>
        <v>14.112</v>
      </c>
      <c r="C401" s="595"/>
      <c r="D401" s="595"/>
      <c r="E401" s="595"/>
      <c r="F401" s="595"/>
      <c r="G401" s="595"/>
      <c r="H401" s="595"/>
      <c r="I401" s="595"/>
      <c r="J401" s="595"/>
      <c r="K401" s="595"/>
      <c r="L401" s="596"/>
      <c r="M401" s="593"/>
      <c r="N401" s="586"/>
      <c r="O401" s="586"/>
      <c r="P401" s="586"/>
      <c r="Q401" s="42"/>
    </row>
    <row r="402" spans="1:17" x14ac:dyDescent="0.25">
      <c r="A402" s="2" t="s">
        <v>108</v>
      </c>
      <c r="B402" s="600">
        <f>B405/B401</f>
        <v>0.84336734693877535</v>
      </c>
      <c r="C402" s="601"/>
      <c r="D402" s="601"/>
      <c r="E402" s="601"/>
      <c r="F402" s="601"/>
      <c r="G402" s="601"/>
      <c r="H402" s="601"/>
      <c r="I402" s="601"/>
      <c r="J402" s="601"/>
      <c r="K402" s="601"/>
      <c r="L402" s="602"/>
      <c r="M402" s="593"/>
      <c r="N402" s="605"/>
      <c r="O402" s="45"/>
      <c r="P402" s="607"/>
      <c r="Q402" s="42"/>
    </row>
    <row r="403" spans="1:17" ht="15.75" thickBot="1" x14ac:dyDescent="0.3">
      <c r="A403" s="2" t="s">
        <v>113</v>
      </c>
      <c r="B403" s="594">
        <f>B407*2.565</f>
        <v>37.192500000000003</v>
      </c>
      <c r="C403" s="595"/>
      <c r="D403" s="595"/>
      <c r="E403" s="595"/>
      <c r="F403" s="595"/>
      <c r="G403" s="595"/>
      <c r="H403" s="595"/>
      <c r="I403" s="595"/>
      <c r="J403" s="595"/>
      <c r="K403" s="595"/>
      <c r="L403" s="603"/>
      <c r="M403" s="593"/>
      <c r="N403" s="606"/>
      <c r="O403" s="46"/>
      <c r="P403" s="608"/>
      <c r="Q403" s="42"/>
    </row>
    <row r="404" spans="1:17" ht="15.75" thickBot="1" x14ac:dyDescent="0.3">
      <c r="A404" s="2" t="s">
        <v>109</v>
      </c>
      <c r="B404" s="600">
        <v>0.68</v>
      </c>
      <c r="C404" s="601"/>
      <c r="D404" s="601"/>
      <c r="E404" s="601"/>
      <c r="F404" s="601"/>
      <c r="G404" s="601"/>
      <c r="H404" s="601"/>
      <c r="I404" s="601"/>
      <c r="J404" s="601"/>
      <c r="K404" s="601"/>
      <c r="L404" s="602"/>
      <c r="M404" s="593"/>
      <c r="N404" s="47"/>
      <c r="O404" s="48"/>
      <c r="P404" s="46"/>
      <c r="Q404" s="42"/>
    </row>
    <row r="405" spans="1:17" ht="15.75" thickBot="1" x14ac:dyDescent="0.3">
      <c r="A405" s="2" t="s">
        <v>122</v>
      </c>
      <c r="B405" s="594">
        <f>B403-(B403*B404)</f>
        <v>11.901599999999998</v>
      </c>
      <c r="C405" s="595"/>
      <c r="D405" s="595"/>
      <c r="E405" s="595"/>
      <c r="F405" s="595"/>
      <c r="G405" s="595"/>
      <c r="H405" s="595"/>
      <c r="I405" s="595"/>
      <c r="J405" s="595"/>
      <c r="K405" s="595"/>
      <c r="L405" s="603"/>
      <c r="M405" s="593"/>
      <c r="N405" s="47"/>
      <c r="O405" s="48"/>
      <c r="P405" s="49"/>
      <c r="Q405" s="42"/>
    </row>
    <row r="406" spans="1:17" ht="15.75" thickBot="1" x14ac:dyDescent="0.3">
      <c r="A406" s="2" t="s">
        <v>110</v>
      </c>
      <c r="B406" s="587">
        <v>131</v>
      </c>
      <c r="C406" s="588"/>
      <c r="D406" s="588"/>
      <c r="E406" s="588"/>
      <c r="F406" s="588"/>
      <c r="G406" s="588"/>
      <c r="H406" s="588"/>
      <c r="I406" s="588"/>
      <c r="J406" s="588"/>
      <c r="K406" s="588"/>
      <c r="L406" s="589"/>
      <c r="M406" s="593"/>
      <c r="N406" s="47"/>
      <c r="O406" s="48"/>
      <c r="P406" s="49"/>
      <c r="Q406" s="42"/>
    </row>
    <row r="407" spans="1:17" x14ac:dyDescent="0.25">
      <c r="A407" s="2" t="s">
        <v>111</v>
      </c>
      <c r="B407" s="587">
        <v>14.5</v>
      </c>
      <c r="C407" s="588"/>
      <c r="D407" s="588"/>
      <c r="E407" s="588"/>
      <c r="F407" s="588"/>
      <c r="G407" s="588"/>
      <c r="H407" s="588"/>
      <c r="I407" s="588"/>
      <c r="J407" s="588"/>
      <c r="K407" s="588"/>
      <c r="L407" s="589"/>
      <c r="M407" s="593"/>
      <c r="N407" s="50"/>
      <c r="O407" s="624"/>
      <c r="P407" s="625"/>
      <c r="Q407" s="42"/>
    </row>
    <row r="408" spans="1:17" ht="15.75" thickBot="1" x14ac:dyDescent="0.3">
      <c r="A408" s="587" t="s">
        <v>127</v>
      </c>
      <c r="B408" s="588"/>
      <c r="C408" s="588"/>
      <c r="D408" s="588"/>
      <c r="E408" s="589"/>
      <c r="F408" s="51"/>
      <c r="G408" s="587" t="s">
        <v>128</v>
      </c>
      <c r="H408" s="588"/>
      <c r="I408" s="588"/>
      <c r="J408" s="588"/>
      <c r="K408" s="589"/>
      <c r="L408" s="51"/>
      <c r="M408" s="593"/>
      <c r="N408" s="47"/>
      <c r="O408" s="606"/>
      <c r="P408" s="611"/>
      <c r="Q408" s="42"/>
    </row>
    <row r="409" spans="1:17" ht="15.75" thickBot="1" x14ac:dyDescent="0.3">
      <c r="A409" s="52" t="s">
        <v>98</v>
      </c>
      <c r="B409" s="53" t="s">
        <v>102</v>
      </c>
      <c r="C409" s="53" t="s">
        <v>92</v>
      </c>
      <c r="D409" s="53" t="s">
        <v>93</v>
      </c>
      <c r="E409" s="53" t="s">
        <v>94</v>
      </c>
      <c r="F409" s="54" t="s">
        <v>99</v>
      </c>
      <c r="G409" s="53" t="s">
        <v>102</v>
      </c>
      <c r="H409" s="55" t="s">
        <v>98</v>
      </c>
      <c r="I409" s="53" t="s">
        <v>92</v>
      </c>
      <c r="J409" s="53" t="s">
        <v>93</v>
      </c>
      <c r="K409" s="53" t="s">
        <v>94</v>
      </c>
      <c r="L409" s="54" t="s">
        <v>99</v>
      </c>
      <c r="M409" s="593"/>
      <c r="N409" s="47"/>
      <c r="O409" s="48"/>
      <c r="P409" s="49"/>
      <c r="Q409" s="42"/>
    </row>
    <row r="410" spans="1:17" ht="15.75" thickBot="1" x14ac:dyDescent="0.3">
      <c r="A410" s="56">
        <v>1155</v>
      </c>
      <c r="B410" s="53" t="s">
        <v>95</v>
      </c>
      <c r="C410" s="57">
        <v>821.8</v>
      </c>
      <c r="D410" s="57">
        <v>1193.7</v>
      </c>
      <c r="E410" s="57">
        <v>502.3</v>
      </c>
      <c r="F410" s="58">
        <f t="shared" ref="F410:F417" si="80">SUM(C410:E410)</f>
        <v>2517.8000000000002</v>
      </c>
      <c r="G410" s="57" t="s">
        <v>175</v>
      </c>
      <c r="H410" s="59">
        <v>1193</v>
      </c>
      <c r="I410" s="57">
        <v>1469.5</v>
      </c>
      <c r="J410" s="57">
        <v>1035.5999999999999</v>
      </c>
      <c r="K410" s="57">
        <v>831.4</v>
      </c>
      <c r="L410" s="58">
        <f>SUM(I410:K410)</f>
        <v>3336.5</v>
      </c>
      <c r="M410" s="593"/>
      <c r="N410" s="47"/>
      <c r="O410" s="48"/>
      <c r="P410" s="46"/>
      <c r="Q410" s="42"/>
    </row>
    <row r="411" spans="1:17" ht="15.75" thickBot="1" x14ac:dyDescent="0.3">
      <c r="A411" s="56">
        <v>160</v>
      </c>
      <c r="B411" s="53" t="s">
        <v>96</v>
      </c>
      <c r="C411" s="57">
        <v>50.5</v>
      </c>
      <c r="D411" s="57">
        <v>178.5</v>
      </c>
      <c r="E411" s="57">
        <v>108.7</v>
      </c>
      <c r="F411" s="58">
        <f t="shared" si="80"/>
        <v>337.7</v>
      </c>
      <c r="G411" s="57" t="s">
        <v>176</v>
      </c>
      <c r="H411" s="60">
        <v>157</v>
      </c>
      <c r="I411" s="57">
        <v>105.2</v>
      </c>
      <c r="J411" s="57">
        <v>126.7</v>
      </c>
      <c r="K411" s="57">
        <v>213.8</v>
      </c>
      <c r="L411" s="58">
        <f t="shared" ref="L411:L417" si="81">SUM(I411:K411)</f>
        <v>445.70000000000005</v>
      </c>
      <c r="M411" s="593"/>
      <c r="N411" s="47"/>
      <c r="O411" s="48"/>
      <c r="P411" s="46"/>
      <c r="Q411" s="42"/>
    </row>
    <row r="412" spans="1:17" ht="15.75" thickBot="1" x14ac:dyDescent="0.3">
      <c r="A412" s="52" t="s">
        <v>100</v>
      </c>
      <c r="B412" s="53" t="s">
        <v>95</v>
      </c>
      <c r="C412" s="57">
        <f t="shared" ref="C412:E413" si="82">C410/$A410</f>
        <v>0.71151515151515143</v>
      </c>
      <c r="D412" s="57">
        <f t="shared" si="82"/>
        <v>1.0335064935064935</v>
      </c>
      <c r="E412" s="57">
        <f t="shared" si="82"/>
        <v>0.43489177489177488</v>
      </c>
      <c r="F412" s="67">
        <f t="shared" si="80"/>
        <v>2.1799134199134196</v>
      </c>
      <c r="G412" s="57" t="s">
        <v>175</v>
      </c>
      <c r="H412" s="61" t="s">
        <v>177</v>
      </c>
      <c r="I412" s="57">
        <f t="shared" ref="I412:K413" si="83">I410/$H410</f>
        <v>1.2317686504610226</v>
      </c>
      <c r="J412" s="57">
        <f t="shared" si="83"/>
        <v>0.86806370494551544</v>
      </c>
      <c r="K412" s="57">
        <f t="shared" si="83"/>
        <v>0.69689857502095554</v>
      </c>
      <c r="L412" s="67">
        <f t="shared" si="81"/>
        <v>2.7967309304274934</v>
      </c>
      <c r="M412" s="593"/>
      <c r="N412" s="47"/>
      <c r="O412" s="48"/>
      <c r="P412" s="46"/>
      <c r="Q412" s="42"/>
    </row>
    <row r="413" spans="1:17" ht="16.5" thickBot="1" x14ac:dyDescent="0.3">
      <c r="A413" s="52" t="s">
        <v>100</v>
      </c>
      <c r="B413" s="53" t="s">
        <v>96</v>
      </c>
      <c r="C413" s="57">
        <f t="shared" si="82"/>
        <v>0.31562499999999999</v>
      </c>
      <c r="D413" s="57">
        <f t="shared" si="82"/>
        <v>1.1156250000000001</v>
      </c>
      <c r="E413" s="57">
        <f t="shared" si="82"/>
        <v>0.67937500000000006</v>
      </c>
      <c r="F413" s="67">
        <f t="shared" si="80"/>
        <v>2.1106250000000002</v>
      </c>
      <c r="G413" s="57" t="s">
        <v>176</v>
      </c>
      <c r="H413" s="61" t="s">
        <v>177</v>
      </c>
      <c r="I413" s="57">
        <f t="shared" si="83"/>
        <v>0.670063694267516</v>
      </c>
      <c r="J413" s="57">
        <f t="shared" si="83"/>
        <v>0.80700636942675164</v>
      </c>
      <c r="K413" s="57">
        <f t="shared" si="83"/>
        <v>1.361783439490446</v>
      </c>
      <c r="L413" s="67">
        <f t="shared" si="81"/>
        <v>2.8388535031847137</v>
      </c>
      <c r="M413" s="593"/>
      <c r="N413" s="62"/>
      <c r="O413" s="63"/>
      <c r="P413" s="64"/>
      <c r="Q413" s="42"/>
    </row>
    <row r="414" spans="1:17" x14ac:dyDescent="0.25">
      <c r="A414" s="52" t="s">
        <v>104</v>
      </c>
      <c r="B414" s="53" t="s">
        <v>95</v>
      </c>
      <c r="C414" s="57">
        <f>C410/($A410/7)</f>
        <v>4.9806060606060605</v>
      </c>
      <c r="D414" s="57">
        <f>D410/($A410/7)</f>
        <v>7.2345454545454544</v>
      </c>
      <c r="E414" s="57">
        <f>E410/($A410/7)</f>
        <v>3.0442424242424244</v>
      </c>
      <c r="F414" s="67">
        <f t="shared" si="80"/>
        <v>15.25939393939394</v>
      </c>
      <c r="G414" s="65" t="s">
        <v>175</v>
      </c>
      <c r="H414" s="61" t="s">
        <v>178</v>
      </c>
      <c r="I414" s="57">
        <f t="shared" ref="I414:K415" si="84">I410/($H410/7.7)</f>
        <v>9.4846186085498747</v>
      </c>
      <c r="J414" s="57">
        <f t="shared" si="84"/>
        <v>6.6840905280804694</v>
      </c>
      <c r="K414" s="57">
        <f t="shared" si="84"/>
        <v>5.366119027661358</v>
      </c>
      <c r="L414" s="67">
        <f t="shared" si="81"/>
        <v>21.534828164291703</v>
      </c>
      <c r="M414" s="593"/>
      <c r="N414" s="604"/>
      <c r="O414" s="604"/>
      <c r="P414" s="604"/>
      <c r="Q414" s="42"/>
    </row>
    <row r="415" spans="1:17" x14ac:dyDescent="0.25">
      <c r="A415" s="52" t="s">
        <v>104</v>
      </c>
      <c r="B415" s="53" t="s">
        <v>96</v>
      </c>
      <c r="C415" s="57">
        <f>C411/($A411/7.7)</f>
        <v>2.4303124999999999</v>
      </c>
      <c r="D415" s="57">
        <f>D411/($A411/7.7)</f>
        <v>8.5903124999999996</v>
      </c>
      <c r="E415" s="57">
        <f>E411/($A411/7.7)</f>
        <v>5.2311874999999999</v>
      </c>
      <c r="F415" s="67">
        <f t="shared" si="80"/>
        <v>16.2518125</v>
      </c>
      <c r="G415" s="57" t="s">
        <v>176</v>
      </c>
      <c r="H415" s="61" t="s">
        <v>178</v>
      </c>
      <c r="I415" s="57">
        <f t="shared" si="84"/>
        <v>5.1594904458598725</v>
      </c>
      <c r="J415" s="57">
        <f t="shared" si="84"/>
        <v>6.2139490445859877</v>
      </c>
      <c r="K415" s="57">
        <f t="shared" si="84"/>
        <v>10.485732484076435</v>
      </c>
      <c r="L415" s="67">
        <f t="shared" si="81"/>
        <v>21.859171974522297</v>
      </c>
      <c r="M415" s="593"/>
      <c r="N415" s="593"/>
      <c r="O415" s="593"/>
      <c r="P415" s="593"/>
      <c r="Q415" s="42"/>
    </row>
    <row r="416" spans="1:17" x14ac:dyDescent="0.25">
      <c r="A416" s="52" t="s">
        <v>135</v>
      </c>
      <c r="B416" s="53" t="s">
        <v>95</v>
      </c>
      <c r="C416" s="66">
        <f>C410/((($A410*$B407)*(1-$B404))/$B402)</f>
        <v>0.12932513914656771</v>
      </c>
      <c r="D416" s="66">
        <f>D410/((($A410*$B407)*(1-$B404))/$B402)</f>
        <v>0.18785035117943283</v>
      </c>
      <c r="E416" s="66">
        <f>E410/((($A410*$B407)*(1-$B404))/$B402)</f>
        <v>7.9046017757752454E-2</v>
      </c>
      <c r="F416" s="67">
        <f t="shared" si="80"/>
        <v>0.396221508083753</v>
      </c>
      <c r="G416" s="66" t="s">
        <v>175</v>
      </c>
      <c r="H416" s="68" t="s">
        <v>179</v>
      </c>
      <c r="I416" s="66">
        <f>I410/((($H410*$B407)*(1-$B404))/$B402)</f>
        <v>0.22388652128915271</v>
      </c>
      <c r="J416" s="66">
        <f>J410/((($H410*$B407)*(1-$B404))/$B402)</f>
        <v>0.15777943616675502</v>
      </c>
      <c r="K416" s="66">
        <f>K410/((($H410*$B407)*(1-$B404))/$B402)</f>
        <v>0.12666842722000785</v>
      </c>
      <c r="L416" s="67">
        <f t="shared" si="81"/>
        <v>0.50833438467591552</v>
      </c>
      <c r="M416" s="593"/>
      <c r="N416" s="593"/>
      <c r="O416" s="593"/>
      <c r="P416" s="593"/>
      <c r="Q416" s="42"/>
    </row>
    <row r="417" spans="1:17" x14ac:dyDescent="0.25">
      <c r="A417" s="52" t="s">
        <v>135</v>
      </c>
      <c r="B417" s="53" t="s">
        <v>96</v>
      </c>
      <c r="C417" s="66">
        <f>C411/((($A411*$B407)*(1-$B404))/$B402)</f>
        <v>5.7368064413265307E-2</v>
      </c>
      <c r="D417" s="66">
        <f>D411/((($A411*$B407)*(1-$B404))/$B402)</f>
        <v>0.20277622767857142</v>
      </c>
      <c r="E417" s="66">
        <f>E411/((($A411*$B407)*(1-$B404))/$B402)</f>
        <v>0.12348333864795918</v>
      </c>
      <c r="F417" s="67">
        <f t="shared" si="80"/>
        <v>0.38362763073979594</v>
      </c>
      <c r="G417" s="66" t="s">
        <v>176</v>
      </c>
      <c r="H417" s="68" t="s">
        <v>179</v>
      </c>
      <c r="I417" s="66">
        <f>I411/((($H411*$B407)*(1-$B404))/$B402)</f>
        <v>0.12179091381775639</v>
      </c>
      <c r="J417" s="66">
        <f>J411/((($H411*$B407)*(1-$B404))/$B402)</f>
        <v>0.14668164240218379</v>
      </c>
      <c r="K417" s="66">
        <f>K411/((($H411*$B407)*(1-$B404))/$B402)</f>
        <v>0.24751803587677107</v>
      </c>
      <c r="L417" s="67">
        <f t="shared" si="81"/>
        <v>0.51599059209671116</v>
      </c>
      <c r="M417" s="593"/>
      <c r="N417" s="593"/>
      <c r="O417" s="593"/>
      <c r="P417" s="593"/>
      <c r="Q417" s="42"/>
    </row>
    <row r="418" spans="1:17" x14ac:dyDescent="0.25">
      <c r="A418" s="612"/>
      <c r="B418" s="612"/>
      <c r="C418" s="612"/>
      <c r="D418" s="612"/>
      <c r="E418" s="612"/>
      <c r="F418" s="612"/>
      <c r="G418" s="612"/>
      <c r="H418" s="612"/>
      <c r="I418" s="612"/>
      <c r="J418" s="612"/>
      <c r="K418" s="612"/>
      <c r="L418" s="612"/>
      <c r="M418" s="612"/>
      <c r="N418" s="612"/>
      <c r="O418" s="612"/>
      <c r="P418" s="612"/>
      <c r="Q418" s="612"/>
    </row>
    <row r="419" spans="1:17" ht="21" x14ac:dyDescent="0.35">
      <c r="A419" s="43"/>
      <c r="B419" s="613" t="s">
        <v>186</v>
      </c>
      <c r="C419" s="614"/>
      <c r="D419" s="614"/>
      <c r="E419" s="614"/>
      <c r="F419" s="614"/>
      <c r="G419" s="614"/>
      <c r="H419" s="614"/>
      <c r="I419" s="614"/>
      <c r="J419" s="614"/>
      <c r="K419" s="614"/>
      <c r="L419" s="615"/>
      <c r="M419" s="593" t="s">
        <v>97</v>
      </c>
      <c r="N419" s="585" t="s">
        <v>187</v>
      </c>
      <c r="O419" s="585"/>
      <c r="P419" s="585"/>
      <c r="Q419" s="42"/>
    </row>
    <row r="420" spans="1:17" x14ac:dyDescent="0.25">
      <c r="A420" s="44"/>
      <c r="B420" s="590" t="s">
        <v>115</v>
      </c>
      <c r="C420" s="591"/>
      <c r="D420" s="591"/>
      <c r="E420" s="591"/>
      <c r="F420" s="591"/>
      <c r="G420" s="591"/>
      <c r="H420" s="591"/>
      <c r="I420" s="591"/>
      <c r="J420" s="591"/>
      <c r="K420" s="591"/>
      <c r="L420" s="592"/>
      <c r="M420" s="593"/>
      <c r="N420" s="585"/>
      <c r="O420" s="585"/>
      <c r="P420" s="585"/>
      <c r="Q420" s="42"/>
    </row>
    <row r="421" spans="1:17" x14ac:dyDescent="0.25">
      <c r="A421" s="2" t="s">
        <v>106</v>
      </c>
      <c r="B421" s="594">
        <v>15.39</v>
      </c>
      <c r="C421" s="595"/>
      <c r="D421" s="595"/>
      <c r="E421" s="595"/>
      <c r="F421" s="595"/>
      <c r="G421" s="595"/>
      <c r="H421" s="595"/>
      <c r="I421" s="595"/>
      <c r="J421" s="595"/>
      <c r="K421" s="595"/>
      <c r="L421" s="596"/>
      <c r="M421" s="593"/>
      <c r="N421" s="585"/>
      <c r="O421" s="585"/>
      <c r="P421" s="585"/>
      <c r="Q421" s="42"/>
    </row>
    <row r="422" spans="1:17" x14ac:dyDescent="0.25">
      <c r="A422" s="2" t="s">
        <v>112</v>
      </c>
      <c r="B422" s="597">
        <v>0.1</v>
      </c>
      <c r="C422" s="598"/>
      <c r="D422" s="598"/>
      <c r="E422" s="598"/>
      <c r="F422" s="598"/>
      <c r="G422" s="598"/>
      <c r="H422" s="598"/>
      <c r="I422" s="598"/>
      <c r="J422" s="598"/>
      <c r="K422" s="598"/>
      <c r="L422" s="599"/>
      <c r="M422" s="593"/>
      <c r="N422" s="585"/>
      <c r="O422" s="585"/>
      <c r="P422" s="585"/>
      <c r="Q422" s="42"/>
    </row>
    <row r="423" spans="1:17" ht="15.75" thickBot="1" x14ac:dyDescent="0.3">
      <c r="A423" s="2" t="s">
        <v>107</v>
      </c>
      <c r="B423" s="594">
        <f>B421-(B421*B422)</f>
        <v>13.851000000000001</v>
      </c>
      <c r="C423" s="595"/>
      <c r="D423" s="595"/>
      <c r="E423" s="595"/>
      <c r="F423" s="595"/>
      <c r="G423" s="595"/>
      <c r="H423" s="595"/>
      <c r="I423" s="595"/>
      <c r="J423" s="595"/>
      <c r="K423" s="595"/>
      <c r="L423" s="596"/>
      <c r="M423" s="593"/>
      <c r="N423" s="586"/>
      <c r="O423" s="586"/>
      <c r="P423" s="586"/>
      <c r="Q423" s="42"/>
    </row>
    <row r="424" spans="1:17" x14ac:dyDescent="0.25">
      <c r="A424" s="2" t="s">
        <v>108</v>
      </c>
      <c r="B424" s="600">
        <f>B427/B423</f>
        <v>0.83110028156811799</v>
      </c>
      <c r="C424" s="601"/>
      <c r="D424" s="601"/>
      <c r="E424" s="601"/>
      <c r="F424" s="601"/>
      <c r="G424" s="601"/>
      <c r="H424" s="601"/>
      <c r="I424" s="601"/>
      <c r="J424" s="601"/>
      <c r="K424" s="601"/>
      <c r="L424" s="602"/>
      <c r="M424" s="593"/>
      <c r="N424" s="605"/>
      <c r="O424" s="45"/>
      <c r="P424" s="607"/>
      <c r="Q424" s="42"/>
    </row>
    <row r="425" spans="1:17" ht="15.75" thickBot="1" x14ac:dyDescent="0.3">
      <c r="A425" s="2" t="s">
        <v>113</v>
      </c>
      <c r="B425" s="594">
        <f>B429*2.674</f>
        <v>40.11</v>
      </c>
      <c r="C425" s="595"/>
      <c r="D425" s="595"/>
      <c r="E425" s="595"/>
      <c r="F425" s="595"/>
      <c r="G425" s="595"/>
      <c r="H425" s="595"/>
      <c r="I425" s="595"/>
      <c r="J425" s="595"/>
      <c r="K425" s="595"/>
      <c r="L425" s="603"/>
      <c r="M425" s="593"/>
      <c r="N425" s="606"/>
      <c r="O425" s="46"/>
      <c r="P425" s="608"/>
      <c r="Q425" s="42"/>
    </row>
    <row r="426" spans="1:17" ht="15.75" thickBot="1" x14ac:dyDescent="0.3">
      <c r="A426" s="2" t="s">
        <v>109</v>
      </c>
      <c r="B426" s="600">
        <v>0.71299999999999997</v>
      </c>
      <c r="C426" s="601"/>
      <c r="D426" s="601"/>
      <c r="E426" s="601"/>
      <c r="F426" s="601"/>
      <c r="G426" s="601"/>
      <c r="H426" s="601"/>
      <c r="I426" s="601"/>
      <c r="J426" s="601"/>
      <c r="K426" s="601"/>
      <c r="L426" s="602"/>
      <c r="M426" s="593"/>
      <c r="N426" s="47"/>
      <c r="O426" s="48"/>
      <c r="P426" s="46"/>
      <c r="Q426" s="42"/>
    </row>
    <row r="427" spans="1:17" ht="15.75" thickBot="1" x14ac:dyDescent="0.3">
      <c r="A427" s="2" t="s">
        <v>122</v>
      </c>
      <c r="B427" s="594">
        <f>B425-(B425*B426)</f>
        <v>11.511570000000003</v>
      </c>
      <c r="C427" s="595"/>
      <c r="D427" s="595"/>
      <c r="E427" s="595"/>
      <c r="F427" s="595"/>
      <c r="G427" s="595"/>
      <c r="H427" s="595"/>
      <c r="I427" s="595"/>
      <c r="J427" s="595"/>
      <c r="K427" s="595"/>
      <c r="L427" s="603"/>
      <c r="M427" s="593"/>
      <c r="N427" s="47"/>
      <c r="O427" s="48"/>
      <c r="P427" s="49"/>
      <c r="Q427" s="42"/>
    </row>
    <row r="428" spans="1:17" ht="15.75" thickBot="1" x14ac:dyDescent="0.3">
      <c r="A428" s="2" t="s">
        <v>110</v>
      </c>
      <c r="B428" s="587">
        <v>122</v>
      </c>
      <c r="C428" s="588"/>
      <c r="D428" s="588"/>
      <c r="E428" s="588"/>
      <c r="F428" s="588"/>
      <c r="G428" s="588"/>
      <c r="H428" s="588"/>
      <c r="I428" s="588"/>
      <c r="J428" s="588"/>
      <c r="K428" s="588"/>
      <c r="L428" s="589"/>
      <c r="M428" s="593"/>
      <c r="N428" s="47"/>
      <c r="O428" s="48"/>
      <c r="P428" s="49"/>
      <c r="Q428" s="42"/>
    </row>
    <row r="429" spans="1:17" x14ac:dyDescent="0.25">
      <c r="A429" s="2" t="s">
        <v>111</v>
      </c>
      <c r="B429" s="587">
        <v>15</v>
      </c>
      <c r="C429" s="588"/>
      <c r="D429" s="588"/>
      <c r="E429" s="588"/>
      <c r="F429" s="588"/>
      <c r="G429" s="588"/>
      <c r="H429" s="588"/>
      <c r="I429" s="588"/>
      <c r="J429" s="588"/>
      <c r="K429" s="588"/>
      <c r="L429" s="589"/>
      <c r="M429" s="593"/>
      <c r="N429" s="50"/>
      <c r="O429" s="624"/>
      <c r="P429" s="625"/>
      <c r="Q429" s="42"/>
    </row>
    <row r="430" spans="1:17" ht="15.75" thickBot="1" x14ac:dyDescent="0.3">
      <c r="A430" s="587" t="s">
        <v>127</v>
      </c>
      <c r="B430" s="588"/>
      <c r="C430" s="588"/>
      <c r="D430" s="588"/>
      <c r="E430" s="589"/>
      <c r="F430" s="51"/>
      <c r="G430" s="587" t="s">
        <v>128</v>
      </c>
      <c r="H430" s="588"/>
      <c r="I430" s="588"/>
      <c r="J430" s="588"/>
      <c r="K430" s="589"/>
      <c r="L430" s="51"/>
      <c r="M430" s="593"/>
      <c r="N430" s="47"/>
      <c r="O430" s="606"/>
      <c r="P430" s="611"/>
      <c r="Q430" s="42"/>
    </row>
    <row r="431" spans="1:17" ht="15.75" thickBot="1" x14ac:dyDescent="0.3">
      <c r="A431" s="52" t="s">
        <v>98</v>
      </c>
      <c r="B431" s="53" t="s">
        <v>102</v>
      </c>
      <c r="C431" s="53" t="s">
        <v>92</v>
      </c>
      <c r="D431" s="53" t="s">
        <v>93</v>
      </c>
      <c r="E431" s="53" t="s">
        <v>94</v>
      </c>
      <c r="F431" s="54" t="s">
        <v>99</v>
      </c>
      <c r="G431" s="53" t="s">
        <v>102</v>
      </c>
      <c r="H431" s="55" t="s">
        <v>98</v>
      </c>
      <c r="I431" s="53" t="s">
        <v>92</v>
      </c>
      <c r="J431" s="53" t="s">
        <v>93</v>
      </c>
      <c r="K431" s="53" t="s">
        <v>94</v>
      </c>
      <c r="L431" s="54" t="s">
        <v>99</v>
      </c>
      <c r="M431" s="593"/>
      <c r="N431" s="47"/>
      <c r="O431" s="48"/>
      <c r="P431" s="49"/>
      <c r="Q431" s="42"/>
    </row>
    <row r="432" spans="1:17" ht="15.75" thickBot="1" x14ac:dyDescent="0.3">
      <c r="A432" s="56">
        <v>1183</v>
      </c>
      <c r="B432" s="53" t="s">
        <v>95</v>
      </c>
      <c r="C432" s="57">
        <v>1248.2</v>
      </c>
      <c r="D432" s="57">
        <v>1240.2</v>
      </c>
      <c r="E432" s="57"/>
      <c r="F432" s="58">
        <f t="shared" ref="F432:F439" si="85">SUM(C432:E432)</f>
        <v>2488.4</v>
      </c>
      <c r="G432" s="57" t="s">
        <v>175</v>
      </c>
      <c r="H432" s="59">
        <v>1141</v>
      </c>
      <c r="I432" s="57">
        <v>1496.6</v>
      </c>
      <c r="J432" s="57">
        <v>1168.0999999999999</v>
      </c>
      <c r="K432" s="57">
        <v>104.4</v>
      </c>
      <c r="L432" s="58">
        <f>SUM(I432:K432)</f>
        <v>2769.1</v>
      </c>
      <c r="M432" s="593"/>
      <c r="N432" s="47"/>
      <c r="O432" s="48"/>
      <c r="P432" s="46"/>
      <c r="Q432" s="42"/>
    </row>
    <row r="433" spans="1:17" ht="15.75" thickBot="1" x14ac:dyDescent="0.3">
      <c r="A433" s="56">
        <v>172</v>
      </c>
      <c r="B433" s="53" t="s">
        <v>96</v>
      </c>
      <c r="C433" s="57">
        <v>156.19999999999999</v>
      </c>
      <c r="D433" s="57">
        <v>117</v>
      </c>
      <c r="E433" s="57"/>
      <c r="F433" s="58">
        <f t="shared" si="85"/>
        <v>273.2</v>
      </c>
      <c r="G433" s="57" t="s">
        <v>176</v>
      </c>
      <c r="H433" s="60">
        <v>178</v>
      </c>
      <c r="I433" s="57">
        <v>117.5</v>
      </c>
      <c r="J433" s="57">
        <v>127.5</v>
      </c>
      <c r="K433" s="57">
        <v>11.7</v>
      </c>
      <c r="L433" s="58">
        <f t="shared" ref="L433:L439" si="86">SUM(I433:K433)</f>
        <v>256.7</v>
      </c>
      <c r="M433" s="593"/>
      <c r="N433" s="47"/>
      <c r="O433" s="48"/>
      <c r="P433" s="46"/>
      <c r="Q433" s="42"/>
    </row>
    <row r="434" spans="1:17" ht="15.75" thickBot="1" x14ac:dyDescent="0.3">
      <c r="A434" s="52" t="s">
        <v>100</v>
      </c>
      <c r="B434" s="53" t="s">
        <v>95</v>
      </c>
      <c r="C434" s="57">
        <f t="shared" ref="C434:E435" si="87">C432/$A432</f>
        <v>1.0551141166525781</v>
      </c>
      <c r="D434" s="57">
        <f t="shared" si="87"/>
        <v>1.0483516483516484</v>
      </c>
      <c r="E434" s="57">
        <f t="shared" si="87"/>
        <v>0</v>
      </c>
      <c r="F434" s="67">
        <f t="shared" si="85"/>
        <v>2.1034657650042266</v>
      </c>
      <c r="G434" s="57" t="s">
        <v>175</v>
      </c>
      <c r="H434" s="61" t="s">
        <v>177</v>
      </c>
      <c r="I434" s="57">
        <f t="shared" ref="I434:K435" si="88">I432/$H432</f>
        <v>1.3116564417177914</v>
      </c>
      <c r="J434" s="57">
        <f t="shared" si="88"/>
        <v>1.0237510955302365</v>
      </c>
      <c r="K434" s="57">
        <f t="shared" si="88"/>
        <v>9.149868536371604E-2</v>
      </c>
      <c r="L434" s="67">
        <f t="shared" si="86"/>
        <v>2.4269062226117439</v>
      </c>
      <c r="M434" s="593"/>
      <c r="N434" s="47"/>
      <c r="O434" s="48"/>
      <c r="P434" s="46"/>
      <c r="Q434" s="42"/>
    </row>
    <row r="435" spans="1:17" ht="16.5" thickBot="1" x14ac:dyDescent="0.3">
      <c r="A435" s="52" t="s">
        <v>100</v>
      </c>
      <c r="B435" s="53" t="s">
        <v>96</v>
      </c>
      <c r="C435" s="57">
        <f t="shared" si="87"/>
        <v>0.9081395348837209</v>
      </c>
      <c r="D435" s="57">
        <f t="shared" si="87"/>
        <v>0.68023255813953487</v>
      </c>
      <c r="E435" s="57">
        <f t="shared" si="87"/>
        <v>0</v>
      </c>
      <c r="F435" s="67">
        <f t="shared" si="85"/>
        <v>1.5883720930232559</v>
      </c>
      <c r="G435" s="57" t="s">
        <v>176</v>
      </c>
      <c r="H435" s="61" t="s">
        <v>177</v>
      </c>
      <c r="I435" s="57">
        <f t="shared" si="88"/>
        <v>0.6601123595505618</v>
      </c>
      <c r="J435" s="57">
        <f t="shared" si="88"/>
        <v>0.7162921348314607</v>
      </c>
      <c r="K435" s="57">
        <f t="shared" si="88"/>
        <v>6.5730337078651682E-2</v>
      </c>
      <c r="L435" s="67">
        <f t="shared" si="86"/>
        <v>1.4421348314606741</v>
      </c>
      <c r="M435" s="593"/>
      <c r="N435" s="62"/>
      <c r="O435" s="63"/>
      <c r="P435" s="64"/>
      <c r="Q435" s="42"/>
    </row>
    <row r="436" spans="1:17" x14ac:dyDescent="0.25">
      <c r="A436" s="52" t="s">
        <v>104</v>
      </c>
      <c r="B436" s="53" t="s">
        <v>95</v>
      </c>
      <c r="C436" s="57">
        <f>C432/($A432/7)</f>
        <v>7.3857988165680473</v>
      </c>
      <c r="D436" s="57">
        <f>D432/($A432/7)</f>
        <v>7.338461538461539</v>
      </c>
      <c r="E436" s="57">
        <f>E432/($A432/7)</f>
        <v>0</v>
      </c>
      <c r="F436" s="67">
        <f t="shared" si="85"/>
        <v>14.724260355029585</v>
      </c>
      <c r="G436" s="65" t="s">
        <v>175</v>
      </c>
      <c r="H436" s="61" t="s">
        <v>178</v>
      </c>
      <c r="I436" s="57">
        <f t="shared" ref="I436:K437" si="89">I432/($H432/7.7)</f>
        <v>10.099754601226993</v>
      </c>
      <c r="J436" s="57">
        <f t="shared" si="89"/>
        <v>7.882883435582821</v>
      </c>
      <c r="K436" s="57">
        <f t="shared" si="89"/>
        <v>0.70453987730061352</v>
      </c>
      <c r="L436" s="67">
        <f t="shared" si="86"/>
        <v>18.687177914110428</v>
      </c>
      <c r="M436" s="593"/>
      <c r="N436" s="604"/>
      <c r="O436" s="604"/>
      <c r="P436" s="604"/>
      <c r="Q436" s="42"/>
    </row>
    <row r="437" spans="1:17" x14ac:dyDescent="0.25">
      <c r="A437" s="52" t="s">
        <v>104</v>
      </c>
      <c r="B437" s="53" t="s">
        <v>96</v>
      </c>
      <c r="C437" s="57">
        <f>C433/($A433/7.7)</f>
        <v>6.9926744186046506</v>
      </c>
      <c r="D437" s="57">
        <f>D433/($A433/7.7)</f>
        <v>5.2377906976744191</v>
      </c>
      <c r="E437" s="57">
        <f>E433/($A433/7.7)</f>
        <v>0</v>
      </c>
      <c r="F437" s="67">
        <f t="shared" si="85"/>
        <v>12.230465116279071</v>
      </c>
      <c r="G437" s="57" t="s">
        <v>176</v>
      </c>
      <c r="H437" s="61" t="s">
        <v>178</v>
      </c>
      <c r="I437" s="57">
        <f t="shared" si="89"/>
        <v>5.0828651685393256</v>
      </c>
      <c r="J437" s="57">
        <f t="shared" si="89"/>
        <v>5.5154494382022472</v>
      </c>
      <c r="K437" s="57">
        <f t="shared" si="89"/>
        <v>0.50612359550561792</v>
      </c>
      <c r="L437" s="67">
        <f t="shared" si="86"/>
        <v>11.104438202247191</v>
      </c>
      <c r="M437" s="593"/>
      <c r="N437" s="593"/>
      <c r="O437" s="593"/>
      <c r="P437" s="593"/>
      <c r="Q437" s="42"/>
    </row>
    <row r="438" spans="1:17" x14ac:dyDescent="0.25">
      <c r="A438" s="52" t="s">
        <v>135</v>
      </c>
      <c r="B438" s="53" t="s">
        <v>95</v>
      </c>
      <c r="C438" s="66">
        <f>C432/((($A432*$B429)*(1-$B426))/$B424)</f>
        <v>0.20369468976456534</v>
      </c>
      <c r="D438" s="66">
        <f>D432/((($A432*$B429)*(1-$B426))/$B424)</f>
        <v>0.20238916379267258</v>
      </c>
      <c r="E438" s="66">
        <f>E432/((($A432*$B429)*(1-$B426))/$B424)</f>
        <v>0</v>
      </c>
      <c r="F438" s="67">
        <f t="shared" si="85"/>
        <v>0.40608385355723792</v>
      </c>
      <c r="G438" s="66" t="s">
        <v>175</v>
      </c>
      <c r="H438" s="68" t="s">
        <v>179</v>
      </c>
      <c r="I438" s="66">
        <f>I432/((($H432*$B429)*(1-$B426))/$B424)</f>
        <v>0.25322137933386574</v>
      </c>
      <c r="J438" s="66">
        <f>J432/((($H432*$B429)*(1-$B426))/$B424)</f>
        <v>0.19763991260182318</v>
      </c>
      <c r="K438" s="66">
        <f>K432/((($H432*$B429)*(1-$B426))/$B424)</f>
        <v>1.7664246961416268E-2</v>
      </c>
      <c r="L438" s="67">
        <f t="shared" si="86"/>
        <v>0.46852553889710519</v>
      </c>
      <c r="M438" s="593"/>
      <c r="N438" s="593"/>
      <c r="O438" s="593"/>
      <c r="P438" s="593"/>
      <c r="Q438" s="42"/>
    </row>
    <row r="439" spans="1:17" x14ac:dyDescent="0.25">
      <c r="A439" s="52" t="s">
        <v>135</v>
      </c>
      <c r="B439" s="53" t="s">
        <v>96</v>
      </c>
      <c r="C439" s="66">
        <f>C433/((($A433*$B429)*(1-$B426))/$B424)</f>
        <v>0.17532056286759584</v>
      </c>
      <c r="D439" s="66">
        <f>D433/((($A433*$B429)*(1-$B426))/$B424)</f>
        <v>0.13132206053462686</v>
      </c>
      <c r="E439" s="66">
        <f>E433/((($A433*$B429)*(1-$B426))/$B424)</f>
        <v>0</v>
      </c>
      <c r="F439" s="67">
        <f t="shared" si="85"/>
        <v>0.3066426234022227</v>
      </c>
      <c r="G439" s="66" t="s">
        <v>176</v>
      </c>
      <c r="H439" s="68" t="s">
        <v>179</v>
      </c>
      <c r="I439" s="66">
        <f>I433/((($H433*$B429)*(1-$B426))/$B424)</f>
        <v>0.12743776257585751</v>
      </c>
      <c r="J439" s="66">
        <f>J433/((($H433*$B429)*(1-$B426))/$B424)</f>
        <v>0.13828352960359008</v>
      </c>
      <c r="K439" s="66">
        <f>K433/((($H433*$B429)*(1-$B426))/$B424)</f>
        <v>1.2689547422447088E-2</v>
      </c>
      <c r="L439" s="67">
        <f t="shared" si="86"/>
        <v>0.27841083960189472</v>
      </c>
      <c r="M439" s="593"/>
      <c r="N439" s="593"/>
      <c r="O439" s="593"/>
      <c r="P439" s="593"/>
      <c r="Q439" s="42"/>
    </row>
    <row r="440" spans="1:17" x14ac:dyDescent="0.25">
      <c r="A440" s="612"/>
      <c r="B440" s="612"/>
      <c r="C440" s="612"/>
      <c r="D440" s="612"/>
      <c r="E440" s="612"/>
      <c r="F440" s="612"/>
      <c r="G440" s="612"/>
      <c r="H440" s="612"/>
      <c r="I440" s="612"/>
      <c r="J440" s="612"/>
      <c r="K440" s="612"/>
      <c r="L440" s="612"/>
      <c r="M440" s="612"/>
      <c r="N440" s="612"/>
      <c r="O440" s="612"/>
      <c r="P440" s="612"/>
      <c r="Q440" s="612"/>
    </row>
    <row r="441" spans="1:17" ht="21" x14ac:dyDescent="0.35">
      <c r="A441" s="43"/>
      <c r="B441" s="613" t="s">
        <v>188</v>
      </c>
      <c r="C441" s="614"/>
      <c r="D441" s="614"/>
      <c r="E441" s="614"/>
      <c r="F441" s="614"/>
      <c r="G441" s="614"/>
      <c r="H441" s="614"/>
      <c r="I441" s="614"/>
      <c r="J441" s="614"/>
      <c r="K441" s="614"/>
      <c r="L441" s="615"/>
      <c r="M441" s="593" t="s">
        <v>97</v>
      </c>
      <c r="N441" s="585" t="s">
        <v>189</v>
      </c>
      <c r="O441" s="585"/>
      <c r="P441" s="585"/>
      <c r="Q441" s="42"/>
    </row>
    <row r="442" spans="1:17" x14ac:dyDescent="0.25">
      <c r="A442" s="44"/>
      <c r="B442" s="590" t="s">
        <v>115</v>
      </c>
      <c r="C442" s="591"/>
      <c r="D442" s="591"/>
      <c r="E442" s="591"/>
      <c r="F442" s="591"/>
      <c r="G442" s="591"/>
      <c r="H442" s="591"/>
      <c r="I442" s="591"/>
      <c r="J442" s="591"/>
      <c r="K442" s="591"/>
      <c r="L442" s="592"/>
      <c r="M442" s="593"/>
      <c r="N442" s="585"/>
      <c r="O442" s="585"/>
      <c r="P442" s="585"/>
      <c r="Q442" s="42"/>
    </row>
    <row r="443" spans="1:17" x14ac:dyDescent="0.25">
      <c r="A443" s="2" t="s">
        <v>106</v>
      </c>
      <c r="B443" s="594">
        <v>16.489999999999998</v>
      </c>
      <c r="C443" s="595"/>
      <c r="D443" s="595"/>
      <c r="E443" s="595"/>
      <c r="F443" s="595"/>
      <c r="G443" s="595"/>
      <c r="H443" s="595"/>
      <c r="I443" s="595"/>
      <c r="J443" s="595"/>
      <c r="K443" s="595"/>
      <c r="L443" s="596"/>
      <c r="M443" s="593"/>
      <c r="N443" s="585"/>
      <c r="O443" s="585"/>
      <c r="P443" s="585"/>
      <c r="Q443" s="42"/>
    </row>
    <row r="444" spans="1:17" x14ac:dyDescent="0.25">
      <c r="A444" s="2" t="s">
        <v>112</v>
      </c>
      <c r="B444" s="597">
        <v>0.17</v>
      </c>
      <c r="C444" s="598"/>
      <c r="D444" s="598"/>
      <c r="E444" s="598"/>
      <c r="F444" s="598"/>
      <c r="G444" s="598"/>
      <c r="H444" s="598"/>
      <c r="I444" s="598"/>
      <c r="J444" s="598"/>
      <c r="K444" s="598"/>
      <c r="L444" s="599"/>
      <c r="M444" s="593"/>
      <c r="N444" s="585"/>
      <c r="O444" s="585"/>
      <c r="P444" s="585"/>
      <c r="Q444" s="42"/>
    </row>
    <row r="445" spans="1:17" ht="15.75" thickBot="1" x14ac:dyDescent="0.3">
      <c r="A445" s="2" t="s">
        <v>107</v>
      </c>
      <c r="B445" s="594">
        <f>B443-(B443*B444)</f>
        <v>13.686699999999998</v>
      </c>
      <c r="C445" s="595"/>
      <c r="D445" s="595"/>
      <c r="E445" s="595"/>
      <c r="F445" s="595"/>
      <c r="G445" s="595"/>
      <c r="H445" s="595"/>
      <c r="I445" s="595"/>
      <c r="J445" s="595"/>
      <c r="K445" s="595"/>
      <c r="L445" s="596"/>
      <c r="M445" s="593"/>
      <c r="N445" s="586"/>
      <c r="O445" s="586"/>
      <c r="P445" s="586"/>
      <c r="Q445" s="42"/>
    </row>
    <row r="446" spans="1:17" x14ac:dyDescent="0.25">
      <c r="A446" s="2" t="s">
        <v>108</v>
      </c>
      <c r="B446" s="600">
        <f>B449/B445</f>
        <v>0.83141027420780778</v>
      </c>
      <c r="C446" s="601"/>
      <c r="D446" s="601"/>
      <c r="E446" s="601"/>
      <c r="F446" s="601"/>
      <c r="G446" s="601"/>
      <c r="H446" s="601"/>
      <c r="I446" s="601"/>
      <c r="J446" s="601"/>
      <c r="K446" s="601"/>
      <c r="L446" s="602"/>
      <c r="M446" s="593"/>
      <c r="N446" s="605"/>
      <c r="O446" s="45"/>
      <c r="P446" s="607"/>
      <c r="Q446" s="42"/>
    </row>
    <row r="447" spans="1:17" ht="15.75" thickBot="1" x14ac:dyDescent="0.3">
      <c r="A447" s="2" t="s">
        <v>113</v>
      </c>
      <c r="B447" s="594">
        <f>B451*2.558</f>
        <v>39.649000000000001</v>
      </c>
      <c r="C447" s="595"/>
      <c r="D447" s="595"/>
      <c r="E447" s="595"/>
      <c r="F447" s="595"/>
      <c r="G447" s="595"/>
      <c r="H447" s="595"/>
      <c r="I447" s="595"/>
      <c r="J447" s="595"/>
      <c r="K447" s="595"/>
      <c r="L447" s="603"/>
      <c r="M447" s="593"/>
      <c r="N447" s="606"/>
      <c r="O447" s="46"/>
      <c r="P447" s="608"/>
      <c r="Q447" s="42"/>
    </row>
    <row r="448" spans="1:17" ht="15.75" thickBot="1" x14ac:dyDescent="0.3">
      <c r="A448" s="2" t="s">
        <v>109</v>
      </c>
      <c r="B448" s="600">
        <v>0.71299999999999997</v>
      </c>
      <c r="C448" s="601"/>
      <c r="D448" s="601"/>
      <c r="E448" s="601"/>
      <c r="F448" s="601"/>
      <c r="G448" s="601"/>
      <c r="H448" s="601"/>
      <c r="I448" s="601"/>
      <c r="J448" s="601"/>
      <c r="K448" s="601"/>
      <c r="L448" s="602"/>
      <c r="M448" s="593"/>
      <c r="N448" s="47"/>
      <c r="O448" s="48"/>
      <c r="P448" s="46"/>
      <c r="Q448" s="42"/>
    </row>
    <row r="449" spans="1:17" ht="15.75" thickBot="1" x14ac:dyDescent="0.3">
      <c r="A449" s="2" t="s">
        <v>122</v>
      </c>
      <c r="B449" s="594">
        <f>B447-(B447*B448)</f>
        <v>11.379263000000002</v>
      </c>
      <c r="C449" s="595"/>
      <c r="D449" s="595"/>
      <c r="E449" s="595"/>
      <c r="F449" s="595"/>
      <c r="G449" s="595"/>
      <c r="H449" s="595"/>
      <c r="I449" s="595"/>
      <c r="J449" s="595"/>
      <c r="K449" s="595"/>
      <c r="L449" s="603"/>
      <c r="M449" s="593"/>
      <c r="N449" s="47"/>
      <c r="O449" s="48"/>
      <c r="P449" s="49"/>
      <c r="Q449" s="42"/>
    </row>
    <row r="450" spans="1:17" ht="15.75" thickBot="1" x14ac:dyDescent="0.3">
      <c r="A450" s="2" t="s">
        <v>110</v>
      </c>
      <c r="B450" s="587">
        <v>135</v>
      </c>
      <c r="C450" s="588"/>
      <c r="D450" s="588"/>
      <c r="E450" s="588"/>
      <c r="F450" s="588"/>
      <c r="G450" s="588"/>
      <c r="H450" s="588"/>
      <c r="I450" s="588"/>
      <c r="J450" s="588"/>
      <c r="K450" s="588"/>
      <c r="L450" s="589"/>
      <c r="M450" s="593"/>
      <c r="N450" s="47"/>
      <c r="O450" s="48"/>
      <c r="P450" s="49"/>
      <c r="Q450" s="42"/>
    </row>
    <row r="451" spans="1:17" x14ac:dyDescent="0.25">
      <c r="A451" s="2" t="s">
        <v>111</v>
      </c>
      <c r="B451" s="587">
        <v>15.5</v>
      </c>
      <c r="C451" s="588"/>
      <c r="D451" s="588"/>
      <c r="E451" s="588"/>
      <c r="F451" s="588"/>
      <c r="G451" s="588"/>
      <c r="H451" s="588"/>
      <c r="I451" s="588"/>
      <c r="J451" s="588"/>
      <c r="K451" s="588"/>
      <c r="L451" s="589"/>
      <c r="M451" s="593"/>
      <c r="N451" s="50"/>
      <c r="O451" s="624"/>
      <c r="P451" s="625"/>
      <c r="Q451" s="42"/>
    </row>
    <row r="452" spans="1:17" ht="15.75" thickBot="1" x14ac:dyDescent="0.3">
      <c r="A452" s="587" t="s">
        <v>127</v>
      </c>
      <c r="B452" s="588"/>
      <c r="C452" s="588"/>
      <c r="D452" s="588"/>
      <c r="E452" s="589"/>
      <c r="F452" s="51"/>
      <c r="G452" s="587" t="s">
        <v>128</v>
      </c>
      <c r="H452" s="588"/>
      <c r="I452" s="588"/>
      <c r="J452" s="588"/>
      <c r="K452" s="589"/>
      <c r="L452" s="51"/>
      <c r="M452" s="593"/>
      <c r="N452" s="47"/>
      <c r="O452" s="606"/>
      <c r="P452" s="611"/>
      <c r="Q452" s="42"/>
    </row>
    <row r="453" spans="1:17" ht="15.75" thickBot="1" x14ac:dyDescent="0.3">
      <c r="A453" s="52" t="s">
        <v>98</v>
      </c>
      <c r="B453" s="53" t="s">
        <v>102</v>
      </c>
      <c r="C453" s="53" t="s">
        <v>92</v>
      </c>
      <c r="D453" s="53" t="s">
        <v>93</v>
      </c>
      <c r="E453" s="53" t="s">
        <v>94</v>
      </c>
      <c r="F453" s="54" t="s">
        <v>99</v>
      </c>
      <c r="G453" s="53" t="s">
        <v>102</v>
      </c>
      <c r="H453" s="55" t="s">
        <v>98</v>
      </c>
      <c r="I453" s="53" t="s">
        <v>92</v>
      </c>
      <c r="J453" s="53" t="s">
        <v>93</v>
      </c>
      <c r="K453" s="53" t="s">
        <v>94</v>
      </c>
      <c r="L453" s="54" t="s">
        <v>99</v>
      </c>
      <c r="M453" s="593"/>
      <c r="N453" s="47"/>
      <c r="O453" s="48"/>
      <c r="P453" s="49"/>
      <c r="Q453" s="42"/>
    </row>
    <row r="454" spans="1:17" ht="15.75" thickBot="1" x14ac:dyDescent="0.3">
      <c r="A454" s="56">
        <v>1129</v>
      </c>
      <c r="B454" s="53" t="s">
        <v>95</v>
      </c>
      <c r="C454" s="57">
        <v>1108.2</v>
      </c>
      <c r="D454" s="57">
        <v>1003.5</v>
      </c>
      <c r="E454" s="57">
        <v>496.4</v>
      </c>
      <c r="F454" s="58">
        <f t="shared" ref="F454:F461" si="90">SUM(C454:E454)</f>
        <v>2608.1</v>
      </c>
      <c r="G454" s="57" t="s">
        <v>175</v>
      </c>
      <c r="H454" s="59">
        <v>1079</v>
      </c>
      <c r="I454" s="57">
        <v>1266.3</v>
      </c>
      <c r="J454" s="57">
        <v>897.7</v>
      </c>
      <c r="K454" s="57">
        <v>520</v>
      </c>
      <c r="L454" s="58">
        <f>SUM(I454:K454)</f>
        <v>2684</v>
      </c>
      <c r="M454" s="593"/>
      <c r="N454" s="47"/>
      <c r="O454" s="48"/>
      <c r="P454" s="46"/>
      <c r="Q454" s="42"/>
    </row>
    <row r="455" spans="1:17" ht="15.75" thickBot="1" x14ac:dyDescent="0.3">
      <c r="A455" s="56">
        <v>175</v>
      </c>
      <c r="B455" s="53" t="s">
        <v>96</v>
      </c>
      <c r="C455" s="57">
        <v>144.19999999999999</v>
      </c>
      <c r="D455" s="57">
        <v>114.6</v>
      </c>
      <c r="E455" s="57">
        <v>61.1</v>
      </c>
      <c r="F455" s="58">
        <f t="shared" si="90"/>
        <v>319.89999999999998</v>
      </c>
      <c r="G455" s="57" t="s">
        <v>176</v>
      </c>
      <c r="H455" s="60">
        <v>175</v>
      </c>
      <c r="I455" s="57">
        <v>148.80000000000001</v>
      </c>
      <c r="J455" s="57">
        <v>129.9</v>
      </c>
      <c r="K455" s="57">
        <v>134</v>
      </c>
      <c r="L455" s="58">
        <f t="shared" ref="L455:L461" si="91">SUM(I455:K455)</f>
        <v>412.70000000000005</v>
      </c>
      <c r="M455" s="593"/>
      <c r="N455" s="47"/>
      <c r="O455" s="48"/>
      <c r="P455" s="46"/>
      <c r="Q455" s="42"/>
    </row>
    <row r="456" spans="1:17" ht="15.75" thickBot="1" x14ac:dyDescent="0.3">
      <c r="A456" s="52" t="s">
        <v>100</v>
      </c>
      <c r="B456" s="53" t="s">
        <v>95</v>
      </c>
      <c r="C456" s="57">
        <f t="shared" ref="C456:E457" si="92">C454/$A454</f>
        <v>0.98157661647475647</v>
      </c>
      <c r="D456" s="57">
        <f t="shared" si="92"/>
        <v>0.88883968113374667</v>
      </c>
      <c r="E456" s="57">
        <f t="shared" si="92"/>
        <v>0.43968113374667844</v>
      </c>
      <c r="F456" s="67">
        <f t="shared" si="90"/>
        <v>2.3100974313551816</v>
      </c>
      <c r="G456" s="57" t="s">
        <v>175</v>
      </c>
      <c r="H456" s="61" t="s">
        <v>177</v>
      </c>
      <c r="I456" s="57">
        <f t="shared" ref="I456:K457" si="93">I454/$H454</f>
        <v>1.1735866543095459</v>
      </c>
      <c r="J456" s="57">
        <f t="shared" si="93"/>
        <v>0.83197405004633929</v>
      </c>
      <c r="K456" s="57">
        <f t="shared" si="93"/>
        <v>0.48192771084337349</v>
      </c>
      <c r="L456" s="67">
        <f t="shared" si="91"/>
        <v>2.4874884151992589</v>
      </c>
      <c r="M456" s="593"/>
      <c r="N456" s="47"/>
      <c r="O456" s="48"/>
      <c r="P456" s="46"/>
      <c r="Q456" s="42"/>
    </row>
    <row r="457" spans="1:17" ht="16.5" thickBot="1" x14ac:dyDescent="0.3">
      <c r="A457" s="52" t="s">
        <v>100</v>
      </c>
      <c r="B457" s="53" t="s">
        <v>96</v>
      </c>
      <c r="C457" s="57">
        <f t="shared" si="92"/>
        <v>0.82399999999999995</v>
      </c>
      <c r="D457" s="57">
        <f t="shared" si="92"/>
        <v>0.6548571428571428</v>
      </c>
      <c r="E457" s="57">
        <f t="shared" si="92"/>
        <v>0.34914285714285714</v>
      </c>
      <c r="F457" s="67">
        <f t="shared" si="90"/>
        <v>1.8279999999999998</v>
      </c>
      <c r="G457" s="57" t="s">
        <v>176</v>
      </c>
      <c r="H457" s="61" t="s">
        <v>177</v>
      </c>
      <c r="I457" s="57">
        <f t="shared" si="93"/>
        <v>0.85028571428571431</v>
      </c>
      <c r="J457" s="57">
        <f t="shared" si="93"/>
        <v>0.74228571428571433</v>
      </c>
      <c r="K457" s="57">
        <f t="shared" si="93"/>
        <v>0.76571428571428568</v>
      </c>
      <c r="L457" s="67">
        <f t="shared" si="91"/>
        <v>2.3582857142857141</v>
      </c>
      <c r="M457" s="593"/>
      <c r="N457" s="62"/>
      <c r="O457" s="63"/>
      <c r="P457" s="64"/>
      <c r="Q457" s="42"/>
    </row>
    <row r="458" spans="1:17" x14ac:dyDescent="0.25">
      <c r="A458" s="52" t="s">
        <v>104</v>
      </c>
      <c r="B458" s="53" t="s">
        <v>95</v>
      </c>
      <c r="C458" s="57">
        <f>C454/($A454/7)</f>
        <v>6.8710363153232956</v>
      </c>
      <c r="D458" s="57">
        <f>D454/($A454/7)</f>
        <v>6.2218777679362267</v>
      </c>
      <c r="E458" s="57">
        <f>E454/($A454/7)</f>
        <v>3.0777679362267492</v>
      </c>
      <c r="F458" s="67">
        <f t="shared" si="90"/>
        <v>16.170682019486271</v>
      </c>
      <c r="G458" s="65" t="s">
        <v>175</v>
      </c>
      <c r="H458" s="61" t="s">
        <v>178</v>
      </c>
      <c r="I458" s="57">
        <f t="shared" ref="I458:K459" si="94">I454/($H454/7.7)</f>
        <v>9.0366172381835046</v>
      </c>
      <c r="J458" s="57">
        <f t="shared" si="94"/>
        <v>6.4062001853568127</v>
      </c>
      <c r="K458" s="57">
        <f t="shared" si="94"/>
        <v>3.7108433734939763</v>
      </c>
      <c r="L458" s="67">
        <f t="shared" si="91"/>
        <v>19.153660797034295</v>
      </c>
      <c r="M458" s="593"/>
      <c r="N458" s="604"/>
      <c r="O458" s="604"/>
      <c r="P458" s="604"/>
      <c r="Q458" s="42"/>
    </row>
    <row r="459" spans="1:17" x14ac:dyDescent="0.25">
      <c r="A459" s="52" t="s">
        <v>104</v>
      </c>
      <c r="B459" s="53" t="s">
        <v>96</v>
      </c>
      <c r="C459" s="57">
        <f>C455/($A455/7.7)</f>
        <v>6.3447999999999993</v>
      </c>
      <c r="D459" s="57">
        <f>D455/($A455/7.7)</f>
        <v>5.0423999999999998</v>
      </c>
      <c r="E459" s="57">
        <f>E455/($A455/7.7)</f>
        <v>2.6884000000000001</v>
      </c>
      <c r="F459" s="67">
        <f t="shared" si="90"/>
        <v>14.0756</v>
      </c>
      <c r="G459" s="57" t="s">
        <v>176</v>
      </c>
      <c r="H459" s="61" t="s">
        <v>178</v>
      </c>
      <c r="I459" s="57">
        <f t="shared" si="94"/>
        <v>6.547200000000001</v>
      </c>
      <c r="J459" s="57">
        <f t="shared" si="94"/>
        <v>5.7156000000000002</v>
      </c>
      <c r="K459" s="57">
        <f t="shared" si="94"/>
        <v>5.8959999999999999</v>
      </c>
      <c r="L459" s="67">
        <f t="shared" si="91"/>
        <v>18.158800000000003</v>
      </c>
      <c r="M459" s="593"/>
      <c r="N459" s="593"/>
      <c r="O459" s="593"/>
      <c r="P459" s="593"/>
      <c r="Q459" s="42"/>
    </row>
    <row r="460" spans="1:17" x14ac:dyDescent="0.25">
      <c r="A460" s="52" t="s">
        <v>135</v>
      </c>
      <c r="B460" s="53" t="s">
        <v>95</v>
      </c>
      <c r="C460" s="66">
        <f>C454/((($A454*$B451)*(1-$B448))/$B446)</f>
        <v>0.18345349755181506</v>
      </c>
      <c r="D460" s="66">
        <f>D454/((($A454*$B451)*(1-$B448))/$B446)</f>
        <v>0.16612126402566901</v>
      </c>
      <c r="E460" s="66">
        <f>E454/((($A454*$B451)*(1-$B448))/$B446)</f>
        <v>8.2174983021765916E-2</v>
      </c>
      <c r="F460" s="67">
        <f t="shared" si="90"/>
        <v>0.43174974459924997</v>
      </c>
      <c r="G460" s="66" t="s">
        <v>175</v>
      </c>
      <c r="H460" s="68" t="s">
        <v>179</v>
      </c>
      <c r="I460" s="66">
        <f>I454/((($H454*$B451)*(1-$B448))/$B446)</f>
        <v>0.21933955312265327</v>
      </c>
      <c r="J460" s="66">
        <f>J454/((($H454*$B451)*(1-$B448))/$B446)</f>
        <v>0.15549326134265645</v>
      </c>
      <c r="K460" s="66">
        <f>K454/((($H454*$B451)*(1-$B448))/$B446)</f>
        <v>9.0070731756913602E-2</v>
      </c>
      <c r="L460" s="67">
        <f t="shared" si="91"/>
        <v>0.4649035462222233</v>
      </c>
      <c r="M460" s="593"/>
      <c r="N460" s="593"/>
      <c r="O460" s="593"/>
      <c r="P460" s="593"/>
      <c r="Q460" s="42"/>
    </row>
    <row r="461" spans="1:17" x14ac:dyDescent="0.25">
      <c r="A461" s="52" t="s">
        <v>135</v>
      </c>
      <c r="B461" s="53" t="s">
        <v>96</v>
      </c>
      <c r="C461" s="66">
        <f>C455/((($A455*$B451)*(1-$B448))/$B446)</f>
        <v>0.15400293715797089</v>
      </c>
      <c r="D461" s="66">
        <f>D455/((($A455*$B451)*(1-$B448))/$B446)</f>
        <v>0.12239068376077299</v>
      </c>
      <c r="E461" s="66">
        <f>E455/((($A455*$B451)*(1-$B448))/$B446)</f>
        <v>6.5253671708405153E-2</v>
      </c>
      <c r="F461" s="67">
        <f t="shared" si="90"/>
        <v>0.34164729262714899</v>
      </c>
      <c r="G461" s="66" t="s">
        <v>176</v>
      </c>
      <c r="H461" s="68" t="s">
        <v>179</v>
      </c>
      <c r="I461" s="66">
        <f>I455/((($H455*$B451)*(1-$B448))/$B446)</f>
        <v>0.15891565221294085</v>
      </c>
      <c r="J461" s="66">
        <f>J455/((($H455*$B451)*(1-$B448))/$B446)</f>
        <v>0.1387308012262165</v>
      </c>
      <c r="K461" s="66">
        <f>K455/((($H455*$B451)*(1-$B448))/$B446)</f>
        <v>0.14310952551434189</v>
      </c>
      <c r="L461" s="67">
        <f t="shared" si="91"/>
        <v>0.44075597895349927</v>
      </c>
      <c r="M461" s="593"/>
      <c r="N461" s="593"/>
      <c r="O461" s="593"/>
      <c r="P461" s="593"/>
      <c r="Q461" s="42"/>
    </row>
    <row r="462" spans="1:17" x14ac:dyDescent="0.25">
      <c r="A462" s="612"/>
      <c r="B462" s="612"/>
      <c r="C462" s="612"/>
      <c r="D462" s="612"/>
      <c r="E462" s="612"/>
      <c r="F462" s="612"/>
      <c r="G462" s="612"/>
      <c r="H462" s="612"/>
      <c r="I462" s="612"/>
      <c r="J462" s="612"/>
      <c r="K462" s="612"/>
      <c r="L462" s="612"/>
      <c r="M462" s="612"/>
      <c r="N462" s="612"/>
      <c r="O462" s="612"/>
      <c r="P462" s="612"/>
      <c r="Q462" s="612"/>
    </row>
    <row r="463" spans="1:17" ht="21" x14ac:dyDescent="0.35">
      <c r="A463" s="43"/>
      <c r="B463" s="613" t="s">
        <v>190</v>
      </c>
      <c r="C463" s="614"/>
      <c r="D463" s="614"/>
      <c r="E463" s="614"/>
      <c r="F463" s="614"/>
      <c r="G463" s="614"/>
      <c r="H463" s="614"/>
      <c r="I463" s="614"/>
      <c r="J463" s="614"/>
      <c r="K463" s="614"/>
      <c r="L463" s="615"/>
      <c r="M463" s="593" t="s">
        <v>97</v>
      </c>
      <c r="N463" s="585" t="s">
        <v>191</v>
      </c>
      <c r="O463" s="585"/>
      <c r="P463" s="585"/>
      <c r="Q463" s="42"/>
    </row>
    <row r="464" spans="1:17" x14ac:dyDescent="0.25">
      <c r="A464" s="44"/>
      <c r="B464" s="590" t="s">
        <v>115</v>
      </c>
      <c r="C464" s="591"/>
      <c r="D464" s="591"/>
      <c r="E464" s="591"/>
      <c r="F464" s="591"/>
      <c r="G464" s="591"/>
      <c r="H464" s="591"/>
      <c r="I464" s="591"/>
      <c r="J464" s="591"/>
      <c r="K464" s="591"/>
      <c r="L464" s="592"/>
      <c r="M464" s="593"/>
      <c r="N464" s="585"/>
      <c r="O464" s="585"/>
      <c r="P464" s="585"/>
      <c r="Q464" s="42"/>
    </row>
    <row r="465" spans="1:17" x14ac:dyDescent="0.25">
      <c r="A465" s="2" t="s">
        <v>106</v>
      </c>
      <c r="B465" s="594">
        <v>15.031000000000001</v>
      </c>
      <c r="C465" s="595"/>
      <c r="D465" s="595"/>
      <c r="E465" s="595"/>
      <c r="F465" s="595"/>
      <c r="G465" s="595"/>
      <c r="H465" s="595"/>
      <c r="I465" s="595"/>
      <c r="J465" s="595"/>
      <c r="K465" s="595"/>
      <c r="L465" s="596"/>
      <c r="M465" s="593"/>
      <c r="N465" s="585"/>
      <c r="O465" s="585"/>
      <c r="P465" s="585"/>
      <c r="Q465" s="42"/>
    </row>
    <row r="466" spans="1:17" x14ac:dyDescent="0.25">
      <c r="A466" s="2" t="s">
        <v>112</v>
      </c>
      <c r="B466" s="597">
        <v>0.13300000000000001</v>
      </c>
      <c r="C466" s="598"/>
      <c r="D466" s="598"/>
      <c r="E466" s="598"/>
      <c r="F466" s="598"/>
      <c r="G466" s="598"/>
      <c r="H466" s="598"/>
      <c r="I466" s="598"/>
      <c r="J466" s="598"/>
      <c r="K466" s="598"/>
      <c r="L466" s="599"/>
      <c r="M466" s="593"/>
      <c r="N466" s="585"/>
      <c r="O466" s="585"/>
      <c r="P466" s="585"/>
      <c r="Q466" s="42"/>
    </row>
    <row r="467" spans="1:17" ht="15.75" thickBot="1" x14ac:dyDescent="0.3">
      <c r="A467" s="2" t="s">
        <v>107</v>
      </c>
      <c r="B467" s="594">
        <f>B465-(B465*B466)</f>
        <v>13.031877</v>
      </c>
      <c r="C467" s="595"/>
      <c r="D467" s="595"/>
      <c r="E467" s="595"/>
      <c r="F467" s="595"/>
      <c r="G467" s="595"/>
      <c r="H467" s="595"/>
      <c r="I467" s="595"/>
      <c r="J467" s="595"/>
      <c r="K467" s="595"/>
      <c r="L467" s="596"/>
      <c r="M467" s="593"/>
      <c r="N467" s="586"/>
      <c r="O467" s="586"/>
      <c r="P467" s="586"/>
      <c r="Q467" s="42"/>
    </row>
    <row r="468" spans="1:17" x14ac:dyDescent="0.25">
      <c r="A468" s="2" t="s">
        <v>108</v>
      </c>
      <c r="B468" s="600">
        <f>B471/B467</f>
        <v>0.76141257318496791</v>
      </c>
      <c r="C468" s="601"/>
      <c r="D468" s="601"/>
      <c r="E468" s="601"/>
      <c r="F468" s="601"/>
      <c r="G468" s="601"/>
      <c r="H468" s="601"/>
      <c r="I468" s="601"/>
      <c r="J468" s="601"/>
      <c r="K468" s="601"/>
      <c r="L468" s="602"/>
      <c r="M468" s="593"/>
      <c r="N468" s="605"/>
      <c r="O468" s="45"/>
      <c r="P468" s="607"/>
      <c r="Q468" s="42"/>
    </row>
    <row r="469" spans="1:17" ht="15.75" thickBot="1" x14ac:dyDescent="0.3">
      <c r="A469" s="2" t="s">
        <v>113</v>
      </c>
      <c r="B469" s="594">
        <f>B473*2.371</f>
        <v>35.564999999999998</v>
      </c>
      <c r="C469" s="595"/>
      <c r="D469" s="595"/>
      <c r="E469" s="595"/>
      <c r="F469" s="595"/>
      <c r="G469" s="595"/>
      <c r="H469" s="595"/>
      <c r="I469" s="595"/>
      <c r="J469" s="595"/>
      <c r="K469" s="595"/>
      <c r="L469" s="603"/>
      <c r="M469" s="593"/>
      <c r="N469" s="606"/>
      <c r="O469" s="46"/>
      <c r="P469" s="608"/>
      <c r="Q469" s="42"/>
    </row>
    <row r="470" spans="1:17" ht="15.75" thickBot="1" x14ac:dyDescent="0.3">
      <c r="A470" s="2" t="s">
        <v>109</v>
      </c>
      <c r="B470" s="600">
        <v>0.72099999999999997</v>
      </c>
      <c r="C470" s="601"/>
      <c r="D470" s="601"/>
      <c r="E470" s="601"/>
      <c r="F470" s="601"/>
      <c r="G470" s="601"/>
      <c r="H470" s="601"/>
      <c r="I470" s="601"/>
      <c r="J470" s="601"/>
      <c r="K470" s="601"/>
      <c r="L470" s="602"/>
      <c r="M470" s="593"/>
      <c r="N470" s="47"/>
      <c r="O470" s="48"/>
      <c r="P470" s="46"/>
      <c r="Q470" s="42"/>
    </row>
    <row r="471" spans="1:17" ht="15.75" thickBot="1" x14ac:dyDescent="0.3">
      <c r="A471" s="2" t="s">
        <v>122</v>
      </c>
      <c r="B471" s="594">
        <f>B469-(B469*B470)</f>
        <v>9.9226349999999996</v>
      </c>
      <c r="C471" s="595"/>
      <c r="D471" s="595"/>
      <c r="E471" s="595"/>
      <c r="F471" s="595"/>
      <c r="G471" s="595"/>
      <c r="H471" s="595"/>
      <c r="I471" s="595"/>
      <c r="J471" s="595"/>
      <c r="K471" s="595"/>
      <c r="L471" s="603"/>
      <c r="M471" s="593"/>
      <c r="N471" s="47"/>
      <c r="O471" s="48"/>
      <c r="P471" s="49"/>
      <c r="Q471" s="42"/>
    </row>
    <row r="472" spans="1:17" ht="15.75" thickBot="1" x14ac:dyDescent="0.3">
      <c r="A472" s="2" t="s">
        <v>110</v>
      </c>
      <c r="B472" s="587">
        <v>129</v>
      </c>
      <c r="C472" s="588"/>
      <c r="D472" s="588"/>
      <c r="E472" s="588"/>
      <c r="F472" s="588"/>
      <c r="G472" s="588"/>
      <c r="H472" s="588"/>
      <c r="I472" s="588"/>
      <c r="J472" s="588"/>
      <c r="K472" s="588"/>
      <c r="L472" s="589"/>
      <c r="M472" s="593"/>
      <c r="N472" s="47"/>
      <c r="O472" s="48"/>
      <c r="P472" s="49"/>
      <c r="Q472" s="42"/>
    </row>
    <row r="473" spans="1:17" x14ac:dyDescent="0.25">
      <c r="A473" s="2" t="s">
        <v>111</v>
      </c>
      <c r="B473" s="587">
        <v>15</v>
      </c>
      <c r="C473" s="588"/>
      <c r="D473" s="588"/>
      <c r="E473" s="588"/>
      <c r="F473" s="588"/>
      <c r="G473" s="588"/>
      <c r="H473" s="588"/>
      <c r="I473" s="588"/>
      <c r="J473" s="588"/>
      <c r="K473" s="588"/>
      <c r="L473" s="589"/>
      <c r="M473" s="593"/>
      <c r="N473" s="50"/>
      <c r="O473" s="624"/>
      <c r="P473" s="625"/>
      <c r="Q473" s="42"/>
    </row>
    <row r="474" spans="1:17" ht="15.75" thickBot="1" x14ac:dyDescent="0.3">
      <c r="A474" s="587" t="s">
        <v>127</v>
      </c>
      <c r="B474" s="588"/>
      <c r="C474" s="588"/>
      <c r="D474" s="588"/>
      <c r="E474" s="589"/>
      <c r="F474" s="51"/>
      <c r="G474" s="587" t="s">
        <v>128</v>
      </c>
      <c r="H474" s="588"/>
      <c r="I474" s="588"/>
      <c r="J474" s="588"/>
      <c r="K474" s="589"/>
      <c r="L474" s="51"/>
      <c r="M474" s="593"/>
      <c r="N474" s="47"/>
      <c r="O474" s="606"/>
      <c r="P474" s="611"/>
      <c r="Q474" s="42"/>
    </row>
    <row r="475" spans="1:17" ht="15.75" thickBot="1" x14ac:dyDescent="0.3">
      <c r="A475" s="52" t="s">
        <v>98</v>
      </c>
      <c r="B475" s="53" t="s">
        <v>102</v>
      </c>
      <c r="C475" s="53" t="s">
        <v>92</v>
      </c>
      <c r="D475" s="53" t="s">
        <v>93</v>
      </c>
      <c r="E475" s="53" t="s">
        <v>94</v>
      </c>
      <c r="F475" s="54" t="s">
        <v>99</v>
      </c>
      <c r="G475" s="53" t="s">
        <v>102</v>
      </c>
      <c r="H475" s="55" t="s">
        <v>98</v>
      </c>
      <c r="I475" s="53" t="s">
        <v>92</v>
      </c>
      <c r="J475" s="53" t="s">
        <v>93</v>
      </c>
      <c r="K475" s="53" t="s">
        <v>94</v>
      </c>
      <c r="L475" s="54" t="s">
        <v>99</v>
      </c>
      <c r="M475" s="593"/>
      <c r="N475" s="47"/>
      <c r="O475" s="48"/>
      <c r="P475" s="49"/>
      <c r="Q475" s="42"/>
    </row>
    <row r="476" spans="1:17" ht="15.75" thickBot="1" x14ac:dyDescent="0.3">
      <c r="A476" s="56">
        <v>1125</v>
      </c>
      <c r="B476" s="53" t="s">
        <v>95</v>
      </c>
      <c r="C476" s="57">
        <v>1557.5</v>
      </c>
      <c r="D476" s="57">
        <v>1486.3</v>
      </c>
      <c r="E476" s="57">
        <v>675.1</v>
      </c>
      <c r="F476" s="58">
        <f t="shared" ref="F476:F483" si="95">SUM(C476:E476)</f>
        <v>3718.9</v>
      </c>
      <c r="G476" s="57" t="s">
        <v>175</v>
      </c>
      <c r="H476" s="59">
        <v>846</v>
      </c>
      <c r="I476" s="57">
        <v>348.5</v>
      </c>
      <c r="J476" s="57">
        <v>1074.8</v>
      </c>
      <c r="K476" s="57">
        <v>348.5</v>
      </c>
      <c r="L476" s="58">
        <f>SUM(I476:K476)</f>
        <v>1771.8</v>
      </c>
      <c r="M476" s="593"/>
      <c r="N476" s="47"/>
      <c r="O476" s="48"/>
      <c r="P476" s="46"/>
      <c r="Q476" s="42"/>
    </row>
    <row r="477" spans="1:17" ht="15.75" thickBot="1" x14ac:dyDescent="0.3">
      <c r="A477" s="56">
        <v>197</v>
      </c>
      <c r="B477" s="53" t="s">
        <v>96</v>
      </c>
      <c r="C477" s="57">
        <v>303.60000000000002</v>
      </c>
      <c r="D477" s="57">
        <v>193.9</v>
      </c>
      <c r="E477" s="57">
        <v>185.7</v>
      </c>
      <c r="F477" s="67">
        <f t="shared" si="95"/>
        <v>683.2</v>
      </c>
      <c r="G477" s="57" t="s">
        <v>176</v>
      </c>
      <c r="H477" s="60">
        <v>203</v>
      </c>
      <c r="I477" s="57">
        <v>141</v>
      </c>
      <c r="J477" s="57">
        <v>201.6</v>
      </c>
      <c r="K477" s="57">
        <v>141</v>
      </c>
      <c r="L477" s="58">
        <f t="shared" ref="L477:L483" si="96">SUM(I477:K477)</f>
        <v>483.6</v>
      </c>
      <c r="M477" s="593"/>
      <c r="N477" s="47"/>
      <c r="O477" s="48"/>
      <c r="P477" s="46"/>
      <c r="Q477" s="42"/>
    </row>
    <row r="478" spans="1:17" ht="15.75" thickBot="1" x14ac:dyDescent="0.3">
      <c r="A478" s="52" t="s">
        <v>100</v>
      </c>
      <c r="B478" s="53" t="s">
        <v>95</v>
      </c>
      <c r="C478" s="57">
        <f t="shared" ref="C478:E479" si="97">C476/$A476</f>
        <v>1.3844444444444444</v>
      </c>
      <c r="D478" s="57">
        <f t="shared" si="97"/>
        <v>1.3211555555555554</v>
      </c>
      <c r="E478" s="57">
        <f t="shared" si="97"/>
        <v>0.60008888888888889</v>
      </c>
      <c r="F478" s="67">
        <f t="shared" si="95"/>
        <v>3.3056888888888887</v>
      </c>
      <c r="G478" s="57" t="s">
        <v>175</v>
      </c>
      <c r="H478" s="61" t="s">
        <v>177</v>
      </c>
      <c r="I478" s="57">
        <f t="shared" ref="I478:K479" si="98">I476/$H476</f>
        <v>0.41193853427895982</v>
      </c>
      <c r="J478" s="57">
        <f t="shared" si="98"/>
        <v>1.2704491725768321</v>
      </c>
      <c r="K478" s="57">
        <f t="shared" si="98"/>
        <v>0.41193853427895982</v>
      </c>
      <c r="L478" s="67">
        <f t="shared" si="96"/>
        <v>2.0943262411347519</v>
      </c>
      <c r="M478" s="593"/>
      <c r="N478" s="47"/>
      <c r="O478" s="48"/>
      <c r="P478" s="46"/>
      <c r="Q478" s="42"/>
    </row>
    <row r="479" spans="1:17" ht="16.5" thickBot="1" x14ac:dyDescent="0.3">
      <c r="A479" s="52" t="s">
        <v>100</v>
      </c>
      <c r="B479" s="53" t="s">
        <v>96</v>
      </c>
      <c r="C479" s="57">
        <f t="shared" si="97"/>
        <v>1.5411167512690356</v>
      </c>
      <c r="D479" s="57">
        <f t="shared" si="97"/>
        <v>0.98426395939086297</v>
      </c>
      <c r="E479" s="57">
        <f t="shared" si="97"/>
        <v>0.94263959390862939</v>
      </c>
      <c r="F479" s="67">
        <f t="shared" si="95"/>
        <v>3.4680203045685278</v>
      </c>
      <c r="G479" s="57" t="s">
        <v>176</v>
      </c>
      <c r="H479" s="61" t="s">
        <v>177</v>
      </c>
      <c r="I479" s="57">
        <f t="shared" si="98"/>
        <v>0.69458128078817738</v>
      </c>
      <c r="J479" s="57">
        <f t="shared" si="98"/>
        <v>0.99310344827586206</v>
      </c>
      <c r="K479" s="57">
        <f t="shared" si="98"/>
        <v>0.69458128078817738</v>
      </c>
      <c r="L479" s="67">
        <f t="shared" si="96"/>
        <v>2.3822660098522168</v>
      </c>
      <c r="M479" s="593"/>
      <c r="N479" s="62"/>
      <c r="O479" s="63"/>
      <c r="P479" s="64"/>
      <c r="Q479" s="42"/>
    </row>
    <row r="480" spans="1:17" x14ac:dyDescent="0.25">
      <c r="A480" s="52" t="s">
        <v>104</v>
      </c>
      <c r="B480" s="53" t="s">
        <v>95</v>
      </c>
      <c r="C480" s="57">
        <f>C476/($A476/7)</f>
        <v>9.6911111111111108</v>
      </c>
      <c r="D480" s="57">
        <f>D476/($A476/7)</f>
        <v>9.2480888888888888</v>
      </c>
      <c r="E480" s="57">
        <f>E476/($A476/7)</f>
        <v>4.200622222222222</v>
      </c>
      <c r="F480" s="67">
        <f t="shared" si="95"/>
        <v>23.139822222222222</v>
      </c>
      <c r="G480" s="65" t="s">
        <v>175</v>
      </c>
      <c r="H480" s="61" t="s">
        <v>178</v>
      </c>
      <c r="I480" s="57">
        <f t="shared" ref="I480:K481" si="99">I476/($H476/7.7)</f>
        <v>3.1719267139479905</v>
      </c>
      <c r="J480" s="57">
        <f t="shared" si="99"/>
        <v>9.7824586288416064</v>
      </c>
      <c r="K480" s="57">
        <f t="shared" si="99"/>
        <v>3.1719267139479905</v>
      </c>
      <c r="L480" s="67">
        <f t="shared" si="96"/>
        <v>16.126312056737586</v>
      </c>
      <c r="M480" s="593"/>
      <c r="N480" s="604"/>
      <c r="O480" s="604"/>
      <c r="P480" s="604"/>
      <c r="Q480" s="42"/>
    </row>
    <row r="481" spans="1:17" x14ac:dyDescent="0.25">
      <c r="A481" s="52" t="s">
        <v>104</v>
      </c>
      <c r="B481" s="53" t="s">
        <v>96</v>
      </c>
      <c r="C481" s="57">
        <f>C477/($A477/7.7)</f>
        <v>11.866598984771574</v>
      </c>
      <c r="D481" s="57">
        <f>D477/($A477/7.7)</f>
        <v>7.5788324873096453</v>
      </c>
      <c r="E481" s="57">
        <f>E477/($A477/7.7)</f>
        <v>7.2583248730964467</v>
      </c>
      <c r="F481" s="67">
        <f t="shared" si="95"/>
        <v>26.703756345177666</v>
      </c>
      <c r="G481" s="57" t="s">
        <v>176</v>
      </c>
      <c r="H481" s="61" t="s">
        <v>178</v>
      </c>
      <c r="I481" s="57">
        <f t="shared" si="99"/>
        <v>5.3482758620689657</v>
      </c>
      <c r="J481" s="57">
        <f t="shared" si="99"/>
        <v>7.6468965517241374</v>
      </c>
      <c r="K481" s="57">
        <f t="shared" si="99"/>
        <v>5.3482758620689657</v>
      </c>
      <c r="L481" s="67">
        <f t="shared" si="96"/>
        <v>18.34344827586207</v>
      </c>
      <c r="M481" s="593"/>
      <c r="N481" s="593"/>
      <c r="O481" s="593"/>
      <c r="P481" s="593"/>
      <c r="Q481" s="42"/>
    </row>
    <row r="482" spans="1:17" x14ac:dyDescent="0.25">
      <c r="A482" s="52" t="s">
        <v>135</v>
      </c>
      <c r="B482" s="53" t="s">
        <v>95</v>
      </c>
      <c r="C482" s="66">
        <f>C476/((($A476*$B473)*(1-$B470))/$B468)</f>
        <v>0.25188372924159563</v>
      </c>
      <c r="D482" s="66">
        <f>D476/((($A476*$B473)*(1-$B470))/$B468)</f>
        <v>0.24036904447626553</v>
      </c>
      <c r="E482" s="66">
        <f>E476/((($A476*$B473)*(1-$B470))/$B468)</f>
        <v>0.10917926523980817</v>
      </c>
      <c r="F482" s="67">
        <f t="shared" si="95"/>
        <v>0.60143203895766928</v>
      </c>
      <c r="G482" s="66" t="s">
        <v>175</v>
      </c>
      <c r="H482" s="68" t="s">
        <v>179</v>
      </c>
      <c r="I482" s="66">
        <f>I476/((($H476*$B473)*(1-$B470))/$B468)</f>
        <v>7.4947474164728037E-2</v>
      </c>
      <c r="J482" s="66">
        <f>J476/((($H476*$B473)*(1-$B470))/$B468)</f>
        <v>0.23114360181420285</v>
      </c>
      <c r="K482" s="66">
        <f>K476/((($H476*$B473)*(1-$B470))/$B468)</f>
        <v>7.4947474164728037E-2</v>
      </c>
      <c r="L482" s="67">
        <f t="shared" si="96"/>
        <v>0.38103855014365889</v>
      </c>
      <c r="M482" s="593"/>
      <c r="N482" s="593"/>
      <c r="O482" s="593"/>
      <c r="P482" s="593"/>
      <c r="Q482" s="42"/>
    </row>
    <row r="483" spans="1:17" x14ac:dyDescent="0.25">
      <c r="A483" s="52" t="s">
        <v>135</v>
      </c>
      <c r="B483" s="53" t="s">
        <v>96</v>
      </c>
      <c r="C483" s="66">
        <f>C477/((($A477*$B473)*(1-$B470))/$B468)</f>
        <v>0.28038845189061279</v>
      </c>
      <c r="D483" s="66">
        <f>D477/((($A477*$B473)*(1-$B470))/$B468)</f>
        <v>0.17907549677730505</v>
      </c>
      <c r="E483" s="66">
        <f>E477/((($A477*$B473)*(1-$B470))/$B468)</f>
        <v>0.17150242264850721</v>
      </c>
      <c r="F483" s="67">
        <f t="shared" si="95"/>
        <v>0.63096637131642508</v>
      </c>
      <c r="G483" s="66" t="s">
        <v>176</v>
      </c>
      <c r="H483" s="68" t="s">
        <v>179</v>
      </c>
      <c r="I483" s="66">
        <f>I477/((($H477*$B473)*(1-$B470))/$B468)</f>
        <v>0.12637106816990126</v>
      </c>
      <c r="J483" s="66">
        <f>J477/((($H477*$B473)*(1-$B470))/$B468)</f>
        <v>0.18068374002164608</v>
      </c>
      <c r="K483" s="66">
        <f>K477/((($H477*$B473)*(1-$B470))/$B468)</f>
        <v>0.12637106816990126</v>
      </c>
      <c r="L483" s="67">
        <f t="shared" si="96"/>
        <v>0.43342587636144858</v>
      </c>
      <c r="M483" s="593"/>
      <c r="N483" s="593"/>
      <c r="O483" s="593"/>
      <c r="P483" s="593"/>
      <c r="Q483" s="42"/>
    </row>
    <row r="484" spans="1:17" x14ac:dyDescent="0.25">
      <c r="A484" s="612"/>
      <c r="B484" s="612"/>
      <c r="C484" s="612"/>
      <c r="D484" s="612"/>
      <c r="E484" s="612"/>
      <c r="F484" s="612"/>
      <c r="G484" s="612"/>
      <c r="H484" s="612"/>
      <c r="I484" s="612"/>
      <c r="J484" s="612"/>
      <c r="K484" s="612"/>
      <c r="L484" s="612"/>
      <c r="M484" s="612"/>
      <c r="N484" s="612"/>
      <c r="O484" s="612"/>
      <c r="P484" s="612"/>
      <c r="Q484" s="612"/>
    </row>
    <row r="485" spans="1:17" ht="21" x14ac:dyDescent="0.35">
      <c r="A485" s="43"/>
      <c r="B485" s="613" t="s">
        <v>192</v>
      </c>
      <c r="C485" s="614"/>
      <c r="D485" s="614"/>
      <c r="E485" s="614"/>
      <c r="F485" s="614"/>
      <c r="G485" s="614"/>
      <c r="H485" s="614"/>
      <c r="I485" s="614"/>
      <c r="J485" s="614"/>
      <c r="K485" s="614"/>
      <c r="L485" s="615"/>
      <c r="M485" s="593" t="s">
        <v>97</v>
      </c>
      <c r="N485" s="585" t="s">
        <v>193</v>
      </c>
      <c r="O485" s="585"/>
      <c r="P485" s="585"/>
      <c r="Q485" s="42"/>
    </row>
    <row r="486" spans="1:17" x14ac:dyDescent="0.25">
      <c r="A486" s="44"/>
      <c r="B486" s="590" t="s">
        <v>115</v>
      </c>
      <c r="C486" s="591"/>
      <c r="D486" s="591"/>
      <c r="E486" s="591"/>
      <c r="F486" s="591"/>
      <c r="G486" s="591"/>
      <c r="H486" s="591"/>
      <c r="I486" s="591"/>
      <c r="J486" s="591"/>
      <c r="K486" s="591"/>
      <c r="L486" s="592"/>
      <c r="M486" s="593"/>
      <c r="N486" s="585"/>
      <c r="O486" s="585"/>
      <c r="P486" s="585"/>
      <c r="Q486" s="42"/>
    </row>
    <row r="487" spans="1:17" x14ac:dyDescent="0.25">
      <c r="A487" s="2" t="s">
        <v>106</v>
      </c>
      <c r="B487" s="594">
        <v>15.3</v>
      </c>
      <c r="C487" s="595"/>
      <c r="D487" s="595"/>
      <c r="E487" s="595"/>
      <c r="F487" s="595"/>
      <c r="G487" s="595"/>
      <c r="H487" s="595"/>
      <c r="I487" s="595"/>
      <c r="J487" s="595"/>
      <c r="K487" s="595"/>
      <c r="L487" s="596"/>
      <c r="M487" s="593"/>
      <c r="N487" s="585"/>
      <c r="O487" s="585"/>
      <c r="P487" s="585"/>
      <c r="Q487" s="42"/>
    </row>
    <row r="488" spans="1:17" x14ac:dyDescent="0.25">
      <c r="A488" s="2" t="s">
        <v>112</v>
      </c>
      <c r="B488" s="597">
        <v>0.15</v>
      </c>
      <c r="C488" s="598"/>
      <c r="D488" s="598"/>
      <c r="E488" s="598"/>
      <c r="F488" s="598"/>
      <c r="G488" s="598"/>
      <c r="H488" s="598"/>
      <c r="I488" s="598"/>
      <c r="J488" s="598"/>
      <c r="K488" s="598"/>
      <c r="L488" s="599"/>
      <c r="M488" s="593"/>
      <c r="N488" s="585"/>
      <c r="O488" s="585"/>
      <c r="P488" s="585"/>
      <c r="Q488" s="42"/>
    </row>
    <row r="489" spans="1:17" ht="15.75" thickBot="1" x14ac:dyDescent="0.3">
      <c r="A489" s="2" t="s">
        <v>107</v>
      </c>
      <c r="B489" s="594">
        <f>B487-(B487*B488)</f>
        <v>13.005000000000001</v>
      </c>
      <c r="C489" s="595"/>
      <c r="D489" s="595"/>
      <c r="E489" s="595"/>
      <c r="F489" s="595"/>
      <c r="G489" s="595"/>
      <c r="H489" s="595"/>
      <c r="I489" s="595"/>
      <c r="J489" s="595"/>
      <c r="K489" s="595"/>
      <c r="L489" s="596"/>
      <c r="M489" s="593"/>
      <c r="N489" s="586"/>
      <c r="O489" s="586"/>
      <c r="P489" s="586"/>
      <c r="Q489" s="42"/>
    </row>
    <row r="490" spans="1:17" ht="16.5" thickBot="1" x14ac:dyDescent="0.3">
      <c r="A490" s="2" t="s">
        <v>108</v>
      </c>
      <c r="B490" s="600">
        <f>B493/B489</f>
        <v>0.81764490580545945</v>
      </c>
      <c r="C490" s="601"/>
      <c r="D490" s="601"/>
      <c r="E490" s="601"/>
      <c r="F490" s="601"/>
      <c r="G490" s="601"/>
      <c r="H490" s="601"/>
      <c r="I490" s="601"/>
      <c r="J490" s="601"/>
      <c r="K490" s="601"/>
      <c r="L490" s="602"/>
      <c r="M490" s="593"/>
      <c r="N490" s="71"/>
      <c r="O490" s="72"/>
      <c r="P490" s="605"/>
      <c r="Q490" s="42"/>
    </row>
    <row r="491" spans="1:17" ht="16.5" thickBot="1" x14ac:dyDescent="0.3">
      <c r="A491" s="2" t="s">
        <v>113</v>
      </c>
      <c r="B491" s="594">
        <f>B495*2.276</f>
        <v>36.415999999999997</v>
      </c>
      <c r="C491" s="595"/>
      <c r="D491" s="595"/>
      <c r="E491" s="595"/>
      <c r="F491" s="595"/>
      <c r="G491" s="595"/>
      <c r="H491" s="595"/>
      <c r="I491" s="595"/>
      <c r="J491" s="595"/>
      <c r="K491" s="595"/>
      <c r="L491" s="603"/>
      <c r="M491" s="593"/>
      <c r="N491" s="73"/>
      <c r="O491" s="74"/>
      <c r="P491" s="622"/>
      <c r="Q491" s="42"/>
    </row>
    <row r="492" spans="1:17" ht="16.5" thickBot="1" x14ac:dyDescent="0.3">
      <c r="A492" s="2" t="s">
        <v>109</v>
      </c>
      <c r="B492" s="600">
        <v>0.70799999999999996</v>
      </c>
      <c r="C492" s="601"/>
      <c r="D492" s="601"/>
      <c r="E492" s="601"/>
      <c r="F492" s="601"/>
      <c r="G492" s="601"/>
      <c r="H492" s="601"/>
      <c r="I492" s="601"/>
      <c r="J492" s="601"/>
      <c r="K492" s="601"/>
      <c r="L492" s="602"/>
      <c r="M492" s="593"/>
      <c r="N492" s="73"/>
      <c r="O492" s="74"/>
      <c r="P492" s="622"/>
      <c r="Q492" s="42"/>
    </row>
    <row r="493" spans="1:17" ht="16.5" thickBot="1" x14ac:dyDescent="0.3">
      <c r="A493" s="2" t="s">
        <v>122</v>
      </c>
      <c r="B493" s="594">
        <f>B491-(B491*B492)</f>
        <v>10.633472000000001</v>
      </c>
      <c r="C493" s="595"/>
      <c r="D493" s="595"/>
      <c r="E493" s="595"/>
      <c r="F493" s="595"/>
      <c r="G493" s="595"/>
      <c r="H493" s="595"/>
      <c r="I493" s="595"/>
      <c r="J493" s="595"/>
      <c r="K493" s="595"/>
      <c r="L493" s="603"/>
      <c r="M493" s="593"/>
      <c r="N493" s="73"/>
      <c r="O493" s="74"/>
      <c r="P493" s="622"/>
      <c r="Q493" s="42"/>
    </row>
    <row r="494" spans="1:17" ht="16.5" thickBot="1" x14ac:dyDescent="0.3">
      <c r="A494" s="2" t="s">
        <v>110</v>
      </c>
      <c r="B494" s="587">
        <v>122</v>
      </c>
      <c r="C494" s="588"/>
      <c r="D494" s="588"/>
      <c r="E494" s="588"/>
      <c r="F494" s="588"/>
      <c r="G494" s="588"/>
      <c r="H494" s="588"/>
      <c r="I494" s="588"/>
      <c r="J494" s="588"/>
      <c r="K494" s="588"/>
      <c r="L494" s="589"/>
      <c r="M494" s="593"/>
      <c r="N494" s="73"/>
      <c r="O494" s="74"/>
      <c r="P494" s="622"/>
      <c r="Q494" s="42"/>
    </row>
    <row r="495" spans="1:17" ht="16.5" thickBot="1" x14ac:dyDescent="0.3">
      <c r="A495" s="2" t="s">
        <v>111</v>
      </c>
      <c r="B495" s="587">
        <v>16</v>
      </c>
      <c r="C495" s="588"/>
      <c r="D495" s="588"/>
      <c r="E495" s="588"/>
      <c r="F495" s="588"/>
      <c r="G495" s="588"/>
      <c r="H495" s="588"/>
      <c r="I495" s="588"/>
      <c r="J495" s="588"/>
      <c r="K495" s="588"/>
      <c r="L495" s="589"/>
      <c r="M495" s="593"/>
      <c r="N495" s="73"/>
      <c r="O495" s="74"/>
      <c r="P495" s="622"/>
      <c r="Q495" s="42"/>
    </row>
    <row r="496" spans="1:17" ht="16.5" thickBot="1" x14ac:dyDescent="0.3">
      <c r="A496" s="587" t="s">
        <v>127</v>
      </c>
      <c r="B496" s="588"/>
      <c r="C496" s="588"/>
      <c r="D496" s="588"/>
      <c r="E496" s="589"/>
      <c r="F496" s="51"/>
      <c r="G496" s="587" t="s">
        <v>128</v>
      </c>
      <c r="H496" s="588"/>
      <c r="I496" s="588"/>
      <c r="J496" s="588"/>
      <c r="K496" s="589"/>
      <c r="L496" s="51"/>
      <c r="M496" s="593"/>
      <c r="N496" s="73"/>
      <c r="O496" s="74"/>
      <c r="P496" s="622"/>
      <c r="Q496" s="42"/>
    </row>
    <row r="497" spans="1:17" ht="16.5" thickBot="1" x14ac:dyDescent="0.3">
      <c r="A497" s="52" t="s">
        <v>98</v>
      </c>
      <c r="B497" s="53" t="s">
        <v>102</v>
      </c>
      <c r="C497" s="53" t="s">
        <v>92</v>
      </c>
      <c r="D497" s="53" t="s">
        <v>93</v>
      </c>
      <c r="E497" s="53" t="s">
        <v>94</v>
      </c>
      <c r="F497" s="54" t="s">
        <v>99</v>
      </c>
      <c r="G497" s="53" t="s">
        <v>102</v>
      </c>
      <c r="H497" s="55" t="s">
        <v>98</v>
      </c>
      <c r="I497" s="53" t="s">
        <v>92</v>
      </c>
      <c r="J497" s="53" t="s">
        <v>93</v>
      </c>
      <c r="K497" s="53" t="s">
        <v>94</v>
      </c>
      <c r="L497" s="54" t="s">
        <v>99</v>
      </c>
      <c r="M497" s="593"/>
      <c r="N497" s="73"/>
      <c r="O497" s="74"/>
      <c r="P497" s="622"/>
      <c r="Q497" s="42"/>
    </row>
    <row r="498" spans="1:17" ht="16.5" thickBot="1" x14ac:dyDescent="0.3">
      <c r="A498" s="56">
        <v>987</v>
      </c>
      <c r="B498" s="53" t="s">
        <v>95</v>
      </c>
      <c r="C498" s="57">
        <v>1559.8</v>
      </c>
      <c r="D498" s="57">
        <v>957.6</v>
      </c>
      <c r="E498" s="57">
        <v>574.79999999999995</v>
      </c>
      <c r="F498" s="58">
        <f t="shared" ref="F498:F505" si="100">SUM(C498:E498)</f>
        <v>3092.2</v>
      </c>
      <c r="G498" s="57" t="s">
        <v>175</v>
      </c>
      <c r="H498" s="59">
        <v>965</v>
      </c>
      <c r="I498" s="57">
        <v>1637.2</v>
      </c>
      <c r="J498" s="57">
        <v>938.7</v>
      </c>
      <c r="K498" s="57">
        <v>279.8</v>
      </c>
      <c r="L498" s="58">
        <f>SUM(I498:K498)</f>
        <v>2855.7000000000003</v>
      </c>
      <c r="M498" s="593"/>
      <c r="N498" s="73"/>
      <c r="O498" s="74"/>
      <c r="P498" s="622"/>
      <c r="Q498" s="42"/>
    </row>
    <row r="499" spans="1:17" ht="16.5" thickBot="1" x14ac:dyDescent="0.3">
      <c r="A499" s="56">
        <v>163</v>
      </c>
      <c r="B499" s="53" t="s">
        <v>96</v>
      </c>
      <c r="C499" s="57">
        <v>242.1</v>
      </c>
      <c r="D499" s="57">
        <v>102.6</v>
      </c>
      <c r="E499" s="57">
        <v>130.19999999999999</v>
      </c>
      <c r="F499" s="58">
        <f t="shared" si="100"/>
        <v>474.9</v>
      </c>
      <c r="G499" s="57" t="s">
        <v>176</v>
      </c>
      <c r="H499" s="60">
        <v>161</v>
      </c>
      <c r="I499" s="57">
        <v>220.6</v>
      </c>
      <c r="J499" s="57">
        <v>157.1</v>
      </c>
      <c r="K499" s="57">
        <v>82.6</v>
      </c>
      <c r="L499" s="58">
        <f t="shared" ref="L499:L505" si="101">SUM(I499:K499)</f>
        <v>460.29999999999995</v>
      </c>
      <c r="M499" s="593"/>
      <c r="N499" s="75"/>
      <c r="O499" s="76"/>
      <c r="P499" s="622"/>
      <c r="Q499" s="42"/>
    </row>
    <row r="500" spans="1:17" x14ac:dyDescent="0.25">
      <c r="A500" s="52" t="s">
        <v>100</v>
      </c>
      <c r="B500" s="53" t="s">
        <v>95</v>
      </c>
      <c r="C500" s="57">
        <f t="shared" ref="C500:E501" si="102">C498/$A498</f>
        <v>1.5803444782168186</v>
      </c>
      <c r="D500" s="57">
        <f t="shared" si="102"/>
        <v>0.97021276595744688</v>
      </c>
      <c r="E500" s="57">
        <f t="shared" si="102"/>
        <v>0.58237082066869295</v>
      </c>
      <c r="F500" s="67">
        <f t="shared" si="100"/>
        <v>3.1329280648429583</v>
      </c>
      <c r="G500" s="57" t="s">
        <v>175</v>
      </c>
      <c r="H500" s="61" t="s">
        <v>177</v>
      </c>
      <c r="I500" s="57">
        <f t="shared" ref="I500:K501" si="103">I498/$H498</f>
        <v>1.6965803108808291</v>
      </c>
      <c r="J500" s="57">
        <f t="shared" si="103"/>
        <v>0.9727461139896374</v>
      </c>
      <c r="K500" s="57">
        <f t="shared" si="103"/>
        <v>0.28994818652849741</v>
      </c>
      <c r="L500" s="67">
        <f t="shared" si="101"/>
        <v>2.9592746113989641</v>
      </c>
      <c r="M500" s="593"/>
      <c r="N500" s="616"/>
      <c r="O500" s="618"/>
      <c r="P500" s="622"/>
      <c r="Q500" s="42"/>
    </row>
    <row r="501" spans="1:17" ht="15.75" thickBot="1" x14ac:dyDescent="0.3">
      <c r="A501" s="52" t="s">
        <v>100</v>
      </c>
      <c r="B501" s="53" t="s">
        <v>96</v>
      </c>
      <c r="C501" s="57">
        <f t="shared" si="102"/>
        <v>1.4852760736196318</v>
      </c>
      <c r="D501" s="57">
        <f t="shared" si="102"/>
        <v>0.62944785276073612</v>
      </c>
      <c r="E501" s="57">
        <f t="shared" si="102"/>
        <v>0.79877300613496927</v>
      </c>
      <c r="F501" s="67">
        <f t="shared" si="100"/>
        <v>2.9134969325153368</v>
      </c>
      <c r="G501" s="57" t="s">
        <v>176</v>
      </c>
      <c r="H501" s="61" t="s">
        <v>177</v>
      </c>
      <c r="I501" s="57">
        <f t="shared" si="103"/>
        <v>1.3701863354037267</v>
      </c>
      <c r="J501" s="57">
        <f t="shared" si="103"/>
        <v>0.97577639751552792</v>
      </c>
      <c r="K501" s="57">
        <f t="shared" si="103"/>
        <v>0.51304347826086949</v>
      </c>
      <c r="L501" s="67">
        <f t="shared" si="101"/>
        <v>2.859006211180124</v>
      </c>
      <c r="M501" s="593"/>
      <c r="N501" s="619"/>
      <c r="O501" s="621"/>
      <c r="P501" s="623"/>
      <c r="Q501" s="42"/>
    </row>
    <row r="502" spans="1:17" x14ac:dyDescent="0.25">
      <c r="A502" s="52" t="s">
        <v>104</v>
      </c>
      <c r="B502" s="53" t="s">
        <v>95</v>
      </c>
      <c r="C502" s="57">
        <f>C498/($A498/7)</f>
        <v>11.062411347517731</v>
      </c>
      <c r="D502" s="57">
        <f>D498/($A498/7)</f>
        <v>6.7914893617021281</v>
      </c>
      <c r="E502" s="57">
        <f>E498/($A498/7)</f>
        <v>4.0765957446808505</v>
      </c>
      <c r="F502" s="67">
        <f t="shared" si="100"/>
        <v>21.930496453900709</v>
      </c>
      <c r="G502" s="65" t="s">
        <v>175</v>
      </c>
      <c r="H502" s="61" t="s">
        <v>178</v>
      </c>
      <c r="I502" s="57">
        <f t="shared" ref="I502:K503" si="104">I498/($H498/7.7)</f>
        <v>13.063668393782384</v>
      </c>
      <c r="J502" s="57">
        <f t="shared" si="104"/>
        <v>7.4901450777202072</v>
      </c>
      <c r="K502" s="57">
        <f t="shared" si="104"/>
        <v>2.23260103626943</v>
      </c>
      <c r="L502" s="67">
        <f t="shared" si="101"/>
        <v>22.786414507772022</v>
      </c>
      <c r="M502" s="593"/>
      <c r="N502" s="604"/>
      <c r="O502" s="604"/>
      <c r="P502" s="604"/>
      <c r="Q502" s="42"/>
    </row>
    <row r="503" spans="1:17" x14ac:dyDescent="0.25">
      <c r="A503" s="52" t="s">
        <v>104</v>
      </c>
      <c r="B503" s="53" t="s">
        <v>96</v>
      </c>
      <c r="C503" s="57">
        <f>C499/($A499/7.7)</f>
        <v>11.436625766871165</v>
      </c>
      <c r="D503" s="57">
        <f>D499/($A499/7.7)</f>
        <v>4.8467484662576688</v>
      </c>
      <c r="E503" s="57">
        <f>E499/($A499/7.7)</f>
        <v>6.1505521472392637</v>
      </c>
      <c r="F503" s="67">
        <f t="shared" si="100"/>
        <v>22.433926380368096</v>
      </c>
      <c r="G503" s="57" t="s">
        <v>176</v>
      </c>
      <c r="H503" s="61" t="s">
        <v>178</v>
      </c>
      <c r="I503" s="57">
        <f t="shared" si="104"/>
        <v>10.550434782608695</v>
      </c>
      <c r="J503" s="57">
        <f t="shared" si="104"/>
        <v>7.5134782608695643</v>
      </c>
      <c r="K503" s="57">
        <f t="shared" si="104"/>
        <v>3.9504347826086952</v>
      </c>
      <c r="L503" s="67">
        <f t="shared" si="101"/>
        <v>22.014347826086954</v>
      </c>
      <c r="M503" s="593"/>
      <c r="N503" s="593"/>
      <c r="O503" s="593"/>
      <c r="P503" s="593"/>
      <c r="Q503" s="42"/>
    </row>
    <row r="504" spans="1:17" x14ac:dyDescent="0.25">
      <c r="A504" s="52" t="s">
        <v>135</v>
      </c>
      <c r="B504" s="53" t="s">
        <v>95</v>
      </c>
      <c r="C504" s="66">
        <f>C498/((($A498*$B495)*(1-$B492))/$B490)</f>
        <v>0.27657547346570388</v>
      </c>
      <c r="D504" s="66">
        <f>D498/((($A498*$B495)*(1-$B492))/$B490)</f>
        <v>0.16979655942477115</v>
      </c>
      <c r="E504" s="66">
        <f>E498/((($A498*$B495)*(1-$B492))/$B490)</f>
        <v>0.10192049118354056</v>
      </c>
      <c r="F504" s="67">
        <f t="shared" si="100"/>
        <v>0.54829252407401552</v>
      </c>
      <c r="G504" s="66" t="s">
        <v>175</v>
      </c>
      <c r="H504" s="68" t="s">
        <v>179</v>
      </c>
      <c r="I504" s="66">
        <f>I498/((($H498*$B495)*(1-$B492))/$B490)</f>
        <v>0.29691786140444187</v>
      </c>
      <c r="J504" s="66">
        <f>J498/((($H498*$B495)*(1-$B492))/$B490)</f>
        <v>0.17023991968015489</v>
      </c>
      <c r="K504" s="66">
        <f>K498/((($H498*$B495)*(1-$B492))/$B490)</f>
        <v>5.0743719533937727E-2</v>
      </c>
      <c r="L504" s="67">
        <f t="shared" si="101"/>
        <v>0.51790150061853446</v>
      </c>
      <c r="M504" s="593"/>
      <c r="N504" s="593"/>
      <c r="O504" s="593"/>
      <c r="P504" s="593"/>
      <c r="Q504" s="42"/>
    </row>
    <row r="505" spans="1:17" x14ac:dyDescent="0.25">
      <c r="A505" s="52" t="s">
        <v>135</v>
      </c>
      <c r="B505" s="53" t="s">
        <v>96</v>
      </c>
      <c r="C505" s="66">
        <f>C499/((($A499*$B495)*(1-$B492))/$B490)</f>
        <v>0.25993758889337037</v>
      </c>
      <c r="D505" s="66">
        <f>D499/((($A499*$B495)*(1-$B492))/$B490)</f>
        <v>0.11015942428938373</v>
      </c>
      <c r="E505" s="66">
        <f>E499/((($A499*$B495)*(1-$B492))/$B490)</f>
        <v>0.13979295363038752</v>
      </c>
      <c r="F505" s="67">
        <f t="shared" si="100"/>
        <v>0.50988996681314158</v>
      </c>
      <c r="G505" s="66" t="s">
        <v>176</v>
      </c>
      <c r="H505" s="68" t="s">
        <v>179</v>
      </c>
      <c r="I505" s="66">
        <f>I499/((($H499*$B495)*(1-$B492))/$B490)</f>
        <v>0.23979577849895281</v>
      </c>
      <c r="J505" s="66">
        <f>J499/((($H499*$B495)*(1-$B492))/$B490)</f>
        <v>0.17077024842332497</v>
      </c>
      <c r="K505" s="66">
        <f>K499/((($H499*$B495)*(1-$B492))/$B490)</f>
        <v>8.9787539909399375E-2</v>
      </c>
      <c r="L505" s="67">
        <f t="shared" si="101"/>
        <v>0.5003535668316772</v>
      </c>
      <c r="M505" s="593"/>
      <c r="N505" s="593"/>
      <c r="O505" s="593"/>
      <c r="P505" s="593"/>
      <c r="Q505" s="42"/>
    </row>
    <row r="506" spans="1:17" x14ac:dyDescent="0.25">
      <c r="A506" s="612"/>
      <c r="B506" s="612"/>
      <c r="C506" s="612"/>
      <c r="D506" s="612"/>
      <c r="E506" s="612"/>
      <c r="F506" s="612"/>
      <c r="G506" s="612"/>
      <c r="H506" s="612"/>
      <c r="I506" s="612"/>
      <c r="J506" s="612"/>
      <c r="K506" s="612"/>
      <c r="L506" s="612"/>
      <c r="M506" s="612"/>
      <c r="N506" s="612"/>
      <c r="O506" s="612"/>
      <c r="P506" s="612"/>
      <c r="Q506" s="612"/>
    </row>
    <row r="507" spans="1:17" ht="21" x14ac:dyDescent="0.35">
      <c r="A507" s="43"/>
      <c r="B507" s="613" t="s">
        <v>194</v>
      </c>
      <c r="C507" s="614"/>
      <c r="D507" s="614"/>
      <c r="E507" s="614"/>
      <c r="F507" s="614"/>
      <c r="G507" s="614"/>
      <c r="H507" s="614"/>
      <c r="I507" s="614"/>
      <c r="J507" s="614"/>
      <c r="K507" s="614"/>
      <c r="L507" s="615"/>
      <c r="M507" s="593" t="s">
        <v>97</v>
      </c>
      <c r="N507" s="585" t="s">
        <v>195</v>
      </c>
      <c r="O507" s="585"/>
      <c r="P507" s="585"/>
      <c r="Q507" s="42"/>
    </row>
    <row r="508" spans="1:17" x14ac:dyDescent="0.25">
      <c r="A508" s="44"/>
      <c r="B508" s="590" t="s">
        <v>115</v>
      </c>
      <c r="C508" s="591"/>
      <c r="D508" s="591"/>
      <c r="E508" s="591"/>
      <c r="F508" s="591"/>
      <c r="G508" s="591"/>
      <c r="H508" s="591"/>
      <c r="I508" s="591"/>
      <c r="J508" s="591"/>
      <c r="K508" s="591"/>
      <c r="L508" s="592"/>
      <c r="M508" s="593"/>
      <c r="N508" s="585"/>
      <c r="O508" s="585"/>
      <c r="P508" s="585"/>
      <c r="Q508" s="42"/>
    </row>
    <row r="509" spans="1:17" x14ac:dyDescent="0.25">
      <c r="A509" s="2" t="s">
        <v>106</v>
      </c>
      <c r="B509" s="594">
        <v>15</v>
      </c>
      <c r="C509" s="595"/>
      <c r="D509" s="595"/>
      <c r="E509" s="595"/>
      <c r="F509" s="595"/>
      <c r="G509" s="595"/>
      <c r="H509" s="595"/>
      <c r="I509" s="595"/>
      <c r="J509" s="595"/>
      <c r="K509" s="595"/>
      <c r="L509" s="596"/>
      <c r="M509" s="593"/>
      <c r="N509" s="585"/>
      <c r="O509" s="585"/>
      <c r="P509" s="585"/>
      <c r="Q509" s="42"/>
    </row>
    <row r="510" spans="1:17" x14ac:dyDescent="0.25">
      <c r="A510" s="2" t="s">
        <v>112</v>
      </c>
      <c r="B510" s="597">
        <v>0.14000000000000001</v>
      </c>
      <c r="C510" s="598"/>
      <c r="D510" s="598"/>
      <c r="E510" s="598"/>
      <c r="F510" s="598"/>
      <c r="G510" s="598"/>
      <c r="H510" s="598"/>
      <c r="I510" s="598"/>
      <c r="J510" s="598"/>
      <c r="K510" s="598"/>
      <c r="L510" s="599"/>
      <c r="M510" s="593"/>
      <c r="N510" s="585"/>
      <c r="O510" s="585"/>
      <c r="P510" s="585"/>
      <c r="Q510" s="42"/>
    </row>
    <row r="511" spans="1:17" ht="15.75" thickBot="1" x14ac:dyDescent="0.3">
      <c r="A511" s="2" t="s">
        <v>107</v>
      </c>
      <c r="B511" s="594">
        <f>B509-(B509*B510)</f>
        <v>12.9</v>
      </c>
      <c r="C511" s="595"/>
      <c r="D511" s="595"/>
      <c r="E511" s="595"/>
      <c r="F511" s="595"/>
      <c r="G511" s="595"/>
      <c r="H511" s="595"/>
      <c r="I511" s="595"/>
      <c r="J511" s="595"/>
      <c r="K511" s="595"/>
      <c r="L511" s="596"/>
      <c r="M511" s="593"/>
      <c r="N511" s="586"/>
      <c r="O511" s="586"/>
      <c r="P511" s="586"/>
      <c r="Q511" s="42"/>
    </row>
    <row r="512" spans="1:17" ht="16.5" thickBot="1" x14ac:dyDescent="0.3">
      <c r="A512" s="2" t="s">
        <v>108</v>
      </c>
      <c r="B512" s="600">
        <f>B515/B511</f>
        <v>0.9834593023255811</v>
      </c>
      <c r="C512" s="601"/>
      <c r="D512" s="601"/>
      <c r="E512" s="601"/>
      <c r="F512" s="601"/>
      <c r="G512" s="601"/>
      <c r="H512" s="601"/>
      <c r="I512" s="601"/>
      <c r="J512" s="601"/>
      <c r="K512" s="601"/>
      <c r="L512" s="602"/>
      <c r="M512" s="593"/>
      <c r="N512" s="71" t="s">
        <v>139</v>
      </c>
      <c r="O512" s="72" t="s">
        <v>203</v>
      </c>
      <c r="P512" s="605"/>
      <c r="Q512" s="42"/>
    </row>
    <row r="513" spans="1:17" ht="16.5" thickBot="1" x14ac:dyDescent="0.3">
      <c r="A513" s="2" t="s">
        <v>113</v>
      </c>
      <c r="B513" s="594">
        <f>B517*2.685</f>
        <v>40.274999999999999</v>
      </c>
      <c r="C513" s="595"/>
      <c r="D513" s="595"/>
      <c r="E513" s="595"/>
      <c r="F513" s="595"/>
      <c r="G513" s="595"/>
      <c r="H513" s="595"/>
      <c r="I513" s="595"/>
      <c r="J513" s="595"/>
      <c r="K513" s="595"/>
      <c r="L513" s="603"/>
      <c r="M513" s="593"/>
      <c r="N513" s="73" t="s">
        <v>143</v>
      </c>
      <c r="O513" s="74">
        <v>9</v>
      </c>
      <c r="P513" s="622"/>
      <c r="Q513" s="42"/>
    </row>
    <row r="514" spans="1:17" ht="16.5" thickBot="1" x14ac:dyDescent="0.3">
      <c r="A514" s="2" t="s">
        <v>109</v>
      </c>
      <c r="B514" s="600">
        <v>0.68500000000000005</v>
      </c>
      <c r="C514" s="601"/>
      <c r="D514" s="601"/>
      <c r="E514" s="601"/>
      <c r="F514" s="601"/>
      <c r="G514" s="601"/>
      <c r="H514" s="601"/>
      <c r="I514" s="601"/>
      <c r="J514" s="601"/>
      <c r="K514" s="601"/>
      <c r="L514" s="602"/>
      <c r="M514" s="593"/>
      <c r="N514" s="73" t="s">
        <v>145</v>
      </c>
      <c r="O514" s="74">
        <v>7</v>
      </c>
      <c r="P514" s="622"/>
      <c r="Q514" s="42"/>
    </row>
    <row r="515" spans="1:17" ht="16.5" thickBot="1" x14ac:dyDescent="0.3">
      <c r="A515" s="2" t="s">
        <v>122</v>
      </c>
      <c r="B515" s="594">
        <f>B513-(B513*B514)</f>
        <v>12.686624999999996</v>
      </c>
      <c r="C515" s="595"/>
      <c r="D515" s="595"/>
      <c r="E515" s="595"/>
      <c r="F515" s="595"/>
      <c r="G515" s="595"/>
      <c r="H515" s="595"/>
      <c r="I515" s="595"/>
      <c r="J515" s="595"/>
      <c r="K515" s="595"/>
      <c r="L515" s="603"/>
      <c r="M515" s="593"/>
      <c r="N515" s="73" t="s">
        <v>147</v>
      </c>
      <c r="O515" s="74">
        <v>8</v>
      </c>
      <c r="P515" s="622"/>
      <c r="Q515" s="42"/>
    </row>
    <row r="516" spans="1:17" ht="32.25" thickBot="1" x14ac:dyDescent="0.3">
      <c r="A516" s="2" t="s">
        <v>110</v>
      </c>
      <c r="B516" s="587">
        <v>105</v>
      </c>
      <c r="C516" s="588"/>
      <c r="D516" s="588"/>
      <c r="E516" s="588"/>
      <c r="F516" s="588"/>
      <c r="G516" s="588"/>
      <c r="H516" s="588"/>
      <c r="I516" s="588"/>
      <c r="J516" s="588"/>
      <c r="K516" s="588"/>
      <c r="L516" s="589"/>
      <c r="M516" s="593"/>
      <c r="N516" s="73" t="s">
        <v>82</v>
      </c>
      <c r="O516" s="74">
        <v>7</v>
      </c>
      <c r="P516" s="622"/>
      <c r="Q516" s="42"/>
    </row>
    <row r="517" spans="1:17" ht="16.5" thickBot="1" x14ac:dyDescent="0.3">
      <c r="A517" s="2" t="s">
        <v>111</v>
      </c>
      <c r="B517" s="587">
        <v>15</v>
      </c>
      <c r="C517" s="588"/>
      <c r="D517" s="588"/>
      <c r="E517" s="588"/>
      <c r="F517" s="588"/>
      <c r="G517" s="588"/>
      <c r="H517" s="588"/>
      <c r="I517" s="588"/>
      <c r="J517" s="588"/>
      <c r="K517" s="588"/>
      <c r="L517" s="589"/>
      <c r="M517" s="593"/>
      <c r="N517" s="73" t="s">
        <v>152</v>
      </c>
      <c r="O517" s="74">
        <v>7</v>
      </c>
      <c r="P517" s="622"/>
      <c r="Q517" s="42"/>
    </row>
    <row r="518" spans="1:17" ht="16.5" thickBot="1" x14ac:dyDescent="0.3">
      <c r="A518" s="587" t="s">
        <v>127</v>
      </c>
      <c r="B518" s="588"/>
      <c r="C518" s="588"/>
      <c r="D518" s="588"/>
      <c r="E518" s="589"/>
      <c r="F518" s="51"/>
      <c r="G518" s="587" t="s">
        <v>128</v>
      </c>
      <c r="H518" s="588"/>
      <c r="I518" s="588"/>
      <c r="J518" s="588"/>
      <c r="K518" s="589"/>
      <c r="L518" s="51"/>
      <c r="M518" s="593"/>
      <c r="N518" s="73" t="s">
        <v>154</v>
      </c>
      <c r="O518" s="74">
        <v>9</v>
      </c>
      <c r="P518" s="622"/>
      <c r="Q518" s="42"/>
    </row>
    <row r="519" spans="1:17" ht="16.5" thickBot="1" x14ac:dyDescent="0.3">
      <c r="A519" s="52" t="s">
        <v>98</v>
      </c>
      <c r="B519" s="53" t="s">
        <v>102</v>
      </c>
      <c r="C519" s="53" t="s">
        <v>92</v>
      </c>
      <c r="D519" s="53" t="s">
        <v>93</v>
      </c>
      <c r="E519" s="53" t="s">
        <v>94</v>
      </c>
      <c r="F519" s="54" t="s">
        <v>99</v>
      </c>
      <c r="G519" s="53" t="s">
        <v>102</v>
      </c>
      <c r="H519" s="55" t="s">
        <v>98</v>
      </c>
      <c r="I519" s="53" t="s">
        <v>92</v>
      </c>
      <c r="J519" s="53" t="s">
        <v>93</v>
      </c>
      <c r="K519" s="53" t="s">
        <v>94</v>
      </c>
      <c r="L519" s="54" t="s">
        <v>99</v>
      </c>
      <c r="M519" s="593"/>
      <c r="N519" s="73" t="s">
        <v>156</v>
      </c>
      <c r="O519" s="74">
        <v>9</v>
      </c>
      <c r="P519" s="622"/>
      <c r="Q519" s="42"/>
    </row>
    <row r="520" spans="1:17" ht="16.5" thickBot="1" x14ac:dyDescent="0.3">
      <c r="A520" s="56">
        <v>1112</v>
      </c>
      <c r="B520" s="53" t="s">
        <v>95</v>
      </c>
      <c r="C520" s="57">
        <v>1108</v>
      </c>
      <c r="D520" s="57">
        <v>736.7</v>
      </c>
      <c r="E520" s="57">
        <v>561.1</v>
      </c>
      <c r="F520" s="58">
        <f t="shared" ref="F520:F527" si="105">SUM(C520:E520)</f>
        <v>2405.8000000000002</v>
      </c>
      <c r="G520" s="57" t="s">
        <v>175</v>
      </c>
      <c r="H520" s="59">
        <v>1125</v>
      </c>
      <c r="I520" s="57">
        <v>1465.9</v>
      </c>
      <c r="J520" s="57">
        <v>832.8</v>
      </c>
      <c r="K520" s="57">
        <v>173.5</v>
      </c>
      <c r="L520" s="58">
        <f>SUM(I520:K520)</f>
        <v>2472.1999999999998</v>
      </c>
      <c r="M520" s="593"/>
      <c r="N520" s="73" t="s">
        <v>204</v>
      </c>
      <c r="O520" s="74" t="s">
        <v>205</v>
      </c>
      <c r="P520" s="622"/>
      <c r="Q520" s="42"/>
    </row>
    <row r="521" spans="1:17" ht="16.5" thickBot="1" x14ac:dyDescent="0.3">
      <c r="A521" s="56">
        <v>224</v>
      </c>
      <c r="B521" s="53" t="s">
        <v>96</v>
      </c>
      <c r="C521" s="57">
        <v>236.8</v>
      </c>
      <c r="D521" s="57">
        <v>142</v>
      </c>
      <c r="E521" s="57">
        <v>116</v>
      </c>
      <c r="F521" s="58">
        <f t="shared" si="105"/>
        <v>494.8</v>
      </c>
      <c r="G521" s="57" t="s">
        <v>176</v>
      </c>
      <c r="H521" s="60">
        <v>226</v>
      </c>
      <c r="I521" s="57">
        <v>176.1</v>
      </c>
      <c r="J521" s="57">
        <v>128.1</v>
      </c>
      <c r="K521" s="57">
        <v>77</v>
      </c>
      <c r="L521" s="58">
        <f t="shared" ref="L521:L527" si="106">SUM(I521:K521)</f>
        <v>381.2</v>
      </c>
      <c r="M521" s="593"/>
      <c r="N521" s="75" t="s">
        <v>99</v>
      </c>
      <c r="O521" s="76">
        <v>0.8</v>
      </c>
      <c r="P521" s="623"/>
      <c r="Q521" s="42"/>
    </row>
    <row r="522" spans="1:17" x14ac:dyDescent="0.25">
      <c r="A522" s="52" t="s">
        <v>100</v>
      </c>
      <c r="B522" s="53" t="s">
        <v>95</v>
      </c>
      <c r="C522" s="57">
        <f t="shared" ref="C522:E523" si="107">C520/$A520</f>
        <v>0.99640287769784175</v>
      </c>
      <c r="D522" s="57">
        <f t="shared" si="107"/>
        <v>0.66250000000000009</v>
      </c>
      <c r="E522" s="57">
        <f t="shared" si="107"/>
        <v>0.50458633093525185</v>
      </c>
      <c r="F522" s="67">
        <f t="shared" si="105"/>
        <v>2.1634892086330937</v>
      </c>
      <c r="G522" s="57" t="s">
        <v>175</v>
      </c>
      <c r="H522" s="61" t="s">
        <v>177</v>
      </c>
      <c r="I522" s="57">
        <f t="shared" ref="I522:K523" si="108">I520/$H520</f>
        <v>1.3030222222222223</v>
      </c>
      <c r="J522" s="57">
        <f t="shared" si="108"/>
        <v>0.74026666666666663</v>
      </c>
      <c r="K522" s="57">
        <f t="shared" si="108"/>
        <v>0.15422222222222223</v>
      </c>
      <c r="L522" s="67">
        <f t="shared" si="106"/>
        <v>2.1975111111111114</v>
      </c>
      <c r="M522" s="593"/>
      <c r="N522" s="616"/>
      <c r="O522" s="617"/>
      <c r="P522" s="618"/>
      <c r="Q522" s="42"/>
    </row>
    <row r="523" spans="1:17" ht="15.75" thickBot="1" x14ac:dyDescent="0.3">
      <c r="A523" s="52" t="s">
        <v>100</v>
      </c>
      <c r="B523" s="53" t="s">
        <v>96</v>
      </c>
      <c r="C523" s="57">
        <f t="shared" si="107"/>
        <v>1.0571428571428572</v>
      </c>
      <c r="D523" s="57">
        <f t="shared" si="107"/>
        <v>0.6339285714285714</v>
      </c>
      <c r="E523" s="57">
        <f t="shared" si="107"/>
        <v>0.5178571428571429</v>
      </c>
      <c r="F523" s="67">
        <f t="shared" si="105"/>
        <v>2.2089285714285714</v>
      </c>
      <c r="G523" s="57" t="s">
        <v>176</v>
      </c>
      <c r="H523" s="61" t="s">
        <v>177</v>
      </c>
      <c r="I523" s="57">
        <f t="shared" si="108"/>
        <v>0.77920353982300883</v>
      </c>
      <c r="J523" s="57">
        <f t="shared" si="108"/>
        <v>0.56681415929203538</v>
      </c>
      <c r="K523" s="57">
        <f t="shared" si="108"/>
        <v>0.34070796460176989</v>
      </c>
      <c r="L523" s="67">
        <f t="shared" si="106"/>
        <v>1.6867256637168142</v>
      </c>
      <c r="M523" s="593"/>
      <c r="N523" s="619"/>
      <c r="O523" s="620"/>
      <c r="P523" s="621"/>
      <c r="Q523" s="42"/>
    </row>
    <row r="524" spans="1:17" x14ac:dyDescent="0.25">
      <c r="A524" s="52" t="s">
        <v>104</v>
      </c>
      <c r="B524" s="53" t="s">
        <v>95</v>
      </c>
      <c r="C524" s="57">
        <f>C520/($A520/7)</f>
        <v>6.9748201438848918</v>
      </c>
      <c r="D524" s="57">
        <f>D520/($A520/7)</f>
        <v>4.6375000000000002</v>
      </c>
      <c r="E524" s="57">
        <f>E520/($A520/7)</f>
        <v>3.5321043165467625</v>
      </c>
      <c r="F524" s="67">
        <f t="shared" si="105"/>
        <v>15.144424460431654</v>
      </c>
      <c r="G524" s="65" t="s">
        <v>175</v>
      </c>
      <c r="H524" s="61" t="s">
        <v>178</v>
      </c>
      <c r="I524" s="57">
        <f t="shared" ref="I524:K525" si="109">I520/($H520/7.7)</f>
        <v>10.033271111111112</v>
      </c>
      <c r="J524" s="57">
        <f t="shared" si="109"/>
        <v>5.7000533333333339</v>
      </c>
      <c r="K524" s="57">
        <f t="shared" si="109"/>
        <v>1.1875111111111112</v>
      </c>
      <c r="L524" s="67">
        <f t="shared" si="106"/>
        <v>16.920835555555556</v>
      </c>
      <c r="M524" s="593"/>
      <c r="N524" s="604"/>
      <c r="O524" s="604"/>
      <c r="P524" s="604"/>
      <c r="Q524" s="42"/>
    </row>
    <row r="525" spans="1:17" x14ac:dyDescent="0.25">
      <c r="A525" s="52" t="s">
        <v>104</v>
      </c>
      <c r="B525" s="53" t="s">
        <v>96</v>
      </c>
      <c r="C525" s="57">
        <f>C521/($A521/7.7)</f>
        <v>8.14</v>
      </c>
      <c r="D525" s="57">
        <f>D521/($A521/7.7)</f>
        <v>4.8812500000000005</v>
      </c>
      <c r="E525" s="57">
        <f>E521/($A521/7.7)</f>
        <v>3.9875000000000003</v>
      </c>
      <c r="F525" s="67">
        <f t="shared" si="105"/>
        <v>17.008750000000003</v>
      </c>
      <c r="G525" s="57" t="s">
        <v>176</v>
      </c>
      <c r="H525" s="61" t="s">
        <v>178</v>
      </c>
      <c r="I525" s="57">
        <f t="shared" si="109"/>
        <v>5.9998672566371685</v>
      </c>
      <c r="J525" s="57">
        <f t="shared" si="109"/>
        <v>4.3644690265486723</v>
      </c>
      <c r="K525" s="57">
        <f t="shared" si="109"/>
        <v>2.6234513274336284</v>
      </c>
      <c r="L525" s="67">
        <f t="shared" si="106"/>
        <v>12.987787610619469</v>
      </c>
      <c r="M525" s="593"/>
      <c r="N525" s="593"/>
      <c r="O525" s="593"/>
      <c r="P525" s="593"/>
      <c r="Q525" s="42"/>
    </row>
    <row r="526" spans="1:17" x14ac:dyDescent="0.25">
      <c r="A526" s="52" t="s">
        <v>135</v>
      </c>
      <c r="B526" s="53" t="s">
        <v>95</v>
      </c>
      <c r="C526" s="66">
        <f>C520/((($A520*$B517)*(1-$B514))/$B512)</f>
        <v>0.20739083152082982</v>
      </c>
      <c r="D526" s="66">
        <f>D520/((($A520*$B517)*(1-$B514))/$B512)</f>
        <v>0.13789244186046512</v>
      </c>
      <c r="E526" s="66">
        <f>E520/((($A520*$B517)*(1-$B514))/$B512)</f>
        <v>0.10502436422954659</v>
      </c>
      <c r="F526" s="67">
        <f t="shared" si="105"/>
        <v>0.45030763761084153</v>
      </c>
      <c r="G526" s="66" t="s">
        <v>175</v>
      </c>
      <c r="H526" s="68" t="s">
        <v>179</v>
      </c>
      <c r="I526" s="66">
        <f>I520/((($H520*$B517)*(1-$B514))/$B512)</f>
        <v>0.27121043927648575</v>
      </c>
      <c r="J526" s="66">
        <f>J520/((($H520*$B517)*(1-$B514))/$B512)</f>
        <v>0.15407875968992243</v>
      </c>
      <c r="K526" s="66">
        <f>K520/((($H520*$B517)*(1-$B514))/$B512)</f>
        <v>3.2099741602067175E-2</v>
      </c>
      <c r="L526" s="67">
        <f t="shared" si="106"/>
        <v>0.45738894056847534</v>
      </c>
      <c r="M526" s="593"/>
      <c r="N526" s="593"/>
      <c r="O526" s="593"/>
      <c r="P526" s="593"/>
      <c r="Q526" s="42"/>
    </row>
    <row r="527" spans="1:17" x14ac:dyDescent="0.25">
      <c r="A527" s="52" t="s">
        <v>135</v>
      </c>
      <c r="B527" s="53" t="s">
        <v>96</v>
      </c>
      <c r="C527" s="66">
        <f>C521/((($A521*$B517)*(1-$B514))/$B512)</f>
        <v>0.2200332225913621</v>
      </c>
      <c r="D527" s="66">
        <f>D521/((($A521*$B517)*(1-$B514))/$B512)</f>
        <v>0.13194559800664449</v>
      </c>
      <c r="E527" s="66">
        <f>E521/((($A521*$B517)*(1-$B514))/$B512)</f>
        <v>0.10778654485049831</v>
      </c>
      <c r="F527" s="67">
        <f t="shared" si="105"/>
        <v>0.45976536544850488</v>
      </c>
      <c r="G527" s="66" t="s">
        <v>176</v>
      </c>
      <c r="H527" s="68" t="s">
        <v>179</v>
      </c>
      <c r="I527" s="66">
        <f>I521/((($H521*$B517)*(1-$B514))/$B512)</f>
        <v>0.16218306235850993</v>
      </c>
      <c r="J527" s="66">
        <f>J521/((($H521*$B517)*(1-$B514))/$B512)</f>
        <v>0.11797643548055152</v>
      </c>
      <c r="K527" s="66">
        <f>K521/((($H521*$B517)*(1-$B514))/$B512)</f>
        <v>7.0914797283391617E-2</v>
      </c>
      <c r="L527" s="67">
        <f t="shared" si="106"/>
        <v>0.35107429512245308</v>
      </c>
      <c r="M527" s="593"/>
      <c r="N527" s="593"/>
      <c r="O527" s="593"/>
      <c r="P527" s="593"/>
      <c r="Q527" s="42"/>
    </row>
    <row r="528" spans="1:17" x14ac:dyDescent="0.25">
      <c r="A528" s="612"/>
      <c r="B528" s="612"/>
      <c r="C528" s="612"/>
      <c r="D528" s="612"/>
      <c r="E528" s="612"/>
      <c r="F528" s="612"/>
      <c r="G528" s="612"/>
      <c r="H528" s="612"/>
      <c r="I528" s="612"/>
      <c r="J528" s="612"/>
      <c r="K528" s="612"/>
      <c r="L528" s="612"/>
      <c r="M528" s="612"/>
      <c r="N528" s="612"/>
      <c r="O528" s="612"/>
      <c r="P528" s="612"/>
      <c r="Q528" s="612"/>
    </row>
    <row r="529" spans="1:17" ht="21" x14ac:dyDescent="0.35">
      <c r="A529" s="43"/>
      <c r="B529" s="613" t="s">
        <v>196</v>
      </c>
      <c r="C529" s="614"/>
      <c r="D529" s="614"/>
      <c r="E529" s="614"/>
      <c r="F529" s="614"/>
      <c r="G529" s="614"/>
      <c r="H529" s="614"/>
      <c r="I529" s="614"/>
      <c r="J529" s="614"/>
      <c r="K529" s="614"/>
      <c r="L529" s="615"/>
      <c r="M529" s="593" t="s">
        <v>97</v>
      </c>
      <c r="N529" s="585" t="s">
        <v>197</v>
      </c>
      <c r="O529" s="585"/>
      <c r="P529" s="585"/>
      <c r="Q529" s="42"/>
    </row>
    <row r="530" spans="1:17" x14ac:dyDescent="0.25">
      <c r="A530" s="44"/>
      <c r="B530" s="590" t="s">
        <v>115</v>
      </c>
      <c r="C530" s="591"/>
      <c r="D530" s="591"/>
      <c r="E530" s="591"/>
      <c r="F530" s="591"/>
      <c r="G530" s="591"/>
      <c r="H530" s="591"/>
      <c r="I530" s="591"/>
      <c r="J530" s="591"/>
      <c r="K530" s="591"/>
      <c r="L530" s="592"/>
      <c r="M530" s="593"/>
      <c r="N530" s="585"/>
      <c r="O530" s="585"/>
      <c r="P530" s="585"/>
      <c r="Q530" s="42"/>
    </row>
    <row r="531" spans="1:17" x14ac:dyDescent="0.25">
      <c r="A531" s="2" t="s">
        <v>106</v>
      </c>
      <c r="B531" s="594">
        <v>15</v>
      </c>
      <c r="C531" s="595"/>
      <c r="D531" s="595"/>
      <c r="E531" s="595"/>
      <c r="F531" s="595"/>
      <c r="G531" s="595"/>
      <c r="H531" s="595"/>
      <c r="I531" s="595"/>
      <c r="J531" s="595"/>
      <c r="K531" s="595"/>
      <c r="L531" s="596"/>
      <c r="M531" s="593"/>
      <c r="N531" s="585"/>
      <c r="O531" s="585"/>
      <c r="P531" s="585"/>
      <c r="Q531" s="42"/>
    </row>
    <row r="532" spans="1:17" x14ac:dyDescent="0.25">
      <c r="A532" s="2" t="s">
        <v>112</v>
      </c>
      <c r="B532" s="597">
        <v>0.153</v>
      </c>
      <c r="C532" s="598"/>
      <c r="D532" s="598"/>
      <c r="E532" s="598"/>
      <c r="F532" s="598"/>
      <c r="G532" s="598"/>
      <c r="H532" s="598"/>
      <c r="I532" s="598"/>
      <c r="J532" s="598"/>
      <c r="K532" s="598"/>
      <c r="L532" s="599"/>
      <c r="M532" s="593"/>
      <c r="N532" s="585"/>
      <c r="O532" s="585"/>
      <c r="P532" s="585"/>
      <c r="Q532" s="42"/>
    </row>
    <row r="533" spans="1:17" ht="15.75" thickBot="1" x14ac:dyDescent="0.3">
      <c r="A533" s="2" t="s">
        <v>107</v>
      </c>
      <c r="B533" s="594">
        <f>B531-(B531*B532)</f>
        <v>12.705</v>
      </c>
      <c r="C533" s="595"/>
      <c r="D533" s="595"/>
      <c r="E533" s="595"/>
      <c r="F533" s="595"/>
      <c r="G533" s="595"/>
      <c r="H533" s="595"/>
      <c r="I533" s="595"/>
      <c r="J533" s="595"/>
      <c r="K533" s="595"/>
      <c r="L533" s="596"/>
      <c r="M533" s="593"/>
      <c r="N533" s="586"/>
      <c r="O533" s="586"/>
      <c r="P533" s="586"/>
      <c r="Q533" s="42"/>
    </row>
    <row r="534" spans="1:17" ht="16.5" thickBot="1" x14ac:dyDescent="0.3">
      <c r="A534" s="2" t="s">
        <v>108</v>
      </c>
      <c r="B534" s="600">
        <f>B537/B533</f>
        <v>0.87839984258166082</v>
      </c>
      <c r="C534" s="601"/>
      <c r="D534" s="601"/>
      <c r="E534" s="601"/>
      <c r="F534" s="601"/>
      <c r="G534" s="601"/>
      <c r="H534" s="601"/>
      <c r="I534" s="601"/>
      <c r="J534" s="601"/>
      <c r="K534" s="601"/>
      <c r="L534" s="602"/>
      <c r="M534" s="593"/>
      <c r="N534" s="71" t="s">
        <v>139</v>
      </c>
      <c r="O534" s="72" t="s">
        <v>203</v>
      </c>
      <c r="P534" s="69"/>
      <c r="Q534" s="42"/>
    </row>
    <row r="535" spans="1:17" ht="16.5" thickBot="1" x14ac:dyDescent="0.3">
      <c r="A535" s="2" t="s">
        <v>113</v>
      </c>
      <c r="B535" s="594">
        <f>B539*2.654</f>
        <v>38.482999999999997</v>
      </c>
      <c r="C535" s="595"/>
      <c r="D535" s="595"/>
      <c r="E535" s="595"/>
      <c r="F535" s="595"/>
      <c r="G535" s="595"/>
      <c r="H535" s="595"/>
      <c r="I535" s="595"/>
      <c r="J535" s="595"/>
      <c r="K535" s="595"/>
      <c r="L535" s="603"/>
      <c r="M535" s="593"/>
      <c r="N535" s="73" t="s">
        <v>143</v>
      </c>
      <c r="O535" s="74">
        <v>9</v>
      </c>
      <c r="P535" s="70"/>
      <c r="Q535" s="42"/>
    </row>
    <row r="536" spans="1:17" ht="16.5" thickBot="1" x14ac:dyDescent="0.3">
      <c r="A536" s="2" t="s">
        <v>109</v>
      </c>
      <c r="B536" s="600">
        <v>0.71</v>
      </c>
      <c r="C536" s="601"/>
      <c r="D536" s="601"/>
      <c r="E536" s="601"/>
      <c r="F536" s="601"/>
      <c r="G536" s="601"/>
      <c r="H536" s="601"/>
      <c r="I536" s="601"/>
      <c r="J536" s="601"/>
      <c r="K536" s="601"/>
      <c r="L536" s="602"/>
      <c r="M536" s="593"/>
      <c r="N536" s="73" t="s">
        <v>145</v>
      </c>
      <c r="O536" s="74">
        <v>7</v>
      </c>
      <c r="P536" s="46"/>
      <c r="Q536" s="42"/>
    </row>
    <row r="537" spans="1:17" ht="16.5" thickBot="1" x14ac:dyDescent="0.3">
      <c r="A537" s="2" t="s">
        <v>122</v>
      </c>
      <c r="B537" s="594">
        <f>B535-(B535*B536)</f>
        <v>11.160070000000001</v>
      </c>
      <c r="C537" s="595"/>
      <c r="D537" s="595"/>
      <c r="E537" s="595"/>
      <c r="F537" s="595"/>
      <c r="G537" s="595"/>
      <c r="H537" s="595"/>
      <c r="I537" s="595"/>
      <c r="J537" s="595"/>
      <c r="K537" s="595"/>
      <c r="L537" s="603"/>
      <c r="M537" s="593"/>
      <c r="N537" s="73" t="s">
        <v>147</v>
      </c>
      <c r="O537" s="74">
        <v>7</v>
      </c>
      <c r="P537" s="49"/>
      <c r="Q537" s="42"/>
    </row>
    <row r="538" spans="1:17" ht="23.1" customHeight="1" thickBot="1" x14ac:dyDescent="0.3">
      <c r="A538" s="2" t="s">
        <v>110</v>
      </c>
      <c r="B538" s="587">
        <v>104</v>
      </c>
      <c r="C538" s="588"/>
      <c r="D538" s="588"/>
      <c r="E538" s="588"/>
      <c r="F538" s="588"/>
      <c r="G538" s="588"/>
      <c r="H538" s="588"/>
      <c r="I538" s="588"/>
      <c r="J538" s="588"/>
      <c r="K538" s="588"/>
      <c r="L538" s="589"/>
      <c r="M538" s="593"/>
      <c r="N538" s="73" t="s">
        <v>82</v>
      </c>
      <c r="O538" s="74">
        <v>8</v>
      </c>
      <c r="P538" s="49"/>
      <c r="Q538" s="42"/>
    </row>
    <row r="539" spans="1:17" ht="16.5" thickBot="1" x14ac:dyDescent="0.3">
      <c r="A539" s="2" t="s">
        <v>111</v>
      </c>
      <c r="B539" s="587">
        <v>14.5</v>
      </c>
      <c r="C539" s="588"/>
      <c r="D539" s="588"/>
      <c r="E539" s="588"/>
      <c r="F539" s="588"/>
      <c r="G539" s="588"/>
      <c r="H539" s="588"/>
      <c r="I539" s="588"/>
      <c r="J539" s="588"/>
      <c r="K539" s="588"/>
      <c r="L539" s="589"/>
      <c r="M539" s="593"/>
      <c r="N539" s="73" t="s">
        <v>152</v>
      </c>
      <c r="O539" s="74">
        <v>7</v>
      </c>
      <c r="P539" s="78"/>
      <c r="Q539" s="42"/>
    </row>
    <row r="540" spans="1:17" ht="16.5" thickBot="1" x14ac:dyDescent="0.3">
      <c r="A540" s="587" t="s">
        <v>127</v>
      </c>
      <c r="B540" s="588"/>
      <c r="C540" s="588"/>
      <c r="D540" s="588"/>
      <c r="E540" s="589"/>
      <c r="F540" s="51"/>
      <c r="G540" s="587" t="s">
        <v>128</v>
      </c>
      <c r="H540" s="588"/>
      <c r="I540" s="588"/>
      <c r="J540" s="588"/>
      <c r="K540" s="589"/>
      <c r="L540" s="51"/>
      <c r="M540" s="593"/>
      <c r="N540" s="73" t="s">
        <v>154</v>
      </c>
      <c r="O540" s="74">
        <v>9</v>
      </c>
      <c r="P540" s="70"/>
      <c r="Q540" s="42"/>
    </row>
    <row r="541" spans="1:17" ht="16.5" thickBot="1" x14ac:dyDescent="0.3">
      <c r="A541" s="52" t="s">
        <v>98</v>
      </c>
      <c r="B541" s="53" t="s">
        <v>102</v>
      </c>
      <c r="C541" s="53" t="s">
        <v>92</v>
      </c>
      <c r="D541" s="53" t="s">
        <v>93</v>
      </c>
      <c r="E541" s="53" t="s">
        <v>94</v>
      </c>
      <c r="F541" s="54" t="s">
        <v>99</v>
      </c>
      <c r="G541" s="53" t="s">
        <v>102</v>
      </c>
      <c r="H541" s="55" t="s">
        <v>98</v>
      </c>
      <c r="I541" s="53" t="s">
        <v>92</v>
      </c>
      <c r="J541" s="53" t="s">
        <v>93</v>
      </c>
      <c r="K541" s="53" t="s">
        <v>94</v>
      </c>
      <c r="L541" s="54" t="s">
        <v>99</v>
      </c>
      <c r="M541" s="593"/>
      <c r="N541" s="73" t="s">
        <v>156</v>
      </c>
      <c r="O541" s="74">
        <v>9</v>
      </c>
      <c r="P541" s="49"/>
      <c r="Q541" s="42"/>
    </row>
    <row r="542" spans="1:17" ht="16.5" thickBot="1" x14ac:dyDescent="0.3">
      <c r="A542" s="56">
        <v>1115</v>
      </c>
      <c r="B542" s="53" t="s">
        <v>95</v>
      </c>
      <c r="C542" s="57">
        <v>1324.2</v>
      </c>
      <c r="D542" s="57">
        <v>558.70000000000005</v>
      </c>
      <c r="E542" s="57">
        <v>457.3</v>
      </c>
      <c r="F542" s="58">
        <f t="shared" ref="F542:F549" si="110">SUM(C542:E542)</f>
        <v>2340.2000000000003</v>
      </c>
      <c r="G542" s="57" t="s">
        <v>175</v>
      </c>
      <c r="H542" s="59">
        <v>1089</v>
      </c>
      <c r="I542" s="57">
        <v>1226.2</v>
      </c>
      <c r="J542" s="57">
        <v>1186.4000000000001</v>
      </c>
      <c r="K542" s="57">
        <v>307.10000000000002</v>
      </c>
      <c r="L542" s="58">
        <f>SUM(I542:K542)</f>
        <v>2719.7000000000003</v>
      </c>
      <c r="M542" s="593"/>
      <c r="N542" s="73" t="s">
        <v>206</v>
      </c>
      <c r="O542" s="74">
        <v>9</v>
      </c>
      <c r="P542" s="46"/>
      <c r="Q542" s="42"/>
    </row>
    <row r="543" spans="1:17" ht="16.5" thickBot="1" x14ac:dyDescent="0.3">
      <c r="A543" s="56">
        <v>220</v>
      </c>
      <c r="B543" s="53" t="s">
        <v>96</v>
      </c>
      <c r="C543" s="57">
        <v>255.6</v>
      </c>
      <c r="D543" s="57">
        <v>85.9</v>
      </c>
      <c r="E543" s="57">
        <v>130.9</v>
      </c>
      <c r="F543" s="58">
        <f t="shared" si="110"/>
        <v>472.4</v>
      </c>
      <c r="G543" s="57" t="s">
        <v>176</v>
      </c>
      <c r="H543" s="60">
        <v>230</v>
      </c>
      <c r="I543" s="57">
        <v>227.5</v>
      </c>
      <c r="J543" s="57">
        <v>214.7</v>
      </c>
      <c r="K543" s="57">
        <v>127.6</v>
      </c>
      <c r="L543" s="58">
        <f t="shared" ref="L543:L549" si="111">SUM(I543:K543)</f>
        <v>569.79999999999995</v>
      </c>
      <c r="M543" s="593"/>
      <c r="N543" s="75" t="s">
        <v>99</v>
      </c>
      <c r="O543" s="77" t="s">
        <v>207</v>
      </c>
      <c r="P543" s="46"/>
      <c r="Q543" s="42"/>
    </row>
    <row r="544" spans="1:17" x14ac:dyDescent="0.25">
      <c r="A544" s="52" t="s">
        <v>100</v>
      </c>
      <c r="B544" s="53" t="s">
        <v>95</v>
      </c>
      <c r="C544" s="57">
        <f t="shared" ref="C544:E545" si="112">C542/$A542</f>
        <v>1.1876233183856502</v>
      </c>
      <c r="D544" s="57">
        <f t="shared" si="112"/>
        <v>0.50107623318385652</v>
      </c>
      <c r="E544" s="57">
        <f t="shared" si="112"/>
        <v>0.4101345291479821</v>
      </c>
      <c r="F544" s="67">
        <f t="shared" si="110"/>
        <v>2.0988340807174888</v>
      </c>
      <c r="G544" s="57" t="s">
        <v>175</v>
      </c>
      <c r="H544" s="61" t="s">
        <v>177</v>
      </c>
      <c r="I544" s="57">
        <f t="shared" ref="I544:K545" si="113">I542/$H542</f>
        <v>1.1259871441689624</v>
      </c>
      <c r="J544" s="57">
        <f t="shared" si="113"/>
        <v>1.0894398530762168</v>
      </c>
      <c r="K544" s="57">
        <f t="shared" si="113"/>
        <v>0.28200183654729111</v>
      </c>
      <c r="L544" s="67">
        <f t="shared" si="111"/>
        <v>2.4974288337924704</v>
      </c>
      <c r="M544" s="593"/>
      <c r="N544" s="616"/>
      <c r="O544" s="617"/>
      <c r="P544" s="618"/>
      <c r="Q544" s="42"/>
    </row>
    <row r="545" spans="1:17" ht="15.75" thickBot="1" x14ac:dyDescent="0.3">
      <c r="A545" s="52" t="s">
        <v>100</v>
      </c>
      <c r="B545" s="53" t="s">
        <v>96</v>
      </c>
      <c r="C545" s="57">
        <f t="shared" si="112"/>
        <v>1.1618181818181819</v>
      </c>
      <c r="D545" s="57">
        <f t="shared" si="112"/>
        <v>0.3904545454545455</v>
      </c>
      <c r="E545" s="57">
        <f t="shared" si="112"/>
        <v>0.59499999999999997</v>
      </c>
      <c r="F545" s="67">
        <f t="shared" si="110"/>
        <v>2.1472727272727274</v>
      </c>
      <c r="G545" s="57" t="s">
        <v>176</v>
      </c>
      <c r="H545" s="61" t="s">
        <v>177</v>
      </c>
      <c r="I545" s="57">
        <f t="shared" si="113"/>
        <v>0.98913043478260865</v>
      </c>
      <c r="J545" s="57">
        <f t="shared" si="113"/>
        <v>0.9334782608695652</v>
      </c>
      <c r="K545" s="57">
        <f t="shared" si="113"/>
        <v>0.5547826086956521</v>
      </c>
      <c r="L545" s="67">
        <f t="shared" si="111"/>
        <v>2.477391304347826</v>
      </c>
      <c r="M545" s="593"/>
      <c r="N545" s="619"/>
      <c r="O545" s="620"/>
      <c r="P545" s="621"/>
      <c r="Q545" s="42"/>
    </row>
    <row r="546" spans="1:17" x14ac:dyDescent="0.25">
      <c r="A546" s="52" t="s">
        <v>104</v>
      </c>
      <c r="B546" s="53" t="s">
        <v>95</v>
      </c>
      <c r="C546" s="57">
        <f>C542/($A542/7)</f>
        <v>8.3133632286995525</v>
      </c>
      <c r="D546" s="57">
        <f>D542/($A542/7)</f>
        <v>3.5075336322869961</v>
      </c>
      <c r="E546" s="57">
        <f>E542/($A542/7)</f>
        <v>2.8709417040358747</v>
      </c>
      <c r="F546" s="67">
        <f t="shared" si="110"/>
        <v>14.691838565022424</v>
      </c>
      <c r="G546" s="65" t="s">
        <v>175</v>
      </c>
      <c r="H546" s="61" t="s">
        <v>178</v>
      </c>
      <c r="I546" s="57">
        <f t="shared" ref="I546:K547" si="114">I542/($H542/7.7)</f>
        <v>8.6701010101010105</v>
      </c>
      <c r="J546" s="57">
        <f t="shared" si="114"/>
        <v>8.3886868686868699</v>
      </c>
      <c r="K546" s="57">
        <f t="shared" si="114"/>
        <v>2.1714141414141417</v>
      </c>
      <c r="L546" s="67">
        <f t="shared" si="111"/>
        <v>19.230202020202025</v>
      </c>
      <c r="M546" s="593"/>
      <c r="N546" s="604"/>
      <c r="O546" s="604"/>
      <c r="P546" s="604"/>
      <c r="Q546" s="42"/>
    </row>
    <row r="547" spans="1:17" x14ac:dyDescent="0.25">
      <c r="A547" s="52" t="s">
        <v>104</v>
      </c>
      <c r="B547" s="53" t="s">
        <v>96</v>
      </c>
      <c r="C547" s="57">
        <f>C543/($A543/7.7)</f>
        <v>8.9459999999999997</v>
      </c>
      <c r="D547" s="57">
        <f>D543/($A543/7.7)</f>
        <v>3.0065000000000004</v>
      </c>
      <c r="E547" s="57">
        <f>E543/($A543/7.7)</f>
        <v>4.5815000000000001</v>
      </c>
      <c r="F547" s="67">
        <f t="shared" si="110"/>
        <v>16.533999999999999</v>
      </c>
      <c r="G547" s="57" t="s">
        <v>176</v>
      </c>
      <c r="H547" s="61" t="s">
        <v>178</v>
      </c>
      <c r="I547" s="57">
        <f t="shared" si="114"/>
        <v>7.6163043478260875</v>
      </c>
      <c r="J547" s="57">
        <f t="shared" si="114"/>
        <v>7.1877826086956524</v>
      </c>
      <c r="K547" s="57">
        <f t="shared" si="114"/>
        <v>4.2718260869565219</v>
      </c>
      <c r="L547" s="67">
        <f t="shared" si="111"/>
        <v>19.075913043478263</v>
      </c>
      <c r="M547" s="593"/>
      <c r="N547" s="593"/>
      <c r="O547" s="593"/>
      <c r="P547" s="593"/>
      <c r="Q547" s="42"/>
    </row>
    <row r="548" spans="1:17" x14ac:dyDescent="0.25">
      <c r="A548" s="52" t="s">
        <v>135</v>
      </c>
      <c r="B548" s="53" t="s">
        <v>95</v>
      </c>
      <c r="C548" s="66">
        <f>C542/((($A542*$B539)*(1-$B536))/$B534)</f>
        <v>0.24808754718579423</v>
      </c>
      <c r="D548" s="66">
        <f>D542/((($A542*$B539)*(1-$B536))/$B534)</f>
        <v>0.10467188688468754</v>
      </c>
      <c r="E548" s="66">
        <f>E542/((($A542*$B539)*(1-$B536))/$B534)</f>
        <v>8.5674698178570985E-2</v>
      </c>
      <c r="F548" s="67">
        <f t="shared" si="110"/>
        <v>0.43843413224905275</v>
      </c>
      <c r="G548" s="66" t="s">
        <v>175</v>
      </c>
      <c r="H548" s="68" t="s">
        <v>179</v>
      </c>
      <c r="I548" s="66">
        <f>I542/((($H542*$B539)*(1-$B536))/$B534)</f>
        <v>0.23521211181616888</v>
      </c>
      <c r="J548" s="66">
        <f>J542/((($H542*$B539)*(1-$B536))/$B534)</f>
        <v>0.2275775970141109</v>
      </c>
      <c r="K548" s="66">
        <f>K542/((($H542*$B539)*(1-$B536))/$B534)</f>
        <v>5.890853004301539E-2</v>
      </c>
      <c r="L548" s="67">
        <f t="shared" si="111"/>
        <v>0.52169823887329525</v>
      </c>
      <c r="M548" s="593"/>
      <c r="N548" s="593"/>
      <c r="O548" s="593"/>
      <c r="P548" s="593"/>
      <c r="Q548" s="42"/>
    </row>
    <row r="549" spans="1:17" x14ac:dyDescent="0.25">
      <c r="A549" s="52" t="s">
        <v>135</v>
      </c>
      <c r="B549" s="53" t="s">
        <v>96</v>
      </c>
      <c r="C549" s="66">
        <f>C543/((($A543*$B539)*(1-$B536))/$B534)</f>
        <v>0.24269700547386497</v>
      </c>
      <c r="D549" s="66">
        <f>D543/((($A543*$B539)*(1-$B536))/$B534)</f>
        <v>8.1563664985152592E-2</v>
      </c>
      <c r="E549" s="66">
        <f>E543/((($A543*$B539)*(1-$B536))/$B534)</f>
        <v>0.12429201101928375</v>
      </c>
      <c r="F549" s="67">
        <f t="shared" si="110"/>
        <v>0.4485526814783013</v>
      </c>
      <c r="G549" s="66" t="s">
        <v>176</v>
      </c>
      <c r="H549" s="68" t="s">
        <v>179</v>
      </c>
      <c r="I549" s="66">
        <f>I543/((($H543*$B539)*(1-$B536))/$B534)</f>
        <v>0.20662354773026709</v>
      </c>
      <c r="J549" s="66">
        <f>J543/((($H543*$B539)*(1-$B536))/$B534)</f>
        <v>0.19499813493489382</v>
      </c>
      <c r="K549" s="66">
        <f>K543/((($H543*$B539)*(1-$B536))/$B534)</f>
        <v>0.11589083380387727</v>
      </c>
      <c r="L549" s="67">
        <f t="shared" si="111"/>
        <v>0.51751251646903818</v>
      </c>
      <c r="M549" s="593"/>
      <c r="N549" s="593"/>
      <c r="O549" s="593"/>
      <c r="P549" s="593"/>
      <c r="Q549" s="42"/>
    </row>
    <row r="550" spans="1:17" x14ac:dyDescent="0.25">
      <c r="A550" s="612"/>
      <c r="B550" s="612"/>
      <c r="C550" s="612"/>
      <c r="D550" s="612"/>
      <c r="E550" s="612"/>
      <c r="F550" s="612"/>
      <c r="G550" s="612"/>
      <c r="H550" s="612"/>
      <c r="I550" s="612"/>
      <c r="J550" s="612"/>
      <c r="K550" s="612"/>
      <c r="L550" s="612"/>
      <c r="M550" s="612"/>
      <c r="N550" s="612"/>
      <c r="O550" s="612"/>
      <c r="P550" s="612"/>
      <c r="Q550" s="612"/>
    </row>
    <row r="551" spans="1:17" ht="21" x14ac:dyDescent="0.35">
      <c r="A551" s="43"/>
      <c r="B551" s="613" t="s">
        <v>198</v>
      </c>
      <c r="C551" s="614"/>
      <c r="D551" s="614"/>
      <c r="E551" s="614"/>
      <c r="F551" s="614"/>
      <c r="G551" s="614"/>
      <c r="H551" s="614"/>
      <c r="I551" s="614"/>
      <c r="J551" s="614"/>
      <c r="K551" s="614"/>
      <c r="L551" s="615"/>
      <c r="M551" s="593" t="s">
        <v>97</v>
      </c>
      <c r="N551" s="585" t="s">
        <v>199</v>
      </c>
      <c r="O551" s="585"/>
      <c r="P551" s="585"/>
      <c r="Q551" s="42"/>
    </row>
    <row r="552" spans="1:17" x14ac:dyDescent="0.25">
      <c r="A552" s="44"/>
      <c r="B552" s="590" t="s">
        <v>115</v>
      </c>
      <c r="C552" s="591"/>
      <c r="D552" s="591"/>
      <c r="E552" s="591"/>
      <c r="F552" s="591"/>
      <c r="G552" s="591"/>
      <c r="H552" s="591"/>
      <c r="I552" s="591"/>
      <c r="J552" s="591"/>
      <c r="K552" s="591"/>
      <c r="L552" s="592"/>
      <c r="M552" s="593"/>
      <c r="N552" s="585"/>
      <c r="O552" s="585"/>
      <c r="P552" s="585"/>
      <c r="Q552" s="42"/>
    </row>
    <row r="553" spans="1:17" x14ac:dyDescent="0.25">
      <c r="A553" s="2" t="s">
        <v>106</v>
      </c>
      <c r="B553" s="594">
        <v>15</v>
      </c>
      <c r="C553" s="595"/>
      <c r="D553" s="595"/>
      <c r="E553" s="595"/>
      <c r="F553" s="595"/>
      <c r="G553" s="595"/>
      <c r="H553" s="595"/>
      <c r="I553" s="595"/>
      <c r="J553" s="595"/>
      <c r="K553" s="595"/>
      <c r="L553" s="596"/>
      <c r="M553" s="593"/>
      <c r="N553" s="585"/>
      <c r="O553" s="585"/>
      <c r="P553" s="585"/>
      <c r="Q553" s="42"/>
    </row>
    <row r="554" spans="1:17" x14ac:dyDescent="0.25">
      <c r="A554" s="2" t="s">
        <v>112</v>
      </c>
      <c r="B554" s="597">
        <v>0.13500000000000001</v>
      </c>
      <c r="C554" s="598"/>
      <c r="D554" s="598"/>
      <c r="E554" s="598"/>
      <c r="F554" s="598"/>
      <c r="G554" s="598"/>
      <c r="H554" s="598"/>
      <c r="I554" s="598"/>
      <c r="J554" s="598"/>
      <c r="K554" s="598"/>
      <c r="L554" s="599"/>
      <c r="M554" s="593"/>
      <c r="N554" s="585"/>
      <c r="O554" s="585"/>
      <c r="P554" s="585"/>
      <c r="Q554" s="42"/>
    </row>
    <row r="555" spans="1:17" ht="15.75" thickBot="1" x14ac:dyDescent="0.3">
      <c r="A555" s="2" t="s">
        <v>107</v>
      </c>
      <c r="B555" s="594">
        <f>B553-(B553*B554)</f>
        <v>12.975</v>
      </c>
      <c r="C555" s="595"/>
      <c r="D555" s="595"/>
      <c r="E555" s="595"/>
      <c r="F555" s="595"/>
      <c r="G555" s="595"/>
      <c r="H555" s="595"/>
      <c r="I555" s="595"/>
      <c r="J555" s="595"/>
      <c r="K555" s="595"/>
      <c r="L555" s="596"/>
      <c r="M555" s="593"/>
      <c r="N555" s="586"/>
      <c r="O555" s="586"/>
      <c r="P555" s="586"/>
      <c r="Q555" s="42"/>
    </row>
    <row r="556" spans="1:17" ht="16.5" thickBot="1" x14ac:dyDescent="0.3">
      <c r="A556" s="2" t="s">
        <v>108</v>
      </c>
      <c r="B556" s="600">
        <f>B559/B555</f>
        <v>0.90669533718689799</v>
      </c>
      <c r="C556" s="601"/>
      <c r="D556" s="601"/>
      <c r="E556" s="601"/>
      <c r="F556" s="601"/>
      <c r="G556" s="601"/>
      <c r="H556" s="601"/>
      <c r="I556" s="601"/>
      <c r="J556" s="601"/>
      <c r="K556" s="601"/>
      <c r="L556" s="602"/>
      <c r="M556" s="593"/>
      <c r="N556" s="71" t="s">
        <v>139</v>
      </c>
      <c r="O556" s="72" t="s">
        <v>203</v>
      </c>
      <c r="P556" s="605"/>
      <c r="Q556" s="42"/>
    </row>
    <row r="557" spans="1:17" ht="16.5" thickBot="1" x14ac:dyDescent="0.3">
      <c r="A557" s="2" t="s">
        <v>113</v>
      </c>
      <c r="B557" s="594">
        <f>B561*2.741</f>
        <v>40.566800000000001</v>
      </c>
      <c r="C557" s="595"/>
      <c r="D557" s="595"/>
      <c r="E557" s="595"/>
      <c r="F557" s="595"/>
      <c r="G557" s="595"/>
      <c r="H557" s="595"/>
      <c r="I557" s="595"/>
      <c r="J557" s="595"/>
      <c r="K557" s="595"/>
      <c r="L557" s="603"/>
      <c r="M557" s="593"/>
      <c r="N557" s="73" t="s">
        <v>143</v>
      </c>
      <c r="O557" s="74">
        <v>7</v>
      </c>
      <c r="P557" s="622"/>
      <c r="Q557" s="42"/>
    </row>
    <row r="558" spans="1:17" ht="16.5" thickBot="1" x14ac:dyDescent="0.3">
      <c r="A558" s="2" t="s">
        <v>109</v>
      </c>
      <c r="B558" s="600">
        <v>0.71</v>
      </c>
      <c r="C558" s="601"/>
      <c r="D558" s="601"/>
      <c r="E558" s="601"/>
      <c r="F558" s="601"/>
      <c r="G558" s="601"/>
      <c r="H558" s="601"/>
      <c r="I558" s="601"/>
      <c r="J558" s="601"/>
      <c r="K558" s="601"/>
      <c r="L558" s="602"/>
      <c r="M558" s="593"/>
      <c r="N558" s="73" t="s">
        <v>145</v>
      </c>
      <c r="O558" s="74">
        <v>6</v>
      </c>
      <c r="P558" s="622"/>
      <c r="Q558" s="42"/>
    </row>
    <row r="559" spans="1:17" ht="16.5" thickBot="1" x14ac:dyDescent="0.3">
      <c r="A559" s="2" t="s">
        <v>122</v>
      </c>
      <c r="B559" s="594">
        <f>B557-(B557*B558)</f>
        <v>11.764372000000002</v>
      </c>
      <c r="C559" s="595"/>
      <c r="D559" s="595"/>
      <c r="E559" s="595"/>
      <c r="F559" s="595"/>
      <c r="G559" s="595"/>
      <c r="H559" s="595"/>
      <c r="I559" s="595"/>
      <c r="J559" s="595"/>
      <c r="K559" s="595"/>
      <c r="L559" s="603"/>
      <c r="M559" s="593"/>
      <c r="N559" s="73" t="s">
        <v>147</v>
      </c>
      <c r="O559" s="74">
        <v>7</v>
      </c>
      <c r="P559" s="622"/>
      <c r="Q559" s="42"/>
    </row>
    <row r="560" spans="1:17" ht="32.25" thickBot="1" x14ac:dyDescent="0.3">
      <c r="A560" s="2" t="s">
        <v>110</v>
      </c>
      <c r="B560" s="587">
        <v>109</v>
      </c>
      <c r="C560" s="588"/>
      <c r="D560" s="588"/>
      <c r="E560" s="588"/>
      <c r="F560" s="588"/>
      <c r="G560" s="588"/>
      <c r="H560" s="588"/>
      <c r="I560" s="588"/>
      <c r="J560" s="588"/>
      <c r="K560" s="588"/>
      <c r="L560" s="589"/>
      <c r="M560" s="593"/>
      <c r="N560" s="73" t="s">
        <v>82</v>
      </c>
      <c r="O560" s="74">
        <v>8</v>
      </c>
      <c r="P560" s="622"/>
      <c r="Q560" s="42"/>
    </row>
    <row r="561" spans="1:17" ht="16.5" thickBot="1" x14ac:dyDescent="0.3">
      <c r="A561" s="2" t="s">
        <v>111</v>
      </c>
      <c r="B561" s="587">
        <v>14.8</v>
      </c>
      <c r="C561" s="588"/>
      <c r="D561" s="588"/>
      <c r="E561" s="588"/>
      <c r="F561" s="588"/>
      <c r="G561" s="588"/>
      <c r="H561" s="588"/>
      <c r="I561" s="588"/>
      <c r="J561" s="588"/>
      <c r="K561" s="588"/>
      <c r="L561" s="589"/>
      <c r="M561" s="593"/>
      <c r="N561" s="73" t="s">
        <v>152</v>
      </c>
      <c r="O561" s="74">
        <v>6</v>
      </c>
      <c r="P561" s="622"/>
      <c r="Q561" s="42"/>
    </row>
    <row r="562" spans="1:17" ht="16.5" thickBot="1" x14ac:dyDescent="0.3">
      <c r="A562" s="587" t="s">
        <v>127</v>
      </c>
      <c r="B562" s="588"/>
      <c r="C562" s="588"/>
      <c r="D562" s="588"/>
      <c r="E562" s="589"/>
      <c r="F562" s="51"/>
      <c r="G562" s="587" t="s">
        <v>128</v>
      </c>
      <c r="H562" s="588"/>
      <c r="I562" s="588"/>
      <c r="J562" s="588"/>
      <c r="K562" s="589"/>
      <c r="L562" s="51"/>
      <c r="M562" s="593"/>
      <c r="N562" s="73" t="s">
        <v>154</v>
      </c>
      <c r="O562" s="74">
        <v>9</v>
      </c>
      <c r="P562" s="622"/>
      <c r="Q562" s="42"/>
    </row>
    <row r="563" spans="1:17" ht="16.5" thickBot="1" x14ac:dyDescent="0.3">
      <c r="A563" s="52" t="s">
        <v>98</v>
      </c>
      <c r="B563" s="53" t="s">
        <v>102</v>
      </c>
      <c r="C563" s="53" t="s">
        <v>92</v>
      </c>
      <c r="D563" s="53" t="s">
        <v>93</v>
      </c>
      <c r="E563" s="53" t="s">
        <v>94</v>
      </c>
      <c r="F563" s="54" t="s">
        <v>99</v>
      </c>
      <c r="G563" s="53" t="s">
        <v>102</v>
      </c>
      <c r="H563" s="55" t="s">
        <v>98</v>
      </c>
      <c r="I563" s="53" t="s">
        <v>92</v>
      </c>
      <c r="J563" s="53" t="s">
        <v>93</v>
      </c>
      <c r="K563" s="53" t="s">
        <v>94</v>
      </c>
      <c r="L563" s="54" t="s">
        <v>99</v>
      </c>
      <c r="M563" s="593"/>
      <c r="N563" s="73" t="s">
        <v>156</v>
      </c>
      <c r="O563" s="74">
        <v>9</v>
      </c>
      <c r="P563" s="622"/>
      <c r="Q563" s="42"/>
    </row>
    <row r="564" spans="1:17" ht="16.5" thickBot="1" x14ac:dyDescent="0.3">
      <c r="A564" s="56">
        <v>1139</v>
      </c>
      <c r="B564" s="53" t="s">
        <v>95</v>
      </c>
      <c r="C564" s="57">
        <v>963.9</v>
      </c>
      <c r="D564" s="57">
        <v>772.5</v>
      </c>
      <c r="E564" s="57">
        <v>549</v>
      </c>
      <c r="F564" s="58">
        <f t="shared" ref="F564:F571" si="115">SUM(C564:E564)</f>
        <v>2285.4</v>
      </c>
      <c r="G564" s="57" t="s">
        <v>175</v>
      </c>
      <c r="H564" s="59">
        <v>1200</v>
      </c>
      <c r="I564" s="57">
        <v>1234.0999999999999</v>
      </c>
      <c r="J564" s="57">
        <v>890.6</v>
      </c>
      <c r="K564" s="57">
        <v>319.5</v>
      </c>
      <c r="L564" s="58">
        <f>SUM(I564:K564)</f>
        <v>2444.1999999999998</v>
      </c>
      <c r="M564" s="593"/>
      <c r="N564" s="73" t="s">
        <v>208</v>
      </c>
      <c r="O564" s="74">
        <v>9</v>
      </c>
      <c r="P564" s="622"/>
      <c r="Q564" s="42"/>
    </row>
    <row r="565" spans="1:17" ht="16.5" thickBot="1" x14ac:dyDescent="0.3">
      <c r="A565" s="56">
        <v>201</v>
      </c>
      <c r="B565" s="53" t="s">
        <v>96</v>
      </c>
      <c r="C565" s="57">
        <v>188.1</v>
      </c>
      <c r="D565" s="57">
        <v>103.4</v>
      </c>
      <c r="E565" s="57">
        <v>108.6</v>
      </c>
      <c r="F565" s="58">
        <f t="shared" si="115"/>
        <v>400.1</v>
      </c>
      <c r="G565" s="57" t="s">
        <v>176</v>
      </c>
      <c r="H565" s="60">
        <v>201</v>
      </c>
      <c r="I565" s="57">
        <v>121.7</v>
      </c>
      <c r="J565" s="57">
        <v>134.30000000000001</v>
      </c>
      <c r="K565" s="57">
        <v>90.2</v>
      </c>
      <c r="L565" s="58">
        <f t="shared" ref="L565:L571" si="116">SUM(I565:K565)</f>
        <v>346.2</v>
      </c>
      <c r="M565" s="593"/>
      <c r="N565" s="75" t="s">
        <v>99</v>
      </c>
      <c r="O565" s="77" t="s">
        <v>209</v>
      </c>
      <c r="P565" s="622"/>
      <c r="Q565" s="42"/>
    </row>
    <row r="566" spans="1:17" x14ac:dyDescent="0.25">
      <c r="A566" s="52" t="s">
        <v>100</v>
      </c>
      <c r="B566" s="53" t="s">
        <v>95</v>
      </c>
      <c r="C566" s="57">
        <f t="shared" ref="C566:E567" si="117">C564/$A564</f>
        <v>0.84626865671641793</v>
      </c>
      <c r="D566" s="57">
        <f t="shared" si="117"/>
        <v>0.6782265144863916</v>
      </c>
      <c r="E566" s="57">
        <f t="shared" si="117"/>
        <v>0.48200175592625111</v>
      </c>
      <c r="F566" s="67">
        <f t="shared" si="115"/>
        <v>2.0064969271290609</v>
      </c>
      <c r="G566" s="57" t="s">
        <v>175</v>
      </c>
      <c r="H566" s="61" t="s">
        <v>177</v>
      </c>
      <c r="I566" s="57">
        <f t="shared" ref="I566:K567" si="118">I564/$H564</f>
        <v>1.0284166666666665</v>
      </c>
      <c r="J566" s="57">
        <f t="shared" si="118"/>
        <v>0.74216666666666664</v>
      </c>
      <c r="K566" s="57">
        <f t="shared" si="118"/>
        <v>0.26624999999999999</v>
      </c>
      <c r="L566" s="67">
        <f t="shared" si="116"/>
        <v>2.0368333333333331</v>
      </c>
      <c r="M566" s="593"/>
      <c r="N566" s="616"/>
      <c r="O566" s="618"/>
      <c r="P566" s="622"/>
      <c r="Q566" s="42"/>
    </row>
    <row r="567" spans="1:17" ht="15.75" thickBot="1" x14ac:dyDescent="0.3">
      <c r="A567" s="52" t="s">
        <v>100</v>
      </c>
      <c r="B567" s="53" t="s">
        <v>96</v>
      </c>
      <c r="C567" s="57">
        <f t="shared" si="117"/>
        <v>0.93582089552238801</v>
      </c>
      <c r="D567" s="57">
        <f t="shared" si="117"/>
        <v>0.51442786069651747</v>
      </c>
      <c r="E567" s="57">
        <f t="shared" si="117"/>
        <v>0.54029850746268648</v>
      </c>
      <c r="F567" s="67">
        <f t="shared" si="115"/>
        <v>1.990547263681592</v>
      </c>
      <c r="G567" s="57" t="s">
        <v>176</v>
      </c>
      <c r="H567" s="61" t="s">
        <v>177</v>
      </c>
      <c r="I567" s="57">
        <f t="shared" si="118"/>
        <v>0.60547263681592045</v>
      </c>
      <c r="J567" s="57">
        <f t="shared" si="118"/>
        <v>0.66815920398009954</v>
      </c>
      <c r="K567" s="57">
        <f t="shared" si="118"/>
        <v>0.44875621890547263</v>
      </c>
      <c r="L567" s="67">
        <f t="shared" si="116"/>
        <v>1.7223880597014924</v>
      </c>
      <c r="M567" s="593"/>
      <c r="N567" s="619"/>
      <c r="O567" s="621"/>
      <c r="P567" s="623"/>
      <c r="Q567" s="42"/>
    </row>
    <row r="568" spans="1:17" x14ac:dyDescent="0.25">
      <c r="A568" s="52" t="s">
        <v>104</v>
      </c>
      <c r="B568" s="53" t="s">
        <v>95</v>
      </c>
      <c r="C568" s="57">
        <f>C564/($A564/7)</f>
        <v>5.9238805970149251</v>
      </c>
      <c r="D568" s="57">
        <f>D564/($A564/7)</f>
        <v>4.7475856014047411</v>
      </c>
      <c r="E568" s="57">
        <f>E564/($A564/7)</f>
        <v>3.3740122914837576</v>
      </c>
      <c r="F568" s="67">
        <f t="shared" si="115"/>
        <v>14.045478489903424</v>
      </c>
      <c r="G568" s="65" t="s">
        <v>175</v>
      </c>
      <c r="H568" s="61" t="s">
        <v>178</v>
      </c>
      <c r="I568" s="57">
        <f t="shared" ref="I568:K569" si="119">I564/($H564/7.7)</f>
        <v>7.9188083333333328</v>
      </c>
      <c r="J568" s="57">
        <f t="shared" si="119"/>
        <v>5.7146833333333342</v>
      </c>
      <c r="K568" s="57">
        <f t="shared" si="119"/>
        <v>2.050125</v>
      </c>
      <c r="L568" s="67">
        <f t="shared" si="116"/>
        <v>15.683616666666667</v>
      </c>
      <c r="M568" s="593"/>
      <c r="N568" s="604"/>
      <c r="O568" s="604"/>
      <c r="P568" s="604"/>
      <c r="Q568" s="42"/>
    </row>
    <row r="569" spans="1:17" x14ac:dyDescent="0.25">
      <c r="A569" s="52" t="s">
        <v>104</v>
      </c>
      <c r="B569" s="53" t="s">
        <v>96</v>
      </c>
      <c r="C569" s="57">
        <f>C565/($A565/7.7)</f>
        <v>7.2058208955223879</v>
      </c>
      <c r="D569" s="57">
        <f>D565/($A565/7.7)</f>
        <v>3.9610945273631843</v>
      </c>
      <c r="E569" s="57">
        <f>E565/($A565/7.7)</f>
        <v>4.1602985074626861</v>
      </c>
      <c r="F569" s="67">
        <f t="shared" si="115"/>
        <v>15.327213930348259</v>
      </c>
      <c r="G569" s="57" t="s">
        <v>176</v>
      </c>
      <c r="H569" s="61" t="s">
        <v>178</v>
      </c>
      <c r="I569" s="57">
        <f t="shared" si="119"/>
        <v>4.6621393034825873</v>
      </c>
      <c r="J569" s="57">
        <f t="shared" si="119"/>
        <v>5.1448258706467662</v>
      </c>
      <c r="K569" s="57">
        <f t="shared" si="119"/>
        <v>3.4554228855721392</v>
      </c>
      <c r="L569" s="67">
        <f t="shared" si="116"/>
        <v>13.262388059701491</v>
      </c>
      <c r="M569" s="593"/>
      <c r="N569" s="593"/>
      <c r="O569" s="593"/>
      <c r="P569" s="593"/>
      <c r="Q569" s="42"/>
    </row>
    <row r="570" spans="1:17" x14ac:dyDescent="0.25">
      <c r="A570" s="52" t="s">
        <v>135</v>
      </c>
      <c r="B570" s="53" t="s">
        <v>95</v>
      </c>
      <c r="C570" s="66">
        <f>C564/((($A564*$B561)*(1-$B558))/$B556)</f>
        <v>0.17877629195065137</v>
      </c>
      <c r="D570" s="66">
        <f>D564/((($A564*$B561)*(1-$B558))/$B556)</f>
        <v>0.14327698467878222</v>
      </c>
      <c r="E570" s="66">
        <f>E564/((($A564*$B561)*(1-$B558))/$B556)</f>
        <v>0.10182403182996951</v>
      </c>
      <c r="F570" s="67">
        <f t="shared" si="115"/>
        <v>0.42387730845940313</v>
      </c>
      <c r="G570" s="66" t="s">
        <v>175</v>
      </c>
      <c r="H570" s="68" t="s">
        <v>179</v>
      </c>
      <c r="I570" s="66">
        <f>I564/((($H564*$B561)*(1-$B558))/$B556)</f>
        <v>0.21725549775208733</v>
      </c>
      <c r="J570" s="66">
        <f>J564/((($H564*$B561)*(1-$B558))/$B556)</f>
        <v>0.15678449582530507</v>
      </c>
      <c r="K570" s="66">
        <f>K564/((($H564*$B561)*(1-$B558))/$B556)</f>
        <v>5.6245953757225436E-2</v>
      </c>
      <c r="L570" s="67">
        <f t="shared" si="116"/>
        <v>0.43028594733461778</v>
      </c>
      <c r="M570" s="593"/>
      <c r="N570" s="593"/>
      <c r="O570" s="593"/>
      <c r="P570" s="593"/>
      <c r="Q570" s="42"/>
    </row>
    <row r="571" spans="1:17" x14ac:dyDescent="0.25">
      <c r="A571" s="52" t="s">
        <v>135</v>
      </c>
      <c r="B571" s="53" t="s">
        <v>96</v>
      </c>
      <c r="C571" s="66">
        <f>C565/((($A565*$B561)*(1-$B558))/$B556)</f>
        <v>0.19769441808299543</v>
      </c>
      <c r="D571" s="66">
        <f>D565/((($A565*$B561)*(1-$B558))/$B556)</f>
        <v>0.10867412456024311</v>
      </c>
      <c r="E571" s="66">
        <f>E565/((($A565*$B561)*(1-$B558))/$B556)</f>
        <v>0.11413936099847583</v>
      </c>
      <c r="F571" s="67">
        <f t="shared" si="115"/>
        <v>0.42050790364171436</v>
      </c>
      <c r="G571" s="66" t="s">
        <v>176</v>
      </c>
      <c r="H571" s="68" t="s">
        <v>179</v>
      </c>
      <c r="I571" s="66">
        <f>I565/((($H565*$B561)*(1-$B558))/$B556)</f>
        <v>0.12790755279479291</v>
      </c>
      <c r="J571" s="66">
        <f>J565/((($H565*$B561)*(1-$B558))/$B556)</f>
        <v>0.14115024108743376</v>
      </c>
      <c r="K571" s="66">
        <f>K565/((($H565*$B561)*(1-$B558))/$B556)</f>
        <v>9.4800832063190801E-2</v>
      </c>
      <c r="L571" s="67">
        <f t="shared" si="116"/>
        <v>0.36385862594541746</v>
      </c>
      <c r="M571" s="593"/>
      <c r="N571" s="593"/>
      <c r="O571" s="593"/>
      <c r="P571" s="593"/>
      <c r="Q571" s="42"/>
    </row>
    <row r="572" spans="1:17" x14ac:dyDescent="0.25">
      <c r="A572" s="612"/>
      <c r="B572" s="612"/>
      <c r="C572" s="612"/>
      <c r="D572" s="612"/>
      <c r="E572" s="612"/>
      <c r="F572" s="612"/>
      <c r="G572" s="612"/>
      <c r="H572" s="612"/>
      <c r="I572" s="612"/>
      <c r="J572" s="612"/>
      <c r="K572" s="612"/>
      <c r="L572" s="612"/>
      <c r="M572" s="612"/>
      <c r="N572" s="612"/>
      <c r="O572" s="612"/>
      <c r="P572" s="612"/>
      <c r="Q572" s="612"/>
    </row>
    <row r="573" spans="1:17" ht="21" x14ac:dyDescent="0.35">
      <c r="A573" s="43"/>
      <c r="B573" s="613" t="s">
        <v>200</v>
      </c>
      <c r="C573" s="614"/>
      <c r="D573" s="614"/>
      <c r="E573" s="614"/>
      <c r="F573" s="614"/>
      <c r="G573" s="614"/>
      <c r="H573" s="614"/>
      <c r="I573" s="614"/>
      <c r="J573" s="614"/>
      <c r="K573" s="614"/>
      <c r="L573" s="615"/>
      <c r="M573" s="593" t="s">
        <v>97</v>
      </c>
      <c r="N573" s="585" t="s">
        <v>201</v>
      </c>
      <c r="O573" s="585"/>
      <c r="P573" s="585"/>
      <c r="Q573" s="42"/>
    </row>
    <row r="574" spans="1:17" x14ac:dyDescent="0.25">
      <c r="A574" s="44"/>
      <c r="B574" s="590" t="s">
        <v>115</v>
      </c>
      <c r="C574" s="591"/>
      <c r="D574" s="591"/>
      <c r="E574" s="591"/>
      <c r="F574" s="591"/>
      <c r="G574" s="591"/>
      <c r="H574" s="591"/>
      <c r="I574" s="591"/>
      <c r="J574" s="591"/>
      <c r="K574" s="591"/>
      <c r="L574" s="592"/>
      <c r="M574" s="593"/>
      <c r="N574" s="585"/>
      <c r="O574" s="585"/>
      <c r="P574" s="585"/>
      <c r="Q574" s="42"/>
    </row>
    <row r="575" spans="1:17" x14ac:dyDescent="0.25">
      <c r="A575" s="2" t="s">
        <v>106</v>
      </c>
      <c r="B575" s="594">
        <v>15.042</v>
      </c>
      <c r="C575" s="595"/>
      <c r="D575" s="595"/>
      <c r="E575" s="595"/>
      <c r="F575" s="595"/>
      <c r="G575" s="595"/>
      <c r="H575" s="595"/>
      <c r="I575" s="595"/>
      <c r="J575" s="595"/>
      <c r="K575" s="595"/>
      <c r="L575" s="596"/>
      <c r="M575" s="593"/>
      <c r="N575" s="585"/>
      <c r="O575" s="585"/>
      <c r="P575" s="585"/>
      <c r="Q575" s="42"/>
    </row>
    <row r="576" spans="1:17" x14ac:dyDescent="0.25">
      <c r="A576" s="2" t="s">
        <v>112</v>
      </c>
      <c r="B576" s="597">
        <v>0.13</v>
      </c>
      <c r="C576" s="598"/>
      <c r="D576" s="598"/>
      <c r="E576" s="598"/>
      <c r="F576" s="598"/>
      <c r="G576" s="598"/>
      <c r="H576" s="598"/>
      <c r="I576" s="598"/>
      <c r="J576" s="598"/>
      <c r="K576" s="598"/>
      <c r="L576" s="599"/>
      <c r="M576" s="593"/>
      <c r="N576" s="585"/>
      <c r="O576" s="585"/>
      <c r="P576" s="585"/>
      <c r="Q576" s="42"/>
    </row>
    <row r="577" spans="1:17" ht="15.75" thickBot="1" x14ac:dyDescent="0.3">
      <c r="A577" s="2" t="s">
        <v>107</v>
      </c>
      <c r="B577" s="594">
        <f>B575-(B575*B576)</f>
        <v>13.086539999999999</v>
      </c>
      <c r="C577" s="595"/>
      <c r="D577" s="595"/>
      <c r="E577" s="595"/>
      <c r="F577" s="595"/>
      <c r="G577" s="595"/>
      <c r="H577" s="595"/>
      <c r="I577" s="595"/>
      <c r="J577" s="595"/>
      <c r="K577" s="595"/>
      <c r="L577" s="596"/>
      <c r="M577" s="593"/>
      <c r="N577" s="586"/>
      <c r="O577" s="586"/>
      <c r="P577" s="586"/>
      <c r="Q577" s="42"/>
    </row>
    <row r="578" spans="1:17" ht="16.5" thickBot="1" x14ac:dyDescent="0.3">
      <c r="A578" s="2" t="s">
        <v>108</v>
      </c>
      <c r="B578" s="600">
        <f>B581/B577</f>
        <v>0.85843194610645768</v>
      </c>
      <c r="C578" s="601"/>
      <c r="D578" s="601"/>
      <c r="E578" s="601"/>
      <c r="F578" s="601"/>
      <c r="G578" s="601"/>
      <c r="H578" s="601"/>
      <c r="I578" s="601"/>
      <c r="J578" s="601"/>
      <c r="K578" s="601"/>
      <c r="L578" s="602"/>
      <c r="M578" s="593"/>
      <c r="N578" s="71" t="s">
        <v>139</v>
      </c>
      <c r="O578" s="72" t="s">
        <v>203</v>
      </c>
      <c r="P578" s="605"/>
      <c r="Q578" s="42"/>
    </row>
    <row r="579" spans="1:17" ht="16.5" thickBot="1" x14ac:dyDescent="0.3">
      <c r="A579" s="2" t="s">
        <v>113</v>
      </c>
      <c r="B579" s="594">
        <f>B583*2.552</f>
        <v>36.238399999999999</v>
      </c>
      <c r="C579" s="595"/>
      <c r="D579" s="595"/>
      <c r="E579" s="595"/>
      <c r="F579" s="595"/>
      <c r="G579" s="595"/>
      <c r="H579" s="595"/>
      <c r="I579" s="595"/>
      <c r="J579" s="595"/>
      <c r="K579" s="595"/>
      <c r="L579" s="603"/>
      <c r="M579" s="593"/>
      <c r="N579" s="73" t="s">
        <v>143</v>
      </c>
      <c r="O579" s="74">
        <v>9</v>
      </c>
      <c r="P579" s="622"/>
      <c r="Q579" s="42"/>
    </row>
    <row r="580" spans="1:17" ht="16.5" thickBot="1" x14ac:dyDescent="0.3">
      <c r="A580" s="2" t="s">
        <v>109</v>
      </c>
      <c r="B580" s="600">
        <v>0.69</v>
      </c>
      <c r="C580" s="601"/>
      <c r="D580" s="601"/>
      <c r="E580" s="601"/>
      <c r="F580" s="601"/>
      <c r="G580" s="601"/>
      <c r="H580" s="601"/>
      <c r="I580" s="601"/>
      <c r="J580" s="601"/>
      <c r="K580" s="601"/>
      <c r="L580" s="602"/>
      <c r="M580" s="593"/>
      <c r="N580" s="73" t="s">
        <v>145</v>
      </c>
      <c r="O580" s="74">
        <v>6</v>
      </c>
      <c r="P580" s="622"/>
      <c r="Q580" s="42"/>
    </row>
    <row r="581" spans="1:17" ht="16.5" thickBot="1" x14ac:dyDescent="0.3">
      <c r="A581" s="2" t="s">
        <v>122</v>
      </c>
      <c r="B581" s="594">
        <f>B579-(B579*B580)</f>
        <v>11.233904000000003</v>
      </c>
      <c r="C581" s="595"/>
      <c r="D581" s="595"/>
      <c r="E581" s="595"/>
      <c r="F581" s="595"/>
      <c r="G581" s="595"/>
      <c r="H581" s="595"/>
      <c r="I581" s="595"/>
      <c r="J581" s="595"/>
      <c r="K581" s="595"/>
      <c r="L581" s="603"/>
      <c r="M581" s="593"/>
      <c r="N581" s="73" t="s">
        <v>147</v>
      </c>
      <c r="O581" s="74">
        <v>8</v>
      </c>
      <c r="P581" s="622"/>
      <c r="Q581" s="42"/>
    </row>
    <row r="582" spans="1:17" ht="32.25" thickBot="1" x14ac:dyDescent="0.3">
      <c r="A582" s="2" t="s">
        <v>110</v>
      </c>
      <c r="B582" s="587">
        <v>125</v>
      </c>
      <c r="C582" s="588"/>
      <c r="D582" s="588"/>
      <c r="E582" s="588"/>
      <c r="F582" s="588"/>
      <c r="G582" s="588"/>
      <c r="H582" s="588"/>
      <c r="I582" s="588"/>
      <c r="J582" s="588"/>
      <c r="K582" s="588"/>
      <c r="L582" s="589"/>
      <c r="M582" s="593"/>
      <c r="N582" s="73" t="s">
        <v>82</v>
      </c>
      <c r="O582" s="74">
        <v>8</v>
      </c>
      <c r="P582" s="622"/>
      <c r="Q582" s="42"/>
    </row>
    <row r="583" spans="1:17" ht="16.5" thickBot="1" x14ac:dyDescent="0.3">
      <c r="A583" s="2" t="s">
        <v>111</v>
      </c>
      <c r="B583" s="587">
        <v>14.2</v>
      </c>
      <c r="C583" s="588"/>
      <c r="D583" s="588"/>
      <c r="E583" s="588"/>
      <c r="F583" s="588"/>
      <c r="G583" s="588"/>
      <c r="H583" s="588"/>
      <c r="I583" s="588"/>
      <c r="J583" s="588"/>
      <c r="K583" s="588"/>
      <c r="L583" s="589"/>
      <c r="M583" s="593"/>
      <c r="N583" s="73" t="s">
        <v>152</v>
      </c>
      <c r="O583" s="74">
        <v>7</v>
      </c>
      <c r="P583" s="622"/>
      <c r="Q583" s="42"/>
    </row>
    <row r="584" spans="1:17" ht="16.5" thickBot="1" x14ac:dyDescent="0.3">
      <c r="A584" s="587" t="s">
        <v>127</v>
      </c>
      <c r="B584" s="588"/>
      <c r="C584" s="588"/>
      <c r="D584" s="588"/>
      <c r="E584" s="589"/>
      <c r="F584" s="51"/>
      <c r="G584" s="587" t="s">
        <v>128</v>
      </c>
      <c r="H584" s="588"/>
      <c r="I584" s="588"/>
      <c r="J584" s="588"/>
      <c r="K584" s="589"/>
      <c r="L584" s="51"/>
      <c r="M584" s="593"/>
      <c r="N584" s="73" t="s">
        <v>154</v>
      </c>
      <c r="O584" s="74">
        <v>9</v>
      </c>
      <c r="P584" s="622"/>
      <c r="Q584" s="42"/>
    </row>
    <row r="585" spans="1:17" ht="16.5" thickBot="1" x14ac:dyDescent="0.3">
      <c r="A585" s="52" t="s">
        <v>98</v>
      </c>
      <c r="B585" s="53" t="s">
        <v>102</v>
      </c>
      <c r="C585" s="53" t="s">
        <v>92</v>
      </c>
      <c r="D585" s="53" t="s">
        <v>93</v>
      </c>
      <c r="E585" s="53" t="s">
        <v>94</v>
      </c>
      <c r="F585" s="54" t="s">
        <v>99</v>
      </c>
      <c r="G585" s="53" t="s">
        <v>102</v>
      </c>
      <c r="H585" s="55" t="s">
        <v>98</v>
      </c>
      <c r="I585" s="53" t="s">
        <v>92</v>
      </c>
      <c r="J585" s="53" t="s">
        <v>93</v>
      </c>
      <c r="K585" s="53" t="s">
        <v>94</v>
      </c>
      <c r="L585" s="54" t="s">
        <v>99</v>
      </c>
      <c r="M585" s="593"/>
      <c r="N585" s="73" t="s">
        <v>156</v>
      </c>
      <c r="O585" s="74">
        <v>9</v>
      </c>
      <c r="P585" s="622"/>
      <c r="Q585" s="42"/>
    </row>
    <row r="586" spans="1:17" ht="16.5" thickBot="1" x14ac:dyDescent="0.3">
      <c r="A586" s="56">
        <v>1110</v>
      </c>
      <c r="B586" s="53" t="s">
        <v>95</v>
      </c>
      <c r="C586" s="57">
        <v>1562.8</v>
      </c>
      <c r="D586" s="57">
        <v>462</v>
      </c>
      <c r="E586" s="57">
        <v>346.2</v>
      </c>
      <c r="F586" s="58">
        <f t="shared" ref="F586:F593" si="120">SUM(C586:E586)</f>
        <v>2371</v>
      </c>
      <c r="G586" s="57" t="s">
        <v>175</v>
      </c>
      <c r="H586" s="59">
        <v>1042</v>
      </c>
      <c r="I586" s="57">
        <v>1585.8</v>
      </c>
      <c r="J586" s="57">
        <v>805.5</v>
      </c>
      <c r="K586" s="57">
        <v>179</v>
      </c>
      <c r="L586" s="58">
        <f>SUM(I586:K586)</f>
        <v>2570.3000000000002</v>
      </c>
      <c r="M586" s="593"/>
      <c r="N586" s="73" t="s">
        <v>158</v>
      </c>
      <c r="O586" s="74">
        <v>7</v>
      </c>
      <c r="P586" s="622"/>
      <c r="Q586" s="42"/>
    </row>
    <row r="587" spans="1:17" ht="16.5" thickBot="1" x14ac:dyDescent="0.3">
      <c r="A587" s="56">
        <v>200</v>
      </c>
      <c r="B587" s="53" t="s">
        <v>96</v>
      </c>
      <c r="C587" s="57">
        <v>216</v>
      </c>
      <c r="D587" s="57">
        <v>71.3</v>
      </c>
      <c r="E587" s="57">
        <v>53</v>
      </c>
      <c r="F587" s="58">
        <f t="shared" si="120"/>
        <v>340.3</v>
      </c>
      <c r="G587" s="57" t="s">
        <v>176</v>
      </c>
      <c r="H587" s="60">
        <v>200</v>
      </c>
      <c r="I587" s="57">
        <v>267.10000000000002</v>
      </c>
      <c r="J587" s="57">
        <v>149.19999999999999</v>
      </c>
      <c r="K587" s="57">
        <v>28.9</v>
      </c>
      <c r="L587" s="58">
        <f t="shared" ref="L587:L593" si="121">SUM(I587:K587)</f>
        <v>445.2</v>
      </c>
      <c r="M587" s="593"/>
      <c r="N587" s="75" t="s">
        <v>99</v>
      </c>
      <c r="O587" s="77" t="s">
        <v>210</v>
      </c>
      <c r="P587" s="623"/>
      <c r="Q587" s="42"/>
    </row>
    <row r="588" spans="1:17" x14ac:dyDescent="0.25">
      <c r="A588" s="52" t="s">
        <v>100</v>
      </c>
      <c r="B588" s="53" t="s">
        <v>95</v>
      </c>
      <c r="C588" s="57">
        <f t="shared" ref="C588:E589" si="122">C586/$A586</f>
        <v>1.407927927927928</v>
      </c>
      <c r="D588" s="57">
        <f t="shared" si="122"/>
        <v>0.41621621621621624</v>
      </c>
      <c r="E588" s="57">
        <f t="shared" si="122"/>
        <v>0.31189189189189187</v>
      </c>
      <c r="F588" s="67">
        <f t="shared" si="120"/>
        <v>2.1360360360360362</v>
      </c>
      <c r="G588" s="57" t="s">
        <v>175</v>
      </c>
      <c r="H588" s="61" t="s">
        <v>177</v>
      </c>
      <c r="I588" s="57">
        <f t="shared" ref="I588:K589" si="123">I586/$H586</f>
        <v>1.5218809980806141</v>
      </c>
      <c r="J588" s="57">
        <f t="shared" si="123"/>
        <v>0.77303262955854124</v>
      </c>
      <c r="K588" s="57">
        <f t="shared" si="123"/>
        <v>0.17178502879078694</v>
      </c>
      <c r="L588" s="67">
        <f t="shared" si="121"/>
        <v>2.466698656429942</v>
      </c>
      <c r="M588" s="593"/>
      <c r="N588" s="616"/>
      <c r="O588" s="617"/>
      <c r="P588" s="618"/>
      <c r="Q588" s="42"/>
    </row>
    <row r="589" spans="1:17" ht="15.75" thickBot="1" x14ac:dyDescent="0.3">
      <c r="A589" s="52" t="s">
        <v>100</v>
      </c>
      <c r="B589" s="53" t="s">
        <v>96</v>
      </c>
      <c r="C589" s="57">
        <f t="shared" si="122"/>
        <v>1.08</v>
      </c>
      <c r="D589" s="57">
        <f t="shared" si="122"/>
        <v>0.35649999999999998</v>
      </c>
      <c r="E589" s="57">
        <f t="shared" si="122"/>
        <v>0.26500000000000001</v>
      </c>
      <c r="F589" s="67">
        <f t="shared" si="120"/>
        <v>1.7015000000000002</v>
      </c>
      <c r="G589" s="57" t="s">
        <v>176</v>
      </c>
      <c r="H589" s="61" t="s">
        <v>177</v>
      </c>
      <c r="I589" s="57">
        <f t="shared" si="123"/>
        <v>1.3355000000000001</v>
      </c>
      <c r="J589" s="57">
        <f t="shared" si="123"/>
        <v>0.746</v>
      </c>
      <c r="K589" s="57">
        <f t="shared" si="123"/>
        <v>0.14449999999999999</v>
      </c>
      <c r="L589" s="67">
        <f t="shared" si="121"/>
        <v>2.226</v>
      </c>
      <c r="M589" s="593"/>
      <c r="N589" s="619"/>
      <c r="O589" s="620"/>
      <c r="P589" s="621"/>
      <c r="Q589" s="42"/>
    </row>
    <row r="590" spans="1:17" x14ac:dyDescent="0.25">
      <c r="A590" s="52" t="s">
        <v>104</v>
      </c>
      <c r="B590" s="53" t="s">
        <v>95</v>
      </c>
      <c r="C590" s="57">
        <f>C586/($A586/7)</f>
        <v>9.8554954954954948</v>
      </c>
      <c r="D590" s="57">
        <f>D586/($A586/7)</f>
        <v>2.9135135135135135</v>
      </c>
      <c r="E590" s="57">
        <f>E586/($A586/7)</f>
        <v>2.1832432432432429</v>
      </c>
      <c r="F590" s="67">
        <f t="shared" si="120"/>
        <v>14.952252252252251</v>
      </c>
      <c r="G590" s="65" t="s">
        <v>175</v>
      </c>
      <c r="H590" s="61" t="s">
        <v>178</v>
      </c>
      <c r="I590" s="57">
        <f t="shared" ref="I590:K591" si="124">I586/($H586/7.7)</f>
        <v>11.718483685220729</v>
      </c>
      <c r="J590" s="57">
        <f t="shared" si="124"/>
        <v>5.9523512476007676</v>
      </c>
      <c r="K590" s="57">
        <f t="shared" si="124"/>
        <v>1.3227447216890595</v>
      </c>
      <c r="L590" s="67">
        <f t="shared" si="121"/>
        <v>18.993579654510555</v>
      </c>
      <c r="M590" s="593"/>
      <c r="N590" s="604"/>
      <c r="O590" s="604"/>
      <c r="P590" s="604"/>
      <c r="Q590" s="42"/>
    </row>
    <row r="591" spans="1:17" x14ac:dyDescent="0.25">
      <c r="A591" s="52" t="s">
        <v>104</v>
      </c>
      <c r="B591" s="53" t="s">
        <v>96</v>
      </c>
      <c r="C591" s="57">
        <f>C587/($A587/7.7)</f>
        <v>8.3160000000000007</v>
      </c>
      <c r="D591" s="57">
        <f>D587/($A587/7.7)</f>
        <v>2.74505</v>
      </c>
      <c r="E591" s="57">
        <f>E587/($A587/7.7)</f>
        <v>2.0405000000000002</v>
      </c>
      <c r="F591" s="67">
        <f t="shared" si="120"/>
        <v>13.101550000000001</v>
      </c>
      <c r="G591" s="57" t="s">
        <v>176</v>
      </c>
      <c r="H591" s="61" t="s">
        <v>178</v>
      </c>
      <c r="I591" s="57">
        <f t="shared" si="124"/>
        <v>10.28335</v>
      </c>
      <c r="J591" s="57">
        <f t="shared" si="124"/>
        <v>5.7441999999999993</v>
      </c>
      <c r="K591" s="57">
        <f t="shared" si="124"/>
        <v>1.1126499999999999</v>
      </c>
      <c r="L591" s="67">
        <f t="shared" si="121"/>
        <v>17.140199999999997</v>
      </c>
      <c r="M591" s="593"/>
      <c r="N591" s="593"/>
      <c r="O591" s="593"/>
      <c r="P591" s="593"/>
      <c r="Q591" s="42"/>
    </row>
    <row r="592" spans="1:17" x14ac:dyDescent="0.25">
      <c r="A592" s="52" t="s">
        <v>135</v>
      </c>
      <c r="B592" s="53" t="s">
        <v>95</v>
      </c>
      <c r="C592" s="66">
        <f>C586/((($A586*$B583)*(1-$B580))/$B578)</f>
        <v>0.27455936191476676</v>
      </c>
      <c r="D592" s="66">
        <f>D586/((($A586*$B583)*(1-$B580))/$B578)</f>
        <v>8.1166128234337248E-2</v>
      </c>
      <c r="E592" s="66">
        <f>E586/((($A586*$B583)*(1-$B580))/$B578)</f>
        <v>6.0821890897678685E-2</v>
      </c>
      <c r="F592" s="67">
        <f t="shared" si="120"/>
        <v>0.41654738104678274</v>
      </c>
      <c r="G592" s="66" t="s">
        <v>175</v>
      </c>
      <c r="H592" s="68" t="s">
        <v>179</v>
      </c>
      <c r="I592" s="66">
        <f>I586/((($H586*$B583)*(1-$B580))/$B578)</f>
        <v>0.29678129643906848</v>
      </c>
      <c r="J592" s="66">
        <f>J586/((($H586*$B583)*(1-$B580))/$B578)</f>
        <v>0.15074872889498656</v>
      </c>
      <c r="K592" s="66">
        <f>K586/((($H586*$B583)*(1-$B580))/$B578)</f>
        <v>3.3499717532219232E-2</v>
      </c>
      <c r="L592" s="67">
        <f t="shared" si="121"/>
        <v>0.48102974286627431</v>
      </c>
      <c r="M592" s="593"/>
      <c r="N592" s="593"/>
      <c r="O592" s="593"/>
      <c r="P592" s="593"/>
      <c r="Q592" s="42"/>
    </row>
    <row r="593" spans="1:17" x14ac:dyDescent="0.25">
      <c r="A593" s="52" t="s">
        <v>135</v>
      </c>
      <c r="B593" s="53" t="s">
        <v>96</v>
      </c>
      <c r="C593" s="66">
        <f>C587/((($A587*$B583)*(1-$B580))/$B578)</f>
        <v>0.21061029118468291</v>
      </c>
      <c r="D593" s="66">
        <f>D587/((($A587*$B583)*(1-$B580))/$B578)</f>
        <v>6.9520897043832824E-2</v>
      </c>
      <c r="E593" s="66">
        <f>E587/((($A587*$B583)*(1-$B580))/$B578)</f>
        <v>5.1677525151797195E-2</v>
      </c>
      <c r="F593" s="67">
        <f t="shared" si="120"/>
        <v>0.33180871338031293</v>
      </c>
      <c r="G593" s="66" t="s">
        <v>176</v>
      </c>
      <c r="H593" s="68" t="s">
        <v>179</v>
      </c>
      <c r="I593" s="66">
        <f>I587/((($H587*$B583)*(1-$B580))/$B578)</f>
        <v>0.26043522581217043</v>
      </c>
      <c r="J593" s="66">
        <f>J587/((($H587*$B583)*(1-$B580))/$B578)</f>
        <v>0.14547710854053095</v>
      </c>
      <c r="K593" s="66">
        <f>K587/((($H587*$B583)*(1-$B580))/$B578)</f>
        <v>2.8178876922395072E-2</v>
      </c>
      <c r="L593" s="67">
        <f t="shared" si="121"/>
        <v>0.43409121127509642</v>
      </c>
      <c r="M593" s="593"/>
      <c r="N593" s="593"/>
      <c r="O593" s="593"/>
      <c r="P593" s="593"/>
      <c r="Q593" s="42"/>
    </row>
  </sheetData>
  <mergeCells count="555">
    <mergeCell ref="N160:N161"/>
    <mergeCell ref="P160:P161"/>
    <mergeCell ref="O165:O166"/>
    <mergeCell ref="A154:Q154"/>
    <mergeCell ref="B156:L156"/>
    <mergeCell ref="B157:L157"/>
    <mergeCell ref="B158:L158"/>
    <mergeCell ref="B159:L159"/>
    <mergeCell ref="B160:L160"/>
    <mergeCell ref="B161:L161"/>
    <mergeCell ref="B162:L162"/>
    <mergeCell ref="B163:L163"/>
    <mergeCell ref="B155:L155"/>
    <mergeCell ref="M155:M175"/>
    <mergeCell ref="N155:P159"/>
    <mergeCell ref="P165:P166"/>
    <mergeCell ref="A166:E166"/>
    <mergeCell ref="G166:K166"/>
    <mergeCell ref="N172:P175"/>
    <mergeCell ref="A88:Q88"/>
    <mergeCell ref="B90:L90"/>
    <mergeCell ref="B91:L91"/>
    <mergeCell ref="B92:L92"/>
    <mergeCell ref="B93:L93"/>
    <mergeCell ref="B94:L94"/>
    <mergeCell ref="B95:L95"/>
    <mergeCell ref="B96:L96"/>
    <mergeCell ref="B97:L97"/>
    <mergeCell ref="B89:L89"/>
    <mergeCell ref="M89:M109"/>
    <mergeCell ref="N89:P93"/>
    <mergeCell ref="N94:N95"/>
    <mergeCell ref="P94:P95"/>
    <mergeCell ref="O99:O100"/>
    <mergeCell ref="P99:P100"/>
    <mergeCell ref="A100:E100"/>
    <mergeCell ref="G100:K100"/>
    <mergeCell ref="N106:P109"/>
    <mergeCell ref="A66:Q66"/>
    <mergeCell ref="B67:L67"/>
    <mergeCell ref="M67:M87"/>
    <mergeCell ref="N67:P71"/>
    <mergeCell ref="B68:L68"/>
    <mergeCell ref="B69:L69"/>
    <mergeCell ref="B70:L70"/>
    <mergeCell ref="B71:L71"/>
    <mergeCell ref="B72:L72"/>
    <mergeCell ref="N72:N73"/>
    <mergeCell ref="P72:P73"/>
    <mergeCell ref="B73:L73"/>
    <mergeCell ref="B74:L74"/>
    <mergeCell ref="B75:L75"/>
    <mergeCell ref="B76:L76"/>
    <mergeCell ref="B77:L77"/>
    <mergeCell ref="O77:O78"/>
    <mergeCell ref="P77:P78"/>
    <mergeCell ref="A78:E78"/>
    <mergeCell ref="G78:K78"/>
    <mergeCell ref="N84:P87"/>
    <mergeCell ref="A44:Q44"/>
    <mergeCell ref="B45:L45"/>
    <mergeCell ref="M45:M65"/>
    <mergeCell ref="N45:P49"/>
    <mergeCell ref="B46:L46"/>
    <mergeCell ref="B47:L47"/>
    <mergeCell ref="B48:L48"/>
    <mergeCell ref="B49:L49"/>
    <mergeCell ref="B50:L50"/>
    <mergeCell ref="N50:N51"/>
    <mergeCell ref="P50:P51"/>
    <mergeCell ref="B51:L51"/>
    <mergeCell ref="B52:L52"/>
    <mergeCell ref="B53:L53"/>
    <mergeCell ref="B54:L54"/>
    <mergeCell ref="B55:L55"/>
    <mergeCell ref="O55:O56"/>
    <mergeCell ref="P55:P56"/>
    <mergeCell ref="A56:E56"/>
    <mergeCell ref="G56:K56"/>
    <mergeCell ref="N62:P65"/>
    <mergeCell ref="A22:Q22"/>
    <mergeCell ref="B23:L23"/>
    <mergeCell ref="M23:M43"/>
    <mergeCell ref="N23:P27"/>
    <mergeCell ref="B24:L24"/>
    <mergeCell ref="B25:L25"/>
    <mergeCell ref="B26:L26"/>
    <mergeCell ref="B27:L27"/>
    <mergeCell ref="B28:L28"/>
    <mergeCell ref="N28:N29"/>
    <mergeCell ref="P28:P29"/>
    <mergeCell ref="B29:L29"/>
    <mergeCell ref="B30:L30"/>
    <mergeCell ref="B31:L31"/>
    <mergeCell ref="B32:L32"/>
    <mergeCell ref="B33:L33"/>
    <mergeCell ref="O33:O34"/>
    <mergeCell ref="P33:P34"/>
    <mergeCell ref="A34:E34"/>
    <mergeCell ref="G34:K34"/>
    <mergeCell ref="N40:P43"/>
    <mergeCell ref="B1:L1"/>
    <mergeCell ref="M1:M21"/>
    <mergeCell ref="N1:P5"/>
    <mergeCell ref="B2:L2"/>
    <mergeCell ref="B3:L3"/>
    <mergeCell ref="B4:L4"/>
    <mergeCell ref="B5:L5"/>
    <mergeCell ref="B6:L6"/>
    <mergeCell ref="N6:N7"/>
    <mergeCell ref="P6:P7"/>
    <mergeCell ref="B7:L7"/>
    <mergeCell ref="B8:L8"/>
    <mergeCell ref="B9:L9"/>
    <mergeCell ref="B10:L10"/>
    <mergeCell ref="B11:L11"/>
    <mergeCell ref="O11:O12"/>
    <mergeCell ref="P11:P12"/>
    <mergeCell ref="A12:E12"/>
    <mergeCell ref="G12:K12"/>
    <mergeCell ref="N18:P21"/>
    <mergeCell ref="A220:Q220"/>
    <mergeCell ref="B221:L221"/>
    <mergeCell ref="M221:M241"/>
    <mergeCell ref="N221:P225"/>
    <mergeCell ref="B222:L222"/>
    <mergeCell ref="B223:L223"/>
    <mergeCell ref="B224:L224"/>
    <mergeCell ref="B225:L225"/>
    <mergeCell ref="B226:L226"/>
    <mergeCell ref="N226:N227"/>
    <mergeCell ref="P226:P227"/>
    <mergeCell ref="B227:L227"/>
    <mergeCell ref="B228:L228"/>
    <mergeCell ref="B229:L229"/>
    <mergeCell ref="B230:L230"/>
    <mergeCell ref="B231:L231"/>
    <mergeCell ref="O231:O232"/>
    <mergeCell ref="P231:P232"/>
    <mergeCell ref="A232:E232"/>
    <mergeCell ref="G232:K232"/>
    <mergeCell ref="N238:P241"/>
    <mergeCell ref="A242:Q242"/>
    <mergeCell ref="B243:L243"/>
    <mergeCell ref="M243:M263"/>
    <mergeCell ref="N243:P247"/>
    <mergeCell ref="B244:L244"/>
    <mergeCell ref="B245:L245"/>
    <mergeCell ref="B246:L246"/>
    <mergeCell ref="B247:L247"/>
    <mergeCell ref="B248:L248"/>
    <mergeCell ref="N248:N249"/>
    <mergeCell ref="P248:P249"/>
    <mergeCell ref="B249:L249"/>
    <mergeCell ref="B250:L250"/>
    <mergeCell ref="B251:L251"/>
    <mergeCell ref="B252:L252"/>
    <mergeCell ref="B253:L253"/>
    <mergeCell ref="O253:O254"/>
    <mergeCell ref="P253:P254"/>
    <mergeCell ref="A254:E254"/>
    <mergeCell ref="G254:K254"/>
    <mergeCell ref="N260:P263"/>
    <mergeCell ref="B204:L204"/>
    <mergeCell ref="B205:L205"/>
    <mergeCell ref="B206:L206"/>
    <mergeCell ref="B207:L207"/>
    <mergeCell ref="B208:L208"/>
    <mergeCell ref="B199:L199"/>
    <mergeCell ref="B200:L200"/>
    <mergeCell ref="B201:L201"/>
    <mergeCell ref="B202:L202"/>
    <mergeCell ref="B203:L203"/>
    <mergeCell ref="A198:Q198"/>
    <mergeCell ref="A264:Q264"/>
    <mergeCell ref="B265:L265"/>
    <mergeCell ref="M265:M285"/>
    <mergeCell ref="N265:P269"/>
    <mergeCell ref="B266:L266"/>
    <mergeCell ref="B267:L267"/>
    <mergeCell ref="B268:L268"/>
    <mergeCell ref="B269:L269"/>
    <mergeCell ref="B270:L270"/>
    <mergeCell ref="N270:N271"/>
    <mergeCell ref="P270:P271"/>
    <mergeCell ref="B271:L271"/>
    <mergeCell ref="B272:L272"/>
    <mergeCell ref="B273:L273"/>
    <mergeCell ref="B274:L274"/>
    <mergeCell ref="B275:L275"/>
    <mergeCell ref="O275:O276"/>
    <mergeCell ref="P275:P276"/>
    <mergeCell ref="A276:E276"/>
    <mergeCell ref="G276:K276"/>
    <mergeCell ref="N282:P285"/>
    <mergeCell ref="M199:M219"/>
    <mergeCell ref="N199:P203"/>
    <mergeCell ref="A286:Q286"/>
    <mergeCell ref="B287:L287"/>
    <mergeCell ref="M287:M307"/>
    <mergeCell ref="N287:P291"/>
    <mergeCell ref="B288:L288"/>
    <mergeCell ref="B289:L289"/>
    <mergeCell ref="B290:L290"/>
    <mergeCell ref="B291:L291"/>
    <mergeCell ref="B292:L292"/>
    <mergeCell ref="N292:N293"/>
    <mergeCell ref="P292:P293"/>
    <mergeCell ref="B293:L293"/>
    <mergeCell ref="B294:L294"/>
    <mergeCell ref="B295:L295"/>
    <mergeCell ref="B296:L296"/>
    <mergeCell ref="B297:L297"/>
    <mergeCell ref="O297:O298"/>
    <mergeCell ref="P297:P298"/>
    <mergeCell ref="A298:E298"/>
    <mergeCell ref="G298:K298"/>
    <mergeCell ref="N304:P307"/>
    <mergeCell ref="A308:Q308"/>
    <mergeCell ref="B309:L309"/>
    <mergeCell ref="M309:M329"/>
    <mergeCell ref="N309:P313"/>
    <mergeCell ref="B310:L310"/>
    <mergeCell ref="B311:L311"/>
    <mergeCell ref="B312:L312"/>
    <mergeCell ref="B313:L313"/>
    <mergeCell ref="B314:L314"/>
    <mergeCell ref="N314:N315"/>
    <mergeCell ref="P314:P315"/>
    <mergeCell ref="B315:L315"/>
    <mergeCell ref="B316:L316"/>
    <mergeCell ref="B317:L317"/>
    <mergeCell ref="B318:L318"/>
    <mergeCell ref="B319:L319"/>
    <mergeCell ref="O319:O320"/>
    <mergeCell ref="P319:P320"/>
    <mergeCell ref="A320:E320"/>
    <mergeCell ref="G320:K320"/>
    <mergeCell ref="N326:P329"/>
    <mergeCell ref="A364:E364"/>
    <mergeCell ref="G364:K364"/>
    <mergeCell ref="N370:P373"/>
    <mergeCell ref="A330:Q330"/>
    <mergeCell ref="B331:L331"/>
    <mergeCell ref="M331:M351"/>
    <mergeCell ref="N331:P335"/>
    <mergeCell ref="B332:L332"/>
    <mergeCell ref="B333:L333"/>
    <mergeCell ref="B334:L334"/>
    <mergeCell ref="B335:L335"/>
    <mergeCell ref="B336:L336"/>
    <mergeCell ref="N336:N337"/>
    <mergeCell ref="P336:P337"/>
    <mergeCell ref="B337:L337"/>
    <mergeCell ref="B338:L338"/>
    <mergeCell ref="B339:L339"/>
    <mergeCell ref="B340:L340"/>
    <mergeCell ref="B341:L341"/>
    <mergeCell ref="O341:O342"/>
    <mergeCell ref="P341:P342"/>
    <mergeCell ref="A342:E342"/>
    <mergeCell ref="G342:K342"/>
    <mergeCell ref="N348:P351"/>
    <mergeCell ref="B385:L385"/>
    <mergeCell ref="O385:O386"/>
    <mergeCell ref="P385:P386"/>
    <mergeCell ref="A386:E386"/>
    <mergeCell ref="G386:K386"/>
    <mergeCell ref="N392:P395"/>
    <mergeCell ref="A352:Q352"/>
    <mergeCell ref="B353:L353"/>
    <mergeCell ref="M353:M373"/>
    <mergeCell ref="N353:P357"/>
    <mergeCell ref="B354:L354"/>
    <mergeCell ref="B355:L355"/>
    <mergeCell ref="B356:L356"/>
    <mergeCell ref="B357:L357"/>
    <mergeCell ref="B358:L358"/>
    <mergeCell ref="N358:N359"/>
    <mergeCell ref="P358:P359"/>
    <mergeCell ref="B359:L359"/>
    <mergeCell ref="B360:L360"/>
    <mergeCell ref="B361:L361"/>
    <mergeCell ref="B362:L362"/>
    <mergeCell ref="B363:L363"/>
    <mergeCell ref="O363:O364"/>
    <mergeCell ref="P363:P364"/>
    <mergeCell ref="N204:N205"/>
    <mergeCell ref="P204:P205"/>
    <mergeCell ref="B209:L209"/>
    <mergeCell ref="O209:O210"/>
    <mergeCell ref="P209:P210"/>
    <mergeCell ref="A210:E210"/>
    <mergeCell ref="G210:K210"/>
    <mergeCell ref="N216:P219"/>
    <mergeCell ref="A396:Q396"/>
    <mergeCell ref="A374:Q374"/>
    <mergeCell ref="B375:L375"/>
    <mergeCell ref="M375:M395"/>
    <mergeCell ref="N375:P379"/>
    <mergeCell ref="B376:L376"/>
    <mergeCell ref="B377:L377"/>
    <mergeCell ref="B378:L378"/>
    <mergeCell ref="B379:L379"/>
    <mergeCell ref="B380:L380"/>
    <mergeCell ref="N380:N381"/>
    <mergeCell ref="P380:P381"/>
    <mergeCell ref="B381:L381"/>
    <mergeCell ref="B382:L382"/>
    <mergeCell ref="B383:L383"/>
    <mergeCell ref="B384:L384"/>
    <mergeCell ref="B397:L397"/>
    <mergeCell ref="M397:M417"/>
    <mergeCell ref="N397:P401"/>
    <mergeCell ref="B398:L398"/>
    <mergeCell ref="B399:L399"/>
    <mergeCell ref="B400:L400"/>
    <mergeCell ref="B401:L401"/>
    <mergeCell ref="B402:L402"/>
    <mergeCell ref="N402:N403"/>
    <mergeCell ref="P402:P403"/>
    <mergeCell ref="B403:L403"/>
    <mergeCell ref="B404:L404"/>
    <mergeCell ref="B405:L405"/>
    <mergeCell ref="B406:L406"/>
    <mergeCell ref="B407:L407"/>
    <mergeCell ref="O407:O408"/>
    <mergeCell ref="P407:P408"/>
    <mergeCell ref="A408:E408"/>
    <mergeCell ref="G408:K408"/>
    <mergeCell ref="N414:P417"/>
    <mergeCell ref="A418:Q418"/>
    <mergeCell ref="B419:L419"/>
    <mergeCell ref="M419:M439"/>
    <mergeCell ref="N419:P423"/>
    <mergeCell ref="B420:L420"/>
    <mergeCell ref="B421:L421"/>
    <mergeCell ref="B422:L422"/>
    <mergeCell ref="B423:L423"/>
    <mergeCell ref="B424:L424"/>
    <mergeCell ref="N424:N425"/>
    <mergeCell ref="P424:P425"/>
    <mergeCell ref="B425:L425"/>
    <mergeCell ref="B426:L426"/>
    <mergeCell ref="B427:L427"/>
    <mergeCell ref="B428:L428"/>
    <mergeCell ref="B429:L429"/>
    <mergeCell ref="O429:O430"/>
    <mergeCell ref="P429:P430"/>
    <mergeCell ref="A430:E430"/>
    <mergeCell ref="G430:K430"/>
    <mergeCell ref="N436:P439"/>
    <mergeCell ref="A440:Q440"/>
    <mergeCell ref="B441:L441"/>
    <mergeCell ref="M441:M461"/>
    <mergeCell ref="N441:P445"/>
    <mergeCell ref="B442:L442"/>
    <mergeCell ref="B443:L443"/>
    <mergeCell ref="B444:L444"/>
    <mergeCell ref="B445:L445"/>
    <mergeCell ref="B446:L446"/>
    <mergeCell ref="N446:N447"/>
    <mergeCell ref="P446:P447"/>
    <mergeCell ref="B447:L447"/>
    <mergeCell ref="B448:L448"/>
    <mergeCell ref="B449:L449"/>
    <mergeCell ref="B450:L450"/>
    <mergeCell ref="B451:L451"/>
    <mergeCell ref="O451:O452"/>
    <mergeCell ref="P451:P452"/>
    <mergeCell ref="A452:E452"/>
    <mergeCell ref="G452:K452"/>
    <mergeCell ref="N458:P461"/>
    <mergeCell ref="A462:Q462"/>
    <mergeCell ref="B463:L463"/>
    <mergeCell ref="M463:M483"/>
    <mergeCell ref="N463:P467"/>
    <mergeCell ref="B464:L464"/>
    <mergeCell ref="B465:L465"/>
    <mergeCell ref="B466:L466"/>
    <mergeCell ref="B467:L467"/>
    <mergeCell ref="B468:L468"/>
    <mergeCell ref="N468:N469"/>
    <mergeCell ref="P468:P469"/>
    <mergeCell ref="B469:L469"/>
    <mergeCell ref="B470:L470"/>
    <mergeCell ref="B471:L471"/>
    <mergeCell ref="B472:L472"/>
    <mergeCell ref="B473:L473"/>
    <mergeCell ref="O473:O474"/>
    <mergeCell ref="P473:P474"/>
    <mergeCell ref="A474:E474"/>
    <mergeCell ref="G474:K474"/>
    <mergeCell ref="N480:P483"/>
    <mergeCell ref="A484:Q484"/>
    <mergeCell ref="B485:L485"/>
    <mergeCell ref="M485:M505"/>
    <mergeCell ref="N485:P489"/>
    <mergeCell ref="B486:L486"/>
    <mergeCell ref="B487:L487"/>
    <mergeCell ref="B488:L488"/>
    <mergeCell ref="B489:L489"/>
    <mergeCell ref="B490:L490"/>
    <mergeCell ref="B491:L491"/>
    <mergeCell ref="B492:L492"/>
    <mergeCell ref="B493:L493"/>
    <mergeCell ref="B494:L494"/>
    <mergeCell ref="B495:L495"/>
    <mergeCell ref="A496:E496"/>
    <mergeCell ref="G496:K496"/>
    <mergeCell ref="N502:P505"/>
    <mergeCell ref="P490:P501"/>
    <mergeCell ref="N500:O501"/>
    <mergeCell ref="A506:Q506"/>
    <mergeCell ref="B507:L507"/>
    <mergeCell ref="M507:M527"/>
    <mergeCell ref="N507:P511"/>
    <mergeCell ref="B508:L508"/>
    <mergeCell ref="B509:L509"/>
    <mergeCell ref="B510:L510"/>
    <mergeCell ref="B511:L511"/>
    <mergeCell ref="B512:L512"/>
    <mergeCell ref="B513:L513"/>
    <mergeCell ref="B514:L514"/>
    <mergeCell ref="B515:L515"/>
    <mergeCell ref="B516:L516"/>
    <mergeCell ref="B517:L517"/>
    <mergeCell ref="A518:E518"/>
    <mergeCell ref="G518:K518"/>
    <mergeCell ref="N524:P527"/>
    <mergeCell ref="N522:P523"/>
    <mergeCell ref="P512:P521"/>
    <mergeCell ref="A528:Q528"/>
    <mergeCell ref="B529:L529"/>
    <mergeCell ref="M529:M549"/>
    <mergeCell ref="N529:P533"/>
    <mergeCell ref="B530:L530"/>
    <mergeCell ref="B531:L531"/>
    <mergeCell ref="B532:L532"/>
    <mergeCell ref="B533:L533"/>
    <mergeCell ref="B534:L534"/>
    <mergeCell ref="B535:L535"/>
    <mergeCell ref="B536:L536"/>
    <mergeCell ref="B537:L537"/>
    <mergeCell ref="B538:L538"/>
    <mergeCell ref="B539:L539"/>
    <mergeCell ref="A540:E540"/>
    <mergeCell ref="G540:K540"/>
    <mergeCell ref="N546:P549"/>
    <mergeCell ref="N544:P545"/>
    <mergeCell ref="A550:Q550"/>
    <mergeCell ref="B551:L551"/>
    <mergeCell ref="M551:M571"/>
    <mergeCell ref="N551:P555"/>
    <mergeCell ref="B552:L552"/>
    <mergeCell ref="B553:L553"/>
    <mergeCell ref="B554:L554"/>
    <mergeCell ref="B555:L555"/>
    <mergeCell ref="B556:L556"/>
    <mergeCell ref="B557:L557"/>
    <mergeCell ref="B558:L558"/>
    <mergeCell ref="B559:L559"/>
    <mergeCell ref="B560:L560"/>
    <mergeCell ref="B561:L561"/>
    <mergeCell ref="A562:E562"/>
    <mergeCell ref="G562:K562"/>
    <mergeCell ref="N568:P571"/>
    <mergeCell ref="P556:P567"/>
    <mergeCell ref="N566:O567"/>
    <mergeCell ref="A572:Q572"/>
    <mergeCell ref="B573:L573"/>
    <mergeCell ref="M573:M593"/>
    <mergeCell ref="N573:P577"/>
    <mergeCell ref="B574:L574"/>
    <mergeCell ref="B575:L575"/>
    <mergeCell ref="B576:L576"/>
    <mergeCell ref="B577:L577"/>
    <mergeCell ref="B578:L578"/>
    <mergeCell ref="B579:L579"/>
    <mergeCell ref="B580:L580"/>
    <mergeCell ref="B581:L581"/>
    <mergeCell ref="B582:L582"/>
    <mergeCell ref="B583:L583"/>
    <mergeCell ref="A584:E584"/>
    <mergeCell ref="G584:K584"/>
    <mergeCell ref="N590:P593"/>
    <mergeCell ref="N588:P589"/>
    <mergeCell ref="P578:P587"/>
    <mergeCell ref="A110:Q110"/>
    <mergeCell ref="B98:L98"/>
    <mergeCell ref="B99:L99"/>
    <mergeCell ref="N116:N117"/>
    <mergeCell ref="P116:P117"/>
    <mergeCell ref="O121:O122"/>
    <mergeCell ref="P121:P122"/>
    <mergeCell ref="A122:E122"/>
    <mergeCell ref="G122:K122"/>
    <mergeCell ref="B111:L111"/>
    <mergeCell ref="M111:M131"/>
    <mergeCell ref="N111:P115"/>
    <mergeCell ref="B112:L112"/>
    <mergeCell ref="B113:L113"/>
    <mergeCell ref="B114:L114"/>
    <mergeCell ref="B115:L115"/>
    <mergeCell ref="B116:L116"/>
    <mergeCell ref="B117:L117"/>
    <mergeCell ref="B118:L118"/>
    <mergeCell ref="B119:L119"/>
    <mergeCell ref="B120:L120"/>
    <mergeCell ref="N128:P131"/>
    <mergeCell ref="P138:P139"/>
    <mergeCell ref="O143:O144"/>
    <mergeCell ref="P143:P144"/>
    <mergeCell ref="A144:E144"/>
    <mergeCell ref="G144:K144"/>
    <mergeCell ref="N150:P153"/>
    <mergeCell ref="B121:L121"/>
    <mergeCell ref="B140:L140"/>
    <mergeCell ref="B141:L141"/>
    <mergeCell ref="B142:L142"/>
    <mergeCell ref="B143:L143"/>
    <mergeCell ref="B134:L134"/>
    <mergeCell ref="B135:L135"/>
    <mergeCell ref="B136:L136"/>
    <mergeCell ref="B137:L137"/>
    <mergeCell ref="B138:L138"/>
    <mergeCell ref="B139:L139"/>
    <mergeCell ref="A132:Q132"/>
    <mergeCell ref="B133:L133"/>
    <mergeCell ref="M133:M153"/>
    <mergeCell ref="N133:P137"/>
    <mergeCell ref="N138:N139"/>
    <mergeCell ref="N177:P181"/>
    <mergeCell ref="B164:L164"/>
    <mergeCell ref="B165:L165"/>
    <mergeCell ref="B178:L178"/>
    <mergeCell ref="M178:M197"/>
    <mergeCell ref="B179:L179"/>
    <mergeCell ref="B180:L180"/>
    <mergeCell ref="B181:L181"/>
    <mergeCell ref="B182:L182"/>
    <mergeCell ref="B183:L183"/>
    <mergeCell ref="B184:L184"/>
    <mergeCell ref="B185:L185"/>
    <mergeCell ref="B186:L186"/>
    <mergeCell ref="B187:L187"/>
    <mergeCell ref="N195:P197"/>
    <mergeCell ref="N182:N183"/>
    <mergeCell ref="P182:P183"/>
    <mergeCell ref="O187:O188"/>
    <mergeCell ref="P187:P188"/>
    <mergeCell ref="A188:E188"/>
    <mergeCell ref="G188:K188"/>
    <mergeCell ref="A176:Q176"/>
    <mergeCell ref="B177:L177"/>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2883"/>
  <sheetViews>
    <sheetView topLeftCell="A2762" zoomScale="80" zoomScaleNormal="80" workbookViewId="0">
      <selection activeCell="B2767" sqref="B2767:O2767"/>
    </sheetView>
  </sheetViews>
  <sheetFormatPr defaultColWidth="8.85546875" defaultRowHeight="15" x14ac:dyDescent="0.25"/>
  <cols>
    <col min="1" max="1" width="27.28515625" style="179" bestFit="1" customWidth="1"/>
    <col min="2" max="2" width="20.85546875" style="179" customWidth="1"/>
    <col min="3" max="4" width="10" style="179" bestFit="1" customWidth="1"/>
    <col min="5" max="6" width="14.7109375" style="179" bestFit="1" customWidth="1"/>
    <col min="7" max="7" width="14.7109375" style="179" customWidth="1"/>
    <col min="8" max="8" width="8.85546875" style="179"/>
    <col min="9" max="9" width="16.42578125" style="179" bestFit="1" customWidth="1"/>
    <col min="10" max="11" width="10" style="179" bestFit="1" customWidth="1"/>
    <col min="12" max="12" width="10.85546875" style="179" bestFit="1" customWidth="1"/>
    <col min="13" max="13" width="10.42578125" style="179" bestFit="1" customWidth="1"/>
    <col min="14" max="14" width="10.42578125" style="179" customWidth="1"/>
    <col min="15" max="15" width="9.42578125" style="179" bestFit="1" customWidth="1"/>
    <col min="16" max="16" width="1.42578125" bestFit="1" customWidth="1"/>
    <col min="17" max="17" width="28.42578125" style="231" customWidth="1"/>
    <col min="18" max="18" width="15.140625" style="232" bestFit="1" customWidth="1"/>
    <col min="19" max="19" width="55.28515625" style="231" customWidth="1"/>
  </cols>
  <sheetData>
    <row r="1" spans="1:130" ht="21" x14ac:dyDescent="0.25">
      <c r="B1" s="763" t="s">
        <v>116</v>
      </c>
      <c r="C1" s="763"/>
      <c r="D1" s="763"/>
      <c r="E1" s="763"/>
      <c r="F1" s="763"/>
      <c r="G1" s="763"/>
      <c r="H1" s="763"/>
      <c r="I1" s="763"/>
      <c r="J1" s="763"/>
      <c r="K1" s="763"/>
      <c r="L1" s="763"/>
      <c r="M1" s="763"/>
      <c r="N1" s="763"/>
      <c r="O1" s="763"/>
      <c r="P1" s="721" t="s">
        <v>97</v>
      </c>
      <c r="Q1" s="722" t="s">
        <v>161</v>
      </c>
      <c r="R1" s="722"/>
      <c r="S1" s="722"/>
    </row>
    <row r="2" spans="1:130" x14ac:dyDescent="0.25">
      <c r="A2" s="291"/>
      <c r="B2" s="754" t="s">
        <v>115</v>
      </c>
      <c r="C2" s="754"/>
      <c r="D2" s="754"/>
      <c r="E2" s="754"/>
      <c r="F2" s="754"/>
      <c r="G2" s="755"/>
      <c r="H2" s="754"/>
      <c r="I2" s="754"/>
      <c r="J2" s="754"/>
      <c r="K2" s="754"/>
      <c r="L2" s="754"/>
      <c r="M2" s="754"/>
      <c r="N2" s="755"/>
      <c r="O2" s="754"/>
      <c r="P2" s="721"/>
      <c r="Q2" s="722"/>
      <c r="R2" s="722"/>
      <c r="S2" s="722"/>
    </row>
    <row r="3" spans="1:130" x14ac:dyDescent="0.25">
      <c r="A3" s="292" t="s">
        <v>106</v>
      </c>
      <c r="B3" s="727">
        <v>15.42</v>
      </c>
      <c r="C3" s="727"/>
      <c r="D3" s="727"/>
      <c r="E3" s="727"/>
      <c r="F3" s="727"/>
      <c r="G3" s="728"/>
      <c r="H3" s="727"/>
      <c r="I3" s="727"/>
      <c r="J3" s="727"/>
      <c r="K3" s="727"/>
      <c r="L3" s="727"/>
      <c r="M3" s="727"/>
      <c r="N3" s="728"/>
      <c r="O3" s="727"/>
      <c r="P3" s="721"/>
      <c r="Q3" s="722"/>
      <c r="R3" s="722"/>
      <c r="S3" s="722"/>
    </row>
    <row r="4" spans="1:130" x14ac:dyDescent="0.25">
      <c r="A4" s="293" t="s">
        <v>112</v>
      </c>
      <c r="B4" s="729">
        <v>0.13</v>
      </c>
      <c r="C4" s="727"/>
      <c r="D4" s="727"/>
      <c r="E4" s="727"/>
      <c r="F4" s="727"/>
      <c r="G4" s="728"/>
      <c r="H4" s="727"/>
      <c r="I4" s="727"/>
      <c r="J4" s="727"/>
      <c r="K4" s="727"/>
      <c r="L4" s="727"/>
      <c r="M4" s="727"/>
      <c r="N4" s="728"/>
      <c r="O4" s="727"/>
      <c r="P4" s="721"/>
      <c r="Q4" s="722"/>
      <c r="R4" s="722"/>
      <c r="S4" s="722"/>
    </row>
    <row r="5" spans="1:130" ht="15.75" thickBot="1" x14ac:dyDescent="0.3">
      <c r="A5" s="294" t="s">
        <v>107</v>
      </c>
      <c r="B5" s="730">
        <f>B3-(B3*B4)</f>
        <v>13.4154</v>
      </c>
      <c r="C5" s="730"/>
      <c r="D5" s="730"/>
      <c r="E5" s="730"/>
      <c r="F5" s="730"/>
      <c r="G5" s="731"/>
      <c r="H5" s="730"/>
      <c r="I5" s="730"/>
      <c r="J5" s="730"/>
      <c r="K5" s="730"/>
      <c r="L5" s="730"/>
      <c r="M5" s="730"/>
      <c r="N5" s="731"/>
      <c r="O5" s="730"/>
      <c r="P5" s="721"/>
      <c r="Q5" s="723"/>
      <c r="R5" s="723"/>
      <c r="S5" s="723"/>
    </row>
    <row r="6" spans="1:130" ht="15.75" x14ac:dyDescent="0.25">
      <c r="A6" s="294" t="s">
        <v>108</v>
      </c>
      <c r="B6" s="751">
        <f>B9/B5</f>
        <v>0.88856836173353015</v>
      </c>
      <c r="C6" s="751"/>
      <c r="D6" s="751"/>
      <c r="E6" s="751"/>
      <c r="F6" s="751"/>
      <c r="G6" s="752"/>
      <c r="H6" s="751"/>
      <c r="I6" s="751"/>
      <c r="J6" s="751"/>
      <c r="K6" s="751"/>
      <c r="L6" s="751"/>
      <c r="M6" s="751"/>
      <c r="N6" s="752"/>
      <c r="O6" s="751"/>
      <c r="P6" s="721"/>
      <c r="Q6" s="742" t="s">
        <v>139</v>
      </c>
      <c r="R6" s="187" t="s">
        <v>140</v>
      </c>
      <c r="S6" s="742" t="s">
        <v>142</v>
      </c>
    </row>
    <row r="7" spans="1:130" ht="14.1" customHeight="1" thickBot="1" x14ac:dyDescent="0.3">
      <c r="A7" s="294" t="s">
        <v>113</v>
      </c>
      <c r="B7" s="730">
        <f>B11*((A14+A15+I14+I15)/1000)</f>
        <v>39.734999999999999</v>
      </c>
      <c r="C7" s="730"/>
      <c r="D7" s="730"/>
      <c r="E7" s="730"/>
      <c r="F7" s="730"/>
      <c r="G7" s="731"/>
      <c r="H7" s="730"/>
      <c r="I7" s="730"/>
      <c r="J7" s="730"/>
      <c r="K7" s="730"/>
      <c r="L7" s="730"/>
      <c r="M7" s="730"/>
      <c r="N7" s="731"/>
      <c r="O7" s="730"/>
      <c r="P7" s="721"/>
      <c r="Q7" s="743"/>
      <c r="R7" s="188" t="s">
        <v>141</v>
      </c>
      <c r="S7" s="743"/>
      <c r="DZ7" t="e">
        <f>Batches!B2410\\</f>
        <v>#NAME?</v>
      </c>
    </row>
    <row r="8" spans="1:130" ht="14.1" customHeight="1" thickBot="1" x14ac:dyDescent="0.3">
      <c r="A8" s="294" t="s">
        <v>109</v>
      </c>
      <c r="B8" s="729">
        <v>0.7</v>
      </c>
      <c r="C8" s="727"/>
      <c r="D8" s="727"/>
      <c r="E8" s="727"/>
      <c r="F8" s="727"/>
      <c r="G8" s="728"/>
      <c r="H8" s="727"/>
      <c r="I8" s="727"/>
      <c r="J8" s="727"/>
      <c r="K8" s="727"/>
      <c r="L8" s="727"/>
      <c r="M8" s="727"/>
      <c r="N8" s="728"/>
      <c r="O8" s="727"/>
      <c r="P8" s="721"/>
      <c r="Q8" s="189" t="s">
        <v>143</v>
      </c>
      <c r="R8" s="190">
        <v>4</v>
      </c>
      <c r="S8" s="191" t="s">
        <v>144</v>
      </c>
    </row>
    <row r="9" spans="1:130" ht="16.5" thickBot="1" x14ac:dyDescent="0.3">
      <c r="A9" s="294" t="s">
        <v>122</v>
      </c>
      <c r="B9" s="730">
        <f>B7-(B8*B7)</f>
        <v>11.920500000000001</v>
      </c>
      <c r="C9" s="730"/>
      <c r="D9" s="730"/>
      <c r="E9" s="730"/>
      <c r="F9" s="730"/>
      <c r="G9" s="731"/>
      <c r="H9" s="730"/>
      <c r="I9" s="730"/>
      <c r="J9" s="730"/>
      <c r="K9" s="730"/>
      <c r="L9" s="730"/>
      <c r="M9" s="730"/>
      <c r="N9" s="731"/>
      <c r="O9" s="730"/>
      <c r="P9" s="721"/>
      <c r="Q9" s="189" t="s">
        <v>145</v>
      </c>
      <c r="R9" s="188">
        <v>7</v>
      </c>
      <c r="S9" s="192" t="s">
        <v>146</v>
      </c>
    </row>
    <row r="10" spans="1:130" ht="14.1" customHeight="1" thickBot="1" x14ac:dyDescent="0.3">
      <c r="A10" s="294" t="s">
        <v>114</v>
      </c>
      <c r="B10" s="727">
        <v>127</v>
      </c>
      <c r="C10" s="727"/>
      <c r="D10" s="727"/>
      <c r="E10" s="727"/>
      <c r="F10" s="727"/>
      <c r="G10" s="728"/>
      <c r="H10" s="727"/>
      <c r="I10" s="727"/>
      <c r="J10" s="727"/>
      <c r="K10" s="727"/>
      <c r="L10" s="727"/>
      <c r="M10" s="727"/>
      <c r="N10" s="728"/>
      <c r="O10" s="727"/>
      <c r="P10" s="721"/>
      <c r="Q10" s="189" t="s">
        <v>147</v>
      </c>
      <c r="R10" s="190">
        <v>5</v>
      </c>
      <c r="S10" s="193" t="s">
        <v>148</v>
      </c>
    </row>
    <row r="11" spans="1:130" ht="15.75" x14ac:dyDescent="0.25">
      <c r="A11" s="293" t="s">
        <v>111</v>
      </c>
      <c r="B11" s="727">
        <v>15</v>
      </c>
      <c r="C11" s="727"/>
      <c r="D11" s="727"/>
      <c r="E11" s="727"/>
      <c r="F11" s="727"/>
      <c r="G11" s="728"/>
      <c r="H11" s="727"/>
      <c r="I11" s="727"/>
      <c r="J11" s="727"/>
      <c r="K11" s="727"/>
      <c r="L11" s="727"/>
      <c r="M11" s="727"/>
      <c r="N11" s="728"/>
      <c r="O11" s="727"/>
      <c r="P11" s="721"/>
      <c r="Q11" s="194" t="s">
        <v>149</v>
      </c>
      <c r="R11" s="742">
        <v>9</v>
      </c>
      <c r="S11" s="746" t="s">
        <v>151</v>
      </c>
      <c r="CU11" t="e">
        <f>Batches!S1887\</f>
        <v>#NAME?</v>
      </c>
    </row>
    <row r="12" spans="1:130" ht="16.5" thickBot="1" x14ac:dyDescent="0.3">
      <c r="A12" s="587" t="s">
        <v>127</v>
      </c>
      <c r="B12" s="588"/>
      <c r="C12" s="588"/>
      <c r="D12" s="588"/>
      <c r="E12" s="589"/>
      <c r="F12" s="314"/>
      <c r="G12" s="314"/>
      <c r="H12" s="668" t="s">
        <v>202</v>
      </c>
      <c r="I12" s="669"/>
      <c r="J12" s="669"/>
      <c r="K12" s="669"/>
      <c r="L12" s="670"/>
      <c r="M12" s="315"/>
      <c r="N12" s="452"/>
      <c r="O12" s="316"/>
      <c r="P12" s="721"/>
      <c r="Q12" s="189" t="s">
        <v>150</v>
      </c>
      <c r="R12" s="743"/>
      <c r="S12" s="747"/>
    </row>
    <row r="13" spans="1:130" ht="14.1" customHeight="1" thickBot="1" x14ac:dyDescent="0.3">
      <c r="A13" s="295" t="s">
        <v>98</v>
      </c>
      <c r="B13" s="317" t="s">
        <v>103</v>
      </c>
      <c r="C13" s="317" t="s">
        <v>92</v>
      </c>
      <c r="D13" s="317" t="s">
        <v>93</v>
      </c>
      <c r="E13" s="317" t="s">
        <v>94</v>
      </c>
      <c r="F13" s="318" t="s">
        <v>99</v>
      </c>
      <c r="G13" s="318"/>
      <c r="H13" s="317" t="s">
        <v>102</v>
      </c>
      <c r="I13" s="295" t="s">
        <v>98</v>
      </c>
      <c r="J13" s="317" t="s">
        <v>92</v>
      </c>
      <c r="K13" s="317" t="s">
        <v>93</v>
      </c>
      <c r="L13" s="317" t="s">
        <v>94</v>
      </c>
      <c r="M13" s="317"/>
      <c r="N13" s="463"/>
      <c r="O13" s="319" t="s">
        <v>99</v>
      </c>
      <c r="P13" s="721"/>
      <c r="Q13" s="189" t="s">
        <v>152</v>
      </c>
      <c r="R13" s="188">
        <v>8</v>
      </c>
      <c r="S13" s="192" t="s">
        <v>153</v>
      </c>
    </row>
    <row r="14" spans="1:130" ht="16.5" thickBot="1" x14ac:dyDescent="0.3">
      <c r="A14" s="296">
        <v>1157</v>
      </c>
      <c r="B14" s="317" t="s">
        <v>95</v>
      </c>
      <c r="C14" s="320">
        <v>676.8</v>
      </c>
      <c r="D14" s="320">
        <v>346.9</v>
      </c>
      <c r="E14" s="320">
        <v>245.7</v>
      </c>
      <c r="F14" s="321">
        <f>SUM(C14:E14)</f>
        <v>1269.3999999999999</v>
      </c>
      <c r="G14" s="321"/>
      <c r="H14" s="320" t="s">
        <v>95</v>
      </c>
      <c r="I14" s="299">
        <v>1142</v>
      </c>
      <c r="J14" s="320">
        <v>1236.7</v>
      </c>
      <c r="K14" s="320">
        <v>602.6</v>
      </c>
      <c r="L14" s="320">
        <v>500.1</v>
      </c>
      <c r="M14" s="320"/>
      <c r="N14" s="476"/>
      <c r="O14" s="322">
        <f>SUM(J14:L14)</f>
        <v>2339.4</v>
      </c>
      <c r="P14" s="721"/>
      <c r="Q14" s="189" t="s">
        <v>154</v>
      </c>
      <c r="R14" s="188">
        <v>9</v>
      </c>
      <c r="S14" s="195" t="s">
        <v>155</v>
      </c>
    </row>
    <row r="15" spans="1:130" ht="16.5" thickBot="1" x14ac:dyDescent="0.3">
      <c r="A15" s="296">
        <v>176</v>
      </c>
      <c r="B15" s="317" t="s">
        <v>96</v>
      </c>
      <c r="C15" s="320">
        <v>159.5</v>
      </c>
      <c r="D15" s="320">
        <v>88.2</v>
      </c>
      <c r="E15" s="320">
        <v>84</v>
      </c>
      <c r="F15" s="322">
        <f>SUM(C15:E15)</f>
        <v>331.7</v>
      </c>
      <c r="G15" s="457"/>
      <c r="H15" s="320" t="s">
        <v>96</v>
      </c>
      <c r="I15" s="299">
        <v>174</v>
      </c>
      <c r="J15" s="320">
        <v>158.80000000000001</v>
      </c>
      <c r="K15" s="320">
        <v>100</v>
      </c>
      <c r="L15" s="320">
        <v>77.099999999999994</v>
      </c>
      <c r="M15" s="320"/>
      <c r="N15" s="476"/>
      <c r="O15" s="322">
        <f>SUM(J15:L15)</f>
        <v>335.9</v>
      </c>
      <c r="P15" s="721"/>
      <c r="Q15" s="189" t="s">
        <v>156</v>
      </c>
      <c r="R15" s="188">
        <v>9</v>
      </c>
      <c r="S15" s="195" t="s">
        <v>157</v>
      </c>
    </row>
    <row r="16" spans="1:130" ht="16.5" thickBot="1" x14ac:dyDescent="0.3">
      <c r="A16" s="295" t="s">
        <v>100</v>
      </c>
      <c r="B16" s="317" t="s">
        <v>95</v>
      </c>
      <c r="C16" s="320">
        <f>C14/A14</f>
        <v>0.58496110630942089</v>
      </c>
      <c r="D16" s="320">
        <f>D14/A14</f>
        <v>0.29982713915298181</v>
      </c>
      <c r="E16" s="320">
        <f>E14/A14</f>
        <v>0.21235955056179776</v>
      </c>
      <c r="F16" s="323">
        <f>SUM(C16:E16)</f>
        <v>1.0971477960242004</v>
      </c>
      <c r="G16" s="458"/>
      <c r="H16" s="320" t="s">
        <v>95</v>
      </c>
      <c r="I16" s="324" t="s">
        <v>101</v>
      </c>
      <c r="J16" s="320">
        <f>J14/I14</f>
        <v>1.0829246935201402</v>
      </c>
      <c r="K16" s="320">
        <f>K14/I14</f>
        <v>0.5276707530647986</v>
      </c>
      <c r="L16" s="320">
        <f>L14/I14</f>
        <v>0.43791593695271458</v>
      </c>
      <c r="M16" s="320"/>
      <c r="N16" s="476"/>
      <c r="O16" s="323">
        <f>SUM(J16:L16)</f>
        <v>2.0485113835376536</v>
      </c>
      <c r="P16" s="721"/>
      <c r="Q16" s="189" t="s">
        <v>158</v>
      </c>
      <c r="R16" s="188" t="s">
        <v>159</v>
      </c>
      <c r="S16" s="195" t="s">
        <v>160</v>
      </c>
    </row>
    <row r="17" spans="1:19" ht="16.5" thickBot="1" x14ac:dyDescent="0.3">
      <c r="A17" s="295" t="s">
        <v>100</v>
      </c>
      <c r="B17" s="317" t="s">
        <v>96</v>
      </c>
      <c r="C17" s="320">
        <f>C15/A15</f>
        <v>0.90625</v>
      </c>
      <c r="D17" s="320">
        <f>D15/A15</f>
        <v>0.5011363636363636</v>
      </c>
      <c r="E17" s="320">
        <f>E15/A15</f>
        <v>0.47727272727272729</v>
      </c>
      <c r="F17" s="323">
        <f>SUM(C17:E17)</f>
        <v>1.8846590909090908</v>
      </c>
      <c r="G17" s="458"/>
      <c r="H17" s="320" t="s">
        <v>96</v>
      </c>
      <c r="I17" s="324" t="s">
        <v>101</v>
      </c>
      <c r="J17" s="320">
        <f>J15/I15</f>
        <v>0.91264367816091962</v>
      </c>
      <c r="K17" s="320">
        <f>K15/I15</f>
        <v>0.57471264367816088</v>
      </c>
      <c r="L17" s="320">
        <f>L15/I15</f>
        <v>0.44310344827586201</v>
      </c>
      <c r="M17" s="320"/>
      <c r="N17" s="476"/>
      <c r="O17" s="323">
        <f>SUM(J17:L17)</f>
        <v>1.9304597701149424</v>
      </c>
      <c r="P17" s="721"/>
      <c r="Q17" s="196" t="s">
        <v>99</v>
      </c>
      <c r="R17" s="197">
        <f>SUM(R8:R16)/80</f>
        <v>0.63749999999999996</v>
      </c>
      <c r="S17" s="198">
        <f>R17</f>
        <v>0.63749999999999996</v>
      </c>
    </row>
    <row r="18" spans="1:19" x14ac:dyDescent="0.25">
      <c r="A18" s="295" t="s">
        <v>104</v>
      </c>
      <c r="B18" s="325" t="s">
        <v>95</v>
      </c>
      <c r="C18" s="320">
        <f t="shared" ref="C18:E19" si="0">C14/($A14/7.7)</f>
        <v>4.5042005185825413</v>
      </c>
      <c r="D18" s="320">
        <f t="shared" si="0"/>
        <v>2.3086689714779602</v>
      </c>
      <c r="E18" s="320">
        <f t="shared" si="0"/>
        <v>1.6351685393258426</v>
      </c>
      <c r="F18" s="323">
        <f>C18+D18+E18</f>
        <v>8.4480380293863444</v>
      </c>
      <c r="G18" s="458"/>
      <c r="H18" s="326" t="s">
        <v>95</v>
      </c>
      <c r="I18" s="324" t="s">
        <v>105</v>
      </c>
      <c r="J18" s="320">
        <f t="shared" ref="J18:L19" si="1">J14/($I14/7.7)</f>
        <v>8.3385201401050804</v>
      </c>
      <c r="K18" s="320">
        <f t="shared" si="1"/>
        <v>4.0630647985989494</v>
      </c>
      <c r="L18" s="320">
        <f t="shared" si="1"/>
        <v>3.3719527145359023</v>
      </c>
      <c r="M18" s="320"/>
      <c r="N18" s="476"/>
      <c r="O18" s="323">
        <f>J18+K18+L18</f>
        <v>15.773537653239933</v>
      </c>
      <c r="P18" s="721"/>
      <c r="Q18" s="740"/>
      <c r="R18" s="740"/>
      <c r="S18" s="740"/>
    </row>
    <row r="19" spans="1:19" x14ac:dyDescent="0.25">
      <c r="A19" s="295" t="s">
        <v>104</v>
      </c>
      <c r="B19" s="325" t="s">
        <v>96</v>
      </c>
      <c r="C19" s="320">
        <f t="shared" si="0"/>
        <v>6.9781249999999995</v>
      </c>
      <c r="D19" s="320">
        <f t="shared" si="0"/>
        <v>3.8587500000000001</v>
      </c>
      <c r="E19" s="320">
        <f t="shared" si="0"/>
        <v>3.6749999999999998</v>
      </c>
      <c r="F19" s="323">
        <f>C19+D19+E19</f>
        <v>14.511875</v>
      </c>
      <c r="G19" s="458"/>
      <c r="H19" s="326" t="s">
        <v>96</v>
      </c>
      <c r="I19" s="324" t="s">
        <v>104</v>
      </c>
      <c r="J19" s="320">
        <f t="shared" si="1"/>
        <v>7.0273563218390818</v>
      </c>
      <c r="K19" s="320">
        <f t="shared" si="1"/>
        <v>4.4252873563218396</v>
      </c>
      <c r="L19" s="320">
        <f t="shared" si="1"/>
        <v>3.411896551724138</v>
      </c>
      <c r="M19" s="320"/>
      <c r="N19" s="476"/>
      <c r="O19" s="323">
        <f>J19+K19+L19</f>
        <v>14.864540229885058</v>
      </c>
      <c r="P19" s="721"/>
      <c r="Q19" s="741"/>
      <c r="R19" s="741"/>
      <c r="S19" s="741"/>
    </row>
    <row r="20" spans="1:19" x14ac:dyDescent="0.25">
      <c r="A20" s="295" t="s">
        <v>135</v>
      </c>
      <c r="B20" s="325" t="s">
        <v>95</v>
      </c>
      <c r="C20" s="327">
        <f>C14/((($A14*$B11)*(1-$B8))/$B6)</f>
        <v>0.11550620709137675</v>
      </c>
      <c r="D20" s="327">
        <f>D14/((($A14*$B11)*(1-$B8))/$B6)</f>
        <v>5.9203757742314712E-2</v>
      </c>
      <c r="E20" s="327">
        <f>E14/((($A14*$B11)*(1-$B8))/$B6)</f>
        <v>4.1932439542481187E-2</v>
      </c>
      <c r="F20" s="323">
        <f>SUM(C20:E20)</f>
        <v>0.21664240437617266</v>
      </c>
      <c r="G20" s="458"/>
      <c r="H20" s="328" t="s">
        <v>95</v>
      </c>
      <c r="I20" s="329" t="s">
        <v>135</v>
      </c>
      <c r="J20" s="327">
        <f>J14/((($I14*$B11)*(1-$B8))/$B6)</f>
        <v>0.21383391573377244</v>
      </c>
      <c r="K20" s="327">
        <f>K14/((($I14*$B11)*(1-$B8))/$B6)</f>
        <v>0.1041936747967747</v>
      </c>
      <c r="L20" s="327">
        <f>L14/((($I14*$B11)*(1-$B8))/$B6)</f>
        <v>8.6470721483350527E-2</v>
      </c>
      <c r="M20" s="327"/>
      <c r="N20" s="477"/>
      <c r="O20" s="323">
        <f>SUM(J20:L20)</f>
        <v>0.40449831201389763</v>
      </c>
      <c r="P20" s="721"/>
      <c r="Q20" s="741"/>
      <c r="R20" s="741"/>
      <c r="S20" s="741"/>
    </row>
    <row r="21" spans="1:19" x14ac:dyDescent="0.25">
      <c r="A21" s="295" t="s">
        <v>135</v>
      </c>
      <c r="B21" s="325" t="s">
        <v>96</v>
      </c>
      <c r="C21" s="327">
        <f>C15/((($A15*$B11)*(1-$B8))/$B6)</f>
        <v>0.17894779507133593</v>
      </c>
      <c r="D21" s="327">
        <f>D15/((($A15*$B11)*(1-$B8))/$B6)</f>
        <v>9.8954203920324946E-2</v>
      </c>
      <c r="E21" s="327">
        <f>E15/((($A15*$B11)*(1-$B8))/$B6)</f>
        <v>9.4242098971738034E-2</v>
      </c>
      <c r="F21" s="323">
        <f>SUM(C21:E21)</f>
        <v>0.37214409796339892</v>
      </c>
      <c r="G21" s="458"/>
      <c r="H21" s="328" t="s">
        <v>96</v>
      </c>
      <c r="I21" s="329" t="s">
        <v>135</v>
      </c>
      <c r="J21" s="327">
        <f>J15/((($I15*$B11)*(1-$B8))/$B6)</f>
        <v>0.18021028843331363</v>
      </c>
      <c r="K21" s="327">
        <f>K15/((($I15*$B11)*(1-$B8))/$B6)</f>
        <v>0.11348254939125543</v>
      </c>
      <c r="L21" s="327">
        <f>L15/((($I15*$B11)*(1-$B8))/$B6)</f>
        <v>8.7495045580657932E-2</v>
      </c>
      <c r="M21" s="327"/>
      <c r="N21" s="477"/>
      <c r="O21" s="323">
        <f>SUM(J21:L21)</f>
        <v>0.38118788340522702</v>
      </c>
      <c r="P21" s="721"/>
      <c r="Q21" s="741"/>
      <c r="R21" s="741"/>
      <c r="S21" s="741"/>
    </row>
    <row r="22" spans="1:19" x14ac:dyDescent="0.25">
      <c r="A22" s="297"/>
      <c r="B22" s="330"/>
      <c r="C22" s="330"/>
      <c r="D22" s="330"/>
      <c r="E22" s="330"/>
      <c r="F22" s="330"/>
      <c r="G22" s="330"/>
      <c r="H22" s="330"/>
      <c r="I22" s="330"/>
      <c r="J22" s="330"/>
      <c r="K22" s="330"/>
      <c r="L22" s="330"/>
      <c r="M22" s="330"/>
      <c r="N22" s="330"/>
      <c r="O22" s="331"/>
      <c r="P22" s="11"/>
      <c r="Q22" s="199"/>
      <c r="R22" s="200"/>
      <c r="S22" s="199"/>
    </row>
    <row r="23" spans="1:19" ht="21" x14ac:dyDescent="0.25">
      <c r="A23" s="298"/>
      <c r="B23" s="767" t="s">
        <v>117</v>
      </c>
      <c r="C23" s="768"/>
      <c r="D23" s="768"/>
      <c r="E23" s="768"/>
      <c r="F23" s="768"/>
      <c r="G23" s="768"/>
      <c r="H23" s="768"/>
      <c r="I23" s="768"/>
      <c r="J23" s="768"/>
      <c r="K23" s="768"/>
      <c r="L23" s="768"/>
      <c r="M23" s="768"/>
      <c r="N23" s="768"/>
      <c r="O23" s="769"/>
      <c r="P23" s="721" t="s">
        <v>97</v>
      </c>
      <c r="Q23" s="722" t="s">
        <v>162</v>
      </c>
      <c r="R23" s="722"/>
      <c r="S23" s="722"/>
    </row>
    <row r="24" spans="1:19" x14ac:dyDescent="0.25">
      <c r="A24" s="298"/>
      <c r="B24" s="754" t="s">
        <v>115</v>
      </c>
      <c r="C24" s="727"/>
      <c r="D24" s="727"/>
      <c r="E24" s="727"/>
      <c r="F24" s="727"/>
      <c r="G24" s="728"/>
      <c r="H24" s="727"/>
      <c r="I24" s="727"/>
      <c r="J24" s="727"/>
      <c r="K24" s="727"/>
      <c r="L24" s="727"/>
      <c r="M24" s="727"/>
      <c r="N24" s="728"/>
      <c r="O24" s="727"/>
      <c r="P24" s="721"/>
      <c r="Q24" s="722"/>
      <c r="R24" s="722"/>
      <c r="S24" s="722"/>
    </row>
    <row r="25" spans="1:19" x14ac:dyDescent="0.25">
      <c r="A25" s="294" t="s">
        <v>106</v>
      </c>
      <c r="B25" s="727">
        <v>15.9</v>
      </c>
      <c r="C25" s="727"/>
      <c r="D25" s="727"/>
      <c r="E25" s="727"/>
      <c r="F25" s="727"/>
      <c r="G25" s="728"/>
      <c r="H25" s="727"/>
      <c r="I25" s="727"/>
      <c r="J25" s="727"/>
      <c r="K25" s="727"/>
      <c r="L25" s="727"/>
      <c r="M25" s="727"/>
      <c r="N25" s="728"/>
      <c r="O25" s="727"/>
      <c r="P25" s="721"/>
      <c r="Q25" s="722"/>
      <c r="R25" s="722"/>
      <c r="S25" s="722"/>
    </row>
    <row r="26" spans="1:19" x14ac:dyDescent="0.25">
      <c r="A26" s="294" t="s">
        <v>112</v>
      </c>
      <c r="B26" s="729">
        <v>0.12</v>
      </c>
      <c r="C26" s="727"/>
      <c r="D26" s="727"/>
      <c r="E26" s="727"/>
      <c r="F26" s="727"/>
      <c r="G26" s="728"/>
      <c r="H26" s="727"/>
      <c r="I26" s="727"/>
      <c r="J26" s="727"/>
      <c r="K26" s="727"/>
      <c r="L26" s="727"/>
      <c r="M26" s="727"/>
      <c r="N26" s="728"/>
      <c r="O26" s="727"/>
      <c r="P26" s="721"/>
      <c r="Q26" s="722"/>
      <c r="R26" s="722"/>
      <c r="S26" s="722"/>
    </row>
    <row r="27" spans="1:19" ht="15.75" thickBot="1" x14ac:dyDescent="0.3">
      <c r="A27" s="294" t="s">
        <v>107</v>
      </c>
      <c r="B27" s="730">
        <f>B25-(B25*B26)</f>
        <v>13.992000000000001</v>
      </c>
      <c r="C27" s="730"/>
      <c r="D27" s="730"/>
      <c r="E27" s="730"/>
      <c r="F27" s="730"/>
      <c r="G27" s="731"/>
      <c r="H27" s="730"/>
      <c r="I27" s="730"/>
      <c r="J27" s="730"/>
      <c r="K27" s="730"/>
      <c r="L27" s="730"/>
      <c r="M27" s="730"/>
      <c r="N27" s="731"/>
      <c r="O27" s="730"/>
      <c r="P27" s="721"/>
      <c r="Q27" s="723"/>
      <c r="R27" s="723"/>
      <c r="S27" s="723"/>
    </row>
    <row r="28" spans="1:19" ht="15.75" x14ac:dyDescent="0.25">
      <c r="A28" s="294" t="s">
        <v>108</v>
      </c>
      <c r="B28" s="757">
        <f>B31/B27</f>
        <v>0.7833083190394512</v>
      </c>
      <c r="C28" s="757"/>
      <c r="D28" s="757"/>
      <c r="E28" s="757"/>
      <c r="F28" s="757"/>
      <c r="G28" s="758"/>
      <c r="H28" s="757"/>
      <c r="I28" s="757"/>
      <c r="J28" s="757"/>
      <c r="K28" s="757"/>
      <c r="L28" s="757"/>
      <c r="M28" s="757"/>
      <c r="N28" s="758"/>
      <c r="O28" s="757"/>
      <c r="P28" s="721"/>
      <c r="Q28" s="742" t="s">
        <v>139</v>
      </c>
      <c r="R28" s="187" t="s">
        <v>140</v>
      </c>
      <c r="S28" s="744" t="s">
        <v>142</v>
      </c>
    </row>
    <row r="29" spans="1:19" ht="16.5" thickBot="1" x14ac:dyDescent="0.3">
      <c r="A29" s="294" t="s">
        <v>113</v>
      </c>
      <c r="B29" s="730">
        <f>B33*((A36+A37+I36+I37)/1000)</f>
        <v>35.355000000000004</v>
      </c>
      <c r="C29" s="730"/>
      <c r="D29" s="730"/>
      <c r="E29" s="730"/>
      <c r="F29" s="730"/>
      <c r="G29" s="731"/>
      <c r="H29" s="730"/>
      <c r="I29" s="730"/>
      <c r="J29" s="730"/>
      <c r="K29" s="730"/>
      <c r="L29" s="730"/>
      <c r="M29" s="730"/>
      <c r="N29" s="731"/>
      <c r="O29" s="730"/>
      <c r="P29" s="721"/>
      <c r="Q29" s="743"/>
      <c r="R29" s="188" t="s">
        <v>141</v>
      </c>
      <c r="S29" s="745"/>
    </row>
    <row r="30" spans="1:19" ht="32.25" thickBot="1" x14ac:dyDescent="0.3">
      <c r="A30" s="294" t="s">
        <v>109</v>
      </c>
      <c r="B30" s="729">
        <v>0.69</v>
      </c>
      <c r="C30" s="727"/>
      <c r="D30" s="727"/>
      <c r="E30" s="727"/>
      <c r="F30" s="727"/>
      <c r="G30" s="728"/>
      <c r="H30" s="727"/>
      <c r="I30" s="727"/>
      <c r="J30" s="727"/>
      <c r="K30" s="727"/>
      <c r="L30" s="727"/>
      <c r="M30" s="727"/>
      <c r="N30" s="728"/>
      <c r="O30" s="727"/>
      <c r="P30" s="721"/>
      <c r="Q30" s="189" t="s">
        <v>143</v>
      </c>
      <c r="R30" s="188">
        <v>9</v>
      </c>
      <c r="S30" s="195" t="s">
        <v>163</v>
      </c>
    </row>
    <row r="31" spans="1:19" ht="16.5" thickBot="1" x14ac:dyDescent="0.3">
      <c r="A31" s="294" t="s">
        <v>124</v>
      </c>
      <c r="B31" s="730">
        <f>B29-(B30*B29)</f>
        <v>10.960050000000003</v>
      </c>
      <c r="C31" s="730"/>
      <c r="D31" s="730"/>
      <c r="E31" s="730"/>
      <c r="F31" s="730"/>
      <c r="G31" s="731"/>
      <c r="H31" s="730"/>
      <c r="I31" s="730"/>
      <c r="J31" s="730"/>
      <c r="K31" s="730"/>
      <c r="L31" s="730"/>
      <c r="M31" s="730"/>
      <c r="N31" s="731"/>
      <c r="O31" s="730"/>
      <c r="P31" s="721"/>
      <c r="Q31" s="189" t="s">
        <v>145</v>
      </c>
      <c r="R31" s="188">
        <v>7</v>
      </c>
      <c r="S31" s="192" t="s">
        <v>164</v>
      </c>
    </row>
    <row r="32" spans="1:19" ht="16.5" thickBot="1" x14ac:dyDescent="0.3">
      <c r="A32" s="294" t="s">
        <v>114</v>
      </c>
      <c r="B32" s="727">
        <v>127</v>
      </c>
      <c r="C32" s="727"/>
      <c r="D32" s="727"/>
      <c r="E32" s="727"/>
      <c r="F32" s="727"/>
      <c r="G32" s="728"/>
      <c r="H32" s="727"/>
      <c r="I32" s="727"/>
      <c r="J32" s="727"/>
      <c r="K32" s="727"/>
      <c r="L32" s="727"/>
      <c r="M32" s="727"/>
      <c r="N32" s="728"/>
      <c r="O32" s="727"/>
      <c r="P32" s="721"/>
      <c r="Q32" s="189" t="s">
        <v>147</v>
      </c>
      <c r="R32" s="188">
        <v>7</v>
      </c>
      <c r="S32" s="192" t="s">
        <v>148</v>
      </c>
    </row>
    <row r="33" spans="1:19" ht="15.75" x14ac:dyDescent="0.25">
      <c r="A33" s="294" t="s">
        <v>111</v>
      </c>
      <c r="B33" s="727">
        <v>15</v>
      </c>
      <c r="C33" s="727"/>
      <c r="D33" s="727"/>
      <c r="E33" s="727"/>
      <c r="F33" s="727"/>
      <c r="G33" s="728"/>
      <c r="H33" s="727"/>
      <c r="I33" s="727"/>
      <c r="J33" s="727"/>
      <c r="K33" s="727"/>
      <c r="L33" s="727"/>
      <c r="M33" s="727"/>
      <c r="N33" s="728"/>
      <c r="O33" s="727"/>
      <c r="P33" s="721"/>
      <c r="Q33" s="194" t="s">
        <v>149</v>
      </c>
      <c r="R33" s="742">
        <v>7</v>
      </c>
      <c r="S33" s="746" t="s">
        <v>165</v>
      </c>
    </row>
    <row r="34" spans="1:19" ht="16.5" thickBot="1" x14ac:dyDescent="0.3">
      <c r="A34" s="759" t="s">
        <v>127</v>
      </c>
      <c r="B34" s="665"/>
      <c r="C34" s="665"/>
      <c r="D34" s="665"/>
      <c r="E34" s="760"/>
      <c r="F34" s="332"/>
      <c r="G34" s="332"/>
      <c r="H34" s="764" t="s">
        <v>128</v>
      </c>
      <c r="I34" s="765"/>
      <c r="J34" s="765"/>
      <c r="K34" s="765"/>
      <c r="L34" s="766"/>
      <c r="M34" s="333"/>
      <c r="N34" s="456"/>
      <c r="O34" s="334"/>
      <c r="P34" s="721"/>
      <c r="Q34" s="189" t="s">
        <v>150</v>
      </c>
      <c r="R34" s="743"/>
      <c r="S34" s="747"/>
    </row>
    <row r="35" spans="1:19" ht="16.5" thickBot="1" x14ac:dyDescent="0.3">
      <c r="A35" s="295" t="s">
        <v>98</v>
      </c>
      <c r="B35" s="317" t="s">
        <v>102</v>
      </c>
      <c r="C35" s="317" t="s">
        <v>92</v>
      </c>
      <c r="D35" s="317" t="s">
        <v>93</v>
      </c>
      <c r="E35" s="317" t="s">
        <v>94</v>
      </c>
      <c r="F35" s="319" t="s">
        <v>99</v>
      </c>
      <c r="G35" s="459"/>
      <c r="H35" s="317" t="s">
        <v>102</v>
      </c>
      <c r="I35" s="295" t="s">
        <v>98</v>
      </c>
      <c r="J35" s="317" t="s">
        <v>92</v>
      </c>
      <c r="K35" s="317" t="s">
        <v>93</v>
      </c>
      <c r="L35" s="317" t="s">
        <v>94</v>
      </c>
      <c r="M35" s="317"/>
      <c r="N35" s="463"/>
      <c r="O35" s="319" t="s">
        <v>99</v>
      </c>
      <c r="P35" s="721"/>
      <c r="Q35" s="189" t="s">
        <v>152</v>
      </c>
      <c r="R35" s="188">
        <v>7</v>
      </c>
      <c r="S35" s="192" t="s">
        <v>166</v>
      </c>
    </row>
    <row r="36" spans="1:19" ht="16.5" thickBot="1" x14ac:dyDescent="0.3">
      <c r="A36" s="299">
        <v>1006</v>
      </c>
      <c r="B36" s="317" t="s">
        <v>95</v>
      </c>
      <c r="C36" s="320">
        <v>1354.8</v>
      </c>
      <c r="D36" s="320">
        <v>427.2</v>
      </c>
      <c r="E36" s="320">
        <v>313.60000000000002</v>
      </c>
      <c r="F36" s="322">
        <f>SUM(C36:E36)</f>
        <v>2095.6</v>
      </c>
      <c r="G36" s="457"/>
      <c r="H36" s="320" t="s">
        <v>95</v>
      </c>
      <c r="I36" s="299">
        <v>1002</v>
      </c>
      <c r="J36" s="320">
        <v>1579.5</v>
      </c>
      <c r="K36" s="320">
        <v>677</v>
      </c>
      <c r="L36" s="320">
        <v>338.3</v>
      </c>
      <c r="M36" s="320"/>
      <c r="N36" s="476"/>
      <c r="O36" s="322">
        <f t="shared" ref="O36:O43" si="2">SUM(J36:L36)</f>
        <v>2594.8000000000002</v>
      </c>
      <c r="P36" s="721"/>
      <c r="Q36" s="189" t="s">
        <v>154</v>
      </c>
      <c r="R36" s="188">
        <v>9</v>
      </c>
      <c r="S36" s="195" t="s">
        <v>155</v>
      </c>
    </row>
    <row r="37" spans="1:19" ht="16.5" thickBot="1" x14ac:dyDescent="0.3">
      <c r="A37" s="299">
        <v>196</v>
      </c>
      <c r="B37" s="317" t="s">
        <v>96</v>
      </c>
      <c r="C37" s="320">
        <v>199.3</v>
      </c>
      <c r="D37" s="320">
        <v>100.5</v>
      </c>
      <c r="E37" s="320">
        <v>74</v>
      </c>
      <c r="F37" s="322">
        <f>SUM(C37:E37)</f>
        <v>373.8</v>
      </c>
      <c r="G37" s="457"/>
      <c r="H37" s="320" t="s">
        <v>96</v>
      </c>
      <c r="I37" s="299">
        <v>153</v>
      </c>
      <c r="J37" s="320">
        <v>111.4</v>
      </c>
      <c r="K37" s="320">
        <v>52</v>
      </c>
      <c r="L37" s="335">
        <v>202.5</v>
      </c>
      <c r="M37" s="335"/>
      <c r="N37" s="478"/>
      <c r="O37" s="322">
        <f t="shared" si="2"/>
        <v>365.9</v>
      </c>
      <c r="P37" s="721"/>
      <c r="Q37" s="189" t="s">
        <v>156</v>
      </c>
      <c r="R37" s="188">
        <v>9</v>
      </c>
      <c r="S37" s="195" t="s">
        <v>167</v>
      </c>
    </row>
    <row r="38" spans="1:19" ht="16.5" thickBot="1" x14ac:dyDescent="0.3">
      <c r="A38" s="295" t="s">
        <v>100</v>
      </c>
      <c r="B38" s="317" t="s">
        <v>95</v>
      </c>
      <c r="C38" s="320">
        <f>C36/A36</f>
        <v>1.3467196819085487</v>
      </c>
      <c r="D38" s="320">
        <f>D36/A36</f>
        <v>0.4246520874751491</v>
      </c>
      <c r="E38" s="320">
        <f>E36/A36</f>
        <v>0.31172962226640161</v>
      </c>
      <c r="F38" s="323">
        <f>SUM(C38:E38)</f>
        <v>2.0831013916500996</v>
      </c>
      <c r="G38" s="458"/>
      <c r="H38" s="320" t="s">
        <v>95</v>
      </c>
      <c r="I38" s="324" t="s">
        <v>100</v>
      </c>
      <c r="J38" s="320">
        <f>J36/I36</f>
        <v>1.5763473053892216</v>
      </c>
      <c r="K38" s="320">
        <f>K36/I36</f>
        <v>0.67564870259481036</v>
      </c>
      <c r="L38" s="320">
        <f>L36/I36</f>
        <v>0.33762475049900198</v>
      </c>
      <c r="M38" s="320"/>
      <c r="N38" s="476"/>
      <c r="O38" s="323">
        <f t="shared" si="2"/>
        <v>2.5896207584830342</v>
      </c>
      <c r="P38" s="721"/>
      <c r="Q38" s="189" t="s">
        <v>158</v>
      </c>
      <c r="R38" s="188">
        <v>9</v>
      </c>
      <c r="S38" s="195" t="s">
        <v>168</v>
      </c>
    </row>
    <row r="39" spans="1:19" ht="16.5" thickBot="1" x14ac:dyDescent="0.3">
      <c r="A39" s="295" t="s">
        <v>100</v>
      </c>
      <c r="B39" s="317" t="s">
        <v>96</v>
      </c>
      <c r="C39" s="336">
        <f>C37/A37</f>
        <v>1.0168367346938776</v>
      </c>
      <c r="D39" s="336">
        <f>D37/A37</f>
        <v>0.51275510204081631</v>
      </c>
      <c r="E39" s="336">
        <f>E37/A37</f>
        <v>0.37755102040816324</v>
      </c>
      <c r="F39" s="323">
        <f>SUM(C39:E39)</f>
        <v>1.907142857142857</v>
      </c>
      <c r="G39" s="458"/>
      <c r="H39" s="320" t="s">
        <v>96</v>
      </c>
      <c r="I39" s="324" t="s">
        <v>100</v>
      </c>
      <c r="J39" s="320">
        <f>J37/I37</f>
        <v>0.72810457516339877</v>
      </c>
      <c r="K39" s="320">
        <f>K37/I37</f>
        <v>0.33986928104575165</v>
      </c>
      <c r="L39" s="335">
        <f>L37/I37</f>
        <v>1.3235294117647058</v>
      </c>
      <c r="M39" s="335"/>
      <c r="N39" s="478"/>
      <c r="O39" s="323">
        <f t="shared" si="2"/>
        <v>2.3915032679738566</v>
      </c>
      <c r="P39" s="721"/>
      <c r="Q39" s="196" t="s">
        <v>99</v>
      </c>
      <c r="R39" s="201">
        <f>SUM(R30:R38)/80</f>
        <v>0.8</v>
      </c>
      <c r="S39" s="198">
        <f>R39</f>
        <v>0.8</v>
      </c>
    </row>
    <row r="40" spans="1:19" x14ac:dyDescent="0.25">
      <c r="A40" s="295" t="s">
        <v>104</v>
      </c>
      <c r="B40" s="337" t="s">
        <v>95</v>
      </c>
      <c r="C40" s="336">
        <f t="shared" ref="C40:E41" si="3">C36/($A36/7.7)</f>
        <v>10.369741550695824</v>
      </c>
      <c r="D40" s="336">
        <f t="shared" si="3"/>
        <v>3.2698210735586479</v>
      </c>
      <c r="E40" s="336">
        <f t="shared" si="3"/>
        <v>2.4003180914512923</v>
      </c>
      <c r="F40" s="323">
        <f>C40+D40+E40</f>
        <v>16.039880715705763</v>
      </c>
      <c r="G40" s="460"/>
      <c r="H40" s="338" t="s">
        <v>95</v>
      </c>
      <c r="I40" s="339" t="s">
        <v>105</v>
      </c>
      <c r="J40" s="320">
        <f t="shared" ref="J40:L41" si="4">J36/($I36/7.7)</f>
        <v>12.137874251497008</v>
      </c>
      <c r="K40" s="320">
        <f t="shared" si="4"/>
        <v>5.2024950099800407</v>
      </c>
      <c r="L40" s="320">
        <f t="shared" si="4"/>
        <v>2.5997105788423158</v>
      </c>
      <c r="M40" s="320"/>
      <c r="N40" s="476"/>
      <c r="O40" s="323">
        <f t="shared" si="2"/>
        <v>19.940079840319367</v>
      </c>
      <c r="P40" s="721"/>
      <c r="Q40" s="740"/>
      <c r="R40" s="740"/>
      <c r="S40" s="740"/>
    </row>
    <row r="41" spans="1:19" x14ac:dyDescent="0.25">
      <c r="A41" s="300" t="s">
        <v>104</v>
      </c>
      <c r="B41" s="337" t="s">
        <v>96</v>
      </c>
      <c r="C41" s="336">
        <f t="shared" si="3"/>
        <v>7.8296428571428578</v>
      </c>
      <c r="D41" s="336">
        <f t="shared" si="3"/>
        <v>3.9482142857142861</v>
      </c>
      <c r="E41" s="336">
        <f t="shared" si="3"/>
        <v>2.9071428571428575</v>
      </c>
      <c r="F41" s="340">
        <f>C41+D41+E41</f>
        <v>14.685000000000002</v>
      </c>
      <c r="G41" s="460"/>
      <c r="H41" s="338" t="s">
        <v>96</v>
      </c>
      <c r="I41" s="339" t="s">
        <v>105</v>
      </c>
      <c r="J41" s="341">
        <f t="shared" si="4"/>
        <v>5.6064052287581703</v>
      </c>
      <c r="K41" s="341">
        <f t="shared" si="4"/>
        <v>2.6169934640522876</v>
      </c>
      <c r="L41" s="342">
        <f t="shared" si="4"/>
        <v>10.191176470588236</v>
      </c>
      <c r="M41" s="342"/>
      <c r="N41" s="342"/>
      <c r="O41" s="340">
        <f t="shared" si="2"/>
        <v>18.414575163398695</v>
      </c>
      <c r="P41" s="721"/>
      <c r="Q41" s="741"/>
      <c r="R41" s="741"/>
      <c r="S41" s="741"/>
    </row>
    <row r="42" spans="1:19" x14ac:dyDescent="0.25">
      <c r="A42" s="295" t="s">
        <v>135</v>
      </c>
      <c r="B42" s="325" t="s">
        <v>95</v>
      </c>
      <c r="C42" s="327">
        <f>C36/((($A36*$B33)*(1-$B30))/$B28)</f>
        <v>0.22685951188239348</v>
      </c>
      <c r="D42" s="327">
        <f>D36/((($A36*$B33)*(1-$B30))/$B28)</f>
        <v>7.1534088777796351E-2</v>
      </c>
      <c r="E42" s="327">
        <f>E36/((($A36*$B33)*(1-$B30))/$B28)</f>
        <v>5.2511915357483466E-2</v>
      </c>
      <c r="F42" s="323">
        <f>SUM(C42:E42)</f>
        <v>0.35090551601767328</v>
      </c>
      <c r="G42" s="458"/>
      <c r="H42" s="328"/>
      <c r="I42" s="329" t="s">
        <v>135</v>
      </c>
      <c r="J42" s="327">
        <f>J36/((($I36*$B33)*(1-$B30))/$B28)</f>
        <v>0.26554106623802137</v>
      </c>
      <c r="K42" s="327">
        <f>K36/((($I36*$B33)*(1-$B30))/$B28)</f>
        <v>0.11381532247112407</v>
      </c>
      <c r="L42" s="327">
        <f>L36/((($I36*$B33)*(1-$B30))/$B28)</f>
        <v>5.6874037802040284E-2</v>
      </c>
      <c r="M42" s="327"/>
      <c r="N42" s="477"/>
      <c r="O42" s="323">
        <f t="shared" si="2"/>
        <v>0.43623042651118571</v>
      </c>
      <c r="P42" s="721"/>
      <c r="Q42" s="741"/>
      <c r="R42" s="741"/>
      <c r="S42" s="741"/>
    </row>
    <row r="43" spans="1:19" x14ac:dyDescent="0.25">
      <c r="A43" s="295" t="s">
        <v>135</v>
      </c>
      <c r="B43" s="325" t="s">
        <v>96</v>
      </c>
      <c r="C43" s="327">
        <f>C37/((($A37*$B33)*(1-$B30))/$B28)</f>
        <v>0.17128960718077968</v>
      </c>
      <c r="D43" s="327">
        <f>D37/((($A37*$B33)*(1-$B30))/$B28)</f>
        <v>8.6375341302901948E-2</v>
      </c>
      <c r="E43" s="327">
        <f>E37/((($A37*$B33)*(1-$B30))/$B28)</f>
        <v>6.3599753795171576E-2</v>
      </c>
      <c r="F43" s="323">
        <f>SUM(C43:E43)</f>
        <v>0.32126470227885318</v>
      </c>
      <c r="G43" s="458"/>
      <c r="H43" s="328"/>
      <c r="I43" s="329" t="s">
        <v>135</v>
      </c>
      <c r="J43" s="327">
        <f>J37/((($I37*$B33)*(1-$B30))/$B28)</f>
        <v>0.12265169265724205</v>
      </c>
      <c r="K43" s="327">
        <f>K37/((($I37*$B33)*(1-$B30))/$B28)</f>
        <v>5.725213660840741E-2</v>
      </c>
      <c r="L43" s="343">
        <f>L37/((($I37*$B33)*(1-$B30))/$B28)</f>
        <v>0.22295303198466349</v>
      </c>
      <c r="M43" s="343"/>
      <c r="N43" s="479"/>
      <c r="O43" s="323">
        <f t="shared" si="2"/>
        <v>0.40285686125031295</v>
      </c>
      <c r="P43" s="721"/>
      <c r="Q43" s="741"/>
      <c r="R43" s="741"/>
      <c r="S43" s="741"/>
    </row>
    <row r="44" spans="1:19" x14ac:dyDescent="0.25">
      <c r="A44" s="756" t="s">
        <v>136</v>
      </c>
      <c r="B44" s="753"/>
      <c r="C44" s="753"/>
      <c r="D44" s="753"/>
      <c r="E44" s="753"/>
      <c r="F44" s="753"/>
      <c r="G44" s="753"/>
      <c r="H44" s="753"/>
      <c r="I44" s="753"/>
      <c r="J44" s="753"/>
      <c r="K44" s="753"/>
      <c r="L44" s="753"/>
      <c r="M44" s="753"/>
      <c r="N44" s="753"/>
      <c r="O44" s="753"/>
      <c r="P44" s="748" t="s">
        <v>137</v>
      </c>
      <c r="Q44" s="748"/>
      <c r="R44" s="748"/>
      <c r="S44" s="748"/>
    </row>
    <row r="45" spans="1:19" ht="21" x14ac:dyDescent="0.25">
      <c r="A45" s="301"/>
      <c r="B45" s="718" t="s">
        <v>118</v>
      </c>
      <c r="C45" s="761"/>
      <c r="D45" s="761"/>
      <c r="E45" s="761"/>
      <c r="F45" s="761"/>
      <c r="G45" s="761"/>
      <c r="H45" s="761"/>
      <c r="I45" s="761"/>
      <c r="J45" s="761"/>
      <c r="K45" s="761"/>
      <c r="L45" s="761"/>
      <c r="M45" s="761"/>
      <c r="N45" s="761"/>
      <c r="O45" s="762"/>
      <c r="P45" s="721" t="s">
        <v>97</v>
      </c>
      <c r="Q45" s="722" t="s">
        <v>169</v>
      </c>
      <c r="R45" s="722"/>
      <c r="S45" s="722"/>
    </row>
    <row r="46" spans="1:19" x14ac:dyDescent="0.25">
      <c r="A46" s="298"/>
      <c r="B46" s="754" t="s">
        <v>115</v>
      </c>
      <c r="C46" s="754"/>
      <c r="D46" s="754"/>
      <c r="E46" s="754"/>
      <c r="F46" s="754"/>
      <c r="G46" s="755"/>
      <c r="H46" s="754"/>
      <c r="I46" s="754"/>
      <c r="J46" s="754"/>
      <c r="K46" s="754"/>
      <c r="L46" s="754"/>
      <c r="M46" s="754"/>
      <c r="N46" s="755"/>
      <c r="O46" s="754"/>
      <c r="P46" s="721"/>
      <c r="Q46" s="722"/>
      <c r="R46" s="722"/>
      <c r="S46" s="722"/>
    </row>
    <row r="47" spans="1:19" x14ac:dyDescent="0.25">
      <c r="A47" s="302" t="s">
        <v>106</v>
      </c>
      <c r="B47" s="727">
        <v>15.54</v>
      </c>
      <c r="C47" s="727"/>
      <c r="D47" s="727"/>
      <c r="E47" s="727"/>
      <c r="F47" s="727"/>
      <c r="G47" s="728"/>
      <c r="H47" s="727"/>
      <c r="I47" s="727"/>
      <c r="J47" s="727"/>
      <c r="K47" s="727"/>
      <c r="L47" s="727"/>
      <c r="M47" s="727"/>
      <c r="N47" s="728"/>
      <c r="O47" s="727"/>
      <c r="P47" s="721"/>
      <c r="Q47" s="722"/>
      <c r="R47" s="722"/>
      <c r="S47" s="722"/>
    </row>
    <row r="48" spans="1:19" x14ac:dyDescent="0.25">
      <c r="A48" s="303" t="s">
        <v>112</v>
      </c>
      <c r="B48" s="729">
        <v>0.19</v>
      </c>
      <c r="C48" s="727"/>
      <c r="D48" s="727"/>
      <c r="E48" s="727"/>
      <c r="F48" s="727"/>
      <c r="G48" s="728"/>
      <c r="H48" s="727"/>
      <c r="I48" s="727"/>
      <c r="J48" s="727"/>
      <c r="K48" s="727"/>
      <c r="L48" s="727"/>
      <c r="M48" s="727"/>
      <c r="N48" s="728"/>
      <c r="O48" s="727"/>
      <c r="P48" s="721"/>
      <c r="Q48" s="722"/>
      <c r="R48" s="722"/>
      <c r="S48" s="722"/>
    </row>
    <row r="49" spans="1:19" ht="15.75" thickBot="1" x14ac:dyDescent="0.3">
      <c r="A49" s="303" t="s">
        <v>107</v>
      </c>
      <c r="B49" s="773">
        <f>B47-(B47*B48)</f>
        <v>12.587399999999999</v>
      </c>
      <c r="C49" s="773"/>
      <c r="D49" s="773"/>
      <c r="E49" s="773"/>
      <c r="F49" s="773"/>
      <c r="G49" s="774"/>
      <c r="H49" s="773"/>
      <c r="I49" s="773"/>
      <c r="J49" s="773"/>
      <c r="K49" s="773"/>
      <c r="L49" s="773"/>
      <c r="M49" s="773"/>
      <c r="N49" s="774"/>
      <c r="O49" s="773"/>
      <c r="P49" s="721"/>
      <c r="Q49" s="723"/>
      <c r="R49" s="723"/>
      <c r="S49" s="723"/>
    </row>
    <row r="50" spans="1:19" ht="15.75" x14ac:dyDescent="0.25">
      <c r="A50" s="303" t="s">
        <v>108</v>
      </c>
      <c r="B50" s="729">
        <f>B53/B49</f>
        <v>0.8694408694408694</v>
      </c>
      <c r="C50" s="727"/>
      <c r="D50" s="727"/>
      <c r="E50" s="727"/>
      <c r="F50" s="727"/>
      <c r="G50" s="728"/>
      <c r="H50" s="727"/>
      <c r="I50" s="727"/>
      <c r="J50" s="727"/>
      <c r="K50" s="727"/>
      <c r="L50" s="727"/>
      <c r="M50" s="727"/>
      <c r="N50" s="728"/>
      <c r="O50" s="727"/>
      <c r="P50" s="721"/>
      <c r="Q50" s="742" t="s">
        <v>139</v>
      </c>
      <c r="R50" s="187" t="s">
        <v>140</v>
      </c>
      <c r="S50" s="744" t="s">
        <v>142</v>
      </c>
    </row>
    <row r="51" spans="1:19" ht="16.5" thickBot="1" x14ac:dyDescent="0.3">
      <c r="A51" s="303" t="s">
        <v>113</v>
      </c>
      <c r="B51" s="730">
        <f>B55*((A59+A58+I58+I59)/1000)</f>
        <v>36.479999999999997</v>
      </c>
      <c r="C51" s="730"/>
      <c r="D51" s="730"/>
      <c r="E51" s="730"/>
      <c r="F51" s="730"/>
      <c r="G51" s="731"/>
      <c r="H51" s="730"/>
      <c r="I51" s="730"/>
      <c r="J51" s="730"/>
      <c r="K51" s="730"/>
      <c r="L51" s="730"/>
      <c r="M51" s="730"/>
      <c r="N51" s="731"/>
      <c r="O51" s="730"/>
      <c r="P51" s="721"/>
      <c r="Q51" s="743"/>
      <c r="R51" s="188" t="s">
        <v>141</v>
      </c>
      <c r="S51" s="745"/>
    </row>
    <row r="52" spans="1:19" ht="14.1" customHeight="1" x14ac:dyDescent="0.25">
      <c r="A52" s="303" t="s">
        <v>109</v>
      </c>
      <c r="B52" s="729">
        <v>0.7</v>
      </c>
      <c r="C52" s="727"/>
      <c r="D52" s="727"/>
      <c r="E52" s="727"/>
      <c r="F52" s="727"/>
      <c r="G52" s="728"/>
      <c r="H52" s="727"/>
      <c r="I52" s="727"/>
      <c r="J52" s="727"/>
      <c r="K52" s="727"/>
      <c r="L52" s="727"/>
      <c r="M52" s="727"/>
      <c r="N52" s="728"/>
      <c r="O52" s="727"/>
      <c r="P52" s="721"/>
      <c r="Q52" s="202" t="s">
        <v>143</v>
      </c>
      <c r="R52" s="203">
        <v>8</v>
      </c>
      <c r="S52" s="204" t="s">
        <v>163</v>
      </c>
    </row>
    <row r="53" spans="1:19" ht="15" customHeight="1" thickBot="1" x14ac:dyDescent="0.3">
      <c r="A53" s="303" t="s">
        <v>123</v>
      </c>
      <c r="B53" s="773">
        <f>B51-(B51*B52)</f>
        <v>10.943999999999999</v>
      </c>
      <c r="C53" s="773"/>
      <c r="D53" s="773"/>
      <c r="E53" s="773"/>
      <c r="F53" s="773"/>
      <c r="G53" s="774"/>
      <c r="H53" s="773"/>
      <c r="I53" s="773"/>
      <c r="J53" s="773"/>
      <c r="K53" s="773"/>
      <c r="L53" s="773"/>
      <c r="M53" s="773"/>
      <c r="N53" s="774"/>
      <c r="O53" s="773"/>
      <c r="P53" s="721"/>
      <c r="Q53" s="189" t="s">
        <v>145</v>
      </c>
      <c r="R53" s="188">
        <v>7</v>
      </c>
      <c r="S53" s="192" t="s">
        <v>164</v>
      </c>
    </row>
    <row r="54" spans="1:19" ht="16.5" thickBot="1" x14ac:dyDescent="0.3">
      <c r="A54" s="303" t="s">
        <v>114</v>
      </c>
      <c r="B54" s="727">
        <v>128</v>
      </c>
      <c r="C54" s="727"/>
      <c r="D54" s="727"/>
      <c r="E54" s="727"/>
      <c r="F54" s="727"/>
      <c r="G54" s="728"/>
      <c r="H54" s="727"/>
      <c r="I54" s="727"/>
      <c r="J54" s="727"/>
      <c r="K54" s="727"/>
      <c r="L54" s="727"/>
      <c r="M54" s="727"/>
      <c r="N54" s="728"/>
      <c r="O54" s="727"/>
      <c r="P54" s="721"/>
      <c r="Q54" s="189" t="s">
        <v>147</v>
      </c>
      <c r="R54" s="188">
        <v>8</v>
      </c>
      <c r="S54" s="192" t="s">
        <v>148</v>
      </c>
    </row>
    <row r="55" spans="1:19" ht="15.75" x14ac:dyDescent="0.25">
      <c r="A55" s="303" t="s">
        <v>111</v>
      </c>
      <c r="B55" s="727">
        <v>15</v>
      </c>
      <c r="C55" s="727"/>
      <c r="D55" s="727"/>
      <c r="E55" s="727"/>
      <c r="F55" s="727"/>
      <c r="G55" s="728"/>
      <c r="H55" s="727"/>
      <c r="I55" s="727"/>
      <c r="J55" s="727"/>
      <c r="K55" s="727"/>
      <c r="L55" s="727"/>
      <c r="M55" s="727"/>
      <c r="N55" s="728"/>
      <c r="O55" s="727"/>
      <c r="P55" s="721"/>
      <c r="Q55" s="194" t="s">
        <v>149</v>
      </c>
      <c r="R55" s="203">
        <v>9</v>
      </c>
      <c r="S55" s="205" t="s">
        <v>165</v>
      </c>
    </row>
    <row r="56" spans="1:19" ht="16.5" thickBot="1" x14ac:dyDescent="0.3">
      <c r="A56" s="587" t="s">
        <v>127</v>
      </c>
      <c r="B56" s="588"/>
      <c r="C56" s="588"/>
      <c r="D56" s="588"/>
      <c r="E56" s="589"/>
      <c r="F56" s="314"/>
      <c r="G56" s="314"/>
      <c r="H56" s="668" t="s">
        <v>128</v>
      </c>
      <c r="I56" s="669"/>
      <c r="J56" s="669"/>
      <c r="K56" s="669"/>
      <c r="L56" s="670"/>
      <c r="M56" s="315"/>
      <c r="N56" s="452"/>
      <c r="O56" s="316"/>
      <c r="P56" s="721"/>
      <c r="Q56" s="189" t="s">
        <v>150</v>
      </c>
      <c r="R56" s="196"/>
      <c r="S56" s="206"/>
    </row>
    <row r="57" spans="1:19" ht="16.5" thickBot="1" x14ac:dyDescent="0.3">
      <c r="A57" s="295" t="s">
        <v>98</v>
      </c>
      <c r="B57" s="317" t="s">
        <v>102</v>
      </c>
      <c r="C57" s="317" t="s">
        <v>92</v>
      </c>
      <c r="D57" s="317" t="s">
        <v>93</v>
      </c>
      <c r="E57" s="317" t="s">
        <v>94</v>
      </c>
      <c r="F57" s="319" t="s">
        <v>99</v>
      </c>
      <c r="G57" s="459"/>
      <c r="H57" s="317" t="s">
        <v>102</v>
      </c>
      <c r="I57" s="295" t="s">
        <v>98</v>
      </c>
      <c r="J57" s="317" t="s">
        <v>92</v>
      </c>
      <c r="K57" s="317" t="s">
        <v>93</v>
      </c>
      <c r="L57" s="317" t="s">
        <v>94</v>
      </c>
      <c r="M57" s="317"/>
      <c r="N57" s="463"/>
      <c r="O57" s="319" t="s">
        <v>99</v>
      </c>
      <c r="P57" s="721"/>
      <c r="Q57" s="189" t="s">
        <v>152</v>
      </c>
      <c r="R57" s="188">
        <v>8</v>
      </c>
      <c r="S57" s="192" t="s">
        <v>166</v>
      </c>
    </row>
    <row r="58" spans="1:19" ht="16.5" thickBot="1" x14ac:dyDescent="0.3">
      <c r="A58" s="299">
        <v>1016</v>
      </c>
      <c r="B58" s="317" t="s">
        <v>95</v>
      </c>
      <c r="C58" s="320">
        <v>1032.7</v>
      </c>
      <c r="D58" s="320">
        <v>910.1</v>
      </c>
      <c r="E58" s="320">
        <v>492.9</v>
      </c>
      <c r="F58" s="344">
        <f t="shared" ref="F58:F65" si="5">SUM(C58:E58)</f>
        <v>2435.7000000000003</v>
      </c>
      <c r="G58" s="461"/>
      <c r="H58" s="320" t="s">
        <v>95</v>
      </c>
      <c r="I58" s="299">
        <v>1066</v>
      </c>
      <c r="J58" s="320">
        <v>1246.5999999999999</v>
      </c>
      <c r="K58" s="320">
        <v>1316.9</v>
      </c>
      <c r="L58" s="320">
        <v>461.3</v>
      </c>
      <c r="M58" s="320"/>
      <c r="N58" s="476"/>
      <c r="O58" s="322">
        <f t="shared" ref="O58:O65" si="6">SUM(J58:L58)</f>
        <v>3024.8</v>
      </c>
      <c r="P58" s="721"/>
      <c r="Q58" s="189" t="s">
        <v>154</v>
      </c>
      <c r="R58" s="188">
        <v>7</v>
      </c>
      <c r="S58" s="195" t="s">
        <v>155</v>
      </c>
    </row>
    <row r="59" spans="1:19" ht="16.5" thickBot="1" x14ac:dyDescent="0.3">
      <c r="A59" s="299">
        <v>175</v>
      </c>
      <c r="B59" s="317" t="s">
        <v>96</v>
      </c>
      <c r="C59" s="320">
        <v>199.2</v>
      </c>
      <c r="D59" s="320">
        <v>87.4</v>
      </c>
      <c r="E59" s="320">
        <v>99.38</v>
      </c>
      <c r="F59" s="344">
        <f t="shared" si="5"/>
        <v>385.98</v>
      </c>
      <c r="G59" s="461"/>
      <c r="H59" s="320" t="s">
        <v>96</v>
      </c>
      <c r="I59" s="299">
        <v>175</v>
      </c>
      <c r="J59" s="320">
        <v>131.19999999999999</v>
      </c>
      <c r="K59" s="320">
        <v>100.1</v>
      </c>
      <c r="L59" s="320">
        <v>114.9</v>
      </c>
      <c r="M59" s="320"/>
      <c r="N59" s="476"/>
      <c r="O59" s="322">
        <f t="shared" si="6"/>
        <v>346.2</v>
      </c>
      <c r="P59" s="721"/>
      <c r="Q59" s="189" t="s">
        <v>156</v>
      </c>
      <c r="R59" s="188">
        <v>7</v>
      </c>
      <c r="S59" s="195" t="s">
        <v>167</v>
      </c>
    </row>
    <row r="60" spans="1:19" ht="16.5" thickBot="1" x14ac:dyDescent="0.3">
      <c r="A60" s="295" t="s">
        <v>100</v>
      </c>
      <c r="B60" s="317" t="s">
        <v>95</v>
      </c>
      <c r="C60" s="320">
        <f>C58/A58</f>
        <v>1.0164370078740157</v>
      </c>
      <c r="D60" s="320">
        <f>D58/A58</f>
        <v>0.89576771653543308</v>
      </c>
      <c r="E60" s="320">
        <f>E58/A58</f>
        <v>0.48513779527559053</v>
      </c>
      <c r="F60" s="345">
        <f t="shared" si="5"/>
        <v>2.3973425196850395</v>
      </c>
      <c r="G60" s="462"/>
      <c r="H60" s="320" t="s">
        <v>95</v>
      </c>
      <c r="I60" s="324" t="s">
        <v>100</v>
      </c>
      <c r="J60" s="320">
        <f>J58/I58</f>
        <v>1.169418386491557</v>
      </c>
      <c r="K60" s="320">
        <f>K58/I58</f>
        <v>1.2353658536585366</v>
      </c>
      <c r="L60" s="320">
        <f>L58/I58</f>
        <v>0.4327392120075047</v>
      </c>
      <c r="M60" s="320"/>
      <c r="N60" s="476"/>
      <c r="O60" s="323">
        <f t="shared" si="6"/>
        <v>2.8375234521575985</v>
      </c>
      <c r="P60" s="721"/>
      <c r="Q60" s="189" t="s">
        <v>158</v>
      </c>
      <c r="R60" s="188">
        <v>9</v>
      </c>
      <c r="S60" s="195" t="s">
        <v>170</v>
      </c>
    </row>
    <row r="61" spans="1:19" ht="16.5" thickBot="1" x14ac:dyDescent="0.3">
      <c r="A61" s="295" t="s">
        <v>100</v>
      </c>
      <c r="B61" s="317" t="s">
        <v>96</v>
      </c>
      <c r="C61" s="320">
        <f>C59/A59</f>
        <v>1.1382857142857141</v>
      </c>
      <c r="D61" s="320">
        <f>D59/A59</f>
        <v>0.49942857142857144</v>
      </c>
      <c r="E61" s="320">
        <f>E59/A59</f>
        <v>0.56788571428571422</v>
      </c>
      <c r="F61" s="345">
        <f t="shared" si="5"/>
        <v>2.2055999999999996</v>
      </c>
      <c r="G61" s="462"/>
      <c r="H61" s="320" t="s">
        <v>96</v>
      </c>
      <c r="I61" s="324" t="s">
        <v>100</v>
      </c>
      <c r="J61" s="320">
        <f>J59/I59</f>
        <v>0.74971428571428567</v>
      </c>
      <c r="K61" s="320">
        <f>K59/I59</f>
        <v>0.57199999999999995</v>
      </c>
      <c r="L61" s="320">
        <f>L59/I59</f>
        <v>0.65657142857142858</v>
      </c>
      <c r="M61" s="320"/>
      <c r="N61" s="476"/>
      <c r="O61" s="323">
        <f t="shared" si="6"/>
        <v>1.9782857142857142</v>
      </c>
      <c r="P61" s="721"/>
      <c r="Q61" s="207" t="s">
        <v>99</v>
      </c>
      <c r="R61" s="197">
        <f>SUM(R52:R60)/80</f>
        <v>0.78749999999999998</v>
      </c>
      <c r="S61" s="198">
        <f>R61</f>
        <v>0.78749999999999998</v>
      </c>
    </row>
    <row r="62" spans="1:19" x14ac:dyDescent="0.25">
      <c r="A62" s="295" t="s">
        <v>104</v>
      </c>
      <c r="B62" s="325" t="s">
        <v>95</v>
      </c>
      <c r="C62" s="320">
        <f t="shared" ref="C62:E63" si="7">C58/($A58/7.7)</f>
        <v>7.8265649606299208</v>
      </c>
      <c r="D62" s="320">
        <f t="shared" si="7"/>
        <v>6.8974114173228349</v>
      </c>
      <c r="E62" s="320">
        <f t="shared" si="7"/>
        <v>3.7355610236220467</v>
      </c>
      <c r="F62" s="345">
        <f t="shared" si="5"/>
        <v>18.459537401574803</v>
      </c>
      <c r="G62" s="462"/>
      <c r="H62" s="326" t="s">
        <v>95</v>
      </c>
      <c r="I62" s="324" t="s">
        <v>105</v>
      </c>
      <c r="J62" s="320">
        <f t="shared" ref="J62:L63" si="8">J58/($I58/7.7)</f>
        <v>9.0045215759849899</v>
      </c>
      <c r="K62" s="320">
        <f t="shared" si="8"/>
        <v>9.5123170731707329</v>
      </c>
      <c r="L62" s="320">
        <f t="shared" si="8"/>
        <v>3.3320919324577862</v>
      </c>
      <c r="M62" s="320"/>
      <c r="N62" s="476"/>
      <c r="O62" s="323">
        <f t="shared" si="6"/>
        <v>21.848930581613509</v>
      </c>
      <c r="P62" s="721"/>
      <c r="Q62" s="740"/>
      <c r="R62" s="740"/>
      <c r="S62" s="740"/>
    </row>
    <row r="63" spans="1:19" x14ac:dyDescent="0.25">
      <c r="A63" s="300" t="s">
        <v>104</v>
      </c>
      <c r="B63" s="325" t="s">
        <v>96</v>
      </c>
      <c r="C63" s="320">
        <f t="shared" si="7"/>
        <v>8.7647999999999993</v>
      </c>
      <c r="D63" s="320">
        <f t="shared" si="7"/>
        <v>3.8456000000000006</v>
      </c>
      <c r="E63" s="320">
        <f t="shared" si="7"/>
        <v>4.3727200000000002</v>
      </c>
      <c r="F63" s="345">
        <f t="shared" si="5"/>
        <v>16.98312</v>
      </c>
      <c r="G63" s="462"/>
      <c r="H63" s="326" t="s">
        <v>96</v>
      </c>
      <c r="I63" s="324" t="s">
        <v>105</v>
      </c>
      <c r="J63" s="320">
        <f t="shared" si="8"/>
        <v>5.7727999999999993</v>
      </c>
      <c r="K63" s="320">
        <f t="shared" si="8"/>
        <v>4.4043999999999999</v>
      </c>
      <c r="L63" s="320">
        <f t="shared" si="8"/>
        <v>5.0556000000000001</v>
      </c>
      <c r="M63" s="320"/>
      <c r="N63" s="476"/>
      <c r="O63" s="323">
        <f t="shared" si="6"/>
        <v>15.232799999999999</v>
      </c>
      <c r="P63" s="721"/>
      <c r="Q63" s="741"/>
      <c r="R63" s="741"/>
      <c r="S63" s="741"/>
    </row>
    <row r="64" spans="1:19" x14ac:dyDescent="0.25">
      <c r="A64" s="295" t="s">
        <v>135</v>
      </c>
      <c r="B64" s="325" t="s">
        <v>95</v>
      </c>
      <c r="C64" s="327">
        <f>C58/((($A58*$B55)*(1-$B52))/$B50)</f>
        <v>0.19638486130174665</v>
      </c>
      <c r="D64" s="327">
        <f>D58/((($A58*$B55)*(1-$B52))/$B50)</f>
        <v>0.17307045828480647</v>
      </c>
      <c r="E64" s="327">
        <f>E58/((($A58*$B55)*(1-$B52))/$B50)</f>
        <v>9.3733028116230188E-2</v>
      </c>
      <c r="F64" s="323">
        <f t="shared" si="5"/>
        <v>0.46318834770278328</v>
      </c>
      <c r="G64" s="458"/>
      <c r="H64" s="328" t="s">
        <v>95</v>
      </c>
      <c r="I64" s="329" t="s">
        <v>135</v>
      </c>
      <c r="J64" s="327">
        <f>J58/((($I58*$B55)*(1-$B52))/$B50)</f>
        <v>0.22594225304252397</v>
      </c>
      <c r="K64" s="327">
        <f>K58/((($I58*$B55)*(1-$B52))/$B50)</f>
        <v>0.23868390264054218</v>
      </c>
      <c r="L64" s="327">
        <f>L58/((($I58*$B55)*(1-$B52))/$B50)</f>
        <v>8.360914593976923E-2</v>
      </c>
      <c r="M64" s="327"/>
      <c r="N64" s="477"/>
      <c r="O64" s="323">
        <f t="shared" si="6"/>
        <v>0.5482353016228354</v>
      </c>
      <c r="P64" s="721"/>
      <c r="Q64" s="741"/>
      <c r="R64" s="741"/>
      <c r="S64" s="741"/>
    </row>
    <row r="65" spans="1:19" x14ac:dyDescent="0.25">
      <c r="A65" s="295" t="s">
        <v>135</v>
      </c>
      <c r="B65" s="325" t="s">
        <v>96</v>
      </c>
      <c r="C65" s="327">
        <f>C59/((($A59*$B55)*(1-$B52))/$B50)</f>
        <v>0.21992713802237607</v>
      </c>
      <c r="D65" s="327">
        <f>D59/((($A59*$B55)*(1-$B52))/$B50)</f>
        <v>9.6494135859215208E-2</v>
      </c>
      <c r="E65" s="327">
        <f>E59/((($A59*$B55)*(1-$B52))/$B50)</f>
        <v>0.10972067759369344</v>
      </c>
      <c r="F65" s="323">
        <f t="shared" si="5"/>
        <v>0.42614195147528466</v>
      </c>
      <c r="G65" s="458"/>
      <c r="H65" s="328" t="s">
        <v>96</v>
      </c>
      <c r="I65" s="329" t="s">
        <v>135</v>
      </c>
      <c r="J65" s="327">
        <f>J59/((($I59*$B55)*(1-$B52))/$B50)</f>
        <v>0.14485160897859306</v>
      </c>
      <c r="K65" s="327">
        <f>K59/((($I59*$B55)*(1-$B52))/$B50)</f>
        <v>0.11051559496003938</v>
      </c>
      <c r="L65" s="327">
        <f>L59/((($I59*$B55)*(1-$B52))/$B50)</f>
        <v>0.12685556304603923</v>
      </c>
      <c r="M65" s="327"/>
      <c r="N65" s="477"/>
      <c r="O65" s="323">
        <f t="shared" si="6"/>
        <v>0.38222276698467167</v>
      </c>
      <c r="P65" s="721"/>
      <c r="Q65" s="741"/>
      <c r="R65" s="741"/>
      <c r="S65" s="741"/>
    </row>
    <row r="66" spans="1:19" x14ac:dyDescent="0.25">
      <c r="A66" s="297"/>
      <c r="B66" s="330"/>
      <c r="C66" s="330"/>
      <c r="D66" s="330"/>
      <c r="E66" s="330"/>
      <c r="F66" s="330"/>
      <c r="G66" s="330"/>
      <c r="H66" s="330"/>
      <c r="I66" s="330"/>
      <c r="J66" s="330"/>
      <c r="K66" s="330"/>
      <c r="L66" s="330"/>
      <c r="M66" s="330"/>
      <c r="N66" s="330"/>
      <c r="O66" s="331"/>
      <c r="P66" s="11"/>
      <c r="Q66" s="199"/>
      <c r="R66" s="200"/>
      <c r="S66" s="199"/>
    </row>
    <row r="67" spans="1:19" ht="21" x14ac:dyDescent="0.25">
      <c r="A67" s="304"/>
      <c r="B67" s="718" t="s">
        <v>119</v>
      </c>
      <c r="C67" s="761"/>
      <c r="D67" s="761"/>
      <c r="E67" s="761"/>
      <c r="F67" s="761"/>
      <c r="G67" s="761"/>
      <c r="H67" s="761"/>
      <c r="I67" s="761"/>
      <c r="J67" s="761"/>
      <c r="K67" s="761"/>
      <c r="L67" s="761"/>
      <c r="M67" s="761"/>
      <c r="N67" s="761"/>
      <c r="O67" s="762"/>
      <c r="P67" s="721" t="s">
        <v>97</v>
      </c>
      <c r="Q67" s="722" t="s">
        <v>17</v>
      </c>
      <c r="R67" s="722"/>
      <c r="S67" s="722"/>
    </row>
    <row r="68" spans="1:19" x14ac:dyDescent="0.25">
      <c r="A68" s="304"/>
      <c r="B68" s="770" t="s">
        <v>115</v>
      </c>
      <c r="C68" s="771"/>
      <c r="D68" s="771"/>
      <c r="E68" s="771"/>
      <c r="F68" s="771"/>
      <c r="G68" s="772"/>
      <c r="H68" s="771"/>
      <c r="I68" s="771"/>
      <c r="J68" s="771"/>
      <c r="K68" s="771"/>
      <c r="L68" s="771"/>
      <c r="M68" s="771"/>
      <c r="N68" s="772"/>
      <c r="O68" s="771"/>
      <c r="P68" s="721"/>
      <c r="Q68" s="722"/>
      <c r="R68" s="722"/>
      <c r="S68" s="722"/>
    </row>
    <row r="69" spans="1:19" x14ac:dyDescent="0.25">
      <c r="A69" s="302" t="s">
        <v>106</v>
      </c>
      <c r="B69" s="730">
        <v>15.119</v>
      </c>
      <c r="C69" s="730"/>
      <c r="D69" s="730"/>
      <c r="E69" s="730"/>
      <c r="F69" s="317" t="s">
        <v>91</v>
      </c>
      <c r="G69" s="463"/>
      <c r="H69" s="727">
        <v>0.51</v>
      </c>
      <c r="I69" s="727"/>
      <c r="J69" s="727"/>
      <c r="K69" s="727"/>
      <c r="L69" s="727"/>
      <c r="M69" s="30"/>
      <c r="N69" s="450"/>
      <c r="O69" s="346">
        <v>15.629</v>
      </c>
      <c r="P69" s="721"/>
      <c r="Q69" s="722"/>
      <c r="R69" s="722"/>
      <c r="S69" s="722"/>
    </row>
    <row r="70" spans="1:19" x14ac:dyDescent="0.25">
      <c r="A70" s="303" t="s">
        <v>112</v>
      </c>
      <c r="B70" s="729">
        <v>0.26</v>
      </c>
      <c r="C70" s="729"/>
      <c r="D70" s="729"/>
      <c r="E70" s="729"/>
      <c r="F70" s="347"/>
      <c r="G70" s="464"/>
      <c r="H70" s="729">
        <v>0.12</v>
      </c>
      <c r="I70" s="727"/>
      <c r="J70" s="727"/>
      <c r="K70" s="727"/>
      <c r="L70" s="727"/>
      <c r="M70" s="30"/>
      <c r="N70" s="450"/>
      <c r="O70" s="348">
        <f>1-O71/O69</f>
        <v>0.25543156951820334</v>
      </c>
      <c r="P70" s="721"/>
      <c r="Q70" s="722"/>
      <c r="R70" s="722"/>
      <c r="S70" s="722"/>
    </row>
    <row r="71" spans="1:19" ht="15.75" thickBot="1" x14ac:dyDescent="0.3">
      <c r="A71" s="303" t="s">
        <v>107</v>
      </c>
      <c r="B71" s="730">
        <f>B69-(B69*B70)</f>
        <v>11.18806</v>
      </c>
      <c r="C71" s="730"/>
      <c r="D71" s="730"/>
      <c r="E71" s="730"/>
      <c r="F71" s="347"/>
      <c r="G71" s="464"/>
      <c r="H71" s="730">
        <f>H69-(H69*H70)</f>
        <v>0.44880000000000003</v>
      </c>
      <c r="I71" s="730"/>
      <c r="J71" s="730"/>
      <c r="K71" s="730"/>
      <c r="L71" s="730"/>
      <c r="M71" s="349"/>
      <c r="N71" s="480"/>
      <c r="O71" s="346">
        <f>B71+H71</f>
        <v>11.63686</v>
      </c>
      <c r="P71" s="721"/>
      <c r="Q71" s="723"/>
      <c r="R71" s="723"/>
      <c r="S71" s="723"/>
    </row>
    <row r="72" spans="1:19" ht="15.75" x14ac:dyDescent="0.25">
      <c r="A72" s="303" t="s">
        <v>108</v>
      </c>
      <c r="B72" s="751">
        <f>(B75/O71)</f>
        <v>0.90771909260745609</v>
      </c>
      <c r="C72" s="751"/>
      <c r="D72" s="751"/>
      <c r="E72" s="751"/>
      <c r="F72" s="751"/>
      <c r="G72" s="752"/>
      <c r="H72" s="751"/>
      <c r="I72" s="751"/>
      <c r="J72" s="751"/>
      <c r="K72" s="751"/>
      <c r="L72" s="751"/>
      <c r="M72" s="751"/>
      <c r="N72" s="752"/>
      <c r="O72" s="751"/>
      <c r="P72" s="721"/>
      <c r="Q72" s="742" t="s">
        <v>139</v>
      </c>
      <c r="R72" s="187" t="s">
        <v>140</v>
      </c>
      <c r="S72" s="744" t="s">
        <v>142</v>
      </c>
    </row>
    <row r="73" spans="1:19" ht="16.5" thickBot="1" x14ac:dyDescent="0.3">
      <c r="A73" s="303" t="s">
        <v>113</v>
      </c>
      <c r="B73" s="730">
        <f>B77*((A80+A81+I80+I81)/1000)</f>
        <v>35.21</v>
      </c>
      <c r="C73" s="730"/>
      <c r="D73" s="730"/>
      <c r="E73" s="730"/>
      <c r="F73" s="730"/>
      <c r="G73" s="731"/>
      <c r="H73" s="730"/>
      <c r="I73" s="730"/>
      <c r="J73" s="730"/>
      <c r="K73" s="730"/>
      <c r="L73" s="730"/>
      <c r="M73" s="730"/>
      <c r="N73" s="731"/>
      <c r="O73" s="730"/>
      <c r="P73" s="721"/>
      <c r="Q73" s="743"/>
      <c r="R73" s="188" t="s">
        <v>141</v>
      </c>
      <c r="S73" s="745"/>
    </row>
    <row r="74" spans="1:19" ht="32.25" thickBot="1" x14ac:dyDescent="0.3">
      <c r="A74" s="303" t="s">
        <v>109</v>
      </c>
      <c r="B74" s="729">
        <v>0.7</v>
      </c>
      <c r="C74" s="727"/>
      <c r="D74" s="727"/>
      <c r="E74" s="727"/>
      <c r="F74" s="727"/>
      <c r="G74" s="728"/>
      <c r="H74" s="727"/>
      <c r="I74" s="727"/>
      <c r="J74" s="727"/>
      <c r="K74" s="727"/>
      <c r="L74" s="727"/>
      <c r="M74" s="727"/>
      <c r="N74" s="728"/>
      <c r="O74" s="727"/>
      <c r="P74" s="721"/>
      <c r="Q74" s="189" t="s">
        <v>143</v>
      </c>
      <c r="R74" s="188">
        <v>9</v>
      </c>
      <c r="S74" s="195" t="s">
        <v>163</v>
      </c>
    </row>
    <row r="75" spans="1:19" ht="16.5" thickBot="1" x14ac:dyDescent="0.3">
      <c r="A75" s="303" t="s">
        <v>122</v>
      </c>
      <c r="B75" s="730">
        <f>B73-(B73*B74)</f>
        <v>10.563000000000002</v>
      </c>
      <c r="C75" s="730"/>
      <c r="D75" s="730"/>
      <c r="E75" s="730"/>
      <c r="F75" s="730"/>
      <c r="G75" s="731"/>
      <c r="H75" s="730"/>
      <c r="I75" s="730"/>
      <c r="J75" s="730"/>
      <c r="K75" s="730"/>
      <c r="L75" s="730"/>
      <c r="M75" s="730"/>
      <c r="N75" s="731"/>
      <c r="O75" s="730"/>
      <c r="P75" s="721"/>
      <c r="Q75" s="189" t="s">
        <v>145</v>
      </c>
      <c r="R75" s="188">
        <v>7</v>
      </c>
      <c r="S75" s="192" t="s">
        <v>164</v>
      </c>
    </row>
    <row r="76" spans="1:19" ht="16.5" thickBot="1" x14ac:dyDescent="0.3">
      <c r="A76" s="303" t="s">
        <v>114</v>
      </c>
      <c r="B76" s="727">
        <v>126</v>
      </c>
      <c r="C76" s="727"/>
      <c r="D76" s="727"/>
      <c r="E76" s="727"/>
      <c r="F76" s="727"/>
      <c r="G76" s="728"/>
      <c r="H76" s="727"/>
      <c r="I76" s="727"/>
      <c r="J76" s="727"/>
      <c r="K76" s="727"/>
      <c r="L76" s="727"/>
      <c r="M76" s="727"/>
      <c r="N76" s="728"/>
      <c r="O76" s="727"/>
      <c r="P76" s="721"/>
      <c r="Q76" s="189" t="s">
        <v>147</v>
      </c>
      <c r="R76" s="188">
        <v>8</v>
      </c>
      <c r="S76" s="192" t="s">
        <v>148</v>
      </c>
    </row>
    <row r="77" spans="1:19" ht="15.75" x14ac:dyDescent="0.25">
      <c r="A77" s="303" t="s">
        <v>111</v>
      </c>
      <c r="B77" s="727">
        <v>14</v>
      </c>
      <c r="C77" s="727"/>
      <c r="D77" s="727"/>
      <c r="E77" s="727"/>
      <c r="F77" s="727"/>
      <c r="G77" s="728"/>
      <c r="H77" s="727"/>
      <c r="I77" s="727"/>
      <c r="J77" s="727"/>
      <c r="K77" s="727"/>
      <c r="L77" s="727"/>
      <c r="M77" s="727"/>
      <c r="N77" s="728"/>
      <c r="O77" s="727"/>
      <c r="P77" s="721"/>
      <c r="Q77" s="194" t="s">
        <v>149</v>
      </c>
      <c r="R77" s="742">
        <v>9</v>
      </c>
      <c r="S77" s="746" t="s">
        <v>151</v>
      </c>
    </row>
    <row r="78" spans="1:19" ht="16.5" thickBot="1" x14ac:dyDescent="0.3">
      <c r="A78" s="587" t="s">
        <v>127</v>
      </c>
      <c r="B78" s="588"/>
      <c r="C78" s="588"/>
      <c r="D78" s="588"/>
      <c r="E78" s="688"/>
      <c r="F78" s="316"/>
      <c r="G78" s="314"/>
      <c r="H78" s="668" t="s">
        <v>128</v>
      </c>
      <c r="I78" s="669"/>
      <c r="J78" s="669"/>
      <c r="K78" s="669"/>
      <c r="L78" s="689"/>
      <c r="M78" s="350"/>
      <c r="N78" s="454"/>
      <c r="O78" s="316"/>
      <c r="P78" s="721"/>
      <c r="Q78" s="189" t="s">
        <v>150</v>
      </c>
      <c r="R78" s="743"/>
      <c r="S78" s="747"/>
    </row>
    <row r="79" spans="1:19" ht="16.5" thickBot="1" x14ac:dyDescent="0.3">
      <c r="A79" s="295" t="s">
        <v>98</v>
      </c>
      <c r="B79" s="317" t="s">
        <v>102</v>
      </c>
      <c r="C79" s="317" t="s">
        <v>92</v>
      </c>
      <c r="D79" s="317" t="s">
        <v>93</v>
      </c>
      <c r="E79" s="317" t="s">
        <v>94</v>
      </c>
      <c r="F79" s="319" t="s">
        <v>99</v>
      </c>
      <c r="G79" s="459"/>
      <c r="H79" s="317" t="s">
        <v>102</v>
      </c>
      <c r="I79" s="295" t="s">
        <v>98</v>
      </c>
      <c r="J79" s="317" t="s">
        <v>92</v>
      </c>
      <c r="K79" s="317" t="s">
        <v>93</v>
      </c>
      <c r="L79" s="317" t="s">
        <v>94</v>
      </c>
      <c r="M79" s="317"/>
      <c r="N79" s="463"/>
      <c r="O79" s="319" t="s">
        <v>99</v>
      </c>
      <c r="P79" s="721"/>
      <c r="Q79" s="189" t="s">
        <v>152</v>
      </c>
      <c r="R79" s="188">
        <v>7</v>
      </c>
      <c r="S79" s="192" t="s">
        <v>166</v>
      </c>
    </row>
    <row r="80" spans="1:19" ht="16.5" thickBot="1" x14ac:dyDescent="0.3">
      <c r="A80" s="299">
        <v>1088</v>
      </c>
      <c r="B80" s="317" t="s">
        <v>95</v>
      </c>
      <c r="C80" s="320">
        <v>1155.8</v>
      </c>
      <c r="D80" s="320">
        <v>1160.8</v>
      </c>
      <c r="E80" s="320">
        <v>766.3</v>
      </c>
      <c r="F80" s="322">
        <f t="shared" ref="F80:F87" si="9">SUM(C80:E80)</f>
        <v>3082.8999999999996</v>
      </c>
      <c r="G80" s="457"/>
      <c r="H80" s="320" t="s">
        <v>95</v>
      </c>
      <c r="I80" s="299">
        <v>1077</v>
      </c>
      <c r="J80" s="320">
        <v>1145.7</v>
      </c>
      <c r="K80" s="320">
        <v>850.7</v>
      </c>
      <c r="L80" s="320">
        <v>112.1</v>
      </c>
      <c r="M80" s="320"/>
      <c r="N80" s="476"/>
      <c r="O80" s="322">
        <f t="shared" ref="O80:O87" si="10">SUM(J80:L80)</f>
        <v>2108.5</v>
      </c>
      <c r="P80" s="721"/>
      <c r="Q80" s="189" t="s">
        <v>154</v>
      </c>
      <c r="R80" s="188">
        <v>9</v>
      </c>
      <c r="S80" s="195" t="s">
        <v>155</v>
      </c>
    </row>
    <row r="81" spans="1:19" ht="16.5" thickBot="1" x14ac:dyDescent="0.3">
      <c r="A81" s="299">
        <v>175</v>
      </c>
      <c r="B81" s="317" t="s">
        <v>96</v>
      </c>
      <c r="C81" s="320">
        <v>189.9</v>
      </c>
      <c r="D81" s="320">
        <v>122.5</v>
      </c>
      <c r="E81" s="335">
        <v>247</v>
      </c>
      <c r="F81" s="322">
        <f t="shared" si="9"/>
        <v>559.4</v>
      </c>
      <c r="G81" s="457"/>
      <c r="H81" s="320" t="s">
        <v>96</v>
      </c>
      <c r="I81" s="299">
        <v>175</v>
      </c>
      <c r="J81" s="320">
        <v>174.2</v>
      </c>
      <c r="K81" s="320">
        <v>142.1</v>
      </c>
      <c r="L81" s="320">
        <v>29.1</v>
      </c>
      <c r="M81" s="320"/>
      <c r="N81" s="476"/>
      <c r="O81" s="322">
        <f t="shared" si="10"/>
        <v>345.4</v>
      </c>
      <c r="P81" s="721"/>
      <c r="Q81" s="189" t="s">
        <v>156</v>
      </c>
      <c r="R81" s="188">
        <v>9</v>
      </c>
      <c r="S81" s="195" t="s">
        <v>167</v>
      </c>
    </row>
    <row r="82" spans="1:19" ht="16.5" thickBot="1" x14ac:dyDescent="0.3">
      <c r="A82" s="295" t="s">
        <v>100</v>
      </c>
      <c r="B82" s="317" t="s">
        <v>95</v>
      </c>
      <c r="C82" s="320">
        <f>C80/A80</f>
        <v>1.0623161764705882</v>
      </c>
      <c r="D82" s="320">
        <f>D80/A80</f>
        <v>1.0669117647058823</v>
      </c>
      <c r="E82" s="320">
        <f>E80/A80</f>
        <v>0.70431985294117638</v>
      </c>
      <c r="F82" s="323">
        <f t="shared" si="9"/>
        <v>2.8335477941176466</v>
      </c>
      <c r="G82" s="458"/>
      <c r="H82" s="320" t="s">
        <v>95</v>
      </c>
      <c r="I82" s="324" t="s">
        <v>100</v>
      </c>
      <c r="J82" s="320">
        <f>J80/I80</f>
        <v>1.0637883008356546</v>
      </c>
      <c r="K82" s="320">
        <f>K80/I80</f>
        <v>0.78987929433611892</v>
      </c>
      <c r="L82" s="320">
        <f>L80/I80</f>
        <v>0.10408542246982358</v>
      </c>
      <c r="M82" s="320"/>
      <c r="N82" s="476"/>
      <c r="O82" s="323">
        <f t="shared" si="10"/>
        <v>1.9577530176415969</v>
      </c>
      <c r="P82" s="721"/>
      <c r="Q82" s="189" t="s">
        <v>158</v>
      </c>
      <c r="R82" s="188">
        <v>4</v>
      </c>
      <c r="S82" s="195" t="s">
        <v>18</v>
      </c>
    </row>
    <row r="83" spans="1:19" ht="16.5" thickBot="1" x14ac:dyDescent="0.3">
      <c r="A83" s="295" t="s">
        <v>100</v>
      </c>
      <c r="B83" s="317" t="s">
        <v>96</v>
      </c>
      <c r="C83" s="320">
        <f>C81/A81</f>
        <v>1.0851428571428572</v>
      </c>
      <c r="D83" s="320">
        <f>D81/A81</f>
        <v>0.7</v>
      </c>
      <c r="E83" s="335">
        <f>E81/A81</f>
        <v>1.4114285714285715</v>
      </c>
      <c r="F83" s="323">
        <f t="shared" si="9"/>
        <v>3.1965714285714286</v>
      </c>
      <c r="G83" s="458"/>
      <c r="H83" s="320" t="s">
        <v>96</v>
      </c>
      <c r="I83" s="324" t="s">
        <v>100</v>
      </c>
      <c r="J83" s="320">
        <f>J81/I81</f>
        <v>0.99542857142857133</v>
      </c>
      <c r="K83" s="320">
        <f>K81/I81</f>
        <v>0.81199999999999994</v>
      </c>
      <c r="L83" s="320">
        <f>L81/I81</f>
        <v>0.16628571428571429</v>
      </c>
      <c r="M83" s="320"/>
      <c r="N83" s="476"/>
      <c r="O83" s="323">
        <f t="shared" si="10"/>
        <v>1.9737142857142858</v>
      </c>
      <c r="P83" s="721"/>
      <c r="Q83" s="196" t="s">
        <v>99</v>
      </c>
      <c r="R83" s="197">
        <f>SUM(R74:R82)/80</f>
        <v>0.77500000000000002</v>
      </c>
      <c r="S83" s="198">
        <f>R83</f>
        <v>0.77500000000000002</v>
      </c>
    </row>
    <row r="84" spans="1:19" x14ac:dyDescent="0.25">
      <c r="A84" s="295" t="s">
        <v>104</v>
      </c>
      <c r="B84" s="337" t="s">
        <v>95</v>
      </c>
      <c r="C84" s="336">
        <f t="shared" ref="C84:E85" si="11">C80/($A80/7.7)</f>
        <v>8.1798345588235293</v>
      </c>
      <c r="D84" s="336">
        <f t="shared" si="11"/>
        <v>8.2152205882352938</v>
      </c>
      <c r="E84" s="336">
        <f t="shared" si="11"/>
        <v>5.4232628676470584</v>
      </c>
      <c r="F84" s="323">
        <f t="shared" si="9"/>
        <v>21.818318014705881</v>
      </c>
      <c r="G84" s="460"/>
      <c r="H84" s="338" t="s">
        <v>95</v>
      </c>
      <c r="I84" s="324" t="s">
        <v>105</v>
      </c>
      <c r="J84" s="336">
        <f t="shared" ref="J84:L85" si="12">J80/($I80/7.7)</f>
        <v>8.1911699164345411</v>
      </c>
      <c r="K84" s="336">
        <f t="shared" si="12"/>
        <v>6.0820705663881158</v>
      </c>
      <c r="L84" s="336">
        <f t="shared" si="12"/>
        <v>0.80145775301764166</v>
      </c>
      <c r="M84" s="336"/>
      <c r="N84" s="336"/>
      <c r="O84" s="323">
        <f t="shared" si="10"/>
        <v>15.0746982358403</v>
      </c>
      <c r="P84" s="721"/>
      <c r="Q84" s="740"/>
      <c r="R84" s="740"/>
      <c r="S84" s="740"/>
    </row>
    <row r="85" spans="1:19" x14ac:dyDescent="0.25">
      <c r="A85" s="295" t="s">
        <v>104</v>
      </c>
      <c r="B85" s="325" t="s">
        <v>96</v>
      </c>
      <c r="C85" s="351">
        <f t="shared" si="11"/>
        <v>8.3556000000000008</v>
      </c>
      <c r="D85" s="351">
        <f t="shared" si="11"/>
        <v>5.3900000000000006</v>
      </c>
      <c r="E85" s="352">
        <f t="shared" si="11"/>
        <v>10.868</v>
      </c>
      <c r="F85" s="323">
        <f t="shared" si="9"/>
        <v>24.613600000000002</v>
      </c>
      <c r="G85" s="458"/>
      <c r="H85" s="326" t="s">
        <v>96</v>
      </c>
      <c r="I85" s="324" t="s">
        <v>105</v>
      </c>
      <c r="J85" s="351">
        <f t="shared" si="12"/>
        <v>7.6647999999999996</v>
      </c>
      <c r="K85" s="351">
        <f t="shared" si="12"/>
        <v>6.2523999999999997</v>
      </c>
      <c r="L85" s="351">
        <f t="shared" si="12"/>
        <v>1.2804000000000002</v>
      </c>
      <c r="M85" s="351"/>
      <c r="N85" s="351"/>
      <c r="O85" s="323">
        <f t="shared" si="10"/>
        <v>15.1976</v>
      </c>
      <c r="P85" s="721"/>
      <c r="Q85" s="741"/>
      <c r="R85" s="741"/>
      <c r="S85" s="741"/>
    </row>
    <row r="86" spans="1:19" x14ac:dyDescent="0.25">
      <c r="A86" s="295" t="s">
        <v>135</v>
      </c>
      <c r="B86" s="346" t="s">
        <v>95</v>
      </c>
      <c r="C86" s="353">
        <f>C80/((($A80*$B77)*(1-$B74))/$B72)</f>
        <v>0.22959158946859631</v>
      </c>
      <c r="D86" s="353">
        <f>D80/((($A80*$B77)*(1-$B74))/$B72)</f>
        <v>0.23058480451215313</v>
      </c>
      <c r="E86" s="353">
        <f>E80/((($A80*$B77)*(1-$B74))/$B72)</f>
        <v>0.15222013757551942</v>
      </c>
      <c r="F86" s="323">
        <f t="shared" si="9"/>
        <v>0.61239653155626883</v>
      </c>
      <c r="G86" s="458"/>
      <c r="H86" s="353" t="s">
        <v>95</v>
      </c>
      <c r="I86" s="354" t="s">
        <v>135</v>
      </c>
      <c r="J86" s="353">
        <f>J80/((($I80*$B77)*(1-$B74))/$B72)</f>
        <v>0.22990975027642091</v>
      </c>
      <c r="K86" s="353">
        <f>K80/((($I80*$B77)*(1-$B74))/$B72)</f>
        <v>0.17071155150576178</v>
      </c>
      <c r="L86" s="353">
        <f>L80/((($I80*$B77)*(1-$B74))/$B72)</f>
        <v>2.2495315532850467E-2</v>
      </c>
      <c r="M86" s="353"/>
      <c r="N86" s="481"/>
      <c r="O86" s="323">
        <f t="shared" si="10"/>
        <v>0.42311661731503314</v>
      </c>
      <c r="P86" s="721"/>
      <c r="Q86" s="741"/>
      <c r="R86" s="741"/>
      <c r="S86" s="741"/>
    </row>
    <row r="87" spans="1:19" x14ac:dyDescent="0.25">
      <c r="A87" s="295" t="s">
        <v>135</v>
      </c>
      <c r="B87" s="346" t="s">
        <v>96</v>
      </c>
      <c r="C87" s="353">
        <f>C81/((($A81*$B77)*(1-$B74))/$B72)</f>
        <v>0.2345249737226611</v>
      </c>
      <c r="D87" s="353">
        <f>D81/((($A81*$B77)*(1-$B74))/$B72)</f>
        <v>0.151286515434576</v>
      </c>
      <c r="E87" s="355">
        <f>E81/((($A81*$B77)*(1-$B74))/$B72)</f>
        <v>0.30504301479461449</v>
      </c>
      <c r="F87" s="323">
        <f t="shared" si="9"/>
        <v>0.69085450395185155</v>
      </c>
      <c r="G87" s="458"/>
      <c r="H87" s="353" t="s">
        <v>96</v>
      </c>
      <c r="I87" s="354" t="s">
        <v>135</v>
      </c>
      <c r="J87" s="353">
        <f>J81/((($I81*$B77)*(1-$B74))/$B72)</f>
        <v>0.21513559990778072</v>
      </c>
      <c r="K87" s="353">
        <f>K81/((($I81*$B77)*(1-$B74))/$B72)</f>
        <v>0.17549235790410814</v>
      </c>
      <c r="L87" s="353">
        <f>L81/((($I81*$B77)*(1-$B74))/$B72)</f>
        <v>3.5938266115478873E-2</v>
      </c>
      <c r="M87" s="353"/>
      <c r="N87" s="481"/>
      <c r="O87" s="323">
        <f t="shared" si="10"/>
        <v>0.42656622392736776</v>
      </c>
      <c r="P87" s="721"/>
      <c r="Q87" s="741"/>
      <c r="R87" s="741"/>
      <c r="S87" s="741"/>
    </row>
    <row r="88" spans="1:19" x14ac:dyDescent="0.25">
      <c r="A88" s="749"/>
      <c r="B88" s="749"/>
      <c r="C88" s="749"/>
      <c r="D88" s="749"/>
      <c r="E88" s="749"/>
      <c r="F88" s="749"/>
      <c r="G88" s="749"/>
      <c r="H88" s="749"/>
      <c r="I88" s="749"/>
      <c r="J88" s="749"/>
      <c r="K88" s="749"/>
      <c r="L88" s="749"/>
      <c r="M88" s="749"/>
      <c r="N88" s="749"/>
      <c r="O88" s="749"/>
      <c r="P88" s="749"/>
      <c r="Q88" s="749"/>
      <c r="R88" s="749"/>
      <c r="S88" s="749"/>
    </row>
    <row r="89" spans="1:19" ht="21" x14ac:dyDescent="0.25">
      <c r="A89" s="301"/>
      <c r="B89" s="718" t="s">
        <v>120</v>
      </c>
      <c r="C89" s="761"/>
      <c r="D89" s="761"/>
      <c r="E89" s="761"/>
      <c r="F89" s="761"/>
      <c r="G89" s="761"/>
      <c r="H89" s="761"/>
      <c r="I89" s="761"/>
      <c r="J89" s="761"/>
      <c r="K89" s="761"/>
      <c r="L89" s="761"/>
      <c r="M89" s="761"/>
      <c r="N89" s="761"/>
      <c r="O89" s="762"/>
      <c r="P89" s="721" t="s">
        <v>97</v>
      </c>
      <c r="Q89" s="722" t="s">
        <v>19</v>
      </c>
      <c r="R89" s="722"/>
      <c r="S89" s="722"/>
    </row>
    <row r="90" spans="1:19" x14ac:dyDescent="0.25">
      <c r="A90" s="304"/>
      <c r="B90" s="724" t="s">
        <v>115</v>
      </c>
      <c r="C90" s="725"/>
      <c r="D90" s="725"/>
      <c r="E90" s="725"/>
      <c r="F90" s="725"/>
      <c r="G90" s="725"/>
      <c r="H90" s="725"/>
      <c r="I90" s="725"/>
      <c r="J90" s="725"/>
      <c r="K90" s="725"/>
      <c r="L90" s="725"/>
      <c r="M90" s="725"/>
      <c r="N90" s="725"/>
      <c r="O90" s="726"/>
      <c r="P90" s="721"/>
      <c r="Q90" s="722"/>
      <c r="R90" s="722"/>
      <c r="S90" s="722"/>
    </row>
    <row r="91" spans="1:19" x14ac:dyDescent="0.25">
      <c r="A91" s="302" t="s">
        <v>106</v>
      </c>
      <c r="B91" s="727">
        <v>17.11</v>
      </c>
      <c r="C91" s="727"/>
      <c r="D91" s="727"/>
      <c r="E91" s="727"/>
      <c r="F91" s="727"/>
      <c r="G91" s="728"/>
      <c r="H91" s="727"/>
      <c r="I91" s="727"/>
      <c r="J91" s="727"/>
      <c r="K91" s="727"/>
      <c r="L91" s="727"/>
      <c r="M91" s="727"/>
      <c r="N91" s="728"/>
      <c r="O91" s="727"/>
      <c r="P91" s="721"/>
      <c r="Q91" s="722"/>
      <c r="R91" s="722"/>
      <c r="S91" s="722"/>
    </row>
    <row r="92" spans="1:19" x14ac:dyDescent="0.25">
      <c r="A92" s="303" t="s">
        <v>112</v>
      </c>
      <c r="B92" s="729">
        <v>0.26</v>
      </c>
      <c r="C92" s="727"/>
      <c r="D92" s="727"/>
      <c r="E92" s="727"/>
      <c r="F92" s="727"/>
      <c r="G92" s="728"/>
      <c r="H92" s="727"/>
      <c r="I92" s="727"/>
      <c r="J92" s="727"/>
      <c r="K92" s="727"/>
      <c r="L92" s="727"/>
      <c r="M92" s="727"/>
      <c r="N92" s="728"/>
      <c r="O92" s="727"/>
      <c r="P92" s="721"/>
      <c r="Q92" s="722"/>
      <c r="R92" s="722"/>
      <c r="S92" s="722"/>
    </row>
    <row r="93" spans="1:19" ht="15.75" thickBot="1" x14ac:dyDescent="0.3">
      <c r="A93" s="303" t="s">
        <v>107</v>
      </c>
      <c r="B93" s="730">
        <f>B91-(B91*B92)</f>
        <v>12.6614</v>
      </c>
      <c r="C93" s="730"/>
      <c r="D93" s="730"/>
      <c r="E93" s="730"/>
      <c r="F93" s="730"/>
      <c r="G93" s="731"/>
      <c r="H93" s="730"/>
      <c r="I93" s="730"/>
      <c r="J93" s="730"/>
      <c r="K93" s="730"/>
      <c r="L93" s="730"/>
      <c r="M93" s="730"/>
      <c r="N93" s="731"/>
      <c r="O93" s="730"/>
      <c r="P93" s="721"/>
      <c r="Q93" s="723"/>
      <c r="R93" s="723"/>
      <c r="S93" s="723"/>
    </row>
    <row r="94" spans="1:19" x14ac:dyDescent="0.25">
      <c r="A94" s="303" t="s">
        <v>108</v>
      </c>
      <c r="B94" s="757">
        <f>(B97/B93)</f>
        <v>0.71352299113842088</v>
      </c>
      <c r="C94" s="757"/>
      <c r="D94" s="757"/>
      <c r="E94" s="757"/>
      <c r="F94" s="757"/>
      <c r="G94" s="758"/>
      <c r="H94" s="757"/>
      <c r="I94" s="757"/>
      <c r="J94" s="757"/>
      <c r="K94" s="757"/>
      <c r="L94" s="757"/>
      <c r="M94" s="757"/>
      <c r="N94" s="758"/>
      <c r="O94" s="757"/>
      <c r="P94" s="721"/>
      <c r="Q94" s="736" t="s">
        <v>139</v>
      </c>
      <c r="R94" s="208" t="s">
        <v>140</v>
      </c>
      <c r="S94" s="734" t="s">
        <v>142</v>
      </c>
    </row>
    <row r="95" spans="1:19" ht="15.75" thickBot="1" x14ac:dyDescent="0.3">
      <c r="A95" s="303" t="s">
        <v>113</v>
      </c>
      <c r="B95" s="730">
        <f>B99*((A102+A103+I102+I103)/1000)</f>
        <v>30.113999999999997</v>
      </c>
      <c r="C95" s="730"/>
      <c r="D95" s="730"/>
      <c r="E95" s="730"/>
      <c r="F95" s="730"/>
      <c r="G95" s="731"/>
      <c r="H95" s="730"/>
      <c r="I95" s="730"/>
      <c r="J95" s="730"/>
      <c r="K95" s="730"/>
      <c r="L95" s="730"/>
      <c r="M95" s="730"/>
      <c r="N95" s="731"/>
      <c r="O95" s="730"/>
      <c r="P95" s="721"/>
      <c r="Q95" s="737"/>
      <c r="R95" s="209" t="s">
        <v>141</v>
      </c>
      <c r="S95" s="735"/>
    </row>
    <row r="96" spans="1:19" ht="29.25" thickBot="1" x14ac:dyDescent="0.3">
      <c r="A96" s="303" t="s">
        <v>109</v>
      </c>
      <c r="B96" s="729">
        <v>0.7</v>
      </c>
      <c r="C96" s="727"/>
      <c r="D96" s="727"/>
      <c r="E96" s="727"/>
      <c r="F96" s="727"/>
      <c r="G96" s="728"/>
      <c r="H96" s="727"/>
      <c r="I96" s="727"/>
      <c r="J96" s="727"/>
      <c r="K96" s="727"/>
      <c r="L96" s="727"/>
      <c r="M96" s="727"/>
      <c r="N96" s="728"/>
      <c r="O96" s="727"/>
      <c r="P96" s="721"/>
      <c r="Q96" s="210" t="s">
        <v>143</v>
      </c>
      <c r="R96" s="209">
        <v>9</v>
      </c>
      <c r="S96" s="211" t="s">
        <v>163</v>
      </c>
    </row>
    <row r="97" spans="1:19" ht="15.75" thickBot="1" x14ac:dyDescent="0.3">
      <c r="A97" s="303" t="s">
        <v>122</v>
      </c>
      <c r="B97" s="730">
        <f>B95-(B95*B96)</f>
        <v>9.034200000000002</v>
      </c>
      <c r="C97" s="730"/>
      <c r="D97" s="730"/>
      <c r="E97" s="730"/>
      <c r="F97" s="730"/>
      <c r="G97" s="731"/>
      <c r="H97" s="730"/>
      <c r="I97" s="730"/>
      <c r="J97" s="730"/>
      <c r="K97" s="730"/>
      <c r="L97" s="730"/>
      <c r="M97" s="730"/>
      <c r="N97" s="731"/>
      <c r="O97" s="730"/>
      <c r="P97" s="721"/>
      <c r="Q97" s="210" t="s">
        <v>145</v>
      </c>
      <c r="R97" s="209">
        <v>7</v>
      </c>
      <c r="S97" s="212" t="s">
        <v>164</v>
      </c>
    </row>
    <row r="98" spans="1:19" ht="15.75" thickBot="1" x14ac:dyDescent="0.3">
      <c r="A98" s="303" t="s">
        <v>110</v>
      </c>
      <c r="B98" s="727">
        <v>129</v>
      </c>
      <c r="C98" s="727"/>
      <c r="D98" s="727"/>
      <c r="E98" s="727"/>
      <c r="F98" s="727"/>
      <c r="G98" s="728"/>
      <c r="H98" s="727"/>
      <c r="I98" s="727"/>
      <c r="J98" s="727"/>
      <c r="K98" s="727"/>
      <c r="L98" s="727"/>
      <c r="M98" s="727"/>
      <c r="N98" s="728"/>
      <c r="O98" s="727"/>
      <c r="P98" s="721"/>
      <c r="Q98" s="210" t="s">
        <v>147</v>
      </c>
      <c r="R98" s="209">
        <v>8</v>
      </c>
      <c r="S98" s="212" t="s">
        <v>148</v>
      </c>
    </row>
    <row r="99" spans="1:19" x14ac:dyDescent="0.25">
      <c r="A99" s="303" t="s">
        <v>111</v>
      </c>
      <c r="B99" s="727">
        <v>14</v>
      </c>
      <c r="C99" s="727"/>
      <c r="D99" s="727"/>
      <c r="E99" s="727"/>
      <c r="F99" s="727"/>
      <c r="G99" s="728"/>
      <c r="H99" s="727"/>
      <c r="I99" s="727"/>
      <c r="J99" s="727"/>
      <c r="K99" s="727"/>
      <c r="L99" s="727"/>
      <c r="M99" s="727"/>
      <c r="N99" s="728"/>
      <c r="O99" s="727"/>
      <c r="P99" s="721"/>
      <c r="Q99" s="213" t="s">
        <v>149</v>
      </c>
      <c r="R99" s="736">
        <v>9</v>
      </c>
      <c r="S99" s="738" t="s">
        <v>151</v>
      </c>
    </row>
    <row r="100" spans="1:19" ht="15.75" thickBot="1" x14ac:dyDescent="0.3">
      <c r="A100" s="759" t="s">
        <v>127</v>
      </c>
      <c r="B100" s="665"/>
      <c r="C100" s="665"/>
      <c r="D100" s="665"/>
      <c r="E100" s="760"/>
      <c r="F100" s="356"/>
      <c r="G100" s="465"/>
      <c r="H100" s="727" t="s">
        <v>128</v>
      </c>
      <c r="I100" s="727"/>
      <c r="J100" s="727"/>
      <c r="K100" s="727"/>
      <c r="L100" s="727"/>
      <c r="M100" s="30"/>
      <c r="N100" s="450"/>
      <c r="O100" s="356"/>
      <c r="P100" s="721"/>
      <c r="Q100" s="210" t="s">
        <v>150</v>
      </c>
      <c r="R100" s="737"/>
      <c r="S100" s="739"/>
    </row>
    <row r="101" spans="1:19" ht="15.75" thickBot="1" x14ac:dyDescent="0.3">
      <c r="A101" s="295" t="s">
        <v>98</v>
      </c>
      <c r="B101" s="317" t="s">
        <v>102</v>
      </c>
      <c r="C101" s="317" t="s">
        <v>92</v>
      </c>
      <c r="D101" s="317" t="s">
        <v>93</v>
      </c>
      <c r="E101" s="317" t="s">
        <v>94</v>
      </c>
      <c r="F101" s="319" t="s">
        <v>99</v>
      </c>
      <c r="G101" s="459"/>
      <c r="H101" s="317" t="s">
        <v>102</v>
      </c>
      <c r="I101" s="295" t="s">
        <v>98</v>
      </c>
      <c r="J101" s="317" t="s">
        <v>92</v>
      </c>
      <c r="K101" s="317" t="s">
        <v>93</v>
      </c>
      <c r="L101" s="317" t="s">
        <v>94</v>
      </c>
      <c r="M101" s="317"/>
      <c r="N101" s="463"/>
      <c r="O101" s="319" t="s">
        <v>99</v>
      </c>
      <c r="P101" s="721"/>
      <c r="Q101" s="210" t="s">
        <v>152</v>
      </c>
      <c r="R101" s="209">
        <v>7</v>
      </c>
      <c r="S101" s="212" t="s">
        <v>166</v>
      </c>
    </row>
    <row r="102" spans="1:19" ht="15.75" thickBot="1" x14ac:dyDescent="0.3">
      <c r="A102" s="299">
        <v>944</v>
      </c>
      <c r="B102" s="317" t="s">
        <v>95</v>
      </c>
      <c r="C102" s="320">
        <v>1071.2</v>
      </c>
      <c r="D102" s="320">
        <v>612.29999999999995</v>
      </c>
      <c r="E102" s="320">
        <v>301.89999999999998</v>
      </c>
      <c r="F102" s="322">
        <f t="shared" ref="F102:F109" si="13">SUM(C102:E102)</f>
        <v>1985.4</v>
      </c>
      <c r="G102" s="457"/>
      <c r="H102" s="320" t="s">
        <v>95</v>
      </c>
      <c r="I102" s="299">
        <v>857</v>
      </c>
      <c r="J102" s="320">
        <v>1190.3</v>
      </c>
      <c r="K102" s="320">
        <v>1146</v>
      </c>
      <c r="L102" s="320">
        <v>432.9</v>
      </c>
      <c r="M102" s="320"/>
      <c r="N102" s="476"/>
      <c r="O102" s="322">
        <f t="shared" ref="O102:O109" si="14">SUM(J102:L102)</f>
        <v>2769.2000000000003</v>
      </c>
      <c r="P102" s="721"/>
      <c r="Q102" s="210" t="s">
        <v>154</v>
      </c>
      <c r="R102" s="209">
        <v>6</v>
      </c>
      <c r="S102" s="211" t="s">
        <v>20</v>
      </c>
    </row>
    <row r="103" spans="1:19" ht="15.75" thickBot="1" x14ac:dyDescent="0.3">
      <c r="A103" s="299">
        <v>173</v>
      </c>
      <c r="B103" s="317" t="s">
        <v>96</v>
      </c>
      <c r="C103" s="320">
        <v>222</v>
      </c>
      <c r="D103" s="320">
        <v>113.2</v>
      </c>
      <c r="E103" s="320">
        <v>54.3</v>
      </c>
      <c r="F103" s="322">
        <f t="shared" si="13"/>
        <v>389.5</v>
      </c>
      <c r="G103" s="457"/>
      <c r="H103" s="320" t="s">
        <v>96</v>
      </c>
      <c r="I103" s="299">
        <v>177</v>
      </c>
      <c r="J103" s="320">
        <v>207</v>
      </c>
      <c r="K103" s="320">
        <v>159.5</v>
      </c>
      <c r="L103" s="320">
        <v>137.30000000000001</v>
      </c>
      <c r="M103" s="320"/>
      <c r="N103" s="476"/>
      <c r="O103" s="322">
        <f t="shared" si="14"/>
        <v>503.8</v>
      </c>
      <c r="P103" s="721"/>
      <c r="Q103" s="210" t="s">
        <v>156</v>
      </c>
      <c r="R103" s="209">
        <v>7</v>
      </c>
      <c r="S103" s="211" t="s">
        <v>21</v>
      </c>
    </row>
    <row r="104" spans="1:19" ht="15.75" thickBot="1" x14ac:dyDescent="0.3">
      <c r="A104" s="295" t="s">
        <v>100</v>
      </c>
      <c r="B104" s="317" t="s">
        <v>95</v>
      </c>
      <c r="C104" s="320">
        <f>C102/A102</f>
        <v>1.1347457627118644</v>
      </c>
      <c r="D104" s="320">
        <f>D102/A102</f>
        <v>0.64862288135593216</v>
      </c>
      <c r="E104" s="320">
        <f>E102/A102</f>
        <v>0.31980932203389828</v>
      </c>
      <c r="F104" s="323">
        <f t="shared" si="13"/>
        <v>2.1031779661016952</v>
      </c>
      <c r="G104" s="458"/>
      <c r="H104" s="320" t="s">
        <v>95</v>
      </c>
      <c r="I104" s="324" t="s">
        <v>100</v>
      </c>
      <c r="J104" s="320">
        <f>J102/I102</f>
        <v>1.3889148191365226</v>
      </c>
      <c r="K104" s="320">
        <f>K102/I102</f>
        <v>1.337222870478413</v>
      </c>
      <c r="L104" s="320">
        <f>L102/I102</f>
        <v>0.5051341890315052</v>
      </c>
      <c r="M104" s="320"/>
      <c r="N104" s="476"/>
      <c r="O104" s="323">
        <f t="shared" si="14"/>
        <v>3.2312718786464405</v>
      </c>
      <c r="P104" s="721"/>
      <c r="Q104" s="210" t="s">
        <v>158</v>
      </c>
      <c r="R104" s="209">
        <v>4</v>
      </c>
      <c r="S104" s="211" t="s">
        <v>22</v>
      </c>
    </row>
    <row r="105" spans="1:19" ht="16.5" thickBot="1" x14ac:dyDescent="0.3">
      <c r="A105" s="295" t="s">
        <v>100</v>
      </c>
      <c r="B105" s="317" t="s">
        <v>96</v>
      </c>
      <c r="C105" s="320">
        <f>C103/A103</f>
        <v>1.2832369942196531</v>
      </c>
      <c r="D105" s="320">
        <f>D103/A103</f>
        <v>0.65433526011560694</v>
      </c>
      <c r="E105" s="320">
        <f>E103/A103</f>
        <v>0.31387283236994218</v>
      </c>
      <c r="F105" s="323">
        <f t="shared" si="13"/>
        <v>2.251445086705202</v>
      </c>
      <c r="G105" s="458"/>
      <c r="H105" s="320" t="s">
        <v>96</v>
      </c>
      <c r="I105" s="324" t="s">
        <v>100</v>
      </c>
      <c r="J105" s="320">
        <f>J103/I103</f>
        <v>1.1694915254237288</v>
      </c>
      <c r="K105" s="320">
        <f>K103/I103</f>
        <v>0.90112994350282483</v>
      </c>
      <c r="L105" s="320">
        <f>L103/I103</f>
        <v>0.77570621468926559</v>
      </c>
      <c r="M105" s="320"/>
      <c r="N105" s="476"/>
      <c r="O105" s="323">
        <f t="shared" si="14"/>
        <v>2.8463276836158191</v>
      </c>
      <c r="P105" s="721"/>
      <c r="Q105" s="214" t="s">
        <v>99</v>
      </c>
      <c r="R105" s="197">
        <f>SUM(R96:R104)/80</f>
        <v>0.71250000000000002</v>
      </c>
      <c r="S105" s="198">
        <f>R105</f>
        <v>0.71250000000000002</v>
      </c>
    </row>
    <row r="106" spans="1:19" x14ac:dyDescent="0.25">
      <c r="A106" s="295" t="s">
        <v>104</v>
      </c>
      <c r="B106" s="325" t="s">
        <v>95</v>
      </c>
      <c r="C106" s="320">
        <f t="shared" ref="C106:E107" si="15">C102/($A102/7.7)</f>
        <v>8.7375423728813573</v>
      </c>
      <c r="D106" s="320">
        <f t="shared" si="15"/>
        <v>4.9943961864406781</v>
      </c>
      <c r="E106" s="320">
        <f t="shared" si="15"/>
        <v>2.4625317796610169</v>
      </c>
      <c r="F106" s="323">
        <f t="shared" si="13"/>
        <v>16.194470338983052</v>
      </c>
      <c r="G106" s="458"/>
      <c r="H106" s="326" t="s">
        <v>95</v>
      </c>
      <c r="I106" s="324" t="s">
        <v>105</v>
      </c>
      <c r="J106" s="320">
        <f t="shared" ref="J106:L107" si="16">J102/($I102/7.7)</f>
        <v>10.694644107351225</v>
      </c>
      <c r="K106" s="320">
        <f t="shared" si="16"/>
        <v>10.29661610268378</v>
      </c>
      <c r="L106" s="320">
        <f t="shared" si="16"/>
        <v>3.8895332555425899</v>
      </c>
      <c r="M106" s="320"/>
      <c r="N106" s="476"/>
      <c r="O106" s="323">
        <f t="shared" si="14"/>
        <v>24.880793465577597</v>
      </c>
      <c r="P106" s="721"/>
      <c r="Q106" s="740"/>
      <c r="R106" s="740"/>
      <c r="S106" s="740"/>
    </row>
    <row r="107" spans="1:19" x14ac:dyDescent="0.25">
      <c r="A107" s="300" t="s">
        <v>104</v>
      </c>
      <c r="B107" s="325" t="s">
        <v>96</v>
      </c>
      <c r="C107" s="320">
        <f t="shared" si="15"/>
        <v>9.8809248554913296</v>
      </c>
      <c r="D107" s="320">
        <f t="shared" si="15"/>
        <v>5.0383815028901733</v>
      </c>
      <c r="E107" s="320">
        <f t="shared" si="15"/>
        <v>2.4168208092485548</v>
      </c>
      <c r="F107" s="323">
        <f t="shared" si="13"/>
        <v>17.336127167630057</v>
      </c>
      <c r="G107" s="458"/>
      <c r="H107" s="326" t="s">
        <v>96</v>
      </c>
      <c r="I107" s="324" t="s">
        <v>105</v>
      </c>
      <c r="J107" s="320">
        <f t="shared" si="16"/>
        <v>9.0050847457627121</v>
      </c>
      <c r="K107" s="320">
        <f t="shared" si="16"/>
        <v>6.9387005649717519</v>
      </c>
      <c r="L107" s="320">
        <f t="shared" si="16"/>
        <v>5.9729378531073456</v>
      </c>
      <c r="M107" s="320"/>
      <c r="N107" s="476"/>
      <c r="O107" s="323">
        <f t="shared" si="14"/>
        <v>21.916723163841809</v>
      </c>
      <c r="P107" s="721"/>
      <c r="Q107" s="741"/>
      <c r="R107" s="741"/>
      <c r="S107" s="741"/>
    </row>
    <row r="108" spans="1:19" x14ac:dyDescent="0.25">
      <c r="A108" s="295" t="s">
        <v>135</v>
      </c>
      <c r="B108" s="325" t="s">
        <v>95</v>
      </c>
      <c r="C108" s="327">
        <f>C102/((($A102*$B99)*(1-$B96))/$B94)</f>
        <v>0.19277790256948052</v>
      </c>
      <c r="D108" s="327">
        <f>D102/((($A102*$B99)*(1-$B96))/$B94)</f>
        <v>0.11019222343473946</v>
      </c>
      <c r="E108" s="327">
        <f>E102/((($A102*$B99)*(1-$B96))/$B94)</f>
        <v>5.4331262869423226E-2</v>
      </c>
      <c r="F108" s="323">
        <f t="shared" si="13"/>
        <v>0.35730138887364321</v>
      </c>
      <c r="G108" s="458"/>
      <c r="H108" s="328" t="s">
        <v>95</v>
      </c>
      <c r="I108" s="329" t="s">
        <v>135</v>
      </c>
      <c r="J108" s="327">
        <f>J102/((($I102*$B99)*(1-$B96))/$B94)</f>
        <v>0.23595777528256434</v>
      </c>
      <c r="K108" s="327">
        <f>K102/((($I102*$B99)*(1-$B96))/$B94)</f>
        <v>0.22717601484820529</v>
      </c>
      <c r="L108" s="327">
        <f>L102/((($I102*$B99)*(1-$B96))/$B94)</f>
        <v>8.5815442258104765E-2</v>
      </c>
      <c r="M108" s="327"/>
      <c r="N108" s="477"/>
      <c r="O108" s="323">
        <f t="shared" si="14"/>
        <v>0.54894923238887439</v>
      </c>
      <c r="P108" s="721"/>
      <c r="Q108" s="741"/>
      <c r="R108" s="741"/>
      <c r="S108" s="741"/>
    </row>
    <row r="109" spans="1:19" x14ac:dyDescent="0.25">
      <c r="A109" s="295" t="s">
        <v>135</v>
      </c>
      <c r="B109" s="325" t="s">
        <v>96</v>
      </c>
      <c r="C109" s="327">
        <f>C103/((($A103*$B99)*(1-$B96))/$B94)</f>
        <v>0.2180045472512103</v>
      </c>
      <c r="D109" s="327">
        <f>D103/((($A103*$B99)*(1-$B96))/$B94)</f>
        <v>0.11116267904881534</v>
      </c>
      <c r="E109" s="327">
        <f>E103/((($A103*$B99)*(1-$B96))/$B94)</f>
        <v>5.3322733854687922E-2</v>
      </c>
      <c r="F109" s="323">
        <f t="shared" si="13"/>
        <v>0.38248996015471359</v>
      </c>
      <c r="G109" s="458"/>
      <c r="H109" s="328" t="s">
        <v>96</v>
      </c>
      <c r="I109" s="329" t="s">
        <v>135</v>
      </c>
      <c r="J109" s="327">
        <f>J103/((($I103*$B99)*(1-$B96))/$B94)</f>
        <v>0.19868073603127939</v>
      </c>
      <c r="K109" s="327">
        <f>K103/((($I103*$B99)*(1-$B96))/$B94)</f>
        <v>0.15308974587917423</v>
      </c>
      <c r="L109" s="327">
        <f>L103/((($I103*$B99)*(1-$B96))/$B94)</f>
        <v>0.13178195679755877</v>
      </c>
      <c r="M109" s="327"/>
      <c r="N109" s="477"/>
      <c r="O109" s="323">
        <f t="shared" si="14"/>
        <v>0.4835524387080124</v>
      </c>
      <c r="P109" s="721"/>
      <c r="Q109" s="741"/>
      <c r="R109" s="741"/>
      <c r="S109" s="741"/>
    </row>
    <row r="110" spans="1:19" x14ac:dyDescent="0.25">
      <c r="A110" s="750"/>
      <c r="B110" s="749"/>
      <c r="C110" s="749"/>
      <c r="D110" s="749"/>
      <c r="E110" s="749"/>
      <c r="F110" s="749"/>
      <c r="G110" s="749"/>
      <c r="H110" s="749"/>
      <c r="I110" s="749"/>
      <c r="J110" s="749"/>
      <c r="K110" s="749"/>
      <c r="L110" s="749"/>
      <c r="M110" s="749"/>
      <c r="N110" s="749"/>
      <c r="O110" s="749"/>
      <c r="P110" s="749"/>
      <c r="Q110" s="749"/>
      <c r="R110" s="749"/>
      <c r="S110" s="749"/>
    </row>
    <row r="111" spans="1:19" ht="21" x14ac:dyDescent="0.25">
      <c r="A111" s="304"/>
      <c r="B111" s="718" t="s">
        <v>121</v>
      </c>
      <c r="C111" s="719"/>
      <c r="D111" s="719"/>
      <c r="E111" s="719"/>
      <c r="F111" s="719"/>
      <c r="G111" s="719"/>
      <c r="H111" s="719"/>
      <c r="I111" s="719"/>
      <c r="J111" s="719"/>
      <c r="K111" s="719"/>
      <c r="L111" s="719"/>
      <c r="M111" s="719"/>
      <c r="N111" s="719"/>
      <c r="O111" s="720"/>
      <c r="P111" s="721" t="s">
        <v>97</v>
      </c>
      <c r="Q111" s="722" t="s">
        <v>23</v>
      </c>
      <c r="R111" s="722"/>
      <c r="S111" s="722"/>
    </row>
    <row r="112" spans="1:19" x14ac:dyDescent="0.25">
      <c r="A112" s="304"/>
      <c r="B112" s="724" t="s">
        <v>115</v>
      </c>
      <c r="C112" s="725"/>
      <c r="D112" s="725"/>
      <c r="E112" s="725"/>
      <c r="F112" s="725"/>
      <c r="G112" s="725"/>
      <c r="H112" s="725"/>
      <c r="I112" s="725"/>
      <c r="J112" s="725"/>
      <c r="K112" s="725"/>
      <c r="L112" s="725"/>
      <c r="M112" s="725"/>
      <c r="N112" s="725"/>
      <c r="O112" s="726"/>
      <c r="P112" s="721"/>
      <c r="Q112" s="722"/>
      <c r="R112" s="722"/>
      <c r="S112" s="722"/>
    </row>
    <row r="113" spans="1:19" x14ac:dyDescent="0.25">
      <c r="A113" s="302" t="s">
        <v>106</v>
      </c>
      <c r="B113" s="727">
        <v>15.15</v>
      </c>
      <c r="C113" s="727"/>
      <c r="D113" s="727"/>
      <c r="E113" s="727"/>
      <c r="F113" s="727"/>
      <c r="G113" s="728"/>
      <c r="H113" s="727"/>
      <c r="I113" s="727"/>
      <c r="J113" s="727"/>
      <c r="K113" s="727"/>
      <c r="L113" s="727"/>
      <c r="M113" s="727"/>
      <c r="N113" s="728"/>
      <c r="O113" s="727"/>
      <c r="P113" s="721"/>
      <c r="Q113" s="722"/>
      <c r="R113" s="722"/>
      <c r="S113" s="722"/>
    </row>
    <row r="114" spans="1:19" x14ac:dyDescent="0.25">
      <c r="A114" s="303" t="s">
        <v>112</v>
      </c>
      <c r="B114" s="729">
        <v>0.16</v>
      </c>
      <c r="C114" s="727"/>
      <c r="D114" s="727"/>
      <c r="E114" s="727"/>
      <c r="F114" s="727"/>
      <c r="G114" s="728"/>
      <c r="H114" s="727"/>
      <c r="I114" s="727"/>
      <c r="J114" s="727"/>
      <c r="K114" s="727"/>
      <c r="L114" s="727"/>
      <c r="M114" s="727"/>
      <c r="N114" s="728"/>
      <c r="O114" s="727"/>
      <c r="P114" s="721"/>
      <c r="Q114" s="722"/>
      <c r="R114" s="722"/>
      <c r="S114" s="722"/>
    </row>
    <row r="115" spans="1:19" ht="15.75" thickBot="1" x14ac:dyDescent="0.3">
      <c r="A115" s="303" t="s">
        <v>107</v>
      </c>
      <c r="B115" s="730">
        <f>B113-(B114*B113)</f>
        <v>12.726000000000001</v>
      </c>
      <c r="C115" s="730"/>
      <c r="D115" s="730"/>
      <c r="E115" s="730"/>
      <c r="F115" s="730"/>
      <c r="G115" s="731"/>
      <c r="H115" s="730"/>
      <c r="I115" s="730"/>
      <c r="J115" s="730"/>
      <c r="K115" s="730"/>
      <c r="L115" s="730"/>
      <c r="M115" s="730"/>
      <c r="N115" s="731"/>
      <c r="O115" s="730"/>
      <c r="P115" s="721"/>
      <c r="Q115" s="723"/>
      <c r="R115" s="723"/>
      <c r="S115" s="723"/>
    </row>
    <row r="116" spans="1:19" x14ac:dyDescent="0.25">
      <c r="A116" s="303" t="s">
        <v>108</v>
      </c>
      <c r="B116" s="751">
        <f>(B119/B115)</f>
        <v>0.75676567656765681</v>
      </c>
      <c r="C116" s="751"/>
      <c r="D116" s="751"/>
      <c r="E116" s="751"/>
      <c r="F116" s="751"/>
      <c r="G116" s="752"/>
      <c r="H116" s="751"/>
      <c r="I116" s="751"/>
      <c r="J116" s="751"/>
      <c r="K116" s="751"/>
      <c r="L116" s="751"/>
      <c r="M116" s="751"/>
      <c r="N116" s="752"/>
      <c r="O116" s="751"/>
      <c r="P116" s="721"/>
      <c r="Q116" s="736" t="s">
        <v>139</v>
      </c>
      <c r="R116" s="208" t="s">
        <v>140</v>
      </c>
      <c r="S116" s="734" t="s">
        <v>142</v>
      </c>
    </row>
    <row r="117" spans="1:19" ht="15.75" thickBot="1" x14ac:dyDescent="0.3">
      <c r="A117" s="303" t="s">
        <v>113</v>
      </c>
      <c r="B117" s="730">
        <f>B121*((A124+A125+I124+I125)/1000)</f>
        <v>32.102000000000004</v>
      </c>
      <c r="C117" s="730"/>
      <c r="D117" s="730"/>
      <c r="E117" s="730"/>
      <c r="F117" s="730"/>
      <c r="G117" s="731"/>
      <c r="H117" s="730"/>
      <c r="I117" s="730"/>
      <c r="J117" s="730"/>
      <c r="K117" s="730"/>
      <c r="L117" s="730"/>
      <c r="M117" s="730"/>
      <c r="N117" s="731"/>
      <c r="O117" s="730"/>
      <c r="P117" s="721"/>
      <c r="Q117" s="737"/>
      <c r="R117" s="209" t="s">
        <v>141</v>
      </c>
      <c r="S117" s="735"/>
    </row>
    <row r="118" spans="1:19" ht="29.25" thickBot="1" x14ac:dyDescent="0.3">
      <c r="A118" s="303" t="s">
        <v>109</v>
      </c>
      <c r="B118" s="729">
        <v>0.7</v>
      </c>
      <c r="C118" s="727"/>
      <c r="D118" s="727"/>
      <c r="E118" s="727"/>
      <c r="F118" s="727"/>
      <c r="G118" s="728"/>
      <c r="H118" s="727"/>
      <c r="I118" s="727"/>
      <c r="J118" s="727"/>
      <c r="K118" s="727"/>
      <c r="L118" s="727"/>
      <c r="M118" s="727"/>
      <c r="N118" s="728"/>
      <c r="O118" s="727"/>
      <c r="P118" s="721"/>
      <c r="Q118" s="210" t="s">
        <v>143</v>
      </c>
      <c r="R118" s="209">
        <v>9</v>
      </c>
      <c r="S118" s="211" t="s">
        <v>163</v>
      </c>
    </row>
    <row r="119" spans="1:19" ht="15.75" thickBot="1" x14ac:dyDescent="0.3">
      <c r="A119" s="303" t="s">
        <v>122</v>
      </c>
      <c r="B119" s="730">
        <f>B117-(B117*B118)</f>
        <v>9.6306000000000012</v>
      </c>
      <c r="C119" s="730"/>
      <c r="D119" s="730"/>
      <c r="E119" s="730"/>
      <c r="F119" s="730"/>
      <c r="G119" s="731"/>
      <c r="H119" s="730"/>
      <c r="I119" s="730"/>
      <c r="J119" s="730"/>
      <c r="K119" s="730"/>
      <c r="L119" s="730"/>
      <c r="M119" s="730"/>
      <c r="N119" s="731"/>
      <c r="O119" s="730"/>
      <c r="P119" s="721"/>
      <c r="Q119" s="210" t="s">
        <v>145</v>
      </c>
      <c r="R119" s="209">
        <v>8</v>
      </c>
      <c r="S119" s="212" t="s">
        <v>164</v>
      </c>
    </row>
    <row r="120" spans="1:19" ht="15.75" thickBot="1" x14ac:dyDescent="0.3">
      <c r="A120" s="303" t="s">
        <v>110</v>
      </c>
      <c r="B120" s="727">
        <v>121</v>
      </c>
      <c r="C120" s="727"/>
      <c r="D120" s="727"/>
      <c r="E120" s="727"/>
      <c r="F120" s="727"/>
      <c r="G120" s="728"/>
      <c r="H120" s="727"/>
      <c r="I120" s="727"/>
      <c r="J120" s="727"/>
      <c r="K120" s="727"/>
      <c r="L120" s="727"/>
      <c r="M120" s="727"/>
      <c r="N120" s="728"/>
      <c r="O120" s="727"/>
      <c r="P120" s="721"/>
      <c r="Q120" s="210" t="s">
        <v>147</v>
      </c>
      <c r="R120" s="209">
        <v>8</v>
      </c>
      <c r="S120" s="212" t="s">
        <v>148</v>
      </c>
    </row>
    <row r="121" spans="1:19" x14ac:dyDescent="0.25">
      <c r="A121" s="303" t="s">
        <v>111</v>
      </c>
      <c r="B121" s="727">
        <v>14</v>
      </c>
      <c r="C121" s="727"/>
      <c r="D121" s="727"/>
      <c r="E121" s="727"/>
      <c r="F121" s="727"/>
      <c r="G121" s="728"/>
      <c r="H121" s="727"/>
      <c r="I121" s="727"/>
      <c r="J121" s="727"/>
      <c r="K121" s="727"/>
      <c r="L121" s="727"/>
      <c r="M121" s="727"/>
      <c r="N121" s="728"/>
      <c r="O121" s="727"/>
      <c r="P121" s="721"/>
      <c r="Q121" s="213" t="s">
        <v>149</v>
      </c>
      <c r="R121" s="736">
        <v>9</v>
      </c>
      <c r="S121" s="738" t="s">
        <v>151</v>
      </c>
    </row>
    <row r="122" spans="1:19" ht="15.75" thickBot="1" x14ac:dyDescent="0.3">
      <c r="A122" s="587" t="s">
        <v>127</v>
      </c>
      <c r="B122" s="588"/>
      <c r="C122" s="588"/>
      <c r="D122" s="588"/>
      <c r="E122" s="688"/>
      <c r="F122" s="316"/>
      <c r="G122" s="314"/>
      <c r="H122" s="668" t="s">
        <v>128</v>
      </c>
      <c r="I122" s="669"/>
      <c r="J122" s="669"/>
      <c r="K122" s="669"/>
      <c r="L122" s="689"/>
      <c r="M122" s="350"/>
      <c r="N122" s="454"/>
      <c r="O122" s="316"/>
      <c r="P122" s="721"/>
      <c r="Q122" s="210" t="s">
        <v>150</v>
      </c>
      <c r="R122" s="737"/>
      <c r="S122" s="739"/>
    </row>
    <row r="123" spans="1:19" ht="15.75" thickBot="1" x14ac:dyDescent="0.3">
      <c r="A123" s="295" t="s">
        <v>98</v>
      </c>
      <c r="B123" s="317" t="s">
        <v>102</v>
      </c>
      <c r="C123" s="317" t="s">
        <v>92</v>
      </c>
      <c r="D123" s="357" t="s">
        <v>93</v>
      </c>
      <c r="E123" s="317" t="s">
        <v>94</v>
      </c>
      <c r="F123" s="319" t="s">
        <v>99</v>
      </c>
      <c r="G123" s="459"/>
      <c r="H123" s="317" t="s">
        <v>102</v>
      </c>
      <c r="I123" s="295" t="s">
        <v>98</v>
      </c>
      <c r="J123" s="317" t="s">
        <v>92</v>
      </c>
      <c r="K123" s="317" t="s">
        <v>93</v>
      </c>
      <c r="L123" s="317" t="s">
        <v>94</v>
      </c>
      <c r="M123" s="317"/>
      <c r="N123" s="463"/>
      <c r="O123" s="319" t="s">
        <v>99</v>
      </c>
      <c r="P123" s="721"/>
      <c r="Q123" s="210" t="s">
        <v>152</v>
      </c>
      <c r="R123" s="209">
        <v>8</v>
      </c>
      <c r="S123" s="212" t="s">
        <v>166</v>
      </c>
    </row>
    <row r="124" spans="1:19" ht="15.75" thickBot="1" x14ac:dyDescent="0.3">
      <c r="A124" s="299">
        <v>956</v>
      </c>
      <c r="B124" s="317" t="s">
        <v>95</v>
      </c>
      <c r="C124" s="320">
        <v>524</v>
      </c>
      <c r="D124" s="320">
        <v>901.3</v>
      </c>
      <c r="E124" s="320">
        <v>372.8</v>
      </c>
      <c r="F124" s="322">
        <f t="shared" ref="F124:F131" si="17">SUM(C124:E124)</f>
        <v>1798.1</v>
      </c>
      <c r="G124" s="457"/>
      <c r="H124" s="320" t="s">
        <v>95</v>
      </c>
      <c r="I124" s="299">
        <v>986</v>
      </c>
      <c r="J124" s="320">
        <v>1018.1</v>
      </c>
      <c r="K124" s="320">
        <v>672.5</v>
      </c>
      <c r="L124" s="320">
        <v>345.8</v>
      </c>
      <c r="M124" s="320"/>
      <c r="N124" s="476"/>
      <c r="O124" s="322">
        <f t="shared" ref="O124:O131" si="18">SUM(J124:L124)</f>
        <v>2036.3999999999999</v>
      </c>
      <c r="P124" s="721"/>
      <c r="Q124" s="210" t="s">
        <v>154</v>
      </c>
      <c r="R124" s="209">
        <v>6</v>
      </c>
      <c r="S124" s="211" t="s">
        <v>155</v>
      </c>
    </row>
    <row r="125" spans="1:19" ht="15.75" thickBot="1" x14ac:dyDescent="0.3">
      <c r="A125" s="299">
        <v>176</v>
      </c>
      <c r="B125" s="317" t="s">
        <v>96</v>
      </c>
      <c r="C125" s="320">
        <v>190.5</v>
      </c>
      <c r="D125" s="320">
        <v>84.7</v>
      </c>
      <c r="E125" s="320">
        <v>116.2</v>
      </c>
      <c r="F125" s="322">
        <f t="shared" si="17"/>
        <v>391.4</v>
      </c>
      <c r="G125" s="457"/>
      <c r="H125" s="320" t="s">
        <v>96</v>
      </c>
      <c r="I125" s="299">
        <v>175</v>
      </c>
      <c r="J125" s="320">
        <v>208.6</v>
      </c>
      <c r="K125" s="320">
        <v>97.2</v>
      </c>
      <c r="L125" s="320">
        <v>123.4</v>
      </c>
      <c r="M125" s="320"/>
      <c r="N125" s="476"/>
      <c r="O125" s="322">
        <f t="shared" si="18"/>
        <v>429.20000000000005</v>
      </c>
      <c r="P125" s="721"/>
      <c r="Q125" s="210" t="s">
        <v>156</v>
      </c>
      <c r="R125" s="209">
        <v>6</v>
      </c>
      <c r="S125" s="211" t="s">
        <v>21</v>
      </c>
    </row>
    <row r="126" spans="1:19" ht="15.75" thickBot="1" x14ac:dyDescent="0.3">
      <c r="A126" s="295" t="s">
        <v>100</v>
      </c>
      <c r="B126" s="317" t="s">
        <v>95</v>
      </c>
      <c r="C126" s="320">
        <f>C124/A124</f>
        <v>0.54811715481171552</v>
      </c>
      <c r="D126" s="320">
        <f>D124/A124</f>
        <v>0.94278242677824264</v>
      </c>
      <c r="E126" s="320">
        <f>E124/A124</f>
        <v>0.38995815899581593</v>
      </c>
      <c r="F126" s="323">
        <f t="shared" si="17"/>
        <v>1.880857740585774</v>
      </c>
      <c r="G126" s="458"/>
      <c r="H126" s="320" t="s">
        <v>95</v>
      </c>
      <c r="I126" s="324" t="s">
        <v>100</v>
      </c>
      <c r="J126" s="320">
        <f>J124/I124</f>
        <v>1.032555780933063</v>
      </c>
      <c r="K126" s="320">
        <f>K124/I124</f>
        <v>0.68204868154158216</v>
      </c>
      <c r="L126" s="320">
        <f>L124/I124</f>
        <v>0.35070993914807302</v>
      </c>
      <c r="M126" s="320"/>
      <c r="N126" s="476"/>
      <c r="O126" s="323">
        <f t="shared" si="18"/>
        <v>2.0653144016227181</v>
      </c>
      <c r="P126" s="721"/>
      <c r="Q126" s="215" t="s">
        <v>158</v>
      </c>
      <c r="R126" s="216">
        <v>6</v>
      </c>
      <c r="S126" s="217" t="s">
        <v>24</v>
      </c>
    </row>
    <row r="127" spans="1:19" ht="16.5" thickBot="1" x14ac:dyDescent="0.3">
      <c r="A127" s="295" t="s">
        <v>100</v>
      </c>
      <c r="B127" s="317" t="s">
        <v>96</v>
      </c>
      <c r="C127" s="320">
        <f>C125/A125</f>
        <v>1.0823863636363635</v>
      </c>
      <c r="D127" s="320">
        <f>D125/A125</f>
        <v>0.48125000000000001</v>
      </c>
      <c r="E127" s="320">
        <f>E125/A125</f>
        <v>0.66022727272727277</v>
      </c>
      <c r="F127" s="323">
        <f t="shared" si="17"/>
        <v>2.2238636363636362</v>
      </c>
      <c r="G127" s="458"/>
      <c r="H127" s="320" t="s">
        <v>96</v>
      </c>
      <c r="I127" s="324" t="s">
        <v>100</v>
      </c>
      <c r="J127" s="320">
        <f>J125/I125</f>
        <v>1.1919999999999999</v>
      </c>
      <c r="K127" s="320">
        <f>K125/I125</f>
        <v>0.55542857142857149</v>
      </c>
      <c r="L127" s="320">
        <f>L125/I125</f>
        <v>0.70514285714285718</v>
      </c>
      <c r="M127" s="320"/>
      <c r="N127" s="476"/>
      <c r="O127" s="323">
        <f t="shared" si="18"/>
        <v>2.4525714285714284</v>
      </c>
      <c r="P127" s="721"/>
      <c r="Q127" s="218" t="s">
        <v>99</v>
      </c>
      <c r="R127" s="201">
        <f>SUM(R118:R126)/80</f>
        <v>0.75</v>
      </c>
      <c r="S127" s="198">
        <f>R127</f>
        <v>0.75</v>
      </c>
    </row>
    <row r="128" spans="1:19" x14ac:dyDescent="0.25">
      <c r="A128" s="295" t="s">
        <v>104</v>
      </c>
      <c r="B128" s="325" t="s">
        <v>95</v>
      </c>
      <c r="C128" s="320">
        <f t="shared" ref="C128:E129" si="19">C124/($A124/7.7)</f>
        <v>4.220502092050209</v>
      </c>
      <c r="D128" s="320">
        <f t="shared" si="19"/>
        <v>7.2594246861924683</v>
      </c>
      <c r="E128" s="320">
        <f t="shared" si="19"/>
        <v>3.0026778242677827</v>
      </c>
      <c r="F128" s="323">
        <f t="shared" si="17"/>
        <v>14.482604602510461</v>
      </c>
      <c r="G128" s="460"/>
      <c r="H128" s="338" t="s">
        <v>95</v>
      </c>
      <c r="I128" s="324" t="s">
        <v>105</v>
      </c>
      <c r="J128" s="320">
        <f t="shared" ref="J128:L129" si="20">J124/($I124/7.7)</f>
        <v>7.9506795131845847</v>
      </c>
      <c r="K128" s="320">
        <f t="shared" si="20"/>
        <v>5.2517748478701831</v>
      </c>
      <c r="L128" s="320">
        <f t="shared" si="20"/>
        <v>2.7004665314401626</v>
      </c>
      <c r="M128" s="320"/>
      <c r="N128" s="476"/>
      <c r="O128" s="323">
        <f t="shared" si="18"/>
        <v>15.902920892494929</v>
      </c>
      <c r="P128" s="721"/>
      <c r="Q128" s="740"/>
      <c r="R128" s="740"/>
      <c r="S128" s="740"/>
    </row>
    <row r="129" spans="1:19" x14ac:dyDescent="0.25">
      <c r="A129" s="295" t="s">
        <v>104</v>
      </c>
      <c r="B129" s="325" t="s">
        <v>96</v>
      </c>
      <c r="C129" s="320">
        <f t="shared" si="19"/>
        <v>8.3343749999999996</v>
      </c>
      <c r="D129" s="320">
        <f t="shared" si="19"/>
        <v>3.7056249999999999</v>
      </c>
      <c r="E129" s="320">
        <f t="shared" si="19"/>
        <v>5.0837500000000002</v>
      </c>
      <c r="F129" s="323">
        <f t="shared" si="17"/>
        <v>17.123750000000001</v>
      </c>
      <c r="G129" s="466"/>
      <c r="H129" s="358" t="s">
        <v>96</v>
      </c>
      <c r="I129" s="324" t="s">
        <v>105</v>
      </c>
      <c r="J129" s="320">
        <f t="shared" si="20"/>
        <v>9.1783999999999999</v>
      </c>
      <c r="K129" s="320">
        <f t="shared" si="20"/>
        <v>4.2768000000000006</v>
      </c>
      <c r="L129" s="320">
        <f t="shared" si="20"/>
        <v>5.4296000000000006</v>
      </c>
      <c r="M129" s="320"/>
      <c r="N129" s="476"/>
      <c r="O129" s="323">
        <f t="shared" si="18"/>
        <v>18.884800000000002</v>
      </c>
      <c r="P129" s="721"/>
      <c r="Q129" s="741"/>
      <c r="R129" s="741"/>
      <c r="S129" s="741"/>
    </row>
    <row r="130" spans="1:19" x14ac:dyDescent="0.25">
      <c r="A130" s="295" t="s">
        <v>135</v>
      </c>
      <c r="B130" s="317" t="s">
        <v>95</v>
      </c>
      <c r="C130" s="327">
        <f>C124/((($A124*$B121)*(1-$B118))/$B116)</f>
        <v>9.8761011785577821E-2</v>
      </c>
      <c r="D130" s="327">
        <f>D124/((($A124*$B121)*(1-$B118))/$B116)</f>
        <v>0.16987270977546048</v>
      </c>
      <c r="E130" s="327">
        <f>E124/((($A124*$B121)*(1-$B118))/$B116)</f>
        <v>7.0263559529892008E-2</v>
      </c>
      <c r="F130" s="323">
        <f t="shared" si="17"/>
        <v>0.33889728109093031</v>
      </c>
      <c r="G130" s="458"/>
      <c r="H130" s="328" t="s">
        <v>95</v>
      </c>
      <c r="I130" s="329" t="s">
        <v>135</v>
      </c>
      <c r="J130" s="327">
        <f>J124/((($I124*$B121)*(1-$B118))/$B116)</f>
        <v>0.18604827955991773</v>
      </c>
      <c r="K130" s="327">
        <f>K124/((($I124*$B121)*(1-$B118))/$B116)</f>
        <v>0.12289310284259372</v>
      </c>
      <c r="L130" s="327">
        <f>L124/((($I124*$B121)*(1-$B118))/$B116)</f>
        <v>6.3191724851998379E-2</v>
      </c>
      <c r="M130" s="327"/>
      <c r="N130" s="477"/>
      <c r="O130" s="323">
        <f t="shared" si="18"/>
        <v>0.37213310725450982</v>
      </c>
      <c r="P130" s="721"/>
      <c r="Q130" s="741"/>
      <c r="R130" s="741"/>
      <c r="S130" s="741"/>
    </row>
    <row r="131" spans="1:19" x14ac:dyDescent="0.25">
      <c r="A131" s="295" t="s">
        <v>135</v>
      </c>
      <c r="B131" s="317" t="s">
        <v>96</v>
      </c>
      <c r="C131" s="327">
        <f>C125/((($A125*$B121)*(1-$B118))/$B116)</f>
        <v>0.19502686875830438</v>
      </c>
      <c r="D131" s="327">
        <f>D125/((($A125*$B121)*(1-$B118))/$B116)</f>
        <v>8.6712733773377335E-2</v>
      </c>
      <c r="E131" s="327">
        <f>E125/((($A125*$B121)*(1-$B118))/$B116)</f>
        <v>0.1189612711271127</v>
      </c>
      <c r="F131" s="323">
        <f t="shared" si="17"/>
        <v>0.40070087365879442</v>
      </c>
      <c r="G131" s="458"/>
      <c r="H131" s="328" t="s">
        <v>96</v>
      </c>
      <c r="I131" s="329" t="s">
        <v>135</v>
      </c>
      <c r="J131" s="327">
        <f>J125/((($I125*$B121)*(1-$B118))/$B116)</f>
        <v>0.21477730630205877</v>
      </c>
      <c r="K131" s="327">
        <f>K125/((($I125*$B121)*(1-$B118))/$B116)</f>
        <v>0.10007839967670236</v>
      </c>
      <c r="L131" s="327">
        <f>L125/((($I125*$B121)*(1-$B118))/$B116)</f>
        <v>0.12705426461013447</v>
      </c>
      <c r="M131" s="327"/>
      <c r="N131" s="477"/>
      <c r="O131" s="323">
        <f t="shared" si="18"/>
        <v>0.44190997058889558</v>
      </c>
      <c r="P131" s="721"/>
      <c r="Q131" s="741"/>
      <c r="R131" s="741"/>
      <c r="S131" s="741"/>
    </row>
    <row r="132" spans="1:19" x14ac:dyDescent="0.25">
      <c r="A132" s="717"/>
      <c r="B132" s="717"/>
      <c r="C132" s="717"/>
      <c r="D132" s="717"/>
      <c r="E132" s="717"/>
      <c r="F132" s="717"/>
      <c r="G132" s="717"/>
      <c r="H132" s="717"/>
      <c r="I132" s="717"/>
      <c r="J132" s="717"/>
      <c r="K132" s="717"/>
      <c r="L132" s="717"/>
      <c r="M132" s="717"/>
      <c r="N132" s="717"/>
      <c r="O132" s="717"/>
      <c r="P132" s="717"/>
      <c r="Q132" s="717"/>
      <c r="R132" s="717"/>
      <c r="S132" s="717"/>
    </row>
    <row r="133" spans="1:19" ht="21" x14ac:dyDescent="0.25">
      <c r="A133" s="304"/>
      <c r="B133" s="718" t="s">
        <v>125</v>
      </c>
      <c r="C133" s="719"/>
      <c r="D133" s="719"/>
      <c r="E133" s="719"/>
      <c r="F133" s="719"/>
      <c r="G133" s="719"/>
      <c r="H133" s="719"/>
      <c r="I133" s="719"/>
      <c r="J133" s="719"/>
      <c r="K133" s="719"/>
      <c r="L133" s="719"/>
      <c r="M133" s="719"/>
      <c r="N133" s="719"/>
      <c r="O133" s="720"/>
      <c r="P133" s="721" t="s">
        <v>97</v>
      </c>
      <c r="Q133" s="722" t="s">
        <v>25</v>
      </c>
      <c r="R133" s="722"/>
      <c r="S133" s="722"/>
    </row>
    <row r="134" spans="1:19" x14ac:dyDescent="0.25">
      <c r="A134" s="304"/>
      <c r="B134" s="724" t="s">
        <v>115</v>
      </c>
      <c r="C134" s="725"/>
      <c r="D134" s="725"/>
      <c r="E134" s="725"/>
      <c r="F134" s="725"/>
      <c r="G134" s="725"/>
      <c r="H134" s="725"/>
      <c r="I134" s="725"/>
      <c r="J134" s="725"/>
      <c r="K134" s="725"/>
      <c r="L134" s="725"/>
      <c r="M134" s="725"/>
      <c r="N134" s="725"/>
      <c r="O134" s="726"/>
      <c r="P134" s="721"/>
      <c r="Q134" s="722"/>
      <c r="R134" s="722"/>
      <c r="S134" s="722"/>
    </row>
    <row r="135" spans="1:19" x14ac:dyDescent="0.25">
      <c r="A135" s="302" t="s">
        <v>106</v>
      </c>
      <c r="B135" s="727">
        <v>15.131</v>
      </c>
      <c r="C135" s="727"/>
      <c r="D135" s="727"/>
      <c r="E135" s="727"/>
      <c r="F135" s="727"/>
      <c r="G135" s="728"/>
      <c r="H135" s="727"/>
      <c r="I135" s="727"/>
      <c r="J135" s="727"/>
      <c r="K135" s="727"/>
      <c r="L135" s="727"/>
      <c r="M135" s="727"/>
      <c r="N135" s="728"/>
      <c r="O135" s="727"/>
      <c r="P135" s="721"/>
      <c r="Q135" s="722"/>
      <c r="R135" s="722"/>
      <c r="S135" s="722"/>
    </row>
    <row r="136" spans="1:19" x14ac:dyDescent="0.25">
      <c r="A136" s="303" t="s">
        <v>112</v>
      </c>
      <c r="B136" s="729">
        <v>0.18</v>
      </c>
      <c r="C136" s="727"/>
      <c r="D136" s="727"/>
      <c r="E136" s="727"/>
      <c r="F136" s="727"/>
      <c r="G136" s="728"/>
      <c r="H136" s="727"/>
      <c r="I136" s="727"/>
      <c r="J136" s="727"/>
      <c r="K136" s="727"/>
      <c r="L136" s="727"/>
      <c r="M136" s="727"/>
      <c r="N136" s="728"/>
      <c r="O136" s="727"/>
      <c r="P136" s="721"/>
      <c r="Q136" s="722"/>
      <c r="R136" s="722"/>
      <c r="S136" s="722"/>
    </row>
    <row r="137" spans="1:19" ht="15.75" thickBot="1" x14ac:dyDescent="0.3">
      <c r="A137" s="303" t="s">
        <v>107</v>
      </c>
      <c r="B137" s="730">
        <f>B135-(B136*B135)</f>
        <v>12.40742</v>
      </c>
      <c r="C137" s="730"/>
      <c r="D137" s="730"/>
      <c r="E137" s="730"/>
      <c r="F137" s="730"/>
      <c r="G137" s="731"/>
      <c r="H137" s="730"/>
      <c r="I137" s="730"/>
      <c r="J137" s="730"/>
      <c r="K137" s="730"/>
      <c r="L137" s="730"/>
      <c r="M137" s="730"/>
      <c r="N137" s="731"/>
      <c r="O137" s="730"/>
      <c r="P137" s="721"/>
      <c r="Q137" s="723"/>
      <c r="R137" s="723"/>
      <c r="S137" s="723"/>
    </row>
    <row r="138" spans="1:19" x14ac:dyDescent="0.25">
      <c r="A138" s="303" t="s">
        <v>108</v>
      </c>
      <c r="B138" s="751">
        <f>(B141/B137)</f>
        <v>0.77924338823059114</v>
      </c>
      <c r="C138" s="751"/>
      <c r="D138" s="751"/>
      <c r="E138" s="751"/>
      <c r="F138" s="751"/>
      <c r="G138" s="752"/>
      <c r="H138" s="751"/>
      <c r="I138" s="751"/>
      <c r="J138" s="751"/>
      <c r="K138" s="751"/>
      <c r="L138" s="751"/>
      <c r="M138" s="751"/>
      <c r="N138" s="752"/>
      <c r="O138" s="751"/>
      <c r="P138" s="721"/>
      <c r="Q138" s="736" t="s">
        <v>139</v>
      </c>
      <c r="R138" s="208" t="s">
        <v>140</v>
      </c>
      <c r="S138" s="734" t="s">
        <v>142</v>
      </c>
    </row>
    <row r="139" spans="1:19" ht="15.75" thickBot="1" x14ac:dyDescent="0.3">
      <c r="A139" s="303" t="s">
        <v>113</v>
      </c>
      <c r="B139" s="730">
        <f>B143*((A146+A147+I146+I147)/1000)</f>
        <v>32.228000000000002</v>
      </c>
      <c r="C139" s="730"/>
      <c r="D139" s="730"/>
      <c r="E139" s="730"/>
      <c r="F139" s="730"/>
      <c r="G139" s="731"/>
      <c r="H139" s="730"/>
      <c r="I139" s="730"/>
      <c r="J139" s="730"/>
      <c r="K139" s="730"/>
      <c r="L139" s="730"/>
      <c r="M139" s="730"/>
      <c r="N139" s="731"/>
      <c r="O139" s="730"/>
      <c r="P139" s="721"/>
      <c r="Q139" s="737"/>
      <c r="R139" s="209" t="s">
        <v>141</v>
      </c>
      <c r="S139" s="735"/>
    </row>
    <row r="140" spans="1:19" ht="29.25" thickBot="1" x14ac:dyDescent="0.3">
      <c r="A140" s="303" t="s">
        <v>109</v>
      </c>
      <c r="B140" s="729">
        <v>0.7</v>
      </c>
      <c r="C140" s="727"/>
      <c r="D140" s="727"/>
      <c r="E140" s="727"/>
      <c r="F140" s="727"/>
      <c r="G140" s="728"/>
      <c r="H140" s="727"/>
      <c r="I140" s="727"/>
      <c r="J140" s="727"/>
      <c r="K140" s="727"/>
      <c r="L140" s="727"/>
      <c r="M140" s="727"/>
      <c r="N140" s="728"/>
      <c r="O140" s="727"/>
      <c r="P140" s="721"/>
      <c r="Q140" s="210" t="s">
        <v>143</v>
      </c>
      <c r="R140" s="209">
        <v>8</v>
      </c>
      <c r="S140" s="211" t="s">
        <v>27</v>
      </c>
    </row>
    <row r="141" spans="1:19" ht="15.75" thickBot="1" x14ac:dyDescent="0.3">
      <c r="A141" s="303" t="s">
        <v>122</v>
      </c>
      <c r="B141" s="730">
        <f>B139-(B139*B140)</f>
        <v>9.6684000000000019</v>
      </c>
      <c r="C141" s="730"/>
      <c r="D141" s="730"/>
      <c r="E141" s="730"/>
      <c r="F141" s="730"/>
      <c r="G141" s="731"/>
      <c r="H141" s="730"/>
      <c r="I141" s="730"/>
      <c r="J141" s="730"/>
      <c r="K141" s="730"/>
      <c r="L141" s="730"/>
      <c r="M141" s="730"/>
      <c r="N141" s="731"/>
      <c r="O141" s="730"/>
      <c r="P141" s="721"/>
      <c r="Q141" s="210" t="s">
        <v>145</v>
      </c>
      <c r="R141" s="209">
        <v>8</v>
      </c>
      <c r="S141" s="212" t="s">
        <v>28</v>
      </c>
    </row>
    <row r="142" spans="1:19" ht="15.75" thickBot="1" x14ac:dyDescent="0.3">
      <c r="A142" s="303" t="s">
        <v>110</v>
      </c>
      <c r="B142" s="727">
        <v>107</v>
      </c>
      <c r="C142" s="727"/>
      <c r="D142" s="727"/>
      <c r="E142" s="727"/>
      <c r="F142" s="727"/>
      <c r="G142" s="728"/>
      <c r="H142" s="727"/>
      <c r="I142" s="727"/>
      <c r="J142" s="727"/>
      <c r="K142" s="727"/>
      <c r="L142" s="727"/>
      <c r="M142" s="727"/>
      <c r="N142" s="728"/>
      <c r="O142" s="727"/>
      <c r="P142" s="721"/>
      <c r="Q142" s="210" t="s">
        <v>147</v>
      </c>
      <c r="R142" s="209">
        <v>9</v>
      </c>
      <c r="S142" s="212" t="s">
        <v>148</v>
      </c>
    </row>
    <row r="143" spans="1:19" x14ac:dyDescent="0.25">
      <c r="A143" s="303" t="s">
        <v>111</v>
      </c>
      <c r="B143" s="727">
        <v>14</v>
      </c>
      <c r="C143" s="727"/>
      <c r="D143" s="727"/>
      <c r="E143" s="727"/>
      <c r="F143" s="727"/>
      <c r="G143" s="728"/>
      <c r="H143" s="727"/>
      <c r="I143" s="727"/>
      <c r="J143" s="727"/>
      <c r="K143" s="727"/>
      <c r="L143" s="727"/>
      <c r="M143" s="727"/>
      <c r="N143" s="728"/>
      <c r="O143" s="727"/>
      <c r="P143" s="721"/>
      <c r="Q143" s="213" t="s">
        <v>149</v>
      </c>
      <c r="R143" s="736">
        <v>8</v>
      </c>
      <c r="S143" s="738" t="s">
        <v>29</v>
      </c>
    </row>
    <row r="144" spans="1:19" ht="15.75" thickBot="1" x14ac:dyDescent="0.3">
      <c r="A144" s="587" t="s">
        <v>127</v>
      </c>
      <c r="B144" s="588"/>
      <c r="C144" s="588"/>
      <c r="D144" s="588"/>
      <c r="E144" s="688"/>
      <c r="F144" s="316"/>
      <c r="G144" s="314"/>
      <c r="H144" s="668" t="s">
        <v>128</v>
      </c>
      <c r="I144" s="669"/>
      <c r="J144" s="669"/>
      <c r="K144" s="669"/>
      <c r="L144" s="689"/>
      <c r="M144" s="350"/>
      <c r="N144" s="454"/>
      <c r="O144" s="316"/>
      <c r="P144" s="721"/>
      <c r="Q144" s="210" t="s">
        <v>150</v>
      </c>
      <c r="R144" s="737"/>
      <c r="S144" s="739"/>
    </row>
    <row r="145" spans="1:19" ht="15.75" thickBot="1" x14ac:dyDescent="0.3">
      <c r="A145" s="295" t="s">
        <v>98</v>
      </c>
      <c r="B145" s="317" t="s">
        <v>102</v>
      </c>
      <c r="C145" s="317" t="s">
        <v>92</v>
      </c>
      <c r="D145" s="317" t="s">
        <v>93</v>
      </c>
      <c r="E145" s="317" t="s">
        <v>94</v>
      </c>
      <c r="F145" s="319" t="s">
        <v>99</v>
      </c>
      <c r="G145" s="459"/>
      <c r="H145" s="317" t="s">
        <v>102</v>
      </c>
      <c r="I145" s="295" t="s">
        <v>98</v>
      </c>
      <c r="J145" s="317" t="s">
        <v>92</v>
      </c>
      <c r="K145" s="317" t="s">
        <v>93</v>
      </c>
      <c r="L145" s="317" t="s">
        <v>94</v>
      </c>
      <c r="M145" s="317"/>
      <c r="N145" s="463"/>
      <c r="O145" s="319" t="s">
        <v>99</v>
      </c>
      <c r="P145" s="721"/>
      <c r="Q145" s="210" t="s">
        <v>152</v>
      </c>
      <c r="R145" s="209">
        <v>8</v>
      </c>
      <c r="S145" s="212" t="s">
        <v>30</v>
      </c>
    </row>
    <row r="146" spans="1:19" ht="15.75" thickBot="1" x14ac:dyDescent="0.3">
      <c r="A146" s="299">
        <v>974</v>
      </c>
      <c r="B146" s="317" t="s">
        <v>95</v>
      </c>
      <c r="C146" s="320">
        <v>839.28</v>
      </c>
      <c r="D146" s="320">
        <v>830.36</v>
      </c>
      <c r="E146" s="320">
        <v>365.96</v>
      </c>
      <c r="F146" s="322">
        <f t="shared" ref="F146:F153" si="21">SUM(C146:E146)</f>
        <v>2035.6</v>
      </c>
      <c r="G146" s="457"/>
      <c r="H146" s="320" t="s">
        <v>95</v>
      </c>
      <c r="I146" s="299">
        <v>1028</v>
      </c>
      <c r="J146" s="320">
        <v>1101.28</v>
      </c>
      <c r="K146" s="320">
        <v>1097.98</v>
      </c>
      <c r="L146" s="320">
        <v>518.48</v>
      </c>
      <c r="M146" s="320"/>
      <c r="N146" s="476"/>
      <c r="O146" s="322">
        <f t="shared" ref="O146:O153" si="22">SUM(J146:L146)</f>
        <v>2717.7400000000002</v>
      </c>
      <c r="P146" s="721"/>
      <c r="Q146" s="210" t="s">
        <v>154</v>
      </c>
      <c r="R146" s="209">
        <v>8</v>
      </c>
      <c r="S146" s="211" t="s">
        <v>155</v>
      </c>
    </row>
    <row r="147" spans="1:19" ht="15.75" thickBot="1" x14ac:dyDescent="0.3">
      <c r="A147" s="299">
        <v>150</v>
      </c>
      <c r="B147" s="317" t="s">
        <v>96</v>
      </c>
      <c r="C147" s="320">
        <v>126</v>
      </c>
      <c r="D147" s="320">
        <v>85</v>
      </c>
      <c r="E147" s="320">
        <v>59.54</v>
      </c>
      <c r="F147" s="322">
        <f t="shared" si="21"/>
        <v>270.54000000000002</v>
      </c>
      <c r="G147" s="457"/>
      <c r="H147" s="320" t="s">
        <v>96</v>
      </c>
      <c r="I147" s="299">
        <v>150</v>
      </c>
      <c r="J147" s="320">
        <v>13.92</v>
      </c>
      <c r="K147" s="320">
        <v>171.74</v>
      </c>
      <c r="L147" s="320">
        <v>117.52</v>
      </c>
      <c r="M147" s="320"/>
      <c r="N147" s="476"/>
      <c r="O147" s="322">
        <f t="shared" si="22"/>
        <v>303.18</v>
      </c>
      <c r="P147" s="721"/>
      <c r="Q147" s="210" t="s">
        <v>156</v>
      </c>
      <c r="R147" s="209">
        <v>8</v>
      </c>
      <c r="S147" s="211" t="s">
        <v>31</v>
      </c>
    </row>
    <row r="148" spans="1:19" ht="15.75" thickBot="1" x14ac:dyDescent="0.3">
      <c r="A148" s="295" t="s">
        <v>100</v>
      </c>
      <c r="B148" s="317" t="s">
        <v>95</v>
      </c>
      <c r="C148" s="320">
        <f>C146/A146</f>
        <v>0.86168377823408626</v>
      </c>
      <c r="D148" s="320">
        <f>D146/A146</f>
        <v>0.85252566735112933</v>
      </c>
      <c r="E148" s="320">
        <f>E146/A146</f>
        <v>0.37572895277207391</v>
      </c>
      <c r="F148" s="323">
        <f t="shared" si="21"/>
        <v>2.0899383983572895</v>
      </c>
      <c r="G148" s="458"/>
      <c r="H148" s="320" t="s">
        <v>95</v>
      </c>
      <c r="I148" s="324" t="s">
        <v>100</v>
      </c>
      <c r="J148" s="320">
        <f>J146/$I$146</f>
        <v>1.071284046692607</v>
      </c>
      <c r="K148" s="320">
        <f>K146/$I$146</f>
        <v>1.0680739299610895</v>
      </c>
      <c r="L148" s="320">
        <f>L146/$I$146</f>
        <v>0.50435797665369653</v>
      </c>
      <c r="M148" s="320"/>
      <c r="N148" s="476"/>
      <c r="O148" s="323">
        <f t="shared" si="22"/>
        <v>2.6437159533073933</v>
      </c>
      <c r="P148" s="721"/>
      <c r="Q148" s="210" t="s">
        <v>158</v>
      </c>
      <c r="R148" s="209"/>
      <c r="S148" s="211" t="s">
        <v>32</v>
      </c>
    </row>
    <row r="149" spans="1:19" ht="16.5" thickBot="1" x14ac:dyDescent="0.3">
      <c r="A149" s="295" t="s">
        <v>100</v>
      </c>
      <c r="B149" s="317" t="s">
        <v>96</v>
      </c>
      <c r="C149" s="320">
        <f>C147/$A$147</f>
        <v>0.84</v>
      </c>
      <c r="D149" s="320">
        <f>D147/$A$147</f>
        <v>0.56666666666666665</v>
      </c>
      <c r="E149" s="320">
        <f>E147/$A$147</f>
        <v>0.3969333333333333</v>
      </c>
      <c r="F149" s="323">
        <f t="shared" si="21"/>
        <v>1.8036000000000001</v>
      </c>
      <c r="G149" s="458"/>
      <c r="H149" s="320" t="s">
        <v>96</v>
      </c>
      <c r="I149" s="324" t="s">
        <v>100</v>
      </c>
      <c r="J149" s="320">
        <f>J147/$I$147</f>
        <v>9.2799999999999994E-2</v>
      </c>
      <c r="K149" s="320">
        <f>K147/$I$147</f>
        <v>1.1449333333333334</v>
      </c>
      <c r="L149" s="320">
        <f>L147/$I$147</f>
        <v>0.78346666666666664</v>
      </c>
      <c r="M149" s="320"/>
      <c r="N149" s="476"/>
      <c r="O149" s="323">
        <f t="shared" si="22"/>
        <v>2.0211999999999999</v>
      </c>
      <c r="P149" s="721"/>
      <c r="Q149" s="214" t="s">
        <v>99</v>
      </c>
      <c r="R149" s="197">
        <f>SUM(R140:R148)/80</f>
        <v>0.71250000000000002</v>
      </c>
      <c r="S149" s="198">
        <f>R149</f>
        <v>0.71250000000000002</v>
      </c>
    </row>
    <row r="150" spans="1:19" x14ac:dyDescent="0.25">
      <c r="A150" s="295" t="s">
        <v>104</v>
      </c>
      <c r="B150" s="325" t="s">
        <v>95</v>
      </c>
      <c r="C150" s="320">
        <f>C146/($A$146/7.7)</f>
        <v>6.6349650924024646</v>
      </c>
      <c r="D150" s="320">
        <f>D146/($A$146/7.7)</f>
        <v>6.5644476386036965</v>
      </c>
      <c r="E150" s="320">
        <f>E146/($A$146/7.7)</f>
        <v>2.893112936344969</v>
      </c>
      <c r="F150" s="323">
        <f t="shared" si="21"/>
        <v>16.092525667351129</v>
      </c>
      <c r="G150" s="460"/>
      <c r="H150" s="338" t="s">
        <v>95</v>
      </c>
      <c r="I150" s="324" t="s">
        <v>105</v>
      </c>
      <c r="J150" s="320">
        <f>J146/($I$146/7.7)</f>
        <v>8.2488871595330728</v>
      </c>
      <c r="K150" s="320">
        <f>K146/($I$146/7.7)</f>
        <v>8.2241692607003891</v>
      </c>
      <c r="L150" s="320">
        <f>L146/($I$146/7.7)</f>
        <v>3.8835564202334631</v>
      </c>
      <c r="M150" s="320"/>
      <c r="N150" s="476"/>
      <c r="O150" s="322">
        <f t="shared" si="22"/>
        <v>20.356612840466926</v>
      </c>
      <c r="P150" s="721"/>
      <c r="Q150" s="740"/>
      <c r="R150" s="740"/>
      <c r="S150" s="740"/>
    </row>
    <row r="151" spans="1:19" x14ac:dyDescent="0.25">
      <c r="A151" s="295" t="s">
        <v>104</v>
      </c>
      <c r="B151" s="325" t="s">
        <v>96</v>
      </c>
      <c r="C151" s="320">
        <f>C147/($A$147/7.7)</f>
        <v>6.468</v>
      </c>
      <c r="D151" s="320">
        <f>D147/($A$147/7.7)</f>
        <v>4.3633333333333333</v>
      </c>
      <c r="E151" s="320">
        <f>E147/($A$147/7.7)</f>
        <v>3.0563866666666666</v>
      </c>
      <c r="F151" s="322">
        <f t="shared" si="21"/>
        <v>13.88772</v>
      </c>
      <c r="G151" s="467"/>
      <c r="H151" s="358" t="s">
        <v>96</v>
      </c>
      <c r="I151" s="324" t="s">
        <v>105</v>
      </c>
      <c r="J151" s="320">
        <f>J147/($I$147/7.7)</f>
        <v>0.71456000000000008</v>
      </c>
      <c r="K151" s="320">
        <f>K147/($I$147/7.7)</f>
        <v>8.8159866666666673</v>
      </c>
      <c r="L151" s="320">
        <f>L147/($I$147/7.7)</f>
        <v>6.0326933333333335</v>
      </c>
      <c r="M151" s="320"/>
      <c r="N151" s="476"/>
      <c r="O151" s="322">
        <f t="shared" si="22"/>
        <v>15.56324</v>
      </c>
      <c r="P151" s="721"/>
      <c r="Q151" s="741"/>
      <c r="R151" s="741"/>
      <c r="S151" s="741"/>
    </row>
    <row r="152" spans="1:19" x14ac:dyDescent="0.25">
      <c r="A152" s="295" t="s">
        <v>135</v>
      </c>
      <c r="B152" s="317" t="s">
        <v>95</v>
      </c>
      <c r="C152" s="327">
        <f>C146/((($A146*$B143)*(1-$B140))/$B138)</f>
        <v>0.1598717587939206</v>
      </c>
      <c r="D152" s="327">
        <f>D146/((($A146*$B143)*(1-$B140))/$B138)</f>
        <v>0.15817261656672377</v>
      </c>
      <c r="E152" s="327">
        <f>E146/((($A146*$B143)*(1-$B140))/$B138)</f>
        <v>6.9710548146295848E-2</v>
      </c>
      <c r="F152" s="323">
        <f t="shared" si="21"/>
        <v>0.38775492350694019</v>
      </c>
      <c r="G152" s="458"/>
      <c r="H152" s="328" t="s">
        <v>95</v>
      </c>
      <c r="I152" s="329" t="s">
        <v>135</v>
      </c>
      <c r="J152" s="327">
        <f>J146/((($I146*$B143)*(1-$B140))/$B138)</f>
        <v>0.19875976435764897</v>
      </c>
      <c r="K152" s="327">
        <f>K146/((($I146*$B143)*(1-$B140))/$B138)</f>
        <v>0.19816417811039103</v>
      </c>
      <c r="L152" s="327">
        <f>L146/((($I146*$B143)*(1-$B140))/$B138)</f>
        <v>9.3575623478274236E-2</v>
      </c>
      <c r="M152" s="327"/>
      <c r="N152" s="477"/>
      <c r="O152" s="323">
        <f t="shared" si="22"/>
        <v>0.49049956594631422</v>
      </c>
      <c r="P152" s="721"/>
      <c r="Q152" s="741"/>
      <c r="R152" s="741"/>
      <c r="S152" s="741"/>
    </row>
    <row r="153" spans="1:19" x14ac:dyDescent="0.25">
      <c r="A153" s="295" t="s">
        <v>135</v>
      </c>
      <c r="B153" s="317" t="s">
        <v>96</v>
      </c>
      <c r="C153" s="327">
        <f>C147/((($A147*$B143)*(1-$B140))/$B138)</f>
        <v>0.15584867764611821</v>
      </c>
      <c r="D153" s="327">
        <f>D147/((($A147*$B143)*(1-$B140))/$B138)</f>
        <v>0.10513601269777816</v>
      </c>
      <c r="E153" s="327">
        <f>E147/((($A147*$B143)*(1-$B140))/$B138)</f>
        <v>7.364468465912602E-2</v>
      </c>
      <c r="F153" s="323">
        <f t="shared" si="21"/>
        <v>0.33462937500302237</v>
      </c>
      <c r="G153" s="458"/>
      <c r="H153" s="328" t="s">
        <v>96</v>
      </c>
      <c r="I153" s="329" t="s">
        <v>135</v>
      </c>
      <c r="J153" s="327">
        <f>J147/((($I147*$B143)*(1-$B140))/$B138)</f>
        <v>1.7217568197094964E-2</v>
      </c>
      <c r="K153" s="327">
        <f>K147/((($I147*$B143)*(1-$B140))/$B138)</f>
        <v>0.21242422142019318</v>
      </c>
      <c r="L153" s="327">
        <f>L147/((($I147*$B143)*(1-$B140))/$B138)</f>
        <v>0.14535981426168104</v>
      </c>
      <c r="M153" s="327"/>
      <c r="N153" s="477"/>
      <c r="O153" s="323">
        <f t="shared" si="22"/>
        <v>0.37500160387896919</v>
      </c>
      <c r="P153" s="721"/>
      <c r="Q153" s="741"/>
      <c r="R153" s="741"/>
      <c r="S153" s="741"/>
    </row>
    <row r="154" spans="1:19" x14ac:dyDescent="0.25">
      <c r="A154" s="753" t="s">
        <v>264</v>
      </c>
      <c r="B154" s="753"/>
      <c r="C154" s="753"/>
      <c r="D154" s="753"/>
      <c r="E154" s="753"/>
      <c r="F154" s="753"/>
      <c r="G154" s="753"/>
      <c r="H154" s="753"/>
      <c r="I154" s="753"/>
      <c r="J154" s="753"/>
      <c r="K154" s="753"/>
      <c r="L154" s="753"/>
      <c r="M154" s="753"/>
      <c r="N154" s="753"/>
      <c r="O154" s="753"/>
      <c r="P154" s="732" t="s">
        <v>133</v>
      </c>
      <c r="Q154" s="732"/>
      <c r="R154" s="732"/>
      <c r="S154" s="732"/>
    </row>
    <row r="155" spans="1:19" ht="21" x14ac:dyDescent="0.25">
      <c r="A155" s="304"/>
      <c r="B155" s="718" t="s">
        <v>126</v>
      </c>
      <c r="C155" s="719"/>
      <c r="D155" s="719"/>
      <c r="E155" s="719"/>
      <c r="F155" s="719"/>
      <c r="G155" s="719"/>
      <c r="H155" s="719"/>
      <c r="I155" s="719"/>
      <c r="J155" s="719"/>
      <c r="K155" s="719"/>
      <c r="L155" s="719"/>
      <c r="M155" s="719"/>
      <c r="N155" s="719"/>
      <c r="O155" s="720"/>
      <c r="P155" s="721" t="s">
        <v>97</v>
      </c>
      <c r="Q155" s="722" t="s">
        <v>26</v>
      </c>
      <c r="R155" s="722"/>
      <c r="S155" s="722"/>
    </row>
    <row r="156" spans="1:19" x14ac:dyDescent="0.25">
      <c r="A156" s="304"/>
      <c r="B156" s="724" t="s">
        <v>115</v>
      </c>
      <c r="C156" s="725"/>
      <c r="D156" s="725"/>
      <c r="E156" s="725"/>
      <c r="F156" s="725"/>
      <c r="G156" s="725"/>
      <c r="H156" s="725"/>
      <c r="I156" s="725"/>
      <c r="J156" s="725"/>
      <c r="K156" s="725"/>
      <c r="L156" s="725"/>
      <c r="M156" s="725"/>
      <c r="N156" s="725"/>
      <c r="O156" s="726"/>
      <c r="P156" s="721"/>
      <c r="Q156" s="722"/>
      <c r="R156" s="722"/>
      <c r="S156" s="722"/>
    </row>
    <row r="157" spans="1:19" x14ac:dyDescent="0.25">
      <c r="A157" s="302" t="s">
        <v>106</v>
      </c>
      <c r="B157" s="727">
        <v>18.8</v>
      </c>
      <c r="C157" s="727"/>
      <c r="D157" s="727"/>
      <c r="E157" s="727"/>
      <c r="F157" s="727"/>
      <c r="G157" s="728"/>
      <c r="H157" s="727"/>
      <c r="I157" s="727"/>
      <c r="J157" s="727"/>
      <c r="K157" s="727"/>
      <c r="L157" s="727"/>
      <c r="M157" s="727"/>
      <c r="N157" s="728"/>
      <c r="O157" s="727"/>
      <c r="P157" s="721"/>
      <c r="Q157" s="722"/>
      <c r="R157" s="722"/>
      <c r="S157" s="722"/>
    </row>
    <row r="158" spans="1:19" x14ac:dyDescent="0.25">
      <c r="A158" s="303" t="s">
        <v>112</v>
      </c>
      <c r="B158" s="729">
        <v>0.32</v>
      </c>
      <c r="C158" s="727"/>
      <c r="D158" s="727"/>
      <c r="E158" s="727"/>
      <c r="F158" s="727"/>
      <c r="G158" s="728"/>
      <c r="H158" s="727"/>
      <c r="I158" s="727"/>
      <c r="J158" s="727"/>
      <c r="K158" s="727"/>
      <c r="L158" s="727"/>
      <c r="M158" s="727"/>
      <c r="N158" s="728"/>
      <c r="O158" s="727"/>
      <c r="P158" s="721"/>
      <c r="Q158" s="722"/>
      <c r="R158" s="722"/>
      <c r="S158" s="722"/>
    </row>
    <row r="159" spans="1:19" ht="15.75" thickBot="1" x14ac:dyDescent="0.3">
      <c r="A159" s="303" t="s">
        <v>107</v>
      </c>
      <c r="B159" s="730">
        <f>B157-(B158*B157)</f>
        <v>12.784000000000001</v>
      </c>
      <c r="C159" s="730"/>
      <c r="D159" s="730"/>
      <c r="E159" s="730"/>
      <c r="F159" s="730"/>
      <c r="G159" s="731"/>
      <c r="H159" s="730"/>
      <c r="I159" s="730"/>
      <c r="J159" s="730"/>
      <c r="K159" s="730"/>
      <c r="L159" s="730"/>
      <c r="M159" s="730"/>
      <c r="N159" s="731"/>
      <c r="O159" s="730"/>
      <c r="P159" s="721"/>
      <c r="Q159" s="723"/>
      <c r="R159" s="723"/>
      <c r="S159" s="723"/>
    </row>
    <row r="160" spans="1:19" x14ac:dyDescent="0.25">
      <c r="A160" s="303" t="s">
        <v>108</v>
      </c>
      <c r="B160" s="751">
        <f>(B163/B159)</f>
        <v>0.81533792240300385</v>
      </c>
      <c r="C160" s="751"/>
      <c r="D160" s="751"/>
      <c r="E160" s="751"/>
      <c r="F160" s="751"/>
      <c r="G160" s="752"/>
      <c r="H160" s="751"/>
      <c r="I160" s="751"/>
      <c r="J160" s="751"/>
      <c r="K160" s="751"/>
      <c r="L160" s="751"/>
      <c r="M160" s="751"/>
      <c r="N160" s="752"/>
      <c r="O160" s="751"/>
      <c r="P160" s="721"/>
      <c r="Q160" s="736" t="s">
        <v>139</v>
      </c>
      <c r="R160" s="208" t="s">
        <v>140</v>
      </c>
      <c r="S160" s="734" t="s">
        <v>142</v>
      </c>
    </row>
    <row r="161" spans="1:19" ht="15.75" thickBot="1" x14ac:dyDescent="0.3">
      <c r="A161" s="303" t="s">
        <v>113</v>
      </c>
      <c r="B161" s="730">
        <f>B143*((A168+A169+I168+I169)/1000)</f>
        <v>37.225999999999999</v>
      </c>
      <c r="C161" s="730"/>
      <c r="D161" s="730"/>
      <c r="E161" s="730"/>
      <c r="F161" s="730"/>
      <c r="G161" s="731"/>
      <c r="H161" s="730"/>
      <c r="I161" s="730"/>
      <c r="J161" s="730"/>
      <c r="K161" s="730"/>
      <c r="L161" s="730"/>
      <c r="M161" s="730"/>
      <c r="N161" s="731"/>
      <c r="O161" s="730"/>
      <c r="P161" s="721"/>
      <c r="Q161" s="737"/>
      <c r="R161" s="209" t="s">
        <v>141</v>
      </c>
      <c r="S161" s="735"/>
    </row>
    <row r="162" spans="1:19" ht="29.25" thickBot="1" x14ac:dyDescent="0.3">
      <c r="A162" s="303" t="s">
        <v>109</v>
      </c>
      <c r="B162" s="729">
        <v>0.72</v>
      </c>
      <c r="C162" s="727"/>
      <c r="D162" s="727"/>
      <c r="E162" s="727"/>
      <c r="F162" s="727"/>
      <c r="G162" s="728"/>
      <c r="H162" s="727"/>
      <c r="I162" s="727"/>
      <c r="J162" s="727"/>
      <c r="K162" s="727"/>
      <c r="L162" s="727"/>
      <c r="M162" s="727"/>
      <c r="N162" s="728"/>
      <c r="O162" s="727"/>
      <c r="P162" s="721"/>
      <c r="Q162" s="210" t="s">
        <v>143</v>
      </c>
      <c r="R162" s="209">
        <v>3</v>
      </c>
      <c r="S162" s="211" t="s">
        <v>27</v>
      </c>
    </row>
    <row r="163" spans="1:19" ht="15.75" thickBot="1" x14ac:dyDescent="0.3">
      <c r="A163" s="303" t="s">
        <v>122</v>
      </c>
      <c r="B163" s="730">
        <f>B161-(B161*B162)</f>
        <v>10.423280000000002</v>
      </c>
      <c r="C163" s="730"/>
      <c r="D163" s="730"/>
      <c r="E163" s="730"/>
      <c r="F163" s="730"/>
      <c r="G163" s="731"/>
      <c r="H163" s="730"/>
      <c r="I163" s="730"/>
      <c r="J163" s="730"/>
      <c r="K163" s="730"/>
      <c r="L163" s="730"/>
      <c r="M163" s="730"/>
      <c r="N163" s="731"/>
      <c r="O163" s="730"/>
      <c r="P163" s="721"/>
      <c r="Q163" s="210" t="s">
        <v>145</v>
      </c>
      <c r="R163" s="209">
        <v>8</v>
      </c>
      <c r="S163" s="212" t="s">
        <v>28</v>
      </c>
    </row>
    <row r="164" spans="1:19" ht="15.75" thickBot="1" x14ac:dyDescent="0.3">
      <c r="A164" s="303" t="s">
        <v>110</v>
      </c>
      <c r="B164" s="727">
        <v>115</v>
      </c>
      <c r="C164" s="727"/>
      <c r="D164" s="727"/>
      <c r="E164" s="727"/>
      <c r="F164" s="727"/>
      <c r="G164" s="728"/>
      <c r="H164" s="727"/>
      <c r="I164" s="727"/>
      <c r="J164" s="727"/>
      <c r="K164" s="727"/>
      <c r="L164" s="727"/>
      <c r="M164" s="727"/>
      <c r="N164" s="728"/>
      <c r="O164" s="727"/>
      <c r="P164" s="721"/>
      <c r="Q164" s="210" t="s">
        <v>147</v>
      </c>
      <c r="R164" s="209">
        <v>9</v>
      </c>
      <c r="S164" s="212" t="s">
        <v>148</v>
      </c>
    </row>
    <row r="165" spans="1:19" x14ac:dyDescent="0.25">
      <c r="A165" s="303" t="s">
        <v>111</v>
      </c>
      <c r="B165" s="727">
        <v>14</v>
      </c>
      <c r="C165" s="727"/>
      <c r="D165" s="727"/>
      <c r="E165" s="727"/>
      <c r="F165" s="727"/>
      <c r="G165" s="728"/>
      <c r="H165" s="727"/>
      <c r="I165" s="727"/>
      <c r="J165" s="727"/>
      <c r="K165" s="727"/>
      <c r="L165" s="727"/>
      <c r="M165" s="727"/>
      <c r="N165" s="728"/>
      <c r="O165" s="727"/>
      <c r="P165" s="721"/>
      <c r="Q165" s="213" t="s">
        <v>149</v>
      </c>
      <c r="R165" s="736">
        <v>4</v>
      </c>
      <c r="S165" s="738" t="s">
        <v>33</v>
      </c>
    </row>
    <row r="166" spans="1:19" ht="15.75" thickBot="1" x14ac:dyDescent="0.3">
      <c r="A166" s="587" t="s">
        <v>127</v>
      </c>
      <c r="B166" s="588"/>
      <c r="C166" s="588"/>
      <c r="D166" s="588"/>
      <c r="E166" s="688"/>
      <c r="F166" s="316"/>
      <c r="G166" s="314"/>
      <c r="H166" s="668" t="s">
        <v>128</v>
      </c>
      <c r="I166" s="669"/>
      <c r="J166" s="669"/>
      <c r="K166" s="669"/>
      <c r="L166" s="689"/>
      <c r="M166" s="350"/>
      <c r="N166" s="454"/>
      <c r="O166" s="316"/>
      <c r="P166" s="721"/>
      <c r="Q166" s="210" t="s">
        <v>150</v>
      </c>
      <c r="R166" s="737"/>
      <c r="S166" s="739"/>
    </row>
    <row r="167" spans="1:19" ht="15.75" thickBot="1" x14ac:dyDescent="0.3">
      <c r="A167" s="295" t="s">
        <v>98</v>
      </c>
      <c r="B167" s="317" t="s">
        <v>102</v>
      </c>
      <c r="C167" s="317" t="s">
        <v>92</v>
      </c>
      <c r="D167" s="317" t="s">
        <v>93</v>
      </c>
      <c r="E167" s="317" t="s">
        <v>94</v>
      </c>
      <c r="F167" s="319" t="s">
        <v>99</v>
      </c>
      <c r="G167" s="459"/>
      <c r="H167" s="317" t="s">
        <v>102</v>
      </c>
      <c r="I167" s="295" t="s">
        <v>98</v>
      </c>
      <c r="J167" s="317" t="s">
        <v>92</v>
      </c>
      <c r="K167" s="317" t="s">
        <v>93</v>
      </c>
      <c r="L167" s="317" t="s">
        <v>94</v>
      </c>
      <c r="M167" s="317"/>
      <c r="N167" s="463"/>
      <c r="O167" s="319" t="s">
        <v>99</v>
      </c>
      <c r="P167" s="721"/>
      <c r="Q167" s="210" t="s">
        <v>152</v>
      </c>
      <c r="R167" s="209">
        <v>9</v>
      </c>
      <c r="S167" s="212" t="s">
        <v>30</v>
      </c>
    </row>
    <row r="168" spans="1:19" ht="15.75" thickBot="1" x14ac:dyDescent="0.3">
      <c r="A168" s="299">
        <v>1168</v>
      </c>
      <c r="B168" s="317" t="s">
        <v>95</v>
      </c>
      <c r="C168" s="320">
        <v>577.22</v>
      </c>
      <c r="D168" s="320">
        <v>873.48</v>
      </c>
      <c r="E168" s="320">
        <v>589.26</v>
      </c>
      <c r="F168" s="322">
        <f t="shared" ref="F168:F175" si="23">SUM(C168:E168)</f>
        <v>2039.96</v>
      </c>
      <c r="G168" s="457"/>
      <c r="H168" s="320" t="s">
        <v>95</v>
      </c>
      <c r="I168" s="299">
        <v>1169</v>
      </c>
      <c r="J168" s="320">
        <v>874.66</v>
      </c>
      <c r="K168" s="320">
        <v>1489.32</v>
      </c>
      <c r="L168" s="320">
        <v>80</v>
      </c>
      <c r="M168" s="320"/>
      <c r="N168" s="476"/>
      <c r="O168" s="322">
        <f t="shared" ref="O168:O175" si="24">SUM(J168:L168)</f>
        <v>2443.98</v>
      </c>
      <c r="P168" s="721"/>
      <c r="Q168" s="210" t="s">
        <v>154</v>
      </c>
      <c r="R168" s="209">
        <v>9</v>
      </c>
      <c r="S168" s="211" t="s">
        <v>155</v>
      </c>
    </row>
    <row r="169" spans="1:19" ht="15.75" thickBot="1" x14ac:dyDescent="0.3">
      <c r="A169" s="299">
        <v>162</v>
      </c>
      <c r="B169" s="317" t="s">
        <v>96</v>
      </c>
      <c r="C169" s="320">
        <v>133.16</v>
      </c>
      <c r="D169" s="320">
        <v>134.69999999999999</v>
      </c>
      <c r="E169" s="320">
        <v>128.62</v>
      </c>
      <c r="F169" s="322">
        <f t="shared" si="23"/>
        <v>396.48</v>
      </c>
      <c r="G169" s="457"/>
      <c r="H169" s="320" t="s">
        <v>96</v>
      </c>
      <c r="I169" s="299">
        <v>160</v>
      </c>
      <c r="J169" s="320">
        <v>126.5</v>
      </c>
      <c r="K169" s="320">
        <v>112.38</v>
      </c>
      <c r="L169" s="320">
        <v>39.78</v>
      </c>
      <c r="M169" s="320"/>
      <c r="N169" s="476"/>
      <c r="O169" s="322">
        <f t="shared" si="24"/>
        <v>278.65999999999997</v>
      </c>
      <c r="P169" s="721"/>
      <c r="Q169" s="210" t="s">
        <v>156</v>
      </c>
      <c r="R169" s="209">
        <v>9</v>
      </c>
      <c r="S169" s="211" t="s">
        <v>31</v>
      </c>
    </row>
    <row r="170" spans="1:19" ht="15.75" thickBot="1" x14ac:dyDescent="0.3">
      <c r="A170" s="295" t="s">
        <v>100</v>
      </c>
      <c r="B170" s="317" t="s">
        <v>95</v>
      </c>
      <c r="C170" s="320">
        <f>C168/$A$168</f>
        <v>0.49419520547945206</v>
      </c>
      <c r="D170" s="320">
        <f>D168/$A$168</f>
        <v>0.74784246575342472</v>
      </c>
      <c r="E170" s="320">
        <f>E168/$A$168</f>
        <v>0.50450342465753428</v>
      </c>
      <c r="F170" s="323">
        <f t="shared" si="23"/>
        <v>1.7465410958904108</v>
      </c>
      <c r="G170" s="458"/>
      <c r="H170" s="320" t="s">
        <v>95</v>
      </c>
      <c r="I170" s="324" t="s">
        <v>100</v>
      </c>
      <c r="J170" s="320">
        <f>J168/$I$168</f>
        <v>0.74821214713430284</v>
      </c>
      <c r="K170" s="320">
        <f>K168/$I$168</f>
        <v>1.2740119760479041</v>
      </c>
      <c r="L170" s="320">
        <f>L168/$I$168</f>
        <v>6.8434559452523525E-2</v>
      </c>
      <c r="M170" s="320"/>
      <c r="N170" s="476"/>
      <c r="O170" s="323">
        <f t="shared" si="24"/>
        <v>2.0906586826347304</v>
      </c>
      <c r="P170" s="721"/>
      <c r="Q170" s="210" t="s">
        <v>158</v>
      </c>
      <c r="R170" s="209">
        <v>2</v>
      </c>
      <c r="S170" s="211" t="s">
        <v>34</v>
      </c>
    </row>
    <row r="171" spans="1:19" ht="16.5" thickBot="1" x14ac:dyDescent="0.3">
      <c r="A171" s="295" t="s">
        <v>100</v>
      </c>
      <c r="B171" s="317" t="s">
        <v>96</v>
      </c>
      <c r="C171" s="320">
        <f>C169/$A$169</f>
        <v>0.82197530864197532</v>
      </c>
      <c r="D171" s="320">
        <f>D169/$A$169</f>
        <v>0.83148148148148138</v>
      </c>
      <c r="E171" s="320">
        <f>E169/$A$169</f>
        <v>0.79395061728395067</v>
      </c>
      <c r="F171" s="323">
        <f t="shared" si="23"/>
        <v>2.4474074074074075</v>
      </c>
      <c r="G171" s="458"/>
      <c r="H171" s="320" t="s">
        <v>96</v>
      </c>
      <c r="I171" s="324" t="s">
        <v>100</v>
      </c>
      <c r="J171" s="320">
        <f>J169/$I$169</f>
        <v>0.79062500000000002</v>
      </c>
      <c r="K171" s="320">
        <f>K169/$I$169</f>
        <v>0.70237499999999997</v>
      </c>
      <c r="L171" s="320">
        <f>L169/$I$169</f>
        <v>0.24862500000000001</v>
      </c>
      <c r="M171" s="320"/>
      <c r="N171" s="476"/>
      <c r="O171" s="323">
        <f t="shared" si="24"/>
        <v>1.741625</v>
      </c>
      <c r="P171" s="721"/>
      <c r="Q171" s="214" t="s">
        <v>99</v>
      </c>
      <c r="R171" s="197">
        <f>SUM(R162:R170)/80</f>
        <v>0.66249999999999998</v>
      </c>
      <c r="S171" s="198">
        <f>R171</f>
        <v>0.66249999999999998</v>
      </c>
    </row>
    <row r="172" spans="1:19" x14ac:dyDescent="0.25">
      <c r="A172" s="295" t="s">
        <v>104</v>
      </c>
      <c r="B172" s="325" t="s">
        <v>95</v>
      </c>
      <c r="C172" s="320">
        <f>C168/($A$168/7.7)</f>
        <v>3.8053030821917813</v>
      </c>
      <c r="D172" s="320">
        <f>D168/($A$168/7.7)</f>
        <v>5.758386986301371</v>
      </c>
      <c r="E172" s="320">
        <f>E168/($A$168/7.7)</f>
        <v>3.8846763698630142</v>
      </c>
      <c r="F172" s="322">
        <f t="shared" si="23"/>
        <v>13.448366438356166</v>
      </c>
      <c r="G172" s="468"/>
      <c r="H172" s="338" t="s">
        <v>95</v>
      </c>
      <c r="I172" s="324" t="s">
        <v>105</v>
      </c>
      <c r="J172" s="320">
        <f>J168/($I$168/7.7)</f>
        <v>5.7612335329341313</v>
      </c>
      <c r="K172" s="320">
        <f>K168/($I$168/7.7)</f>
        <v>9.8098922155688619</v>
      </c>
      <c r="L172" s="320">
        <f>L168/($I$168/7.7)</f>
        <v>0.52694610778443118</v>
      </c>
      <c r="M172" s="320"/>
      <c r="N172" s="476"/>
      <c r="O172" s="322">
        <f t="shared" si="24"/>
        <v>16.098071856287426</v>
      </c>
      <c r="P172" s="721"/>
      <c r="Q172" s="740"/>
      <c r="R172" s="740"/>
      <c r="S172" s="740"/>
    </row>
    <row r="173" spans="1:19" x14ac:dyDescent="0.25">
      <c r="A173" s="295" t="s">
        <v>104</v>
      </c>
      <c r="B173" s="325" t="s">
        <v>96</v>
      </c>
      <c r="C173" s="320">
        <f>C169/($A$169/7.7)</f>
        <v>6.3292098765432101</v>
      </c>
      <c r="D173" s="320">
        <f>D169/($A$169/7.7)</f>
        <v>6.4024074074074075</v>
      </c>
      <c r="E173" s="320">
        <f>E169/($A$169/7.7)</f>
        <v>6.1134197530864203</v>
      </c>
      <c r="F173" s="322">
        <f t="shared" si="23"/>
        <v>18.845037037037038</v>
      </c>
      <c r="G173" s="467"/>
      <c r="H173" s="358" t="s">
        <v>96</v>
      </c>
      <c r="I173" s="324" t="s">
        <v>105</v>
      </c>
      <c r="J173" s="320">
        <f>J169/($I$169/7.7)</f>
        <v>6.0878125000000001</v>
      </c>
      <c r="K173" s="320">
        <f>K169/($I$169/7.7)</f>
        <v>5.4082875000000001</v>
      </c>
      <c r="L173" s="320">
        <f>L169/($I$169/7.7)</f>
        <v>1.9144125000000001</v>
      </c>
      <c r="M173" s="320"/>
      <c r="N173" s="476"/>
      <c r="O173" s="322">
        <f t="shared" si="24"/>
        <v>13.410512499999999</v>
      </c>
      <c r="P173" s="721"/>
      <c r="Q173" s="741"/>
      <c r="R173" s="741"/>
      <c r="S173" s="741"/>
    </row>
    <row r="174" spans="1:19" x14ac:dyDescent="0.25">
      <c r="A174" s="295" t="s">
        <v>135</v>
      </c>
      <c r="B174" s="317" t="s">
        <v>95</v>
      </c>
      <c r="C174" s="327">
        <f>C168/((($A168*$B165)*(1-$B162))/$B160)</f>
        <v>0.10278981941253622</v>
      </c>
      <c r="D174" s="327">
        <f>D168/((($A168*$B165)*(1-$B162))/$B160)</f>
        <v>0.15554702099799408</v>
      </c>
      <c r="E174" s="327">
        <f>E168/((($A168*$B165)*(1-$B162))/$B160)</f>
        <v>0.10493387094527405</v>
      </c>
      <c r="F174" s="323">
        <f t="shared" si="23"/>
        <v>0.36327071135580435</v>
      </c>
      <c r="G174" s="458"/>
      <c r="H174" s="328" t="s">
        <v>95</v>
      </c>
      <c r="I174" s="329" t="s">
        <v>135</v>
      </c>
      <c r="J174" s="327">
        <f>J168/((($I168*$B165)*(1-$B162))/$B160)</f>
        <v>0.15562391264315636</v>
      </c>
      <c r="K174" s="327">
        <f>K168/((($I168*$B165)*(1-$B162))/$B160)</f>
        <v>0.2649873157314907</v>
      </c>
      <c r="L174" s="327">
        <f>L168/((($I168*$B165)*(1-$B162))/$B160)</f>
        <v>1.4234002939945247E-2</v>
      </c>
      <c r="M174" s="327"/>
      <c r="N174" s="477"/>
      <c r="O174" s="323">
        <f t="shared" si="24"/>
        <v>0.4348452313145923</v>
      </c>
      <c r="P174" s="721"/>
      <c r="Q174" s="741"/>
      <c r="R174" s="741"/>
      <c r="S174" s="741"/>
    </row>
    <row r="175" spans="1:19" x14ac:dyDescent="0.25">
      <c r="A175" s="295" t="s">
        <v>135</v>
      </c>
      <c r="B175" s="317" t="s">
        <v>96</v>
      </c>
      <c r="C175" s="327">
        <f>C169/((($A169*$B165)*(1-$B162))/$B160)</f>
        <v>0.17096623479967243</v>
      </c>
      <c r="D175" s="327">
        <f>D169/((($A169*$B165)*(1-$B162))/$B160)</f>
        <v>0.17294346521114354</v>
      </c>
      <c r="E175" s="327">
        <f>E169/((($A169*$B165)*(1-$B162))/$B160)</f>
        <v>0.16513725683338742</v>
      </c>
      <c r="F175" s="323">
        <f t="shared" si="23"/>
        <v>0.50904695684420342</v>
      </c>
      <c r="G175" s="458"/>
      <c r="H175" s="328" t="s">
        <v>96</v>
      </c>
      <c r="I175" s="329" t="s">
        <v>135</v>
      </c>
      <c r="J175" s="327">
        <f>J169/((($I169*$B165)*(1-$B162))/$B160)</f>
        <v>0.16444554716833543</v>
      </c>
      <c r="K175" s="327">
        <f>K169/((($I169*$B165)*(1-$B162))/$B160)</f>
        <v>0.14609004419586985</v>
      </c>
      <c r="L175" s="327">
        <f>L169/((($I169*$B165)*(1-$B162))/$B160)</f>
        <v>5.1712599734042554E-2</v>
      </c>
      <c r="M175" s="327"/>
      <c r="N175" s="477"/>
      <c r="O175" s="323">
        <f t="shared" si="24"/>
        <v>0.36224819109824785</v>
      </c>
      <c r="P175" s="721"/>
      <c r="Q175" s="741"/>
      <c r="R175" s="741"/>
      <c r="S175" s="741"/>
    </row>
    <row r="176" spans="1:19" x14ac:dyDescent="0.25">
      <c r="A176" s="717"/>
      <c r="B176" s="717"/>
      <c r="C176" s="717"/>
      <c r="D176" s="717"/>
      <c r="E176" s="717"/>
      <c r="F176" s="717"/>
      <c r="G176" s="717"/>
      <c r="H176" s="717"/>
      <c r="I176" s="717"/>
      <c r="J176" s="717"/>
      <c r="K176" s="717"/>
      <c r="L176" s="717"/>
      <c r="M176" s="717"/>
      <c r="N176" s="717"/>
      <c r="O176" s="717"/>
      <c r="P176" s="717"/>
      <c r="Q176" s="717"/>
      <c r="R176" s="717"/>
      <c r="S176" s="717"/>
    </row>
    <row r="177" spans="1:19" ht="21" x14ac:dyDescent="0.25">
      <c r="A177" s="304"/>
      <c r="B177" s="718" t="s">
        <v>35</v>
      </c>
      <c r="C177" s="719"/>
      <c r="D177" s="719"/>
      <c r="E177" s="719"/>
      <c r="F177" s="719"/>
      <c r="G177" s="719"/>
      <c r="H177" s="719"/>
      <c r="I177" s="719"/>
      <c r="J177" s="719"/>
      <c r="K177" s="719"/>
      <c r="L177" s="719"/>
      <c r="M177" s="719"/>
      <c r="N177" s="719"/>
      <c r="O177" s="720"/>
      <c r="P177" s="721" t="s">
        <v>97</v>
      </c>
      <c r="Q177" s="722" t="s">
        <v>58</v>
      </c>
      <c r="R177" s="722"/>
      <c r="S177" s="722"/>
    </row>
    <row r="178" spans="1:19" x14ac:dyDescent="0.25">
      <c r="A178" s="304"/>
      <c r="B178" s="724" t="s">
        <v>115</v>
      </c>
      <c r="C178" s="725"/>
      <c r="D178" s="725"/>
      <c r="E178" s="725"/>
      <c r="F178" s="725"/>
      <c r="G178" s="725"/>
      <c r="H178" s="725"/>
      <c r="I178" s="725"/>
      <c r="J178" s="725"/>
      <c r="K178" s="725"/>
      <c r="L178" s="725"/>
      <c r="M178" s="725"/>
      <c r="N178" s="725"/>
      <c r="O178" s="726"/>
      <c r="P178" s="721"/>
      <c r="Q178" s="722"/>
      <c r="R178" s="722"/>
      <c r="S178" s="722"/>
    </row>
    <row r="179" spans="1:19" x14ac:dyDescent="0.25">
      <c r="A179" s="302" t="s">
        <v>106</v>
      </c>
      <c r="B179" s="727">
        <v>17.5</v>
      </c>
      <c r="C179" s="727"/>
      <c r="D179" s="727"/>
      <c r="E179" s="727"/>
      <c r="F179" s="727"/>
      <c r="G179" s="728"/>
      <c r="H179" s="727"/>
      <c r="I179" s="727"/>
      <c r="J179" s="727"/>
      <c r="K179" s="727"/>
      <c r="L179" s="727"/>
      <c r="M179" s="727"/>
      <c r="N179" s="728"/>
      <c r="O179" s="727"/>
      <c r="P179" s="721"/>
      <c r="Q179" s="722"/>
      <c r="R179" s="722"/>
      <c r="S179" s="722"/>
    </row>
    <row r="180" spans="1:19" x14ac:dyDescent="0.25">
      <c r="A180" s="303" t="s">
        <v>112</v>
      </c>
      <c r="B180" s="729">
        <v>0.24</v>
      </c>
      <c r="C180" s="727"/>
      <c r="D180" s="727"/>
      <c r="E180" s="727"/>
      <c r="F180" s="727"/>
      <c r="G180" s="728"/>
      <c r="H180" s="727"/>
      <c r="I180" s="727"/>
      <c r="J180" s="727"/>
      <c r="K180" s="727"/>
      <c r="L180" s="727"/>
      <c r="M180" s="727"/>
      <c r="N180" s="728"/>
      <c r="O180" s="727"/>
      <c r="P180" s="721"/>
      <c r="Q180" s="722"/>
      <c r="R180" s="722"/>
      <c r="S180" s="722"/>
    </row>
    <row r="181" spans="1:19" ht="15.75" thickBot="1" x14ac:dyDescent="0.3">
      <c r="A181" s="303" t="s">
        <v>107</v>
      </c>
      <c r="B181" s="730">
        <f>B179-(B180*B179)</f>
        <v>13.3</v>
      </c>
      <c r="C181" s="730"/>
      <c r="D181" s="730"/>
      <c r="E181" s="730"/>
      <c r="F181" s="730"/>
      <c r="G181" s="731"/>
      <c r="H181" s="730"/>
      <c r="I181" s="730"/>
      <c r="J181" s="730"/>
      <c r="K181" s="730"/>
      <c r="L181" s="730"/>
      <c r="M181" s="730"/>
      <c r="N181" s="731"/>
      <c r="O181" s="730"/>
      <c r="P181" s="721"/>
      <c r="Q181" s="723"/>
      <c r="R181" s="723"/>
      <c r="S181" s="723"/>
    </row>
    <row r="182" spans="1:19" x14ac:dyDescent="0.25">
      <c r="A182" s="303" t="s">
        <v>108</v>
      </c>
      <c r="B182" s="751">
        <f>(B185/B181)</f>
        <v>0.91825263157894754</v>
      </c>
      <c r="C182" s="751"/>
      <c r="D182" s="751"/>
      <c r="E182" s="751"/>
      <c r="F182" s="751"/>
      <c r="G182" s="752"/>
      <c r="H182" s="751"/>
      <c r="I182" s="751"/>
      <c r="J182" s="751"/>
      <c r="K182" s="751"/>
      <c r="L182" s="751"/>
      <c r="M182" s="751"/>
      <c r="N182" s="752"/>
      <c r="O182" s="751"/>
      <c r="P182" s="721"/>
      <c r="Q182" s="736" t="s">
        <v>139</v>
      </c>
      <c r="R182" s="208" t="s">
        <v>140</v>
      </c>
      <c r="S182" s="734" t="s">
        <v>142</v>
      </c>
    </row>
    <row r="183" spans="1:19" ht="15.75" thickBot="1" x14ac:dyDescent="0.3">
      <c r="A183" s="303" t="s">
        <v>113</v>
      </c>
      <c r="B183" s="730">
        <f>B187*((A190+A191+I190+I191)/1000)</f>
        <v>43.617000000000004</v>
      </c>
      <c r="C183" s="730"/>
      <c r="D183" s="730"/>
      <c r="E183" s="730"/>
      <c r="F183" s="730"/>
      <c r="G183" s="731"/>
      <c r="H183" s="730"/>
      <c r="I183" s="730"/>
      <c r="J183" s="730"/>
      <c r="K183" s="730"/>
      <c r="L183" s="730"/>
      <c r="M183" s="730"/>
      <c r="N183" s="731"/>
      <c r="O183" s="730"/>
      <c r="P183" s="721"/>
      <c r="Q183" s="737"/>
      <c r="R183" s="209" t="s">
        <v>141</v>
      </c>
      <c r="S183" s="735"/>
    </row>
    <row r="184" spans="1:19" ht="15.75" thickBot="1" x14ac:dyDescent="0.3">
      <c r="A184" s="303" t="s">
        <v>109</v>
      </c>
      <c r="B184" s="729">
        <v>0.72</v>
      </c>
      <c r="C184" s="727"/>
      <c r="D184" s="727"/>
      <c r="E184" s="727"/>
      <c r="F184" s="727"/>
      <c r="G184" s="728"/>
      <c r="H184" s="727"/>
      <c r="I184" s="727"/>
      <c r="J184" s="727"/>
      <c r="K184" s="727"/>
      <c r="L184" s="727"/>
      <c r="M184" s="727"/>
      <c r="N184" s="728"/>
      <c r="O184" s="727"/>
      <c r="P184" s="721"/>
      <c r="Q184" s="210" t="s">
        <v>143</v>
      </c>
      <c r="R184" s="209">
        <v>3</v>
      </c>
      <c r="S184" s="211" t="s">
        <v>56</v>
      </c>
    </row>
    <row r="185" spans="1:19" ht="15.75" thickBot="1" x14ac:dyDescent="0.3">
      <c r="A185" s="303" t="s">
        <v>122</v>
      </c>
      <c r="B185" s="730">
        <f>B183-(B183*B184)</f>
        <v>12.212760000000003</v>
      </c>
      <c r="C185" s="730"/>
      <c r="D185" s="730"/>
      <c r="E185" s="730"/>
      <c r="F185" s="730"/>
      <c r="G185" s="731"/>
      <c r="H185" s="730"/>
      <c r="I185" s="730"/>
      <c r="J185" s="730"/>
      <c r="K185" s="730"/>
      <c r="L185" s="730"/>
      <c r="M185" s="730"/>
      <c r="N185" s="731"/>
      <c r="O185" s="730"/>
      <c r="P185" s="721"/>
      <c r="Q185" s="210" t="s">
        <v>145</v>
      </c>
      <c r="R185" s="209">
        <v>9</v>
      </c>
      <c r="S185" s="212" t="s">
        <v>28</v>
      </c>
    </row>
    <row r="186" spans="1:19" ht="15.75" thickBot="1" x14ac:dyDescent="0.3">
      <c r="A186" s="303" t="s">
        <v>110</v>
      </c>
      <c r="B186" s="727">
        <v>132</v>
      </c>
      <c r="C186" s="727"/>
      <c r="D186" s="727"/>
      <c r="E186" s="727"/>
      <c r="F186" s="727"/>
      <c r="G186" s="728"/>
      <c r="H186" s="727"/>
      <c r="I186" s="727"/>
      <c r="J186" s="727"/>
      <c r="K186" s="727"/>
      <c r="L186" s="727"/>
      <c r="M186" s="727"/>
      <c r="N186" s="728"/>
      <c r="O186" s="727"/>
      <c r="P186" s="721"/>
      <c r="Q186" s="210" t="s">
        <v>147</v>
      </c>
      <c r="R186" s="209">
        <v>7</v>
      </c>
      <c r="S186" s="212" t="s">
        <v>148</v>
      </c>
    </row>
    <row r="187" spans="1:19" x14ac:dyDescent="0.25">
      <c r="A187" s="303" t="s">
        <v>111</v>
      </c>
      <c r="B187" s="727">
        <v>15.5</v>
      </c>
      <c r="C187" s="727"/>
      <c r="D187" s="727"/>
      <c r="E187" s="727"/>
      <c r="F187" s="727"/>
      <c r="G187" s="728"/>
      <c r="H187" s="727"/>
      <c r="I187" s="727"/>
      <c r="J187" s="727"/>
      <c r="K187" s="727"/>
      <c r="L187" s="727"/>
      <c r="M187" s="727"/>
      <c r="N187" s="728"/>
      <c r="O187" s="727"/>
      <c r="P187" s="721"/>
      <c r="Q187" s="213" t="s">
        <v>149</v>
      </c>
      <c r="R187" s="736">
        <v>4</v>
      </c>
      <c r="S187" s="738" t="s">
        <v>57</v>
      </c>
    </row>
    <row r="188" spans="1:19" ht="15.75" thickBot="1" x14ac:dyDescent="0.3">
      <c r="A188" s="587" t="s">
        <v>127</v>
      </c>
      <c r="B188" s="588"/>
      <c r="C188" s="588"/>
      <c r="D188" s="588"/>
      <c r="E188" s="688"/>
      <c r="F188" s="316"/>
      <c r="G188" s="314"/>
      <c r="H188" s="668" t="s">
        <v>128</v>
      </c>
      <c r="I188" s="669"/>
      <c r="J188" s="669"/>
      <c r="K188" s="669"/>
      <c r="L188" s="689"/>
      <c r="M188" s="350"/>
      <c r="N188" s="454"/>
      <c r="O188" s="316"/>
      <c r="P188" s="721"/>
      <c r="Q188" s="210" t="s">
        <v>150</v>
      </c>
      <c r="R188" s="737"/>
      <c r="S188" s="739"/>
    </row>
    <row r="189" spans="1:19" ht="15.75" thickBot="1" x14ac:dyDescent="0.3">
      <c r="A189" s="295" t="s">
        <v>98</v>
      </c>
      <c r="B189" s="317" t="s">
        <v>102</v>
      </c>
      <c r="C189" s="317" t="s">
        <v>92</v>
      </c>
      <c r="D189" s="317" t="s">
        <v>93</v>
      </c>
      <c r="E189" s="317" t="s">
        <v>94</v>
      </c>
      <c r="F189" s="319" t="s">
        <v>99</v>
      </c>
      <c r="G189" s="459"/>
      <c r="H189" s="317" t="s">
        <v>102</v>
      </c>
      <c r="I189" s="295" t="s">
        <v>98</v>
      </c>
      <c r="J189" s="317" t="s">
        <v>92</v>
      </c>
      <c r="K189" s="317" t="s">
        <v>93</v>
      </c>
      <c r="L189" s="317" t="s">
        <v>94</v>
      </c>
      <c r="M189" s="317"/>
      <c r="N189" s="463"/>
      <c r="O189" s="319" t="s">
        <v>99</v>
      </c>
      <c r="P189" s="721"/>
      <c r="Q189" s="210" t="s">
        <v>152</v>
      </c>
      <c r="R189" s="209">
        <v>9</v>
      </c>
      <c r="S189" s="212" t="s">
        <v>30</v>
      </c>
    </row>
    <row r="190" spans="1:19" ht="15.75" thickBot="1" x14ac:dyDescent="0.3">
      <c r="A190" s="299">
        <v>1265</v>
      </c>
      <c r="B190" s="317" t="s">
        <v>95</v>
      </c>
      <c r="C190" s="320">
        <v>837.4</v>
      </c>
      <c r="D190" s="320">
        <v>994.46</v>
      </c>
      <c r="E190" s="320">
        <v>600.16</v>
      </c>
      <c r="F190" s="322">
        <f>SUM(C190:E190)</f>
        <v>2432.02</v>
      </c>
      <c r="G190" s="457"/>
      <c r="H190" s="320" t="s">
        <v>95</v>
      </c>
      <c r="I190" s="299">
        <v>1226</v>
      </c>
      <c r="J190" s="320">
        <v>996.9</v>
      </c>
      <c r="K190" s="320">
        <v>1096</v>
      </c>
      <c r="L190" s="320">
        <v>480.9</v>
      </c>
      <c r="M190" s="320"/>
      <c r="N190" s="476"/>
      <c r="O190" s="322">
        <f t="shared" ref="O190:O197" si="25">SUM(J190:L190)</f>
        <v>2573.8000000000002</v>
      </c>
      <c r="P190" s="721"/>
      <c r="Q190" s="210" t="s">
        <v>154</v>
      </c>
      <c r="R190" s="209">
        <v>9</v>
      </c>
      <c r="S190" s="211" t="s">
        <v>155</v>
      </c>
    </row>
    <row r="191" spans="1:19" ht="15.75" thickBot="1" x14ac:dyDescent="0.3">
      <c r="A191" s="299">
        <v>162</v>
      </c>
      <c r="B191" s="317" t="s">
        <v>96</v>
      </c>
      <c r="C191" s="320">
        <v>131.12</v>
      </c>
      <c r="D191" s="320">
        <v>82.16</v>
      </c>
      <c r="E191" s="320">
        <v>115.45</v>
      </c>
      <c r="F191" s="322">
        <f>SUM(C191:E191)</f>
        <v>328.73</v>
      </c>
      <c r="G191" s="457"/>
      <c r="H191" s="320" t="s">
        <v>96</v>
      </c>
      <c r="I191" s="299">
        <v>161</v>
      </c>
      <c r="J191" s="320">
        <v>142.6</v>
      </c>
      <c r="K191" s="320">
        <v>107.08</v>
      </c>
      <c r="L191" s="320">
        <v>113.61</v>
      </c>
      <c r="M191" s="320"/>
      <c r="N191" s="476"/>
      <c r="O191" s="322">
        <f t="shared" si="25"/>
        <v>363.29</v>
      </c>
      <c r="P191" s="721"/>
      <c r="Q191" s="210" t="s">
        <v>156</v>
      </c>
      <c r="R191" s="209">
        <v>9</v>
      </c>
      <c r="S191" s="211" t="s">
        <v>31</v>
      </c>
    </row>
    <row r="192" spans="1:19" ht="15.75" thickBot="1" x14ac:dyDescent="0.3">
      <c r="A192" s="295" t="s">
        <v>100</v>
      </c>
      <c r="B192" s="317" t="s">
        <v>95</v>
      </c>
      <c r="C192" s="359">
        <f t="shared" ref="C192:E193" si="26">C190/$A190</f>
        <v>0.66197628458498026</v>
      </c>
      <c r="D192" s="359">
        <f t="shared" si="26"/>
        <v>0.78613438735177865</v>
      </c>
      <c r="E192" s="359">
        <f t="shared" si="26"/>
        <v>0.47443478260869565</v>
      </c>
      <c r="F192" s="360">
        <f t="shared" ref="F192:F197" si="27">SUM(C192:E192)</f>
        <v>1.9225454545454546</v>
      </c>
      <c r="G192" s="360"/>
      <c r="H192" s="320" t="s">
        <v>95</v>
      </c>
      <c r="I192" s="324" t="s">
        <v>100</v>
      </c>
      <c r="J192" s="320">
        <f>J190/$I$190</f>
        <v>0.81313213703099507</v>
      </c>
      <c r="K192" s="320">
        <f>K190/$I$190</f>
        <v>0.89396411092985317</v>
      </c>
      <c r="L192" s="320">
        <f>L190/$I$190</f>
        <v>0.3922512234910277</v>
      </c>
      <c r="M192" s="320"/>
      <c r="N192" s="476"/>
      <c r="O192" s="323">
        <f t="shared" si="25"/>
        <v>2.0993474714518761</v>
      </c>
      <c r="P192" s="721"/>
      <c r="Q192" s="210" t="s">
        <v>158</v>
      </c>
      <c r="R192" s="209">
        <v>4</v>
      </c>
      <c r="S192" s="211" t="s">
        <v>24</v>
      </c>
    </row>
    <row r="193" spans="1:19" ht="16.5" thickBot="1" x14ac:dyDescent="0.3">
      <c r="A193" s="295" t="s">
        <v>100</v>
      </c>
      <c r="B193" s="317" t="s">
        <v>96</v>
      </c>
      <c r="C193" s="359">
        <f t="shared" si="26"/>
        <v>0.80938271604938272</v>
      </c>
      <c r="D193" s="359">
        <f t="shared" si="26"/>
        <v>0.50716049382716044</v>
      </c>
      <c r="E193" s="359">
        <f t="shared" si="26"/>
        <v>0.71265432098765435</v>
      </c>
      <c r="F193" s="360">
        <f t="shared" si="27"/>
        <v>2.0291975308641974</v>
      </c>
      <c r="G193" s="360"/>
      <c r="H193" s="320" t="s">
        <v>96</v>
      </c>
      <c r="I193" s="324" t="s">
        <v>100</v>
      </c>
      <c r="J193" s="320">
        <f>J191/$I$191</f>
        <v>0.88571428571428568</v>
      </c>
      <c r="K193" s="320">
        <f>K191/$I$191</f>
        <v>0.66509316770186333</v>
      </c>
      <c r="L193" s="320">
        <f>L191/$I$191</f>
        <v>0.70565217391304347</v>
      </c>
      <c r="M193" s="320"/>
      <c r="N193" s="476"/>
      <c r="O193" s="323">
        <f t="shared" si="25"/>
        <v>2.2564596273291926</v>
      </c>
      <c r="P193" s="721"/>
      <c r="Q193" s="214" t="s">
        <v>99</v>
      </c>
      <c r="R193" s="197">
        <f>SUM(R184:R192)/80</f>
        <v>0.67500000000000004</v>
      </c>
      <c r="S193" s="198">
        <f>R193</f>
        <v>0.67500000000000004</v>
      </c>
    </row>
    <row r="194" spans="1:19" x14ac:dyDescent="0.25">
      <c r="A194" s="295" t="s">
        <v>104</v>
      </c>
      <c r="B194" s="325" t="s">
        <v>95</v>
      </c>
      <c r="C194" s="359">
        <f>C190/($A190/7)</f>
        <v>4.6338339920948615</v>
      </c>
      <c r="D194" s="359">
        <f>D190/($A190/7)</f>
        <v>5.5029407114624505</v>
      </c>
      <c r="E194" s="359">
        <f>E190/($A190/7)</f>
        <v>3.3210434782608691</v>
      </c>
      <c r="F194" s="360">
        <f t="shared" si="27"/>
        <v>13.45781818181818</v>
      </c>
      <c r="G194" s="469"/>
      <c r="H194" s="338" t="s">
        <v>95</v>
      </c>
      <c r="I194" s="324" t="s">
        <v>105</v>
      </c>
      <c r="J194" s="320">
        <f>J190/($I$190/7.7)</f>
        <v>6.2611174551386624</v>
      </c>
      <c r="K194" s="320">
        <f>K190/($I$190/7.7)</f>
        <v>6.8835236541598697</v>
      </c>
      <c r="L194" s="320">
        <f>L190/($I$190/7.7)</f>
        <v>3.0203344208809138</v>
      </c>
      <c r="M194" s="320"/>
      <c r="N194" s="476"/>
      <c r="O194" s="322">
        <f t="shared" si="25"/>
        <v>16.164975530179447</v>
      </c>
      <c r="P194" s="721"/>
      <c r="Q194" s="740"/>
      <c r="R194" s="740"/>
      <c r="S194" s="740"/>
    </row>
    <row r="195" spans="1:19" x14ac:dyDescent="0.25">
      <c r="A195" s="295" t="s">
        <v>104</v>
      </c>
      <c r="B195" s="325" t="s">
        <v>96</v>
      </c>
      <c r="C195" s="359">
        <f>C191/($A191/7.7)</f>
        <v>6.2322469135802478</v>
      </c>
      <c r="D195" s="359">
        <f>D191/($A191/7.7)</f>
        <v>3.9051358024691361</v>
      </c>
      <c r="E195" s="359">
        <f>E191/($A191/7.7)</f>
        <v>5.4874382716049386</v>
      </c>
      <c r="F195" s="360">
        <f t="shared" si="27"/>
        <v>15.624820987654322</v>
      </c>
      <c r="G195" s="360"/>
      <c r="H195" s="358" t="s">
        <v>96</v>
      </c>
      <c r="I195" s="324" t="s">
        <v>105</v>
      </c>
      <c r="J195" s="320">
        <f>J191/($I$191/7.7)</f>
        <v>6.8199999999999994</v>
      </c>
      <c r="K195" s="320">
        <f>K191/($I$191/7.7)</f>
        <v>5.1212173913043477</v>
      </c>
      <c r="L195" s="320">
        <f>L191/($I$191/7.7)</f>
        <v>5.4335217391304349</v>
      </c>
      <c r="M195" s="320"/>
      <c r="N195" s="476"/>
      <c r="O195" s="322">
        <f t="shared" si="25"/>
        <v>17.374739130434783</v>
      </c>
      <c r="P195" s="721"/>
      <c r="Q195" s="741"/>
      <c r="R195" s="741"/>
      <c r="S195" s="741"/>
    </row>
    <row r="196" spans="1:19" x14ac:dyDescent="0.25">
      <c r="A196" s="295" t="s">
        <v>135</v>
      </c>
      <c r="B196" s="317" t="s">
        <v>95</v>
      </c>
      <c r="C196" s="361">
        <f>C190/((($A190*$B187)*(1-$B184))/$B182)</f>
        <v>0.14006024547534845</v>
      </c>
      <c r="D196" s="361">
        <f>D190/((($A190*$B187)*(1-$B184))/$B182)</f>
        <v>0.16632948616600793</v>
      </c>
      <c r="E196" s="361">
        <f>E190/((($A190*$B187)*(1-$B184))/$B182)</f>
        <v>0.1003804118993135</v>
      </c>
      <c r="F196" s="360">
        <f t="shared" si="27"/>
        <v>0.40677014354066993</v>
      </c>
      <c r="G196" s="360"/>
      <c r="H196" s="328" t="s">
        <v>95</v>
      </c>
      <c r="I196" s="329" t="s">
        <v>135</v>
      </c>
      <c r="J196" s="327">
        <f>J190/((($I190*$B187)*(1-$B184))/$B182)</f>
        <v>0.17204164162445268</v>
      </c>
      <c r="K196" s="327">
        <f>K190/((($I190*$B187)*(1-$B184))/$B182)</f>
        <v>0.18914398557568476</v>
      </c>
      <c r="L196" s="327">
        <f>L190/((($I190*$B187)*(1-$B184))/$B182)</f>
        <v>8.2992100970206942E-2</v>
      </c>
      <c r="M196" s="327"/>
      <c r="N196" s="477"/>
      <c r="O196" s="323">
        <f t="shared" si="25"/>
        <v>0.4441777281703444</v>
      </c>
      <c r="P196" s="721"/>
      <c r="Q196" s="741"/>
      <c r="R196" s="741"/>
      <c r="S196" s="741"/>
    </row>
    <row r="197" spans="1:19" x14ac:dyDescent="0.25">
      <c r="A197" s="295" t="s">
        <v>135</v>
      </c>
      <c r="B197" s="317" t="s">
        <v>96</v>
      </c>
      <c r="C197" s="361">
        <f>C191/((($A191*$B187)*(1-$B184))/$B182)</f>
        <v>0.17124834307992207</v>
      </c>
      <c r="D197" s="361">
        <f>D191/((($A191*$B187)*(1-$B184))/$B182)</f>
        <v>0.10730448343079924</v>
      </c>
      <c r="E197" s="361">
        <f>E191/((($A191*$B187)*(1-$B184))/$B182)</f>
        <v>0.1507826510721248</v>
      </c>
      <c r="F197" s="360">
        <f t="shared" si="27"/>
        <v>0.42933547758284613</v>
      </c>
      <c r="G197" s="360"/>
      <c r="H197" s="328" t="s">
        <v>96</v>
      </c>
      <c r="I197" s="329" t="s">
        <v>135</v>
      </c>
      <c r="J197" s="327">
        <f>J191/((($I191*$B187)*(1-$B184))/$B182)</f>
        <v>0.18739849624060151</v>
      </c>
      <c r="K197" s="327">
        <f>K191/((($I191*$B187)*(1-$B184))/$B182)</f>
        <v>0.14071971232428898</v>
      </c>
      <c r="L197" s="327">
        <f>L191/((($I191*$B187)*(1-$B184))/$B182)</f>
        <v>0.14930114416475973</v>
      </c>
      <c r="M197" s="327"/>
      <c r="N197" s="477"/>
      <c r="O197" s="323">
        <f t="shared" si="25"/>
        <v>0.47741935272965019</v>
      </c>
      <c r="P197" s="721"/>
      <c r="Q197" s="741"/>
      <c r="R197" s="741"/>
      <c r="S197" s="741"/>
    </row>
    <row r="198" spans="1:19" x14ac:dyDescent="0.25">
      <c r="A198" s="717"/>
      <c r="B198" s="717"/>
      <c r="C198" s="717"/>
      <c r="D198" s="717"/>
      <c r="E198" s="717"/>
      <c r="F198" s="717"/>
      <c r="G198" s="717"/>
      <c r="H198" s="717"/>
      <c r="I198" s="717"/>
      <c r="J198" s="717"/>
      <c r="K198" s="717"/>
      <c r="L198" s="717"/>
      <c r="M198" s="717"/>
      <c r="N198" s="717"/>
      <c r="O198" s="717"/>
      <c r="P198" s="717"/>
      <c r="Q198" s="717"/>
      <c r="R198" s="717"/>
      <c r="S198" s="717"/>
    </row>
    <row r="199" spans="1:19" ht="21" x14ac:dyDescent="0.25">
      <c r="A199" s="304"/>
      <c r="B199" s="718" t="s">
        <v>62</v>
      </c>
      <c r="C199" s="719"/>
      <c r="D199" s="719"/>
      <c r="E199" s="719"/>
      <c r="F199" s="719"/>
      <c r="G199" s="719"/>
      <c r="H199" s="719"/>
      <c r="I199" s="719"/>
      <c r="J199" s="719"/>
      <c r="K199" s="719"/>
      <c r="L199" s="719"/>
      <c r="M199" s="719"/>
      <c r="N199" s="719"/>
      <c r="O199" s="720"/>
      <c r="P199" s="721" t="s">
        <v>97</v>
      </c>
      <c r="Q199" s="722" t="s">
        <v>61</v>
      </c>
      <c r="R199" s="722"/>
      <c r="S199" s="722"/>
    </row>
    <row r="200" spans="1:19" x14ac:dyDescent="0.25">
      <c r="A200" s="304"/>
      <c r="B200" s="724" t="s">
        <v>115</v>
      </c>
      <c r="C200" s="725"/>
      <c r="D200" s="725"/>
      <c r="E200" s="725"/>
      <c r="F200" s="725"/>
      <c r="G200" s="725"/>
      <c r="H200" s="725"/>
      <c r="I200" s="725"/>
      <c r="J200" s="725"/>
      <c r="K200" s="725"/>
      <c r="L200" s="725"/>
      <c r="M200" s="725"/>
      <c r="N200" s="725"/>
      <c r="O200" s="726"/>
      <c r="P200" s="721"/>
      <c r="Q200" s="722"/>
      <c r="R200" s="722"/>
      <c r="S200" s="722"/>
    </row>
    <row r="201" spans="1:19" x14ac:dyDescent="0.25">
      <c r="A201" s="302" t="s">
        <v>106</v>
      </c>
      <c r="B201" s="727">
        <v>17.5</v>
      </c>
      <c r="C201" s="727"/>
      <c r="D201" s="727"/>
      <c r="E201" s="727"/>
      <c r="F201" s="727"/>
      <c r="G201" s="728"/>
      <c r="H201" s="727"/>
      <c r="I201" s="727"/>
      <c r="J201" s="727"/>
      <c r="K201" s="727"/>
      <c r="L201" s="727"/>
      <c r="M201" s="727"/>
      <c r="N201" s="728"/>
      <c r="O201" s="727"/>
      <c r="P201" s="721"/>
      <c r="Q201" s="722"/>
      <c r="R201" s="722"/>
      <c r="S201" s="722"/>
    </row>
    <row r="202" spans="1:19" x14ac:dyDescent="0.25">
      <c r="A202" s="303" t="s">
        <v>112</v>
      </c>
      <c r="B202" s="729">
        <v>0.24</v>
      </c>
      <c r="C202" s="727"/>
      <c r="D202" s="727"/>
      <c r="E202" s="727"/>
      <c r="F202" s="727"/>
      <c r="G202" s="728"/>
      <c r="H202" s="727"/>
      <c r="I202" s="727"/>
      <c r="J202" s="727"/>
      <c r="K202" s="727"/>
      <c r="L202" s="727"/>
      <c r="M202" s="727"/>
      <c r="N202" s="728"/>
      <c r="O202" s="727"/>
      <c r="P202" s="721"/>
      <c r="Q202" s="722"/>
      <c r="R202" s="722"/>
      <c r="S202" s="722"/>
    </row>
    <row r="203" spans="1:19" ht="15.75" thickBot="1" x14ac:dyDescent="0.3">
      <c r="A203" s="303" t="s">
        <v>107</v>
      </c>
      <c r="B203" s="730">
        <f>B201-(B202*B201)</f>
        <v>13.3</v>
      </c>
      <c r="C203" s="730"/>
      <c r="D203" s="730"/>
      <c r="E203" s="730"/>
      <c r="F203" s="730"/>
      <c r="G203" s="731"/>
      <c r="H203" s="730"/>
      <c r="I203" s="730"/>
      <c r="J203" s="730"/>
      <c r="K203" s="730"/>
      <c r="L203" s="730"/>
      <c r="M203" s="730"/>
      <c r="N203" s="731"/>
      <c r="O203" s="730"/>
      <c r="P203" s="721"/>
      <c r="Q203" s="723"/>
      <c r="R203" s="723"/>
      <c r="S203" s="723"/>
    </row>
    <row r="204" spans="1:19" x14ac:dyDescent="0.25">
      <c r="A204" s="303" t="s">
        <v>108</v>
      </c>
      <c r="B204" s="751">
        <f>(B207/B203)</f>
        <v>0.77134736842105256</v>
      </c>
      <c r="C204" s="751"/>
      <c r="D204" s="751"/>
      <c r="E204" s="751"/>
      <c r="F204" s="751"/>
      <c r="G204" s="752"/>
      <c r="H204" s="751"/>
      <c r="I204" s="751"/>
      <c r="J204" s="751"/>
      <c r="K204" s="751"/>
      <c r="L204" s="751"/>
      <c r="M204" s="751"/>
      <c r="N204" s="752"/>
      <c r="O204" s="751"/>
      <c r="P204" s="721"/>
      <c r="Q204" s="736" t="s">
        <v>139</v>
      </c>
      <c r="R204" s="208" t="s">
        <v>140</v>
      </c>
      <c r="S204" s="734" t="s">
        <v>142</v>
      </c>
    </row>
    <row r="205" spans="1:19" ht="15.75" thickBot="1" x14ac:dyDescent="0.3">
      <c r="A205" s="303" t="s">
        <v>113</v>
      </c>
      <c r="B205" s="730">
        <f>B209*((A212+A213+I212+I213)/1000)</f>
        <v>34.775999999999996</v>
      </c>
      <c r="C205" s="730"/>
      <c r="D205" s="730"/>
      <c r="E205" s="730"/>
      <c r="F205" s="730"/>
      <c r="G205" s="731"/>
      <c r="H205" s="730"/>
      <c r="I205" s="730"/>
      <c r="J205" s="730"/>
      <c r="K205" s="730"/>
      <c r="L205" s="730"/>
      <c r="M205" s="730"/>
      <c r="N205" s="731"/>
      <c r="O205" s="730"/>
      <c r="P205" s="721"/>
      <c r="Q205" s="737"/>
      <c r="R205" s="209" t="s">
        <v>141</v>
      </c>
      <c r="S205" s="735"/>
    </row>
    <row r="206" spans="1:19" ht="29.25" thickBot="1" x14ac:dyDescent="0.3">
      <c r="A206" s="303" t="s">
        <v>109</v>
      </c>
      <c r="B206" s="729">
        <v>0.70499999999999996</v>
      </c>
      <c r="C206" s="727"/>
      <c r="D206" s="727"/>
      <c r="E206" s="727"/>
      <c r="F206" s="727"/>
      <c r="G206" s="728"/>
      <c r="H206" s="727"/>
      <c r="I206" s="727"/>
      <c r="J206" s="727"/>
      <c r="K206" s="727"/>
      <c r="L206" s="727"/>
      <c r="M206" s="727"/>
      <c r="N206" s="728"/>
      <c r="O206" s="727"/>
      <c r="P206" s="721"/>
      <c r="Q206" s="210" t="s">
        <v>143</v>
      </c>
      <c r="R206" s="209">
        <v>5</v>
      </c>
      <c r="S206" s="211" t="s">
        <v>27</v>
      </c>
    </row>
    <row r="207" spans="1:19" ht="15.75" thickBot="1" x14ac:dyDescent="0.3">
      <c r="A207" s="303" t="s">
        <v>122</v>
      </c>
      <c r="B207" s="730">
        <f>B205-(B205*B206)</f>
        <v>10.25892</v>
      </c>
      <c r="C207" s="730"/>
      <c r="D207" s="730"/>
      <c r="E207" s="730"/>
      <c r="F207" s="730"/>
      <c r="G207" s="731"/>
      <c r="H207" s="730"/>
      <c r="I207" s="730"/>
      <c r="J207" s="730"/>
      <c r="K207" s="730"/>
      <c r="L207" s="730"/>
      <c r="M207" s="730"/>
      <c r="N207" s="731"/>
      <c r="O207" s="730"/>
      <c r="P207" s="721"/>
      <c r="Q207" s="210" t="s">
        <v>145</v>
      </c>
      <c r="R207" s="209">
        <v>9</v>
      </c>
      <c r="S207" s="212" t="s">
        <v>28</v>
      </c>
    </row>
    <row r="208" spans="1:19" ht="15.75" thickBot="1" x14ac:dyDescent="0.3">
      <c r="A208" s="303" t="s">
        <v>110</v>
      </c>
      <c r="B208" s="727">
        <v>123</v>
      </c>
      <c r="C208" s="727"/>
      <c r="D208" s="727"/>
      <c r="E208" s="727"/>
      <c r="F208" s="727"/>
      <c r="G208" s="728"/>
      <c r="H208" s="727"/>
      <c r="I208" s="727"/>
      <c r="J208" s="727"/>
      <c r="K208" s="727"/>
      <c r="L208" s="727"/>
      <c r="M208" s="727"/>
      <c r="N208" s="728"/>
      <c r="O208" s="727"/>
      <c r="P208" s="721"/>
      <c r="Q208" s="210" t="s">
        <v>147</v>
      </c>
      <c r="R208" s="209">
        <v>8</v>
      </c>
      <c r="S208" s="212" t="s">
        <v>148</v>
      </c>
    </row>
    <row r="209" spans="1:19" x14ac:dyDescent="0.25">
      <c r="A209" s="303" t="s">
        <v>111</v>
      </c>
      <c r="B209" s="727">
        <v>14</v>
      </c>
      <c r="C209" s="727"/>
      <c r="D209" s="727"/>
      <c r="E209" s="727"/>
      <c r="F209" s="727"/>
      <c r="G209" s="728"/>
      <c r="H209" s="727"/>
      <c r="I209" s="727"/>
      <c r="J209" s="727"/>
      <c r="K209" s="727"/>
      <c r="L209" s="727"/>
      <c r="M209" s="727"/>
      <c r="N209" s="728"/>
      <c r="O209" s="727"/>
      <c r="P209" s="721"/>
      <c r="Q209" s="213" t="s">
        <v>149</v>
      </c>
      <c r="R209" s="736">
        <v>8</v>
      </c>
      <c r="S209" s="738" t="s">
        <v>29</v>
      </c>
    </row>
    <row r="210" spans="1:19" ht="15.75" thickBot="1" x14ac:dyDescent="0.3">
      <c r="A210" s="587" t="s">
        <v>127</v>
      </c>
      <c r="B210" s="588"/>
      <c r="C210" s="588"/>
      <c r="D210" s="588"/>
      <c r="E210" s="688"/>
      <c r="F210" s="316"/>
      <c r="G210" s="314"/>
      <c r="H210" s="668" t="s">
        <v>128</v>
      </c>
      <c r="I210" s="669"/>
      <c r="J210" s="669"/>
      <c r="K210" s="669"/>
      <c r="L210" s="689"/>
      <c r="M210" s="350"/>
      <c r="N210" s="454"/>
      <c r="O210" s="316"/>
      <c r="P210" s="721"/>
      <c r="Q210" s="210" t="s">
        <v>150</v>
      </c>
      <c r="R210" s="737"/>
      <c r="S210" s="739"/>
    </row>
    <row r="211" spans="1:19" ht="15.75" thickBot="1" x14ac:dyDescent="0.3">
      <c r="A211" s="295" t="s">
        <v>98</v>
      </c>
      <c r="B211" s="317" t="s">
        <v>102</v>
      </c>
      <c r="C211" s="317" t="s">
        <v>92</v>
      </c>
      <c r="D211" s="317" t="s">
        <v>93</v>
      </c>
      <c r="E211" s="317" t="s">
        <v>94</v>
      </c>
      <c r="F211" s="319" t="s">
        <v>99</v>
      </c>
      <c r="G211" s="459"/>
      <c r="H211" s="317" t="s">
        <v>102</v>
      </c>
      <c r="I211" s="295" t="s">
        <v>98</v>
      </c>
      <c r="J211" s="317" t="s">
        <v>92</v>
      </c>
      <c r="K211" s="317" t="s">
        <v>93</v>
      </c>
      <c r="L211" s="317" t="s">
        <v>94</v>
      </c>
      <c r="M211" s="317"/>
      <c r="N211" s="463"/>
      <c r="O211" s="319" t="s">
        <v>99</v>
      </c>
      <c r="P211" s="721"/>
      <c r="Q211" s="210" t="s">
        <v>152</v>
      </c>
      <c r="R211" s="209">
        <v>9</v>
      </c>
      <c r="S211" s="212" t="s">
        <v>30</v>
      </c>
    </row>
    <row r="212" spans="1:19" ht="15.75" thickBot="1" x14ac:dyDescent="0.3">
      <c r="A212" s="299">
        <v>1087</v>
      </c>
      <c r="B212" s="317" t="s">
        <v>95</v>
      </c>
      <c r="C212" s="320">
        <v>495.6</v>
      </c>
      <c r="D212" s="320">
        <v>864.8</v>
      </c>
      <c r="E212" s="320">
        <v>389.2</v>
      </c>
      <c r="F212" s="322">
        <f t="shared" ref="F212:F219" si="28">SUM(C212:E212)</f>
        <v>1749.6000000000001</v>
      </c>
      <c r="G212" s="457"/>
      <c r="H212" s="320" t="s">
        <v>95</v>
      </c>
      <c r="I212" s="362">
        <v>1097</v>
      </c>
      <c r="J212" s="320">
        <v>874.6</v>
      </c>
      <c r="K212" s="320">
        <v>1016.4</v>
      </c>
      <c r="L212" s="320">
        <v>1431.3</v>
      </c>
      <c r="M212" s="320"/>
      <c r="N212" s="476"/>
      <c r="O212" s="322">
        <f t="shared" ref="O212:O219" si="29">SUM(J212:L212)</f>
        <v>3322.3</v>
      </c>
      <c r="P212" s="721"/>
      <c r="Q212" s="210" t="s">
        <v>154</v>
      </c>
      <c r="R212" s="209">
        <v>9</v>
      </c>
      <c r="S212" s="211" t="s">
        <v>155</v>
      </c>
    </row>
    <row r="213" spans="1:19" ht="15.75" thickBot="1" x14ac:dyDescent="0.3">
      <c r="A213" s="299">
        <v>152</v>
      </c>
      <c r="B213" s="317" t="s">
        <v>96</v>
      </c>
      <c r="C213" s="320">
        <v>99.28</v>
      </c>
      <c r="D213" s="320">
        <v>131.52000000000001</v>
      </c>
      <c r="E213" s="320">
        <v>3.1</v>
      </c>
      <c r="F213" s="322">
        <f t="shared" si="28"/>
        <v>233.9</v>
      </c>
      <c r="G213" s="457"/>
      <c r="H213" s="320" t="s">
        <v>96</v>
      </c>
      <c r="I213" s="299">
        <v>148</v>
      </c>
      <c r="J213" s="320">
        <v>117</v>
      </c>
      <c r="K213" s="320">
        <v>107.54</v>
      </c>
      <c r="L213" s="320">
        <v>142.69999999999999</v>
      </c>
      <c r="M213" s="320"/>
      <c r="N213" s="476"/>
      <c r="O213" s="322">
        <f t="shared" si="29"/>
        <v>367.24</v>
      </c>
      <c r="P213" s="721"/>
      <c r="Q213" s="210" t="s">
        <v>156</v>
      </c>
      <c r="R213" s="209">
        <v>9</v>
      </c>
      <c r="S213" s="211" t="s">
        <v>31</v>
      </c>
    </row>
    <row r="214" spans="1:19" ht="15.75" thickBot="1" x14ac:dyDescent="0.3">
      <c r="A214" s="295" t="s">
        <v>100</v>
      </c>
      <c r="B214" s="317" t="s">
        <v>95</v>
      </c>
      <c r="C214" s="320">
        <f>C212/$A$212</f>
        <v>0.45593376264949403</v>
      </c>
      <c r="D214" s="320">
        <f>D212/$A$212</f>
        <v>0.79558417663293468</v>
      </c>
      <c r="E214" s="320">
        <f>E212/$A$212</f>
        <v>0.35804967801287946</v>
      </c>
      <c r="F214" s="323">
        <f t="shared" si="28"/>
        <v>1.6095676172953082</v>
      </c>
      <c r="G214" s="458"/>
      <c r="H214" s="320" t="s">
        <v>95</v>
      </c>
      <c r="I214" s="324" t="s">
        <v>100</v>
      </c>
      <c r="J214" s="320">
        <f>J212/$I$212</f>
        <v>0.79726526891522331</v>
      </c>
      <c r="K214" s="320">
        <f>K212/$I$212</f>
        <v>0.92652689152233358</v>
      </c>
      <c r="L214" s="320">
        <f>L212/$I$212</f>
        <v>1.3047402005469462</v>
      </c>
      <c r="M214" s="320"/>
      <c r="N214" s="476"/>
      <c r="O214" s="323">
        <f t="shared" si="29"/>
        <v>3.028532360984503</v>
      </c>
      <c r="P214" s="721"/>
      <c r="Q214" s="210" t="s">
        <v>158</v>
      </c>
      <c r="R214" s="209">
        <v>4</v>
      </c>
      <c r="S214" s="211" t="s">
        <v>24</v>
      </c>
    </row>
    <row r="215" spans="1:19" ht="16.5" thickBot="1" x14ac:dyDescent="0.3">
      <c r="A215" s="295" t="s">
        <v>100</v>
      </c>
      <c r="B215" s="317" t="s">
        <v>96</v>
      </c>
      <c r="C215" s="320">
        <f>C213/$A$213</f>
        <v>0.65315789473684216</v>
      </c>
      <c r="D215" s="320">
        <f>D213/$A$213</f>
        <v>0.86526315789473696</v>
      </c>
      <c r="E215" s="320">
        <f>E213/$A$213</f>
        <v>2.0394736842105264E-2</v>
      </c>
      <c r="F215" s="323">
        <f t="shared" si="28"/>
        <v>1.5388157894736845</v>
      </c>
      <c r="G215" s="458"/>
      <c r="H215" s="320" t="s">
        <v>96</v>
      </c>
      <c r="I215" s="324" t="s">
        <v>100</v>
      </c>
      <c r="J215" s="320">
        <f>J213/$I$213</f>
        <v>0.79054054054054057</v>
      </c>
      <c r="K215" s="320">
        <f>K213/$I$213</f>
        <v>0.72662162162162169</v>
      </c>
      <c r="L215" s="320">
        <f>L213/$I$213</f>
        <v>0.96418918918918917</v>
      </c>
      <c r="M215" s="320"/>
      <c r="N215" s="476"/>
      <c r="O215" s="323">
        <f t="shared" si="29"/>
        <v>2.4813513513513517</v>
      </c>
      <c r="P215" s="721"/>
      <c r="Q215" s="214" t="s">
        <v>99</v>
      </c>
      <c r="R215" s="197">
        <f>SUM(R206:R214)/80</f>
        <v>0.76249999999999996</v>
      </c>
      <c r="S215" s="198">
        <f>R215</f>
        <v>0.76249999999999996</v>
      </c>
    </row>
    <row r="216" spans="1:19" x14ac:dyDescent="0.25">
      <c r="A216" s="295" t="s">
        <v>104</v>
      </c>
      <c r="B216" s="325" t="s">
        <v>95</v>
      </c>
      <c r="C216" s="320">
        <f>C212/($A$212/7.7)</f>
        <v>3.5106899724011043</v>
      </c>
      <c r="D216" s="320">
        <f>D212/($A$212/7.7)</f>
        <v>6.1259981600735971</v>
      </c>
      <c r="E216" s="320">
        <f>E212/($A$212/7.7)</f>
        <v>2.756982520699172</v>
      </c>
      <c r="F216" s="323">
        <f t="shared" si="28"/>
        <v>12.393670653173873</v>
      </c>
      <c r="G216" s="460"/>
      <c r="H216" s="338" t="s">
        <v>95</v>
      </c>
      <c r="I216" s="324" t="s">
        <v>105</v>
      </c>
      <c r="J216" s="320">
        <f>J212/($I$212/7.7)</f>
        <v>6.1389425706472203</v>
      </c>
      <c r="K216" s="320">
        <f>K212/($I$212/7.7)</f>
        <v>7.134257064721969</v>
      </c>
      <c r="L216" s="320">
        <f>L212/($I$212/7.7)</f>
        <v>10.046499544211485</v>
      </c>
      <c r="M216" s="320"/>
      <c r="N216" s="476"/>
      <c r="O216" s="322">
        <f t="shared" si="29"/>
        <v>23.319699179580674</v>
      </c>
      <c r="P216" s="721"/>
      <c r="Q216" s="740"/>
      <c r="R216" s="740"/>
      <c r="S216" s="740"/>
    </row>
    <row r="217" spans="1:19" x14ac:dyDescent="0.25">
      <c r="A217" s="295" t="s">
        <v>104</v>
      </c>
      <c r="B217" s="325" t="s">
        <v>96</v>
      </c>
      <c r="C217" s="320">
        <f>C213/($A$213/7.7)</f>
        <v>5.0293157894736842</v>
      </c>
      <c r="D217" s="320">
        <f>D213/($A$213/7.7)</f>
        <v>6.6625263157894734</v>
      </c>
      <c r="E217" s="320">
        <f>E213/($A$213/7.7)</f>
        <v>0.15703947368421053</v>
      </c>
      <c r="F217" s="322">
        <f t="shared" si="28"/>
        <v>11.848881578947369</v>
      </c>
      <c r="G217" s="467"/>
      <c r="H217" s="358" t="s">
        <v>96</v>
      </c>
      <c r="I217" s="324" t="s">
        <v>105</v>
      </c>
      <c r="J217" s="320">
        <f>J213/($I$213/7.7)</f>
        <v>6.0871621621621621</v>
      </c>
      <c r="K217" s="320">
        <f>K213/($I$213/7.7)</f>
        <v>5.5949864864864871</v>
      </c>
      <c r="L217" s="320">
        <f>L213/($I$213/7.7)</f>
        <v>7.4242567567567557</v>
      </c>
      <c r="M217" s="320"/>
      <c r="N217" s="476"/>
      <c r="O217" s="322">
        <f t="shared" si="29"/>
        <v>19.106405405405404</v>
      </c>
      <c r="P217" s="721"/>
      <c r="Q217" s="741"/>
      <c r="R217" s="741"/>
      <c r="S217" s="741"/>
    </row>
    <row r="218" spans="1:19" x14ac:dyDescent="0.25">
      <c r="A218" s="295" t="s">
        <v>135</v>
      </c>
      <c r="B218" s="317" t="s">
        <v>95</v>
      </c>
      <c r="C218" s="327">
        <f>C212/((($A212*$B209)*(1-$B206))/$B204)</f>
        <v>8.5153343339950588E-2</v>
      </c>
      <c r="D218" s="327">
        <f>D212/((($A212*$B209)*(1-$B206))/$B204)</f>
        <v>0.1485888041170082</v>
      </c>
      <c r="E218" s="327">
        <f>E212/((($A212*$B209)*(1-$B206))/$B204)</f>
        <v>6.6871834600300176E-2</v>
      </c>
      <c r="F218" s="323">
        <f t="shared" si="28"/>
        <v>0.30061398205725898</v>
      </c>
      <c r="G218" s="458"/>
      <c r="H218" s="328" t="s">
        <v>95</v>
      </c>
      <c r="I218" s="329" t="s">
        <v>135</v>
      </c>
      <c r="J218" s="327">
        <f>J212/((($I212*$B209)*(1-$B206))/$B204)</f>
        <v>0.14890277654025671</v>
      </c>
      <c r="K218" s="327">
        <f>K212/((($I212*$B209)*(1-$B206))/$B204)</f>
        <v>0.17304457131890799</v>
      </c>
      <c r="L218" s="327">
        <f>L212/((($I212*$B209)*(1-$B206))/$B204)</f>
        <v>0.24368230512470779</v>
      </c>
      <c r="M218" s="327"/>
      <c r="N218" s="477"/>
      <c r="O218" s="323">
        <f t="shared" si="29"/>
        <v>0.56562965298387247</v>
      </c>
      <c r="P218" s="721"/>
      <c r="Q218" s="741"/>
      <c r="R218" s="741"/>
      <c r="S218" s="741"/>
    </row>
    <row r="219" spans="1:19" x14ac:dyDescent="0.25">
      <c r="A219" s="295" t="s">
        <v>135</v>
      </c>
      <c r="B219" s="317" t="s">
        <v>96</v>
      </c>
      <c r="C219" s="327">
        <f>C213/((($A213*$B209)*(1-$B206))/$B204)</f>
        <v>0.12198828650573799</v>
      </c>
      <c r="D219" s="327">
        <f>D213/((($A213*$B209)*(1-$B206))/$B204)</f>
        <v>0.16160253264740795</v>
      </c>
      <c r="E219" s="327">
        <f>E213/((($A213*$B209)*(1-$B206))/$B204)</f>
        <v>3.8090621290067265E-3</v>
      </c>
      <c r="F219" s="323">
        <f t="shared" si="28"/>
        <v>0.28739988128215266</v>
      </c>
      <c r="G219" s="458"/>
      <c r="H219" s="328" t="s">
        <v>96</v>
      </c>
      <c r="I219" s="329" t="s">
        <v>135</v>
      </c>
      <c r="J219" s="327">
        <f>J213/((($I213*$B209)*(1-$B206))/$B204)</f>
        <v>0.14764681975208288</v>
      </c>
      <c r="K219" s="327">
        <f>K213/((($I213*$B209)*(1-$B206))/$B204)</f>
        <v>0.13570888030888029</v>
      </c>
      <c r="L219" s="327">
        <f>L213/((($I213*$B209)*(1-$B206))/$B204)</f>
        <v>0.1800786425523267</v>
      </c>
      <c r="M219" s="327"/>
      <c r="N219" s="477"/>
      <c r="O219" s="323">
        <f t="shared" si="29"/>
        <v>0.46343434261328986</v>
      </c>
      <c r="P219" s="721"/>
      <c r="Q219" s="741"/>
      <c r="R219" s="741"/>
      <c r="S219" s="741"/>
    </row>
    <row r="220" spans="1:19" x14ac:dyDescent="0.25">
      <c r="A220" s="732" t="s">
        <v>90</v>
      </c>
      <c r="B220" s="732"/>
      <c r="C220" s="732"/>
      <c r="D220" s="732"/>
      <c r="E220" s="732"/>
      <c r="F220" s="732"/>
      <c r="G220" s="732"/>
      <c r="H220" s="732"/>
      <c r="I220" s="732"/>
      <c r="J220" s="732"/>
      <c r="K220" s="732"/>
      <c r="L220" s="732"/>
      <c r="M220" s="732"/>
      <c r="N220" s="732"/>
      <c r="O220" s="732"/>
      <c r="P220" s="732"/>
      <c r="Q220" s="733" t="s">
        <v>90</v>
      </c>
      <c r="R220" s="733"/>
      <c r="S220" s="733"/>
    </row>
    <row r="221" spans="1:19" ht="21" x14ac:dyDescent="0.25">
      <c r="A221" s="304"/>
      <c r="B221" s="718" t="s">
        <v>65</v>
      </c>
      <c r="C221" s="719"/>
      <c r="D221" s="719"/>
      <c r="E221" s="719"/>
      <c r="F221" s="719"/>
      <c r="G221" s="719"/>
      <c r="H221" s="719"/>
      <c r="I221" s="719"/>
      <c r="J221" s="719"/>
      <c r="K221" s="719"/>
      <c r="L221" s="719"/>
      <c r="M221" s="719"/>
      <c r="N221" s="719"/>
      <c r="O221" s="720"/>
      <c r="P221" s="721" t="s">
        <v>97</v>
      </c>
      <c r="Q221" s="722" t="s">
        <v>66</v>
      </c>
      <c r="R221" s="722"/>
      <c r="S221" s="722"/>
    </row>
    <row r="222" spans="1:19" x14ac:dyDescent="0.25">
      <c r="A222" s="304"/>
      <c r="B222" s="724" t="s">
        <v>115</v>
      </c>
      <c r="C222" s="725"/>
      <c r="D222" s="725"/>
      <c r="E222" s="725"/>
      <c r="F222" s="725"/>
      <c r="G222" s="725"/>
      <c r="H222" s="725"/>
      <c r="I222" s="725"/>
      <c r="J222" s="725"/>
      <c r="K222" s="725"/>
      <c r="L222" s="725"/>
      <c r="M222" s="725"/>
      <c r="N222" s="725"/>
      <c r="O222" s="726"/>
      <c r="P222" s="721"/>
      <c r="Q222" s="722"/>
      <c r="R222" s="722"/>
      <c r="S222" s="722"/>
    </row>
    <row r="223" spans="1:19" x14ac:dyDescent="0.25">
      <c r="A223" s="302" t="s">
        <v>106</v>
      </c>
      <c r="B223" s="727">
        <v>20</v>
      </c>
      <c r="C223" s="727"/>
      <c r="D223" s="727"/>
      <c r="E223" s="727"/>
      <c r="F223" s="727"/>
      <c r="G223" s="728"/>
      <c r="H223" s="727"/>
      <c r="I223" s="727"/>
      <c r="J223" s="727"/>
      <c r="K223" s="727"/>
      <c r="L223" s="727"/>
      <c r="M223" s="727"/>
      <c r="N223" s="728"/>
      <c r="O223" s="727"/>
      <c r="P223" s="721"/>
      <c r="Q223" s="722"/>
      <c r="R223" s="722"/>
      <c r="S223" s="722"/>
    </row>
    <row r="224" spans="1:19" x14ac:dyDescent="0.25">
      <c r="A224" s="303" t="s">
        <v>112</v>
      </c>
      <c r="B224" s="729">
        <v>0.20799999999999999</v>
      </c>
      <c r="C224" s="727"/>
      <c r="D224" s="727"/>
      <c r="E224" s="727"/>
      <c r="F224" s="727"/>
      <c r="G224" s="728"/>
      <c r="H224" s="727"/>
      <c r="I224" s="727"/>
      <c r="J224" s="727"/>
      <c r="K224" s="727"/>
      <c r="L224" s="727"/>
      <c r="M224" s="727"/>
      <c r="N224" s="728"/>
      <c r="O224" s="727"/>
      <c r="P224" s="721"/>
      <c r="Q224" s="722"/>
      <c r="R224" s="722"/>
      <c r="S224" s="722"/>
    </row>
    <row r="225" spans="1:19" ht="15.75" thickBot="1" x14ac:dyDescent="0.3">
      <c r="A225" s="303" t="s">
        <v>107</v>
      </c>
      <c r="B225" s="730">
        <f>B223-(B224*B223)</f>
        <v>15.84</v>
      </c>
      <c r="C225" s="730"/>
      <c r="D225" s="730"/>
      <c r="E225" s="730"/>
      <c r="F225" s="730"/>
      <c r="G225" s="731"/>
      <c r="H225" s="730"/>
      <c r="I225" s="730"/>
      <c r="J225" s="730"/>
      <c r="K225" s="730"/>
      <c r="L225" s="730"/>
      <c r="M225" s="730"/>
      <c r="N225" s="731"/>
      <c r="O225" s="730"/>
      <c r="P225" s="721"/>
      <c r="Q225" s="723"/>
      <c r="R225" s="723"/>
      <c r="S225" s="723"/>
    </row>
    <row r="226" spans="1:19" x14ac:dyDescent="0.25">
      <c r="A226" s="303" t="s">
        <v>108</v>
      </c>
      <c r="B226" s="751">
        <f>(B229/B225)</f>
        <v>0.83667140151515174</v>
      </c>
      <c r="C226" s="751"/>
      <c r="D226" s="751"/>
      <c r="E226" s="751"/>
      <c r="F226" s="751"/>
      <c r="G226" s="752"/>
      <c r="H226" s="751"/>
      <c r="I226" s="751"/>
      <c r="J226" s="751"/>
      <c r="K226" s="751"/>
      <c r="L226" s="751"/>
      <c r="M226" s="751"/>
      <c r="N226" s="752"/>
      <c r="O226" s="751"/>
      <c r="P226" s="721"/>
      <c r="Q226" s="736" t="s">
        <v>139</v>
      </c>
      <c r="R226" s="208" t="s">
        <v>140</v>
      </c>
      <c r="S226" s="734" t="s">
        <v>142</v>
      </c>
    </row>
    <row r="227" spans="1:19" ht="15.75" thickBot="1" x14ac:dyDescent="0.3">
      <c r="A227" s="303" t="s">
        <v>113</v>
      </c>
      <c r="B227" s="730">
        <f>B231*2.995</f>
        <v>44.925000000000004</v>
      </c>
      <c r="C227" s="730"/>
      <c r="D227" s="730"/>
      <c r="E227" s="730"/>
      <c r="F227" s="730"/>
      <c r="G227" s="731"/>
      <c r="H227" s="730"/>
      <c r="I227" s="730"/>
      <c r="J227" s="730"/>
      <c r="K227" s="730"/>
      <c r="L227" s="730"/>
      <c r="M227" s="730"/>
      <c r="N227" s="731"/>
      <c r="O227" s="730"/>
      <c r="P227" s="721"/>
      <c r="Q227" s="737"/>
      <c r="R227" s="209" t="s">
        <v>141</v>
      </c>
      <c r="S227" s="735"/>
    </row>
    <row r="228" spans="1:19" ht="29.25" thickBot="1" x14ac:dyDescent="0.3">
      <c r="A228" s="303" t="s">
        <v>109</v>
      </c>
      <c r="B228" s="729">
        <v>0.70499999999999996</v>
      </c>
      <c r="C228" s="727"/>
      <c r="D228" s="727"/>
      <c r="E228" s="727"/>
      <c r="F228" s="727"/>
      <c r="G228" s="728"/>
      <c r="H228" s="727"/>
      <c r="I228" s="727"/>
      <c r="J228" s="727"/>
      <c r="K228" s="727"/>
      <c r="L228" s="727"/>
      <c r="M228" s="727"/>
      <c r="N228" s="728"/>
      <c r="O228" s="727"/>
      <c r="P228" s="721"/>
      <c r="Q228" s="210" t="s">
        <v>143</v>
      </c>
      <c r="R228" s="209">
        <v>7</v>
      </c>
      <c r="S228" s="211" t="s">
        <v>27</v>
      </c>
    </row>
    <row r="229" spans="1:19" ht="15.75" thickBot="1" x14ac:dyDescent="0.3">
      <c r="A229" s="303" t="s">
        <v>122</v>
      </c>
      <c r="B229" s="730">
        <f>B227-(B227*B228)</f>
        <v>13.252875000000003</v>
      </c>
      <c r="C229" s="730"/>
      <c r="D229" s="730"/>
      <c r="E229" s="730"/>
      <c r="F229" s="730"/>
      <c r="G229" s="731"/>
      <c r="H229" s="730"/>
      <c r="I229" s="730"/>
      <c r="J229" s="730"/>
      <c r="K229" s="730"/>
      <c r="L229" s="730"/>
      <c r="M229" s="730"/>
      <c r="N229" s="731"/>
      <c r="O229" s="730"/>
      <c r="P229" s="721"/>
      <c r="Q229" s="210" t="s">
        <v>145</v>
      </c>
      <c r="R229" s="209">
        <v>8</v>
      </c>
      <c r="S229" s="212" t="s">
        <v>28</v>
      </c>
    </row>
    <row r="230" spans="1:19" ht="15.75" thickBot="1" x14ac:dyDescent="0.3">
      <c r="A230" s="303" t="s">
        <v>110</v>
      </c>
      <c r="B230" s="727">
        <v>122</v>
      </c>
      <c r="C230" s="727"/>
      <c r="D230" s="727"/>
      <c r="E230" s="727"/>
      <c r="F230" s="727"/>
      <c r="G230" s="728"/>
      <c r="H230" s="727"/>
      <c r="I230" s="727"/>
      <c r="J230" s="727"/>
      <c r="K230" s="727"/>
      <c r="L230" s="727"/>
      <c r="M230" s="727"/>
      <c r="N230" s="728"/>
      <c r="O230" s="727"/>
      <c r="P230" s="721"/>
      <c r="Q230" s="210" t="s">
        <v>147</v>
      </c>
      <c r="R230" s="209">
        <v>8</v>
      </c>
      <c r="S230" s="212" t="s">
        <v>148</v>
      </c>
    </row>
    <row r="231" spans="1:19" x14ac:dyDescent="0.25">
      <c r="A231" s="303" t="s">
        <v>111</v>
      </c>
      <c r="B231" s="727">
        <v>15</v>
      </c>
      <c r="C231" s="727"/>
      <c r="D231" s="727"/>
      <c r="E231" s="727"/>
      <c r="F231" s="727"/>
      <c r="G231" s="728"/>
      <c r="H231" s="727"/>
      <c r="I231" s="727"/>
      <c r="J231" s="727"/>
      <c r="K231" s="727"/>
      <c r="L231" s="727"/>
      <c r="M231" s="727"/>
      <c r="N231" s="728"/>
      <c r="O231" s="727"/>
      <c r="P231" s="721"/>
      <c r="Q231" s="213" t="s">
        <v>149</v>
      </c>
      <c r="R231" s="736">
        <v>9</v>
      </c>
      <c r="S231" s="738" t="s">
        <v>29</v>
      </c>
    </row>
    <row r="232" spans="1:19" ht="15.75" thickBot="1" x14ac:dyDescent="0.3">
      <c r="A232" s="587" t="s">
        <v>127</v>
      </c>
      <c r="B232" s="588"/>
      <c r="C232" s="588"/>
      <c r="D232" s="588"/>
      <c r="E232" s="688"/>
      <c r="F232" s="316"/>
      <c r="G232" s="314"/>
      <c r="H232" s="668" t="s">
        <v>128</v>
      </c>
      <c r="I232" s="669"/>
      <c r="J232" s="669"/>
      <c r="K232" s="669"/>
      <c r="L232" s="689"/>
      <c r="M232" s="350"/>
      <c r="N232" s="454"/>
      <c r="O232" s="316"/>
      <c r="P232" s="721"/>
      <c r="Q232" s="210" t="s">
        <v>150</v>
      </c>
      <c r="R232" s="737"/>
      <c r="S232" s="739"/>
    </row>
    <row r="233" spans="1:19" ht="15.75" thickBot="1" x14ac:dyDescent="0.3">
      <c r="A233" s="295" t="s">
        <v>98</v>
      </c>
      <c r="B233" s="317" t="s">
        <v>102</v>
      </c>
      <c r="C233" s="317" t="s">
        <v>92</v>
      </c>
      <c r="D233" s="317" t="s">
        <v>93</v>
      </c>
      <c r="E233" s="317" t="s">
        <v>94</v>
      </c>
      <c r="F233" s="319" t="s">
        <v>99</v>
      </c>
      <c r="G233" s="459"/>
      <c r="H233" s="317" t="s">
        <v>102</v>
      </c>
      <c r="I233" s="295" t="s">
        <v>98</v>
      </c>
      <c r="J233" s="317" t="s">
        <v>92</v>
      </c>
      <c r="K233" s="317" t="s">
        <v>93</v>
      </c>
      <c r="L233" s="317" t="s">
        <v>94</v>
      </c>
      <c r="M233" s="317"/>
      <c r="N233" s="463"/>
      <c r="O233" s="319" t="s">
        <v>99</v>
      </c>
      <c r="P233" s="721"/>
      <c r="Q233" s="210" t="s">
        <v>152</v>
      </c>
      <c r="R233" s="209">
        <v>9</v>
      </c>
      <c r="S233" s="212" t="s">
        <v>30</v>
      </c>
    </row>
    <row r="234" spans="1:19" ht="15.75" thickBot="1" x14ac:dyDescent="0.3">
      <c r="A234" s="299">
        <v>1265</v>
      </c>
      <c r="B234" s="317" t="s">
        <v>95</v>
      </c>
      <c r="C234" s="320">
        <v>898.4</v>
      </c>
      <c r="D234" s="320">
        <v>1442.5</v>
      </c>
      <c r="E234" s="320">
        <v>495.8</v>
      </c>
      <c r="F234" s="322">
        <f t="shared" ref="F234:F241" si="30">SUM(C234:E234)</f>
        <v>2836.7000000000003</v>
      </c>
      <c r="G234" s="457"/>
      <c r="H234" s="320" t="s">
        <v>95</v>
      </c>
      <c r="I234" s="362">
        <v>1404</v>
      </c>
      <c r="J234" s="320">
        <v>1624.8</v>
      </c>
      <c r="K234" s="320">
        <v>1444.5</v>
      </c>
      <c r="L234" s="320">
        <v>594</v>
      </c>
      <c r="M234" s="320"/>
      <c r="N234" s="476"/>
      <c r="O234" s="322">
        <f t="shared" ref="O234:O241" si="31">SUM(J234:L234)</f>
        <v>3663.3</v>
      </c>
      <c r="P234" s="721"/>
      <c r="Q234" s="210" t="s">
        <v>154</v>
      </c>
      <c r="R234" s="209">
        <v>9</v>
      </c>
      <c r="S234" s="211" t="s">
        <v>155</v>
      </c>
    </row>
    <row r="235" spans="1:19" ht="15.75" thickBot="1" x14ac:dyDescent="0.3">
      <c r="A235" s="299">
        <v>162</v>
      </c>
      <c r="B235" s="317" t="s">
        <v>96</v>
      </c>
      <c r="C235" s="320">
        <v>142.63999999999999</v>
      </c>
      <c r="D235" s="320">
        <v>174.86</v>
      </c>
      <c r="E235" s="320">
        <v>25</v>
      </c>
      <c r="F235" s="322">
        <f t="shared" si="30"/>
        <v>342.5</v>
      </c>
      <c r="G235" s="457"/>
      <c r="H235" s="320" t="s">
        <v>96</v>
      </c>
      <c r="I235" s="299">
        <v>164</v>
      </c>
      <c r="J235" s="320">
        <v>165.16</v>
      </c>
      <c r="K235" s="320">
        <v>173.29</v>
      </c>
      <c r="L235" s="320">
        <v>66.599999999999994</v>
      </c>
      <c r="M235" s="320"/>
      <c r="N235" s="476"/>
      <c r="O235" s="322">
        <f t="shared" si="31"/>
        <v>405.04999999999995</v>
      </c>
      <c r="P235" s="721"/>
      <c r="Q235" s="210" t="s">
        <v>156</v>
      </c>
      <c r="R235" s="209">
        <v>9</v>
      </c>
      <c r="S235" s="211" t="s">
        <v>31</v>
      </c>
    </row>
    <row r="236" spans="1:19" ht="15.75" thickBot="1" x14ac:dyDescent="0.3">
      <c r="A236" s="295" t="s">
        <v>100</v>
      </c>
      <c r="B236" s="317" t="s">
        <v>95</v>
      </c>
      <c r="C236" s="320">
        <f>C234/$A$234</f>
        <v>0.71019762845849799</v>
      </c>
      <c r="D236" s="320">
        <f>D234/$A$234</f>
        <v>1.1403162055335969</v>
      </c>
      <c r="E236" s="320">
        <f>E234/$A$234</f>
        <v>0.39193675889328067</v>
      </c>
      <c r="F236" s="323">
        <f t="shared" si="30"/>
        <v>2.2424505928853753</v>
      </c>
      <c r="G236" s="458"/>
      <c r="H236" s="320" t="s">
        <v>95</v>
      </c>
      <c r="I236" s="324" t="s">
        <v>100</v>
      </c>
      <c r="J236" s="320">
        <f>J234/$I$234</f>
        <v>1.1572649572649572</v>
      </c>
      <c r="K236" s="320">
        <f>K234/$I$234</f>
        <v>1.0288461538461537</v>
      </c>
      <c r="L236" s="320">
        <f>L234/$I$234</f>
        <v>0.42307692307692307</v>
      </c>
      <c r="M236" s="320"/>
      <c r="N236" s="476"/>
      <c r="O236" s="323">
        <f t="shared" si="31"/>
        <v>2.6091880341880338</v>
      </c>
      <c r="P236" s="721"/>
      <c r="Q236" s="210" t="s">
        <v>158</v>
      </c>
      <c r="R236" s="209">
        <v>4</v>
      </c>
      <c r="S236" s="211" t="s">
        <v>22</v>
      </c>
    </row>
    <row r="237" spans="1:19" ht="16.5" thickBot="1" x14ac:dyDescent="0.3">
      <c r="A237" s="295" t="s">
        <v>100</v>
      </c>
      <c r="B237" s="317" t="s">
        <v>96</v>
      </c>
      <c r="C237" s="320">
        <f>C235/$A$235</f>
        <v>0.88049382716049374</v>
      </c>
      <c r="D237" s="320">
        <f>D235/$A$235</f>
        <v>1.0793827160493827</v>
      </c>
      <c r="E237" s="320">
        <f>E235/$A$235</f>
        <v>0.15432098765432098</v>
      </c>
      <c r="F237" s="323">
        <f t="shared" si="30"/>
        <v>2.1141975308641974</v>
      </c>
      <c r="G237" s="458"/>
      <c r="H237" s="320" t="s">
        <v>96</v>
      </c>
      <c r="I237" s="324" t="s">
        <v>100</v>
      </c>
      <c r="J237" s="320">
        <f>J235/$I$235</f>
        <v>1.0070731707317073</v>
      </c>
      <c r="K237" s="320">
        <f>K235/$I$235</f>
        <v>1.0566463414634146</v>
      </c>
      <c r="L237" s="320">
        <f>L235/$I$235</f>
        <v>0.40609756097560973</v>
      </c>
      <c r="M237" s="320"/>
      <c r="N237" s="476"/>
      <c r="O237" s="323">
        <f t="shared" si="31"/>
        <v>2.4698170731707316</v>
      </c>
      <c r="P237" s="721"/>
      <c r="Q237" s="214" t="s">
        <v>99</v>
      </c>
      <c r="R237" s="197">
        <f>SUM(R228:R236)/80</f>
        <v>0.78749999999999998</v>
      </c>
      <c r="S237" s="198">
        <f>R237</f>
        <v>0.78749999999999998</v>
      </c>
    </row>
    <row r="238" spans="1:19" x14ac:dyDescent="0.25">
      <c r="A238" s="295" t="s">
        <v>104</v>
      </c>
      <c r="B238" s="325" t="s">
        <v>95</v>
      </c>
      <c r="C238" s="320">
        <f>C234/($A$234/7.7)</f>
        <v>5.468521739130435</v>
      </c>
      <c r="D238" s="320">
        <f>D234/($A$234/7.7)</f>
        <v>8.7804347826086957</v>
      </c>
      <c r="E238" s="320">
        <f>E234/($A$234/7.7)</f>
        <v>3.0179130434782611</v>
      </c>
      <c r="F238" s="322">
        <f t="shared" si="30"/>
        <v>17.266869565217391</v>
      </c>
      <c r="G238" s="468"/>
      <c r="H238" s="338" t="s">
        <v>95</v>
      </c>
      <c r="I238" s="324" t="s">
        <v>105</v>
      </c>
      <c r="J238" s="320">
        <f>J234/($I$234/7.7)</f>
        <v>8.9109401709401705</v>
      </c>
      <c r="K238" s="320">
        <f>K234/($I$234/7.7)</f>
        <v>7.9221153846153856</v>
      </c>
      <c r="L238" s="320">
        <f>L234/($I$234/7.7)</f>
        <v>3.2576923076923081</v>
      </c>
      <c r="M238" s="320"/>
      <c r="N238" s="476"/>
      <c r="O238" s="322">
        <f t="shared" si="31"/>
        <v>20.090747863247866</v>
      </c>
      <c r="P238" s="721"/>
      <c r="Q238" s="740"/>
      <c r="R238" s="740"/>
      <c r="S238" s="740"/>
    </row>
    <row r="239" spans="1:19" x14ac:dyDescent="0.25">
      <c r="A239" s="295" t="s">
        <v>104</v>
      </c>
      <c r="B239" s="325" t="s">
        <v>96</v>
      </c>
      <c r="C239" s="320">
        <f>C235/($A$235/7.7)</f>
        <v>6.7798024691358023</v>
      </c>
      <c r="D239" s="320">
        <f>D235/($A$235/7.7)</f>
        <v>8.3112469135802485</v>
      </c>
      <c r="E239" s="320">
        <f>E235/($A$235/7.7)</f>
        <v>1.1882716049382718</v>
      </c>
      <c r="F239" s="322">
        <f t="shared" si="30"/>
        <v>16.279320987654323</v>
      </c>
      <c r="G239" s="467"/>
      <c r="H239" s="358" t="s">
        <v>96</v>
      </c>
      <c r="I239" s="324" t="s">
        <v>105</v>
      </c>
      <c r="J239" s="320">
        <f>J235/($I$235/7.7)</f>
        <v>7.754463414634146</v>
      </c>
      <c r="K239" s="320">
        <f>K235/($I$235/7.7)</f>
        <v>8.1361768292682921</v>
      </c>
      <c r="L239" s="320">
        <f>L235/($I$235/7.7)</f>
        <v>3.1269512195121947</v>
      </c>
      <c r="M239" s="320"/>
      <c r="N239" s="476"/>
      <c r="O239" s="322">
        <f t="shared" si="31"/>
        <v>19.017591463414632</v>
      </c>
      <c r="P239" s="721"/>
      <c r="Q239" s="741"/>
      <c r="R239" s="741"/>
      <c r="S239" s="741"/>
    </row>
    <row r="240" spans="1:19" x14ac:dyDescent="0.25">
      <c r="A240" s="295" t="s">
        <v>135</v>
      </c>
      <c r="B240" s="317" t="s">
        <v>95</v>
      </c>
      <c r="C240" s="327">
        <f>C234/((($A234*$B231)*(1-$B228))/$B226)</f>
        <v>0.13428294805765162</v>
      </c>
      <c r="D240" s="327">
        <f>D234/((($A234*$B231)*(1-$B228))/$B226)</f>
        <v>0.21560903002355575</v>
      </c>
      <c r="E240" s="327">
        <f>E234/((($A234*$B231)*(1-$B228))/$B226)</f>
        <v>7.4106729348824216E-2</v>
      </c>
      <c r="F240" s="323">
        <f t="shared" si="30"/>
        <v>0.4239987074300316</v>
      </c>
      <c r="G240" s="458"/>
      <c r="H240" s="328" t="s">
        <v>95</v>
      </c>
      <c r="I240" s="329" t="s">
        <v>135</v>
      </c>
      <c r="J240" s="327">
        <f>J234/((($I234*$B231)*(1-$B228))/$B226)</f>
        <v>0.21881367089700426</v>
      </c>
      <c r="K240" s="327">
        <f>K234/((($I234*$B231)*(1-$B228))/$B226)</f>
        <v>0.19453246406371411</v>
      </c>
      <c r="L240" s="327">
        <f>L234/((($I234*$B231)*(1-$B228))/$B226)</f>
        <v>7.9994658119658127E-2</v>
      </c>
      <c r="M240" s="327"/>
      <c r="N240" s="477"/>
      <c r="O240" s="323">
        <f t="shared" si="31"/>
        <v>0.49334079308037648</v>
      </c>
      <c r="P240" s="721"/>
      <c r="Q240" s="741"/>
      <c r="R240" s="741"/>
      <c r="S240" s="741"/>
    </row>
    <row r="241" spans="1:19" x14ac:dyDescent="0.25">
      <c r="A241" s="295" t="s">
        <v>135</v>
      </c>
      <c r="B241" s="317" t="s">
        <v>96</v>
      </c>
      <c r="C241" s="327">
        <f>C235/((($A235*$B231)*(1-$B228))/$B226)</f>
        <v>0.16648226088040904</v>
      </c>
      <c r="D241" s="327">
        <f>D235/((($A235*$B231)*(1-$B228))/$B226)</f>
        <v>0.20408783046514531</v>
      </c>
      <c r="E241" s="327">
        <f>E235/((($A235*$B231)*(1-$B228))/$B226)</f>
        <v>2.9178747350043648E-2</v>
      </c>
      <c r="F241" s="323">
        <f t="shared" si="30"/>
        <v>0.39974883869559802</v>
      </c>
      <c r="G241" s="458"/>
      <c r="H241" s="328" t="s">
        <v>96</v>
      </c>
      <c r="I241" s="329" t="s">
        <v>135</v>
      </c>
      <c r="J241" s="327">
        <f>J235/((($I235*$B231)*(1-$B228))/$B226)</f>
        <v>0.19041566580438538</v>
      </c>
      <c r="K241" s="327">
        <f>K235/((($I235*$B231)*(1-$B228))/$B226)</f>
        <v>0.19978887580068988</v>
      </c>
      <c r="L241" s="327">
        <f>L235/((($I235*$B231)*(1-$B228))/$B226)</f>
        <v>7.6784229490022185E-2</v>
      </c>
      <c r="M241" s="327"/>
      <c r="N241" s="477"/>
      <c r="O241" s="323">
        <f t="shared" si="31"/>
        <v>0.4669887710950974</v>
      </c>
      <c r="P241" s="721"/>
      <c r="Q241" s="741"/>
      <c r="R241" s="741"/>
      <c r="S241" s="741"/>
    </row>
    <row r="242" spans="1:19" x14ac:dyDescent="0.25">
      <c r="A242" s="612"/>
      <c r="B242" s="612"/>
      <c r="C242" s="612"/>
      <c r="D242" s="612"/>
      <c r="E242" s="612"/>
      <c r="F242" s="612"/>
      <c r="G242" s="612"/>
      <c r="H242" s="612"/>
      <c r="I242" s="612"/>
      <c r="J242" s="612"/>
      <c r="K242" s="612"/>
      <c r="L242" s="612"/>
      <c r="M242" s="612"/>
      <c r="N242" s="612"/>
      <c r="O242" s="612"/>
      <c r="P242" s="612"/>
      <c r="Q242" s="612"/>
      <c r="R242" s="612"/>
      <c r="S242" s="612"/>
    </row>
    <row r="243" spans="1:19" ht="21" x14ac:dyDescent="0.25">
      <c r="A243" s="305"/>
      <c r="B243" s="699" t="s">
        <v>67</v>
      </c>
      <c r="C243" s="700"/>
      <c r="D243" s="700"/>
      <c r="E243" s="700"/>
      <c r="F243" s="700"/>
      <c r="G243" s="700"/>
      <c r="H243" s="700"/>
      <c r="I243" s="700"/>
      <c r="J243" s="700"/>
      <c r="K243" s="700"/>
      <c r="L243" s="700"/>
      <c r="M243" s="700"/>
      <c r="N243" s="700"/>
      <c r="O243" s="701"/>
      <c r="P243" s="707" t="s">
        <v>97</v>
      </c>
      <c r="Q243" s="678" t="s">
        <v>68</v>
      </c>
      <c r="R243" s="678"/>
      <c r="S243" s="678"/>
    </row>
    <row r="244" spans="1:19" x14ac:dyDescent="0.25">
      <c r="A244" s="306"/>
      <c r="B244" s="650" t="s">
        <v>115</v>
      </c>
      <c r="C244" s="651"/>
      <c r="D244" s="651"/>
      <c r="E244" s="651"/>
      <c r="F244" s="651"/>
      <c r="G244" s="651"/>
      <c r="H244" s="651"/>
      <c r="I244" s="651"/>
      <c r="J244" s="651"/>
      <c r="K244" s="651"/>
      <c r="L244" s="651"/>
      <c r="M244" s="651"/>
      <c r="N244" s="651"/>
      <c r="O244" s="652"/>
      <c r="P244" s="707"/>
      <c r="Q244" s="678"/>
      <c r="R244" s="678"/>
      <c r="S244" s="678"/>
    </row>
    <row r="245" spans="1:19" x14ac:dyDescent="0.25">
      <c r="A245" s="303" t="s">
        <v>106</v>
      </c>
      <c r="B245" s="668">
        <v>19.962</v>
      </c>
      <c r="C245" s="669"/>
      <c r="D245" s="669"/>
      <c r="E245" s="669"/>
      <c r="F245" s="669"/>
      <c r="G245" s="669"/>
      <c r="H245" s="669"/>
      <c r="I245" s="669"/>
      <c r="J245" s="669"/>
      <c r="K245" s="669"/>
      <c r="L245" s="669"/>
      <c r="M245" s="669"/>
      <c r="N245" s="669"/>
      <c r="O245" s="689"/>
      <c r="P245" s="707"/>
      <c r="Q245" s="678"/>
      <c r="R245" s="678"/>
      <c r="S245" s="678"/>
    </row>
    <row r="246" spans="1:19" x14ac:dyDescent="0.25">
      <c r="A246" s="303" t="s">
        <v>112</v>
      </c>
      <c r="B246" s="626">
        <v>0.19</v>
      </c>
      <c r="C246" s="627"/>
      <c r="D246" s="627"/>
      <c r="E246" s="627"/>
      <c r="F246" s="627"/>
      <c r="G246" s="627"/>
      <c r="H246" s="627"/>
      <c r="I246" s="627"/>
      <c r="J246" s="627"/>
      <c r="K246" s="627"/>
      <c r="L246" s="627"/>
      <c r="M246" s="627"/>
      <c r="N246" s="627"/>
      <c r="O246" s="698"/>
      <c r="P246" s="707"/>
      <c r="Q246" s="678"/>
      <c r="R246" s="678"/>
      <c r="S246" s="678"/>
    </row>
    <row r="247" spans="1:19" ht="15.75" thickBot="1" x14ac:dyDescent="0.3">
      <c r="A247" s="303" t="s">
        <v>107</v>
      </c>
      <c r="B247" s="629">
        <v>16.09</v>
      </c>
      <c r="C247" s="630"/>
      <c r="D247" s="630"/>
      <c r="E247" s="630"/>
      <c r="F247" s="630"/>
      <c r="G247" s="630"/>
      <c r="H247" s="630"/>
      <c r="I247" s="630"/>
      <c r="J247" s="630"/>
      <c r="K247" s="630"/>
      <c r="L247" s="630"/>
      <c r="M247" s="630"/>
      <c r="N247" s="630"/>
      <c r="O247" s="690"/>
      <c r="P247" s="707"/>
      <c r="Q247" s="708"/>
      <c r="R247" s="708"/>
      <c r="S247" s="708"/>
    </row>
    <row r="248" spans="1:19" x14ac:dyDescent="0.25">
      <c r="A248" s="303" t="s">
        <v>108</v>
      </c>
      <c r="B248" s="626">
        <v>0.82</v>
      </c>
      <c r="C248" s="627"/>
      <c r="D248" s="627"/>
      <c r="E248" s="627"/>
      <c r="F248" s="627"/>
      <c r="G248" s="627"/>
      <c r="H248" s="627"/>
      <c r="I248" s="627"/>
      <c r="J248" s="627"/>
      <c r="K248" s="627"/>
      <c r="L248" s="627"/>
      <c r="M248" s="627"/>
      <c r="N248" s="627"/>
      <c r="O248" s="698"/>
      <c r="P248" s="707"/>
      <c r="Q248" s="709" t="s">
        <v>139</v>
      </c>
      <c r="R248" s="219" t="s">
        <v>140</v>
      </c>
      <c r="S248" s="711" t="s">
        <v>142</v>
      </c>
    </row>
    <row r="249" spans="1:19" ht="15.75" thickBot="1" x14ac:dyDescent="0.3">
      <c r="A249" s="303" t="s">
        <v>113</v>
      </c>
      <c r="B249" s="668">
        <v>41.16</v>
      </c>
      <c r="C249" s="669"/>
      <c r="D249" s="669"/>
      <c r="E249" s="669"/>
      <c r="F249" s="669"/>
      <c r="G249" s="669"/>
      <c r="H249" s="669"/>
      <c r="I249" s="669"/>
      <c r="J249" s="669"/>
      <c r="K249" s="669"/>
      <c r="L249" s="669"/>
      <c r="M249" s="669"/>
      <c r="N249" s="669"/>
      <c r="O249" s="689"/>
      <c r="P249" s="707"/>
      <c r="Q249" s="710"/>
      <c r="R249" s="220" t="s">
        <v>141</v>
      </c>
      <c r="S249" s="712"/>
    </row>
    <row r="250" spans="1:19" ht="29.25" thickBot="1" x14ac:dyDescent="0.3">
      <c r="A250" s="303" t="s">
        <v>109</v>
      </c>
      <c r="B250" s="626">
        <v>0.68</v>
      </c>
      <c r="C250" s="627"/>
      <c r="D250" s="627"/>
      <c r="E250" s="627"/>
      <c r="F250" s="627"/>
      <c r="G250" s="627"/>
      <c r="H250" s="627"/>
      <c r="I250" s="627"/>
      <c r="J250" s="627"/>
      <c r="K250" s="627"/>
      <c r="L250" s="627"/>
      <c r="M250" s="627"/>
      <c r="N250" s="627"/>
      <c r="O250" s="698"/>
      <c r="P250" s="707"/>
      <c r="Q250" s="221" t="s">
        <v>143</v>
      </c>
      <c r="R250" s="220">
        <v>8</v>
      </c>
      <c r="S250" s="222" t="s">
        <v>75</v>
      </c>
    </row>
    <row r="251" spans="1:19" ht="15.75" thickBot="1" x14ac:dyDescent="0.3">
      <c r="A251" s="303" t="s">
        <v>122</v>
      </c>
      <c r="B251" s="668">
        <v>13.171200000000001</v>
      </c>
      <c r="C251" s="669"/>
      <c r="D251" s="669"/>
      <c r="E251" s="669"/>
      <c r="F251" s="669"/>
      <c r="G251" s="669"/>
      <c r="H251" s="669"/>
      <c r="I251" s="669"/>
      <c r="J251" s="669"/>
      <c r="K251" s="669"/>
      <c r="L251" s="669"/>
      <c r="M251" s="669"/>
      <c r="N251" s="669"/>
      <c r="O251" s="689"/>
      <c r="P251" s="707"/>
      <c r="Q251" s="221" t="s">
        <v>145</v>
      </c>
      <c r="R251" s="220">
        <v>9</v>
      </c>
      <c r="S251" s="223" t="s">
        <v>76</v>
      </c>
    </row>
    <row r="252" spans="1:19" ht="15.75" thickBot="1" x14ac:dyDescent="0.3">
      <c r="A252" s="303" t="s">
        <v>110</v>
      </c>
      <c r="B252" s="668">
        <v>121</v>
      </c>
      <c r="C252" s="669"/>
      <c r="D252" s="669"/>
      <c r="E252" s="669"/>
      <c r="F252" s="669"/>
      <c r="G252" s="669"/>
      <c r="H252" s="669"/>
      <c r="I252" s="669"/>
      <c r="J252" s="669"/>
      <c r="K252" s="669"/>
      <c r="L252" s="669"/>
      <c r="M252" s="669"/>
      <c r="N252" s="669"/>
      <c r="O252" s="689"/>
      <c r="P252" s="707"/>
      <c r="Q252" s="221" t="s">
        <v>147</v>
      </c>
      <c r="R252" s="220">
        <v>9</v>
      </c>
      <c r="S252" s="223" t="s">
        <v>148</v>
      </c>
    </row>
    <row r="253" spans="1:19" x14ac:dyDescent="0.25">
      <c r="A253" s="303" t="s">
        <v>111</v>
      </c>
      <c r="B253" s="668">
        <v>15</v>
      </c>
      <c r="C253" s="669"/>
      <c r="D253" s="669"/>
      <c r="E253" s="669"/>
      <c r="F253" s="669"/>
      <c r="G253" s="669"/>
      <c r="H253" s="669"/>
      <c r="I253" s="669"/>
      <c r="J253" s="669"/>
      <c r="K253" s="669"/>
      <c r="L253" s="669"/>
      <c r="M253" s="669"/>
      <c r="N253" s="669"/>
      <c r="O253" s="689"/>
      <c r="P253" s="707"/>
      <c r="Q253" s="224" t="s">
        <v>149</v>
      </c>
      <c r="R253" s="775">
        <v>5</v>
      </c>
      <c r="S253" s="715" t="s">
        <v>77</v>
      </c>
    </row>
    <row r="254" spans="1:19" ht="15.75" thickBot="1" x14ac:dyDescent="0.3">
      <c r="A254" s="587" t="s">
        <v>127</v>
      </c>
      <c r="B254" s="588"/>
      <c r="C254" s="588"/>
      <c r="D254" s="588"/>
      <c r="E254" s="589"/>
      <c r="F254" s="363"/>
      <c r="G254" s="470"/>
      <c r="H254" s="668" t="s">
        <v>128</v>
      </c>
      <c r="I254" s="669"/>
      <c r="J254" s="669"/>
      <c r="K254" s="669"/>
      <c r="L254" s="670"/>
      <c r="M254" s="364"/>
      <c r="N254" s="364"/>
      <c r="O254" s="363"/>
      <c r="P254" s="707"/>
      <c r="Q254" s="221" t="s">
        <v>150</v>
      </c>
      <c r="R254" s="710"/>
      <c r="S254" s="716"/>
    </row>
    <row r="255" spans="1:19" ht="15.75" thickBot="1" x14ac:dyDescent="0.3">
      <c r="A255" s="307" t="s">
        <v>98</v>
      </c>
      <c r="B255" s="365" t="s">
        <v>102</v>
      </c>
      <c r="C255" s="365" t="s">
        <v>92</v>
      </c>
      <c r="D255" s="365" t="s">
        <v>93</v>
      </c>
      <c r="E255" s="365" t="s">
        <v>94</v>
      </c>
      <c r="F255" s="366" t="s">
        <v>99</v>
      </c>
      <c r="G255" s="366"/>
      <c r="H255" s="365" t="s">
        <v>102</v>
      </c>
      <c r="I255" s="367" t="s">
        <v>98</v>
      </c>
      <c r="J255" s="365" t="s">
        <v>92</v>
      </c>
      <c r="K255" s="365" t="s">
        <v>93</v>
      </c>
      <c r="L255" s="365" t="s">
        <v>94</v>
      </c>
      <c r="M255" s="365"/>
      <c r="N255" s="365"/>
      <c r="O255" s="366" t="s">
        <v>99</v>
      </c>
      <c r="P255" s="707"/>
      <c r="Q255" s="221" t="s">
        <v>152</v>
      </c>
      <c r="R255" s="220">
        <v>9</v>
      </c>
      <c r="S255" s="223" t="s">
        <v>30</v>
      </c>
    </row>
    <row r="256" spans="1:19" ht="15.75" thickBot="1" x14ac:dyDescent="0.3">
      <c r="A256" s="308">
        <v>1220</v>
      </c>
      <c r="B256" s="365" t="s">
        <v>95</v>
      </c>
      <c r="C256" s="359">
        <v>1717.1</v>
      </c>
      <c r="D256" s="359">
        <v>1243.5</v>
      </c>
      <c r="E256" s="359">
        <v>646</v>
      </c>
      <c r="F256" s="368">
        <v>1717.1</v>
      </c>
      <c r="G256" s="368"/>
      <c r="H256" s="359" t="s">
        <v>175</v>
      </c>
      <c r="I256" s="369">
        <v>1219</v>
      </c>
      <c r="J256" s="359">
        <v>1857.4</v>
      </c>
      <c r="K256" s="359">
        <v>1244.9000000000001</v>
      </c>
      <c r="L256" s="359">
        <v>1017.1</v>
      </c>
      <c r="M256" s="359"/>
      <c r="N256" s="359"/>
      <c r="O256" s="368">
        <f t="shared" ref="O256:O263" si="32">SUM(J256:L256)</f>
        <v>4119.4000000000005</v>
      </c>
      <c r="P256" s="707"/>
      <c r="Q256" s="221" t="s">
        <v>154</v>
      </c>
      <c r="R256" s="220">
        <v>7</v>
      </c>
      <c r="S256" s="222" t="s">
        <v>155</v>
      </c>
    </row>
    <row r="257" spans="1:19" ht="15.75" thickBot="1" x14ac:dyDescent="0.3">
      <c r="A257" s="308">
        <v>152</v>
      </c>
      <c r="B257" s="365" t="s">
        <v>96</v>
      </c>
      <c r="C257" s="359">
        <v>203.7</v>
      </c>
      <c r="D257" s="359">
        <v>63.3</v>
      </c>
      <c r="E257" s="359">
        <v>99.8</v>
      </c>
      <c r="F257" s="368">
        <v>203.7</v>
      </c>
      <c r="G257" s="368"/>
      <c r="H257" s="359" t="s">
        <v>176</v>
      </c>
      <c r="I257" s="370">
        <v>152</v>
      </c>
      <c r="J257" s="359">
        <v>153.19999999999999</v>
      </c>
      <c r="K257" s="359">
        <v>184.5</v>
      </c>
      <c r="L257" s="359">
        <v>108.7</v>
      </c>
      <c r="M257" s="359"/>
      <c r="N257" s="359"/>
      <c r="O257" s="368">
        <f t="shared" si="32"/>
        <v>446.4</v>
      </c>
      <c r="P257" s="707"/>
      <c r="Q257" s="221" t="s">
        <v>156</v>
      </c>
      <c r="R257" s="220">
        <v>9</v>
      </c>
      <c r="S257" s="222" t="s">
        <v>31</v>
      </c>
    </row>
    <row r="258" spans="1:19" ht="15.75" thickBot="1" x14ac:dyDescent="0.3">
      <c r="A258" s="307" t="s">
        <v>100</v>
      </c>
      <c r="B258" s="365" t="s">
        <v>95</v>
      </c>
      <c r="C258" s="359">
        <f t="shared" ref="C258:E259" si="33">C256/$A256</f>
        <v>1.4074590163934426</v>
      </c>
      <c r="D258" s="359">
        <f t="shared" si="33"/>
        <v>1.0192622950819672</v>
      </c>
      <c r="E258" s="359">
        <f t="shared" si="33"/>
        <v>0.52950819672131144</v>
      </c>
      <c r="F258" s="360">
        <f t="shared" ref="F258:F263" si="34">SUM(C258:E258)</f>
        <v>2.9562295081967211</v>
      </c>
      <c r="G258" s="360"/>
      <c r="H258" s="359" t="s">
        <v>175</v>
      </c>
      <c r="I258" s="371" t="s">
        <v>177</v>
      </c>
      <c r="J258" s="320">
        <f t="shared" ref="J258:L259" si="35">J256/$I256</f>
        <v>1.5237079573420838</v>
      </c>
      <c r="K258" s="320">
        <f t="shared" si="35"/>
        <v>1.0212469237079573</v>
      </c>
      <c r="L258" s="320">
        <f t="shared" si="35"/>
        <v>0.83437243642329784</v>
      </c>
      <c r="M258" s="320"/>
      <c r="N258" s="476"/>
      <c r="O258" s="323">
        <f t="shared" si="32"/>
        <v>3.3793273174733391</v>
      </c>
      <c r="P258" s="707"/>
      <c r="Q258" s="221" t="s">
        <v>158</v>
      </c>
      <c r="R258" s="220">
        <v>9</v>
      </c>
      <c r="S258" s="222" t="s">
        <v>78</v>
      </c>
    </row>
    <row r="259" spans="1:19" ht="16.5" thickBot="1" x14ac:dyDescent="0.3">
      <c r="A259" s="307" t="s">
        <v>100</v>
      </c>
      <c r="B259" s="365" t="s">
        <v>96</v>
      </c>
      <c r="C259" s="359">
        <f t="shared" si="33"/>
        <v>1.3401315789473685</v>
      </c>
      <c r="D259" s="359">
        <f t="shared" si="33"/>
        <v>0.41644736842105262</v>
      </c>
      <c r="E259" s="359">
        <f t="shared" si="33"/>
        <v>0.65657894736842104</v>
      </c>
      <c r="F259" s="360">
        <f t="shared" si="34"/>
        <v>2.4131578947368419</v>
      </c>
      <c r="G259" s="360"/>
      <c r="H259" s="359" t="s">
        <v>176</v>
      </c>
      <c r="I259" s="371" t="s">
        <v>177</v>
      </c>
      <c r="J259" s="320">
        <f t="shared" si="35"/>
        <v>1.0078947368421052</v>
      </c>
      <c r="K259" s="320">
        <f t="shared" si="35"/>
        <v>1.2138157894736843</v>
      </c>
      <c r="L259" s="320">
        <f t="shared" si="35"/>
        <v>0.71513157894736845</v>
      </c>
      <c r="M259" s="320"/>
      <c r="N259" s="476"/>
      <c r="O259" s="323">
        <f t="shared" si="32"/>
        <v>2.9368421052631577</v>
      </c>
      <c r="P259" s="707"/>
      <c r="Q259" s="225" t="s">
        <v>99</v>
      </c>
      <c r="R259" s="226"/>
      <c r="S259" s="227">
        <v>0.81</v>
      </c>
    </row>
    <row r="260" spans="1:19" x14ac:dyDescent="0.25">
      <c r="A260" s="307" t="s">
        <v>104</v>
      </c>
      <c r="B260" s="365" t="s">
        <v>95</v>
      </c>
      <c r="C260" s="359">
        <f>C256/($A256/7.7)</f>
        <v>10.837434426229507</v>
      </c>
      <c r="D260" s="359">
        <f>D256/($A256/7)</f>
        <v>7.1348360655737713</v>
      </c>
      <c r="E260" s="359">
        <f>E256/($A256/7)</f>
        <v>3.7065573770491804</v>
      </c>
      <c r="F260" s="360">
        <f t="shared" si="34"/>
        <v>21.678827868852458</v>
      </c>
      <c r="G260" s="469"/>
      <c r="H260" s="372" t="s">
        <v>175</v>
      </c>
      <c r="I260" s="371" t="s">
        <v>178</v>
      </c>
      <c r="J260" s="320">
        <f t="shared" ref="J260:L261" si="36">J256/($I256/7.7)</f>
        <v>11.732551271534046</v>
      </c>
      <c r="K260" s="320">
        <f t="shared" si="36"/>
        <v>7.8636013125512729</v>
      </c>
      <c r="L260" s="320">
        <f t="shared" si="36"/>
        <v>6.4246677604593936</v>
      </c>
      <c r="M260" s="320"/>
      <c r="N260" s="476"/>
      <c r="O260" s="322">
        <f t="shared" si="32"/>
        <v>26.02082034454471</v>
      </c>
      <c r="P260" s="707"/>
      <c r="Q260" s="705"/>
      <c r="R260" s="705"/>
      <c r="S260" s="705"/>
    </row>
    <row r="261" spans="1:19" x14ac:dyDescent="0.25">
      <c r="A261" s="307" t="s">
        <v>104</v>
      </c>
      <c r="B261" s="365" t="s">
        <v>96</v>
      </c>
      <c r="C261" s="359">
        <f>C257/($A257/7.7)</f>
        <v>10.319013157894735</v>
      </c>
      <c r="D261" s="359">
        <f>D257/($A257/7.7)</f>
        <v>3.2066447368421049</v>
      </c>
      <c r="E261" s="359">
        <f>E257/($A257/7.7)</f>
        <v>5.055657894736842</v>
      </c>
      <c r="F261" s="360">
        <f t="shared" si="34"/>
        <v>18.581315789473681</v>
      </c>
      <c r="G261" s="360"/>
      <c r="H261" s="359" t="s">
        <v>176</v>
      </c>
      <c r="I261" s="371" t="s">
        <v>178</v>
      </c>
      <c r="J261" s="320">
        <f t="shared" si="36"/>
        <v>7.7607894736842091</v>
      </c>
      <c r="K261" s="320">
        <f t="shared" si="36"/>
        <v>9.3463815789473674</v>
      </c>
      <c r="L261" s="320">
        <f t="shared" si="36"/>
        <v>5.5065131578947364</v>
      </c>
      <c r="M261" s="320"/>
      <c r="N261" s="476"/>
      <c r="O261" s="322">
        <f t="shared" si="32"/>
        <v>22.613684210526316</v>
      </c>
      <c r="P261" s="707"/>
      <c r="Q261" s="706"/>
      <c r="R261" s="706"/>
      <c r="S261" s="706"/>
    </row>
    <row r="262" spans="1:19" x14ac:dyDescent="0.25">
      <c r="A262" s="307" t="s">
        <v>135</v>
      </c>
      <c r="B262" s="365" t="s">
        <v>95</v>
      </c>
      <c r="C262" s="361">
        <f>C256/((($A256*$B253)*(1-$B250))/$B248)</f>
        <v>0.24044091530054645</v>
      </c>
      <c r="D262" s="361">
        <f>D256/((($A256*$B253)*(1-$B250))/$B248)</f>
        <v>0.17412397540983607</v>
      </c>
      <c r="E262" s="361">
        <f>E256/((($A256*$B253)*(1-$B250))/$B248)</f>
        <v>9.0457650273224055E-2</v>
      </c>
      <c r="F262" s="360">
        <f>SUM(C262:E262)</f>
        <v>0.50502254098360655</v>
      </c>
      <c r="G262" s="360"/>
      <c r="H262" s="361" t="s">
        <v>175</v>
      </c>
      <c r="I262" s="373" t="s">
        <v>179</v>
      </c>
      <c r="J262" s="327">
        <f>J256/((($I256*$B253)*(1-$B250))/$B248)</f>
        <v>0.26030010937927267</v>
      </c>
      <c r="K262" s="327">
        <f>K256/((($I256*$B253)*(1-$B250))/$B248)</f>
        <v>0.17446301613344273</v>
      </c>
      <c r="L262" s="327">
        <f>L256/((($I256*$B253)*(1-$B250))/$B248)</f>
        <v>0.14253862455564673</v>
      </c>
      <c r="M262" s="327"/>
      <c r="N262" s="477"/>
      <c r="O262" s="323">
        <f t="shared" si="32"/>
        <v>0.57730175006836215</v>
      </c>
      <c r="P262" s="707"/>
      <c r="Q262" s="706"/>
      <c r="R262" s="706"/>
      <c r="S262" s="706"/>
    </row>
    <row r="263" spans="1:19" x14ac:dyDescent="0.25">
      <c r="A263" s="307" t="s">
        <v>135</v>
      </c>
      <c r="B263" s="365" t="s">
        <v>96</v>
      </c>
      <c r="C263" s="361">
        <f>C257/((($A257*$B253)*(1-$B250))/$B248)</f>
        <v>0.2289391447368421</v>
      </c>
      <c r="D263" s="361">
        <f>D257/((($A257*$B253)*(1-$B250))/$B248)</f>
        <v>7.114309210526315E-2</v>
      </c>
      <c r="E263" s="361">
        <f>E257/((($A257*$B253)*(1-$B250))/$B248)</f>
        <v>0.1121655701754386</v>
      </c>
      <c r="F263" s="360">
        <f t="shared" si="34"/>
        <v>0.41224780701754382</v>
      </c>
      <c r="G263" s="360"/>
      <c r="H263" s="361" t="s">
        <v>176</v>
      </c>
      <c r="I263" s="373" t="s">
        <v>179</v>
      </c>
      <c r="J263" s="327">
        <f>J257/((($I257*$B253)*(1-$B250))/$B248)</f>
        <v>0.17218201754385964</v>
      </c>
      <c r="K263" s="327">
        <f>K257/((($I257*$B253)*(1-$B250))/$B248)</f>
        <v>0.20736019736842107</v>
      </c>
      <c r="L263" s="327">
        <f>L257/((($I257*$B253)*(1-$B250))/$B248)</f>
        <v>0.12216831140350877</v>
      </c>
      <c r="M263" s="327"/>
      <c r="N263" s="477"/>
      <c r="O263" s="323">
        <f t="shared" si="32"/>
        <v>0.5017105263157895</v>
      </c>
      <c r="P263" s="707"/>
      <c r="Q263" s="706"/>
      <c r="R263" s="706"/>
      <c r="S263" s="706"/>
    </row>
    <row r="264" spans="1:19" x14ac:dyDescent="0.25">
      <c r="A264" s="612"/>
      <c r="B264" s="612"/>
      <c r="C264" s="612"/>
      <c r="D264" s="612"/>
      <c r="E264" s="612"/>
      <c r="F264" s="612"/>
      <c r="G264" s="612"/>
      <c r="H264" s="612"/>
      <c r="I264" s="612"/>
      <c r="J264" s="612"/>
      <c r="K264" s="612"/>
      <c r="L264" s="612"/>
      <c r="M264" s="612"/>
      <c r="N264" s="612"/>
      <c r="O264" s="612"/>
      <c r="P264" s="612"/>
      <c r="Q264" s="612"/>
      <c r="R264" s="612"/>
      <c r="S264" s="612"/>
    </row>
    <row r="265" spans="1:19" ht="21" x14ac:dyDescent="0.25">
      <c r="A265" s="305"/>
      <c r="B265" s="699" t="s">
        <v>69</v>
      </c>
      <c r="C265" s="700"/>
      <c r="D265" s="700"/>
      <c r="E265" s="700"/>
      <c r="F265" s="700"/>
      <c r="G265" s="700"/>
      <c r="H265" s="700"/>
      <c r="I265" s="700"/>
      <c r="J265" s="700"/>
      <c r="K265" s="700"/>
      <c r="L265" s="700"/>
      <c r="M265" s="700"/>
      <c r="N265" s="700"/>
      <c r="O265" s="701"/>
      <c r="P265" s="707" t="s">
        <v>97</v>
      </c>
      <c r="Q265" s="678" t="s">
        <v>72</v>
      </c>
      <c r="R265" s="678"/>
      <c r="S265" s="678"/>
    </row>
    <row r="266" spans="1:19" x14ac:dyDescent="0.25">
      <c r="A266" s="306"/>
      <c r="B266" s="650" t="s">
        <v>115</v>
      </c>
      <c r="C266" s="651"/>
      <c r="D266" s="651"/>
      <c r="E266" s="651"/>
      <c r="F266" s="651"/>
      <c r="G266" s="651"/>
      <c r="H266" s="651"/>
      <c r="I266" s="651"/>
      <c r="J266" s="651"/>
      <c r="K266" s="651"/>
      <c r="L266" s="651"/>
      <c r="M266" s="651"/>
      <c r="N266" s="651"/>
      <c r="O266" s="652"/>
      <c r="P266" s="707"/>
      <c r="Q266" s="678"/>
      <c r="R266" s="678"/>
      <c r="S266" s="678"/>
    </row>
    <row r="267" spans="1:19" x14ac:dyDescent="0.25">
      <c r="A267" s="303" t="s">
        <v>106</v>
      </c>
      <c r="B267" s="668">
        <v>20.085000000000001</v>
      </c>
      <c r="C267" s="669"/>
      <c r="D267" s="669"/>
      <c r="E267" s="669"/>
      <c r="F267" s="669"/>
      <c r="G267" s="669"/>
      <c r="H267" s="669"/>
      <c r="I267" s="669"/>
      <c r="J267" s="669"/>
      <c r="K267" s="669"/>
      <c r="L267" s="669"/>
      <c r="M267" s="669"/>
      <c r="N267" s="669"/>
      <c r="O267" s="689"/>
      <c r="P267" s="707"/>
      <c r="Q267" s="678"/>
      <c r="R267" s="678"/>
      <c r="S267" s="678"/>
    </row>
    <row r="268" spans="1:19" x14ac:dyDescent="0.25">
      <c r="A268" s="303" t="s">
        <v>112</v>
      </c>
      <c r="B268" s="626">
        <v>0.17</v>
      </c>
      <c r="C268" s="627"/>
      <c r="D268" s="627"/>
      <c r="E268" s="627"/>
      <c r="F268" s="627"/>
      <c r="G268" s="627"/>
      <c r="H268" s="627"/>
      <c r="I268" s="627"/>
      <c r="J268" s="627"/>
      <c r="K268" s="627"/>
      <c r="L268" s="627"/>
      <c r="M268" s="627"/>
      <c r="N268" s="627"/>
      <c r="O268" s="698"/>
      <c r="P268" s="707"/>
      <c r="Q268" s="678"/>
      <c r="R268" s="678"/>
      <c r="S268" s="678"/>
    </row>
    <row r="269" spans="1:19" ht="15.75" thickBot="1" x14ac:dyDescent="0.3">
      <c r="A269" s="303" t="s">
        <v>107</v>
      </c>
      <c r="B269" s="629">
        <v>16.59</v>
      </c>
      <c r="C269" s="630"/>
      <c r="D269" s="630"/>
      <c r="E269" s="630"/>
      <c r="F269" s="630"/>
      <c r="G269" s="630"/>
      <c r="H269" s="630"/>
      <c r="I269" s="630"/>
      <c r="J269" s="630"/>
      <c r="K269" s="630"/>
      <c r="L269" s="630"/>
      <c r="M269" s="630"/>
      <c r="N269" s="630"/>
      <c r="O269" s="690"/>
      <c r="P269" s="707"/>
      <c r="Q269" s="708"/>
      <c r="R269" s="708"/>
      <c r="S269" s="708"/>
    </row>
    <row r="270" spans="1:19" x14ac:dyDescent="0.25">
      <c r="A270" s="303" t="s">
        <v>108</v>
      </c>
      <c r="B270" s="626">
        <v>0.72</v>
      </c>
      <c r="C270" s="627"/>
      <c r="D270" s="627"/>
      <c r="E270" s="627"/>
      <c r="F270" s="627"/>
      <c r="G270" s="627"/>
      <c r="H270" s="627"/>
      <c r="I270" s="627"/>
      <c r="J270" s="627"/>
      <c r="K270" s="627"/>
      <c r="L270" s="627"/>
      <c r="M270" s="627"/>
      <c r="N270" s="627"/>
      <c r="O270" s="698"/>
      <c r="P270" s="707"/>
      <c r="Q270" s="709" t="s">
        <v>139</v>
      </c>
      <c r="R270" s="219" t="s">
        <v>140</v>
      </c>
      <c r="S270" s="711" t="s">
        <v>142</v>
      </c>
    </row>
    <row r="271" spans="1:19" ht="15.75" thickBot="1" x14ac:dyDescent="0.3">
      <c r="A271" s="303" t="s">
        <v>113</v>
      </c>
      <c r="B271" s="668">
        <v>37.758000000000003</v>
      </c>
      <c r="C271" s="669"/>
      <c r="D271" s="669"/>
      <c r="E271" s="669"/>
      <c r="F271" s="669"/>
      <c r="G271" s="669"/>
      <c r="H271" s="669"/>
      <c r="I271" s="669"/>
      <c r="J271" s="669"/>
      <c r="K271" s="669"/>
      <c r="L271" s="669"/>
      <c r="M271" s="669"/>
      <c r="N271" s="669"/>
      <c r="O271" s="689"/>
      <c r="P271" s="707"/>
      <c r="Q271" s="710"/>
      <c r="R271" s="220" t="s">
        <v>141</v>
      </c>
      <c r="S271" s="712"/>
    </row>
    <row r="272" spans="1:19" ht="15" customHeight="1" thickBot="1" x14ac:dyDescent="0.3">
      <c r="A272" s="303" t="s">
        <v>109</v>
      </c>
      <c r="B272" s="626">
        <v>0.69</v>
      </c>
      <c r="C272" s="627"/>
      <c r="D272" s="627"/>
      <c r="E272" s="627"/>
      <c r="F272" s="627"/>
      <c r="G272" s="627"/>
      <c r="H272" s="627"/>
      <c r="I272" s="627"/>
      <c r="J272" s="627"/>
      <c r="K272" s="627"/>
      <c r="L272" s="627"/>
      <c r="M272" s="627"/>
      <c r="N272" s="627"/>
      <c r="O272" s="698"/>
      <c r="P272" s="707"/>
      <c r="Q272" s="221" t="s">
        <v>143</v>
      </c>
      <c r="R272" s="220">
        <v>10</v>
      </c>
      <c r="S272" s="222" t="s">
        <v>75</v>
      </c>
    </row>
    <row r="273" spans="1:19" ht="15.75" thickBot="1" x14ac:dyDescent="0.3">
      <c r="A273" s="303" t="s">
        <v>122</v>
      </c>
      <c r="B273" s="668">
        <v>11.89377</v>
      </c>
      <c r="C273" s="669"/>
      <c r="D273" s="669"/>
      <c r="E273" s="669"/>
      <c r="F273" s="669"/>
      <c r="G273" s="669"/>
      <c r="H273" s="669"/>
      <c r="I273" s="669"/>
      <c r="J273" s="669"/>
      <c r="K273" s="669"/>
      <c r="L273" s="669"/>
      <c r="M273" s="669"/>
      <c r="N273" s="669"/>
      <c r="O273" s="689"/>
      <c r="P273" s="707"/>
      <c r="Q273" s="221" t="s">
        <v>145</v>
      </c>
      <c r="R273" s="220">
        <v>9</v>
      </c>
      <c r="S273" s="223" t="s">
        <v>76</v>
      </c>
    </row>
    <row r="274" spans="1:19" ht="15.75" thickBot="1" x14ac:dyDescent="0.3">
      <c r="A274" s="303" t="s">
        <v>110</v>
      </c>
      <c r="B274" s="668">
        <v>118</v>
      </c>
      <c r="C274" s="669"/>
      <c r="D274" s="669"/>
      <c r="E274" s="669"/>
      <c r="F274" s="669"/>
      <c r="G274" s="669"/>
      <c r="H274" s="669"/>
      <c r="I274" s="669"/>
      <c r="J274" s="669"/>
      <c r="K274" s="669"/>
      <c r="L274" s="669"/>
      <c r="M274" s="669"/>
      <c r="N274" s="669"/>
      <c r="O274" s="689"/>
      <c r="P274" s="707"/>
      <c r="Q274" s="221" t="s">
        <v>147</v>
      </c>
      <c r="R274" s="220" t="s">
        <v>79</v>
      </c>
      <c r="S274" s="223" t="s">
        <v>148</v>
      </c>
    </row>
    <row r="275" spans="1:19" x14ac:dyDescent="0.25">
      <c r="A275" s="303" t="s">
        <v>111</v>
      </c>
      <c r="B275" s="668">
        <v>14.5</v>
      </c>
      <c r="C275" s="669"/>
      <c r="D275" s="669"/>
      <c r="E275" s="669"/>
      <c r="F275" s="669"/>
      <c r="G275" s="669"/>
      <c r="H275" s="669"/>
      <c r="I275" s="669"/>
      <c r="J275" s="669"/>
      <c r="K275" s="669"/>
      <c r="L275" s="669"/>
      <c r="M275" s="669"/>
      <c r="N275" s="669"/>
      <c r="O275" s="689"/>
      <c r="P275" s="707"/>
      <c r="Q275" s="224" t="s">
        <v>149</v>
      </c>
      <c r="R275" s="713">
        <v>4</v>
      </c>
      <c r="S275" s="715" t="s">
        <v>80</v>
      </c>
    </row>
    <row r="276" spans="1:19" ht="15.75" thickBot="1" x14ac:dyDescent="0.3">
      <c r="A276" s="587" t="s">
        <v>127</v>
      </c>
      <c r="B276" s="588"/>
      <c r="C276" s="588"/>
      <c r="D276" s="588"/>
      <c r="E276" s="589"/>
      <c r="F276" s="363"/>
      <c r="G276" s="470"/>
      <c r="H276" s="668" t="s">
        <v>128</v>
      </c>
      <c r="I276" s="669"/>
      <c r="J276" s="669"/>
      <c r="K276" s="669"/>
      <c r="L276" s="670"/>
      <c r="M276" s="364"/>
      <c r="N276" s="364"/>
      <c r="O276" s="363"/>
      <c r="P276" s="707"/>
      <c r="Q276" s="221" t="s">
        <v>150</v>
      </c>
      <c r="R276" s="714"/>
      <c r="S276" s="716"/>
    </row>
    <row r="277" spans="1:19" ht="15.75" thickBot="1" x14ac:dyDescent="0.3">
      <c r="A277" s="307" t="s">
        <v>98</v>
      </c>
      <c r="B277" s="365" t="s">
        <v>102</v>
      </c>
      <c r="C277" s="365" t="s">
        <v>92</v>
      </c>
      <c r="D277" s="365" t="s">
        <v>93</v>
      </c>
      <c r="E277" s="365" t="s">
        <v>94</v>
      </c>
      <c r="F277" s="366" t="s">
        <v>99</v>
      </c>
      <c r="G277" s="366"/>
      <c r="H277" s="365" t="s">
        <v>102</v>
      </c>
      <c r="I277" s="367" t="s">
        <v>98</v>
      </c>
      <c r="J277" s="365" t="s">
        <v>92</v>
      </c>
      <c r="K277" s="365" t="s">
        <v>93</v>
      </c>
      <c r="L277" s="365" t="s">
        <v>94</v>
      </c>
      <c r="M277" s="365"/>
      <c r="N277" s="365"/>
      <c r="O277" s="366" t="s">
        <v>99</v>
      </c>
      <c r="P277" s="707"/>
      <c r="Q277" s="221" t="s">
        <v>152</v>
      </c>
      <c r="R277" s="220">
        <v>9</v>
      </c>
      <c r="S277" s="223" t="s">
        <v>30</v>
      </c>
    </row>
    <row r="278" spans="1:19" ht="15.75" thickBot="1" x14ac:dyDescent="0.3">
      <c r="A278" s="308">
        <v>1179</v>
      </c>
      <c r="B278" s="365" t="s">
        <v>95</v>
      </c>
      <c r="C278" s="359">
        <v>1573.2</v>
      </c>
      <c r="D278" s="359">
        <v>1562.7</v>
      </c>
      <c r="E278" s="359">
        <v>844.1</v>
      </c>
      <c r="F278" s="368">
        <f>SUM(C278:E278)</f>
        <v>3980</v>
      </c>
      <c r="G278" s="368"/>
      <c r="H278" s="359" t="s">
        <v>175</v>
      </c>
      <c r="I278" s="369">
        <v>1123</v>
      </c>
      <c r="J278" s="359">
        <v>1651.7</v>
      </c>
      <c r="K278" s="359">
        <v>1426.8</v>
      </c>
      <c r="L278" s="359">
        <v>789.5</v>
      </c>
      <c r="M278" s="359"/>
      <c r="N278" s="359"/>
      <c r="O278" s="368">
        <f t="shared" ref="O278:O285" si="37">SUM(J278:L278)</f>
        <v>3868</v>
      </c>
      <c r="P278" s="707"/>
      <c r="Q278" s="221" t="s">
        <v>154</v>
      </c>
      <c r="R278" s="220">
        <v>8</v>
      </c>
      <c r="S278" s="222" t="s">
        <v>155</v>
      </c>
    </row>
    <row r="279" spans="1:19" ht="15.75" thickBot="1" x14ac:dyDescent="0.3">
      <c r="A279" s="308">
        <v>152</v>
      </c>
      <c r="B279" s="365" t="s">
        <v>96</v>
      </c>
      <c r="C279" s="359">
        <v>177</v>
      </c>
      <c r="D279" s="359">
        <v>142.4</v>
      </c>
      <c r="E279" s="359">
        <v>101.8</v>
      </c>
      <c r="F279" s="368">
        <f>SUM(C279:E279)</f>
        <v>421.2</v>
      </c>
      <c r="G279" s="368"/>
      <c r="H279" s="359" t="s">
        <v>176</v>
      </c>
      <c r="I279" s="370">
        <v>150</v>
      </c>
      <c r="J279" s="359">
        <v>188</v>
      </c>
      <c r="K279" s="359">
        <v>99.4</v>
      </c>
      <c r="L279" s="359">
        <v>149.9</v>
      </c>
      <c r="M279" s="359"/>
      <c r="N279" s="359"/>
      <c r="O279" s="368">
        <f t="shared" si="37"/>
        <v>437.29999999999995</v>
      </c>
      <c r="P279" s="707"/>
      <c r="Q279" s="221" t="s">
        <v>156</v>
      </c>
      <c r="R279" s="220">
        <v>9</v>
      </c>
      <c r="S279" s="222" t="s">
        <v>31</v>
      </c>
    </row>
    <row r="280" spans="1:19" ht="15.75" thickBot="1" x14ac:dyDescent="0.3">
      <c r="A280" s="307" t="s">
        <v>100</v>
      </c>
      <c r="B280" s="365" t="s">
        <v>95</v>
      </c>
      <c r="C280" s="374">
        <f t="shared" ref="C280:E281" si="38">C278/$A278</f>
        <v>1.334351145038168</v>
      </c>
      <c r="D280" s="359">
        <f t="shared" si="38"/>
        <v>1.3254452926208651</v>
      </c>
      <c r="E280" s="359">
        <f t="shared" si="38"/>
        <v>0.71594571670907547</v>
      </c>
      <c r="F280" s="360">
        <f t="shared" ref="F280:F285" si="39">SUM(C280:E280)</f>
        <v>3.3757421543681083</v>
      </c>
      <c r="G280" s="360"/>
      <c r="H280" s="359" t="s">
        <v>175</v>
      </c>
      <c r="I280" s="371" t="s">
        <v>177</v>
      </c>
      <c r="J280" s="320">
        <f t="shared" ref="J280:L281" si="40">J278/$I278</f>
        <v>1.4707925200356189</v>
      </c>
      <c r="K280" s="320">
        <f t="shared" si="40"/>
        <v>1.2705253784505788</v>
      </c>
      <c r="L280" s="320">
        <f t="shared" si="40"/>
        <v>0.70302760463045411</v>
      </c>
      <c r="M280" s="320"/>
      <c r="N280" s="476"/>
      <c r="O280" s="322">
        <f t="shared" si="37"/>
        <v>3.4443455031166521</v>
      </c>
      <c r="P280" s="707"/>
      <c r="Q280" s="221" t="s">
        <v>158</v>
      </c>
      <c r="R280" s="220">
        <v>9</v>
      </c>
      <c r="S280" s="222" t="s">
        <v>81</v>
      </c>
    </row>
    <row r="281" spans="1:19" ht="16.5" thickBot="1" x14ac:dyDescent="0.3">
      <c r="A281" s="307" t="s">
        <v>100</v>
      </c>
      <c r="B281" s="365" t="s">
        <v>96</v>
      </c>
      <c r="C281" s="359">
        <f t="shared" si="38"/>
        <v>1.1644736842105263</v>
      </c>
      <c r="D281" s="359">
        <f t="shared" si="38"/>
        <v>0.93684210526315792</v>
      </c>
      <c r="E281" s="359">
        <f t="shared" si="38"/>
        <v>0.66973684210526319</v>
      </c>
      <c r="F281" s="360">
        <f t="shared" si="39"/>
        <v>2.7710526315789474</v>
      </c>
      <c r="G281" s="360"/>
      <c r="H281" s="359" t="s">
        <v>176</v>
      </c>
      <c r="I281" s="371" t="s">
        <v>177</v>
      </c>
      <c r="J281" s="320">
        <f t="shared" si="40"/>
        <v>1.2533333333333334</v>
      </c>
      <c r="K281" s="320">
        <f t="shared" si="40"/>
        <v>0.66266666666666674</v>
      </c>
      <c r="L281" s="320">
        <f t="shared" si="40"/>
        <v>0.99933333333333341</v>
      </c>
      <c r="M281" s="320"/>
      <c r="N281" s="476"/>
      <c r="O281" s="322">
        <f t="shared" si="37"/>
        <v>2.9153333333333338</v>
      </c>
      <c r="P281" s="707"/>
      <c r="Q281" s="225" t="s">
        <v>99</v>
      </c>
      <c r="R281" s="226">
        <v>58</v>
      </c>
      <c r="S281" s="227">
        <v>0.73</v>
      </c>
    </row>
    <row r="282" spans="1:19" x14ac:dyDescent="0.25">
      <c r="A282" s="307" t="s">
        <v>104</v>
      </c>
      <c r="B282" s="365" t="s">
        <v>95</v>
      </c>
      <c r="C282" s="359">
        <f>C278/($A278/7.7)</f>
        <v>10.274503816793894</v>
      </c>
      <c r="D282" s="359">
        <f>D278/($A278/7)</f>
        <v>9.2781170483460578</v>
      </c>
      <c r="E282" s="359">
        <f>E278/($A278/7)</f>
        <v>5.011620016963529</v>
      </c>
      <c r="F282" s="360">
        <f t="shared" si="39"/>
        <v>24.56424088210348</v>
      </c>
      <c r="G282" s="469"/>
      <c r="H282" s="372" t="s">
        <v>175</v>
      </c>
      <c r="I282" s="371" t="s">
        <v>178</v>
      </c>
      <c r="J282" s="320">
        <f t="shared" ref="J282:L283" si="41">J278/($I278/7.7)</f>
        <v>11.325102404274267</v>
      </c>
      <c r="K282" s="320">
        <f t="shared" si="41"/>
        <v>9.7830454140694574</v>
      </c>
      <c r="L282" s="320">
        <f t="shared" si="41"/>
        <v>5.413312555654497</v>
      </c>
      <c r="M282" s="320"/>
      <c r="N282" s="476"/>
      <c r="O282" s="322">
        <f t="shared" si="37"/>
        <v>26.52146037399822</v>
      </c>
      <c r="P282" s="707"/>
      <c r="Q282" s="705"/>
      <c r="R282" s="705"/>
      <c r="S282" s="705"/>
    </row>
    <row r="283" spans="1:19" x14ac:dyDescent="0.25">
      <c r="A283" s="307" t="s">
        <v>104</v>
      </c>
      <c r="B283" s="365" t="s">
        <v>96</v>
      </c>
      <c r="C283" s="359">
        <f>C279/($A279/7.7)</f>
        <v>8.9664473684210524</v>
      </c>
      <c r="D283" s="359">
        <f>D279/($A279/7.7)</f>
        <v>7.2136842105263153</v>
      </c>
      <c r="E283" s="359">
        <f>E279/($A279/7.7)</f>
        <v>5.1569736842105263</v>
      </c>
      <c r="F283" s="360">
        <f t="shared" si="39"/>
        <v>21.337105263157895</v>
      </c>
      <c r="G283" s="360"/>
      <c r="H283" s="359" t="s">
        <v>176</v>
      </c>
      <c r="I283" s="371" t="s">
        <v>178</v>
      </c>
      <c r="J283" s="320">
        <f t="shared" si="41"/>
        <v>9.6506666666666678</v>
      </c>
      <c r="K283" s="320">
        <f t="shared" si="41"/>
        <v>5.1025333333333336</v>
      </c>
      <c r="L283" s="320">
        <f t="shared" si="41"/>
        <v>7.694866666666667</v>
      </c>
      <c r="M283" s="320"/>
      <c r="N283" s="476"/>
      <c r="O283" s="322">
        <f t="shared" si="37"/>
        <v>22.448066666666669</v>
      </c>
      <c r="P283" s="707"/>
      <c r="Q283" s="706"/>
      <c r="R283" s="706"/>
      <c r="S283" s="706"/>
    </row>
    <row r="284" spans="1:19" x14ac:dyDescent="0.25">
      <c r="A284" s="307" t="s">
        <v>135</v>
      </c>
      <c r="B284" s="365" t="s">
        <v>95</v>
      </c>
      <c r="C284" s="361">
        <f>C278/((($A278*$B275)*(1-$B272))/$B270)</f>
        <v>0.21373366505616925</v>
      </c>
      <c r="D284" s="361">
        <f>D278/((($A278*$B275)*(1-$B272))/$B270)</f>
        <v>0.21230714364561129</v>
      </c>
      <c r="E284" s="361">
        <f>E278/((($A278*$B275)*(1-$B272))/$B270)</f>
        <v>0.11467873549066392</v>
      </c>
      <c r="F284" s="360">
        <f t="shared" si="39"/>
        <v>0.54071954419244439</v>
      </c>
      <c r="G284" s="360"/>
      <c r="H284" s="361" t="s">
        <v>175</v>
      </c>
      <c r="I284" s="373" t="s">
        <v>179</v>
      </c>
      <c r="J284" s="327">
        <f>J278/((($I278*$B275)*(1-$B272))/$B270)</f>
        <v>0.23558856828156738</v>
      </c>
      <c r="K284" s="327">
        <f>K278/((($I278*$B275)*(1-$B272))/$B270)</f>
        <v>0.20351018297762324</v>
      </c>
      <c r="L284" s="327">
        <f>L278/((($I278*$B275)*(1-$B272))/$B270)</f>
        <v>0.11260953845026182</v>
      </c>
      <c r="M284" s="327"/>
      <c r="N284" s="477"/>
      <c r="O284" s="323">
        <f t="shared" si="37"/>
        <v>0.5517082897094524</v>
      </c>
      <c r="P284" s="707"/>
      <c r="Q284" s="706"/>
      <c r="R284" s="706"/>
      <c r="S284" s="706"/>
    </row>
    <row r="285" spans="1:19" x14ac:dyDescent="0.25">
      <c r="A285" s="307" t="s">
        <v>135</v>
      </c>
      <c r="B285" s="365" t="s">
        <v>96</v>
      </c>
      <c r="C285" s="361">
        <f>C279/((($A279*$B275)*(1-$B272))/$B270)</f>
        <v>0.18652303729289849</v>
      </c>
      <c r="D285" s="361">
        <f>D279/((($A279*$B275)*(1-$B272))/$B270)</f>
        <v>0.15006147181078389</v>
      </c>
      <c r="E285" s="361">
        <f>E279/((($A279*$B275)*(1-$B272))/$B270)</f>
        <v>0.10727709150518117</v>
      </c>
      <c r="F285" s="360">
        <f t="shared" si="39"/>
        <v>0.44386160060886354</v>
      </c>
      <c r="G285" s="360"/>
      <c r="H285" s="361" t="s">
        <v>176</v>
      </c>
      <c r="I285" s="373" t="s">
        <v>179</v>
      </c>
      <c r="J285" s="327">
        <f>J279/((($I279*$B275)*(1-$B272))/$B270)</f>
        <v>0.20075639599555059</v>
      </c>
      <c r="K285" s="327">
        <f>K279/((($I279*$B275)*(1-$B272))/$B270)</f>
        <v>0.10614460511679642</v>
      </c>
      <c r="L285" s="327">
        <f>L279/((($I279*$B275)*(1-$B272))/$B270)</f>
        <v>0.16007119021134592</v>
      </c>
      <c r="M285" s="327"/>
      <c r="N285" s="477"/>
      <c r="O285" s="323">
        <f t="shared" si="37"/>
        <v>0.46697219132369294</v>
      </c>
      <c r="P285" s="707"/>
      <c r="Q285" s="706"/>
      <c r="R285" s="706"/>
      <c r="S285" s="706"/>
    </row>
    <row r="286" spans="1:19" x14ac:dyDescent="0.25">
      <c r="A286" s="612"/>
      <c r="B286" s="612"/>
      <c r="C286" s="612"/>
      <c r="D286" s="612"/>
      <c r="E286" s="612"/>
      <c r="F286" s="612"/>
      <c r="G286" s="612"/>
      <c r="H286" s="612"/>
      <c r="I286" s="612"/>
      <c r="J286" s="612"/>
      <c r="K286" s="612"/>
      <c r="L286" s="612"/>
      <c r="M286" s="612"/>
      <c r="N286" s="612"/>
      <c r="O286" s="612"/>
      <c r="P286" s="612"/>
      <c r="Q286" s="612"/>
      <c r="R286" s="612"/>
      <c r="S286" s="612"/>
    </row>
    <row r="287" spans="1:19" ht="21" x14ac:dyDescent="0.25">
      <c r="A287" s="305"/>
      <c r="B287" s="699" t="s">
        <v>70</v>
      </c>
      <c r="C287" s="700"/>
      <c r="D287" s="700"/>
      <c r="E287" s="700"/>
      <c r="F287" s="700"/>
      <c r="G287" s="700"/>
      <c r="H287" s="700"/>
      <c r="I287" s="700"/>
      <c r="J287" s="700"/>
      <c r="K287" s="700"/>
      <c r="L287" s="700"/>
      <c r="M287" s="700"/>
      <c r="N287" s="700"/>
      <c r="O287" s="701"/>
      <c r="P287" s="707" t="s">
        <v>97</v>
      </c>
      <c r="Q287" s="678" t="s">
        <v>73</v>
      </c>
      <c r="R287" s="678"/>
      <c r="S287" s="678"/>
    </row>
    <row r="288" spans="1:19" x14ac:dyDescent="0.25">
      <c r="A288" s="306"/>
      <c r="B288" s="650" t="s">
        <v>115</v>
      </c>
      <c r="C288" s="651"/>
      <c r="D288" s="651"/>
      <c r="E288" s="651"/>
      <c r="F288" s="651"/>
      <c r="G288" s="651"/>
      <c r="H288" s="651"/>
      <c r="I288" s="651"/>
      <c r="J288" s="651"/>
      <c r="K288" s="651"/>
      <c r="L288" s="651"/>
      <c r="M288" s="651"/>
      <c r="N288" s="651"/>
      <c r="O288" s="652"/>
      <c r="P288" s="707"/>
      <c r="Q288" s="678"/>
      <c r="R288" s="678"/>
      <c r="S288" s="678"/>
    </row>
    <row r="289" spans="1:19" x14ac:dyDescent="0.25">
      <c r="A289" s="303" t="s">
        <v>106</v>
      </c>
      <c r="B289" s="629">
        <v>19.18</v>
      </c>
      <c r="C289" s="630"/>
      <c r="D289" s="630"/>
      <c r="E289" s="690"/>
      <c r="F289" s="365" t="s">
        <v>91</v>
      </c>
      <c r="G289" s="471"/>
      <c r="H289" s="668">
        <v>0.84299999999999997</v>
      </c>
      <c r="I289" s="669"/>
      <c r="J289" s="669"/>
      <c r="K289" s="669"/>
      <c r="L289" s="689"/>
      <c r="M289" s="375"/>
      <c r="N289" s="375"/>
      <c r="O289" s="376">
        <v>20.03</v>
      </c>
      <c r="P289" s="707"/>
      <c r="Q289" s="678"/>
      <c r="R289" s="678"/>
      <c r="S289" s="678"/>
    </row>
    <row r="290" spans="1:19" x14ac:dyDescent="0.25">
      <c r="A290" s="303" t="s">
        <v>112</v>
      </c>
      <c r="B290" s="626">
        <v>0.15</v>
      </c>
      <c r="C290" s="627"/>
      <c r="D290" s="627"/>
      <c r="E290" s="698"/>
      <c r="F290" s="290"/>
      <c r="G290" s="472"/>
      <c r="H290" s="626">
        <v>0.12</v>
      </c>
      <c r="I290" s="627"/>
      <c r="J290" s="627"/>
      <c r="K290" s="627"/>
      <c r="L290" s="698"/>
      <c r="M290" s="377"/>
      <c r="N290" s="377"/>
      <c r="O290" s="378">
        <v>0.15</v>
      </c>
      <c r="P290" s="707"/>
      <c r="Q290" s="678"/>
      <c r="R290" s="678"/>
      <c r="S290" s="678"/>
    </row>
    <row r="291" spans="1:19" ht="15.75" thickBot="1" x14ac:dyDescent="0.3">
      <c r="A291" s="303" t="s">
        <v>107</v>
      </c>
      <c r="B291" s="629">
        <v>16.22</v>
      </c>
      <c r="C291" s="630"/>
      <c r="D291" s="630"/>
      <c r="E291" s="690"/>
      <c r="F291" s="290"/>
      <c r="G291" s="472"/>
      <c r="H291" s="629">
        <v>0.74</v>
      </c>
      <c r="I291" s="630"/>
      <c r="J291" s="630"/>
      <c r="K291" s="630"/>
      <c r="L291" s="690"/>
      <c r="M291" s="379"/>
      <c r="N291" s="379"/>
      <c r="O291" s="376">
        <v>16.96</v>
      </c>
      <c r="P291" s="707"/>
      <c r="Q291" s="708"/>
      <c r="R291" s="708"/>
      <c r="S291" s="708"/>
    </row>
    <row r="292" spans="1:19" x14ac:dyDescent="0.25">
      <c r="A292" s="303" t="s">
        <v>108</v>
      </c>
      <c r="B292" s="626">
        <v>0.65</v>
      </c>
      <c r="C292" s="627"/>
      <c r="D292" s="627"/>
      <c r="E292" s="627"/>
      <c r="F292" s="627"/>
      <c r="G292" s="627"/>
      <c r="H292" s="627"/>
      <c r="I292" s="627"/>
      <c r="J292" s="627"/>
      <c r="K292" s="627"/>
      <c r="L292" s="627"/>
      <c r="M292" s="627"/>
      <c r="N292" s="627"/>
      <c r="O292" s="628"/>
      <c r="P292" s="707"/>
      <c r="Q292" s="709" t="s">
        <v>139</v>
      </c>
      <c r="R292" s="219" t="s">
        <v>140</v>
      </c>
      <c r="S292" s="711" t="s">
        <v>142</v>
      </c>
    </row>
    <row r="293" spans="1:19" ht="15.75" thickBot="1" x14ac:dyDescent="0.3">
      <c r="A293" s="303" t="s">
        <v>113</v>
      </c>
      <c r="B293" s="668">
        <v>33.838999999999999</v>
      </c>
      <c r="C293" s="669"/>
      <c r="D293" s="669"/>
      <c r="E293" s="669"/>
      <c r="F293" s="669"/>
      <c r="G293" s="669"/>
      <c r="H293" s="669"/>
      <c r="I293" s="669"/>
      <c r="J293" s="669"/>
      <c r="K293" s="669"/>
      <c r="L293" s="669"/>
      <c r="M293" s="669"/>
      <c r="N293" s="669"/>
      <c r="O293" s="670"/>
      <c r="P293" s="707"/>
      <c r="Q293" s="710"/>
      <c r="R293" s="220" t="s">
        <v>141</v>
      </c>
      <c r="S293" s="712"/>
    </row>
    <row r="294" spans="1:19" ht="29.25" thickBot="1" x14ac:dyDescent="0.3">
      <c r="A294" s="303" t="s">
        <v>109</v>
      </c>
      <c r="B294" s="626">
        <v>0.68</v>
      </c>
      <c r="C294" s="627"/>
      <c r="D294" s="627"/>
      <c r="E294" s="627"/>
      <c r="F294" s="627"/>
      <c r="G294" s="627"/>
      <c r="H294" s="627"/>
      <c r="I294" s="627"/>
      <c r="J294" s="627"/>
      <c r="K294" s="627"/>
      <c r="L294" s="627"/>
      <c r="M294" s="627"/>
      <c r="N294" s="627"/>
      <c r="O294" s="628"/>
      <c r="P294" s="707"/>
      <c r="Q294" s="221" t="s">
        <v>143</v>
      </c>
      <c r="R294" s="220">
        <v>10</v>
      </c>
      <c r="S294" s="222" t="s">
        <v>75</v>
      </c>
    </row>
    <row r="295" spans="1:19" ht="15.75" thickBot="1" x14ac:dyDescent="0.3">
      <c r="A295" s="303" t="s">
        <v>122</v>
      </c>
      <c r="B295" s="668">
        <v>10.997674999999999</v>
      </c>
      <c r="C295" s="669"/>
      <c r="D295" s="669"/>
      <c r="E295" s="669"/>
      <c r="F295" s="669"/>
      <c r="G295" s="669"/>
      <c r="H295" s="669"/>
      <c r="I295" s="669"/>
      <c r="J295" s="669"/>
      <c r="K295" s="669"/>
      <c r="L295" s="669"/>
      <c r="M295" s="669"/>
      <c r="N295" s="669"/>
      <c r="O295" s="670"/>
      <c r="P295" s="707"/>
      <c r="Q295" s="221" t="s">
        <v>145</v>
      </c>
      <c r="R295" s="220">
        <v>9</v>
      </c>
      <c r="S295" s="223" t="s">
        <v>76</v>
      </c>
    </row>
    <row r="296" spans="1:19" ht="15.75" thickBot="1" x14ac:dyDescent="0.3">
      <c r="A296" s="303" t="s">
        <v>110</v>
      </c>
      <c r="B296" s="668">
        <v>123</v>
      </c>
      <c r="C296" s="669"/>
      <c r="D296" s="669"/>
      <c r="E296" s="669"/>
      <c r="F296" s="669"/>
      <c r="G296" s="669"/>
      <c r="H296" s="669"/>
      <c r="I296" s="669"/>
      <c r="J296" s="669"/>
      <c r="K296" s="669"/>
      <c r="L296" s="669"/>
      <c r="M296" s="669"/>
      <c r="N296" s="669"/>
      <c r="O296" s="670"/>
      <c r="P296" s="707"/>
      <c r="Q296" s="221" t="s">
        <v>147</v>
      </c>
      <c r="R296" s="220">
        <v>8</v>
      </c>
      <c r="S296" s="223" t="s">
        <v>148</v>
      </c>
    </row>
    <row r="297" spans="1:19" ht="15.75" thickBot="1" x14ac:dyDescent="0.3">
      <c r="A297" s="303" t="s">
        <v>111</v>
      </c>
      <c r="B297" s="668">
        <v>13</v>
      </c>
      <c r="C297" s="669"/>
      <c r="D297" s="669"/>
      <c r="E297" s="669"/>
      <c r="F297" s="669"/>
      <c r="G297" s="669"/>
      <c r="H297" s="669"/>
      <c r="I297" s="669"/>
      <c r="J297" s="669"/>
      <c r="K297" s="669"/>
      <c r="L297" s="669"/>
      <c r="M297" s="669"/>
      <c r="N297" s="669"/>
      <c r="O297" s="670"/>
      <c r="P297" s="707"/>
      <c r="Q297" s="228" t="s">
        <v>82</v>
      </c>
      <c r="R297" s="229">
        <v>3</v>
      </c>
      <c r="S297" s="223" t="s">
        <v>83</v>
      </c>
    </row>
    <row r="298" spans="1:19" ht="15.75" thickBot="1" x14ac:dyDescent="0.3">
      <c r="A298" s="587" t="s">
        <v>127</v>
      </c>
      <c r="B298" s="588"/>
      <c r="C298" s="588"/>
      <c r="D298" s="588"/>
      <c r="E298" s="589"/>
      <c r="F298" s="363"/>
      <c r="G298" s="470"/>
      <c r="H298" s="668" t="s">
        <v>128</v>
      </c>
      <c r="I298" s="669"/>
      <c r="J298" s="669"/>
      <c r="K298" s="669"/>
      <c r="L298" s="670"/>
      <c r="M298" s="364"/>
      <c r="N298" s="364"/>
      <c r="O298" s="363"/>
      <c r="P298" s="707"/>
      <c r="Q298" s="221" t="s">
        <v>152</v>
      </c>
      <c r="R298" s="220">
        <v>9</v>
      </c>
      <c r="S298" s="223" t="s">
        <v>30</v>
      </c>
    </row>
    <row r="299" spans="1:19" ht="15.75" thickBot="1" x14ac:dyDescent="0.3">
      <c r="A299" s="307" t="s">
        <v>98</v>
      </c>
      <c r="B299" s="365" t="s">
        <v>102</v>
      </c>
      <c r="C299" s="365" t="s">
        <v>92</v>
      </c>
      <c r="D299" s="365" t="s">
        <v>93</v>
      </c>
      <c r="E299" s="365" t="s">
        <v>94</v>
      </c>
      <c r="F299" s="366" t="s">
        <v>99</v>
      </c>
      <c r="G299" s="366"/>
      <c r="H299" s="365" t="s">
        <v>102</v>
      </c>
      <c r="I299" s="367" t="s">
        <v>98</v>
      </c>
      <c r="J299" s="365" t="s">
        <v>92</v>
      </c>
      <c r="K299" s="365" t="s">
        <v>93</v>
      </c>
      <c r="L299" s="365" t="s">
        <v>94</v>
      </c>
      <c r="M299" s="365" t="s">
        <v>256</v>
      </c>
      <c r="N299" s="365"/>
      <c r="O299" s="366" t="s">
        <v>99</v>
      </c>
      <c r="P299" s="707"/>
      <c r="Q299" s="221" t="s">
        <v>154</v>
      </c>
      <c r="R299" s="220">
        <v>8</v>
      </c>
      <c r="S299" s="222" t="s">
        <v>155</v>
      </c>
    </row>
    <row r="300" spans="1:19" ht="15.75" thickBot="1" x14ac:dyDescent="0.3">
      <c r="A300" s="308">
        <v>1143</v>
      </c>
      <c r="B300" s="365" t="s">
        <v>95</v>
      </c>
      <c r="C300" s="359">
        <v>1333.1</v>
      </c>
      <c r="D300" s="359">
        <v>1480.2</v>
      </c>
      <c r="E300" s="359">
        <v>810.3</v>
      </c>
      <c r="F300" s="360">
        <f>SUM(C300:E300)</f>
        <v>3623.6000000000004</v>
      </c>
      <c r="G300" s="360"/>
      <c r="H300" s="359" t="s">
        <v>175</v>
      </c>
      <c r="I300" s="369">
        <v>1148</v>
      </c>
      <c r="J300" s="359">
        <v>1923.9</v>
      </c>
      <c r="K300" s="359">
        <v>1358.1</v>
      </c>
      <c r="L300" s="359">
        <v>741.3</v>
      </c>
      <c r="M300" s="359">
        <v>111.8</v>
      </c>
      <c r="N300" s="359"/>
      <c r="O300" s="322">
        <f t="shared" ref="O300:O307" si="42">SUM(J300:L300)</f>
        <v>4023.3</v>
      </c>
      <c r="P300" s="707"/>
      <c r="Q300" s="221" t="s">
        <v>156</v>
      </c>
      <c r="R300" s="220">
        <v>9</v>
      </c>
      <c r="S300" s="222" t="s">
        <v>84</v>
      </c>
    </row>
    <row r="301" spans="1:19" ht="15.75" thickBot="1" x14ac:dyDescent="0.3">
      <c r="A301" s="308">
        <v>157</v>
      </c>
      <c r="B301" s="365" t="s">
        <v>96</v>
      </c>
      <c r="C301" s="359">
        <v>186.2</v>
      </c>
      <c r="D301" s="359">
        <v>117.3</v>
      </c>
      <c r="E301" s="359">
        <v>70.7</v>
      </c>
      <c r="F301" s="360">
        <f t="shared" ref="F301:F307" si="43">SUM(C301:E301)</f>
        <v>374.2</v>
      </c>
      <c r="G301" s="360"/>
      <c r="H301" s="359" t="s">
        <v>176</v>
      </c>
      <c r="I301" s="370">
        <v>155</v>
      </c>
      <c r="J301" s="359">
        <v>162.5</v>
      </c>
      <c r="K301" s="359">
        <v>167.4</v>
      </c>
      <c r="L301" s="359">
        <v>160.1</v>
      </c>
      <c r="M301" s="359">
        <v>37.4</v>
      </c>
      <c r="N301" s="359"/>
      <c r="O301" s="322">
        <f t="shared" si="42"/>
        <v>490</v>
      </c>
      <c r="P301" s="707"/>
      <c r="Q301" s="221" t="s">
        <v>158</v>
      </c>
      <c r="R301" s="220">
        <v>9</v>
      </c>
      <c r="S301" s="222" t="s">
        <v>168</v>
      </c>
    </row>
    <row r="302" spans="1:19" ht="16.5" thickBot="1" x14ac:dyDescent="0.3">
      <c r="A302" s="307" t="s">
        <v>100</v>
      </c>
      <c r="B302" s="365" t="s">
        <v>95</v>
      </c>
      <c r="C302" s="374">
        <f t="shared" ref="C302:E303" si="44">C300/$A300</f>
        <v>1.1663167104111984</v>
      </c>
      <c r="D302" s="374">
        <f t="shared" si="44"/>
        <v>1.2950131233595801</v>
      </c>
      <c r="E302" s="374">
        <f t="shared" si="44"/>
        <v>0.70892388451443566</v>
      </c>
      <c r="F302" s="360">
        <f t="shared" si="43"/>
        <v>3.1702537182852142</v>
      </c>
      <c r="G302" s="360"/>
      <c r="H302" s="359" t="s">
        <v>175</v>
      </c>
      <c r="I302" s="371" t="s">
        <v>177</v>
      </c>
      <c r="J302" s="320">
        <f t="shared" ref="J302:M303" si="45">J300/$I300</f>
        <v>1.6758710801393728</v>
      </c>
      <c r="K302" s="320">
        <f t="shared" si="45"/>
        <v>1.1830139372822299</v>
      </c>
      <c r="L302" s="320">
        <f t="shared" si="45"/>
        <v>0.64573170731707308</v>
      </c>
      <c r="M302" s="320">
        <f t="shared" si="45"/>
        <v>9.7386759581881532E-2</v>
      </c>
      <c r="N302" s="476"/>
      <c r="O302" s="322">
        <f t="shared" si="42"/>
        <v>3.5046167247386757</v>
      </c>
      <c r="P302" s="707"/>
      <c r="Q302" s="225" t="s">
        <v>99</v>
      </c>
      <c r="R302" s="226">
        <f>SUM(R294:R301)</f>
        <v>65</v>
      </c>
      <c r="S302" s="227">
        <f>R302/80</f>
        <v>0.8125</v>
      </c>
    </row>
    <row r="303" spans="1:19" ht="15.75" thickBot="1" x14ac:dyDescent="0.3">
      <c r="A303" s="307" t="s">
        <v>100</v>
      </c>
      <c r="B303" s="365" t="s">
        <v>96</v>
      </c>
      <c r="C303" s="359">
        <f t="shared" si="44"/>
        <v>1.1859872611464968</v>
      </c>
      <c r="D303" s="359">
        <f t="shared" si="44"/>
        <v>0.74713375796178338</v>
      </c>
      <c r="E303" s="359">
        <f t="shared" si="44"/>
        <v>0.45031847133757963</v>
      </c>
      <c r="F303" s="360">
        <f t="shared" si="43"/>
        <v>2.38343949044586</v>
      </c>
      <c r="G303" s="360"/>
      <c r="H303" s="359" t="s">
        <v>176</v>
      </c>
      <c r="I303" s="371" t="s">
        <v>177</v>
      </c>
      <c r="J303" s="320">
        <f t="shared" si="45"/>
        <v>1.0483870967741935</v>
      </c>
      <c r="K303" s="320">
        <f t="shared" si="45"/>
        <v>1.08</v>
      </c>
      <c r="L303" s="320">
        <f t="shared" si="45"/>
        <v>1.0329032258064517</v>
      </c>
      <c r="M303" s="320">
        <f t="shared" si="45"/>
        <v>0.24129032258064514</v>
      </c>
      <c r="N303" s="476"/>
      <c r="O303" s="322">
        <f t="shared" si="42"/>
        <v>3.161290322580645</v>
      </c>
      <c r="P303" s="707"/>
      <c r="Q303" s="225"/>
      <c r="R303" s="220"/>
      <c r="S303" s="230"/>
    </row>
    <row r="304" spans="1:19" x14ac:dyDescent="0.25">
      <c r="A304" s="307" t="s">
        <v>104</v>
      </c>
      <c r="B304" s="365" t="s">
        <v>95</v>
      </c>
      <c r="C304" s="359">
        <f>C300/($A300/7.7)</f>
        <v>8.9806386701662291</v>
      </c>
      <c r="D304" s="359">
        <f>D300/($A300/7)</f>
        <v>9.0650918635170612</v>
      </c>
      <c r="E304" s="359">
        <f>E300/($A300/7)</f>
        <v>4.9624671916010499</v>
      </c>
      <c r="F304" s="360">
        <f t="shared" si="43"/>
        <v>23.00819772528434</v>
      </c>
      <c r="G304" s="469"/>
      <c r="H304" s="372" t="s">
        <v>175</v>
      </c>
      <c r="I304" s="371" t="s">
        <v>178</v>
      </c>
      <c r="J304" s="320">
        <f t="shared" ref="J304:M305" si="46">J300/($I300/7.7)</f>
        <v>12.904207317073171</v>
      </c>
      <c r="K304" s="320">
        <f t="shared" si="46"/>
        <v>9.1092073170731691</v>
      </c>
      <c r="L304" s="320">
        <f t="shared" si="46"/>
        <v>4.972134146341463</v>
      </c>
      <c r="M304" s="320">
        <f t="shared" si="46"/>
        <v>0.7498780487804878</v>
      </c>
      <c r="N304" s="476"/>
      <c r="O304" s="322">
        <f t="shared" si="42"/>
        <v>26.985548780487804</v>
      </c>
      <c r="P304" s="707"/>
      <c r="Q304" s="705"/>
      <c r="R304" s="705"/>
      <c r="S304" s="705"/>
    </row>
    <row r="305" spans="1:19" x14ac:dyDescent="0.25">
      <c r="A305" s="307" t="s">
        <v>104</v>
      </c>
      <c r="B305" s="365" t="s">
        <v>96</v>
      </c>
      <c r="C305" s="359">
        <f>C301/($A301/7.7)</f>
        <v>9.132101910828025</v>
      </c>
      <c r="D305" s="359">
        <f>D301/($A301/7.7)</f>
        <v>5.7529299363057325</v>
      </c>
      <c r="E305" s="359">
        <f>E301/($A301/7.7)</f>
        <v>3.4674522292993633</v>
      </c>
      <c r="F305" s="360">
        <f t="shared" si="43"/>
        <v>18.352484076433122</v>
      </c>
      <c r="G305" s="360"/>
      <c r="H305" s="359" t="s">
        <v>176</v>
      </c>
      <c r="I305" s="371" t="s">
        <v>178</v>
      </c>
      <c r="J305" s="320">
        <f t="shared" si="46"/>
        <v>8.07258064516129</v>
      </c>
      <c r="K305" s="320">
        <f t="shared" si="46"/>
        <v>8.3159999999999989</v>
      </c>
      <c r="L305" s="320">
        <f t="shared" si="46"/>
        <v>7.9533548387096769</v>
      </c>
      <c r="M305" s="320">
        <f t="shared" si="46"/>
        <v>1.8579354838709676</v>
      </c>
      <c r="N305" s="476"/>
      <c r="O305" s="322">
        <f t="shared" si="42"/>
        <v>24.341935483870969</v>
      </c>
      <c r="P305" s="707"/>
      <c r="Q305" s="706"/>
      <c r="R305" s="706"/>
      <c r="S305" s="706"/>
    </row>
    <row r="306" spans="1:19" x14ac:dyDescent="0.25">
      <c r="A306" s="307" t="s">
        <v>135</v>
      </c>
      <c r="B306" s="365" t="s">
        <v>95</v>
      </c>
      <c r="C306" s="361">
        <f>C300/((($A300*$B297)*(1-$B294))/$B292)</f>
        <v>0.18223698600174978</v>
      </c>
      <c r="D306" s="361">
        <f>D300/((($A300*$B297)*(1-$B294))/$B292)</f>
        <v>0.20234580052493442</v>
      </c>
      <c r="E306" s="361">
        <f>E300/((($A300*$B297)*(1-$B294))/$B292)</f>
        <v>0.11076935695538059</v>
      </c>
      <c r="F306" s="360">
        <f t="shared" si="43"/>
        <v>0.4953521434820648</v>
      </c>
      <c r="G306" s="360"/>
      <c r="H306" s="361" t="s">
        <v>175</v>
      </c>
      <c r="I306" s="373" t="s">
        <v>179</v>
      </c>
      <c r="J306" s="327">
        <f>J300/((($I300*$B297)*(1-$B294))/$B292)</f>
        <v>0.26185485627177707</v>
      </c>
      <c r="K306" s="327">
        <f>K300/((($I300*$B297)*(1-$B294))/$B292)</f>
        <v>0.18484592770034844</v>
      </c>
      <c r="L306" s="327">
        <f>L300/((($I300*$B297)*(1-$B294))/$B292)</f>
        <v>0.10089557926829269</v>
      </c>
      <c r="M306" s="327">
        <f>M300/((($I300*$B297)*(1-$B294))/$B292)</f>
        <v>1.5216681184668991E-2</v>
      </c>
      <c r="N306" s="477"/>
      <c r="O306" s="323">
        <f t="shared" si="42"/>
        <v>0.54759636324041827</v>
      </c>
      <c r="P306" s="707"/>
      <c r="Q306" s="706"/>
      <c r="R306" s="706"/>
      <c r="S306" s="706"/>
    </row>
    <row r="307" spans="1:19" x14ac:dyDescent="0.25">
      <c r="A307" s="307" t="s">
        <v>135</v>
      </c>
      <c r="B307" s="365" t="s">
        <v>96</v>
      </c>
      <c r="C307" s="361">
        <f>C301/((($A301*$B297)*(1-$B294))/$B292)</f>
        <v>0.18531050955414013</v>
      </c>
      <c r="D307" s="361">
        <f>D301/((($A301*$B297)*(1-$B294))/$B292)</f>
        <v>0.11673964968152868</v>
      </c>
      <c r="E307" s="361">
        <f>E301/((($A301*$B297)*(1-$B294))/$B292)</f>
        <v>7.0362261146496824E-2</v>
      </c>
      <c r="F307" s="360">
        <f t="shared" si="43"/>
        <v>0.3724124203821656</v>
      </c>
      <c r="G307" s="360"/>
      <c r="H307" s="361" t="s">
        <v>176</v>
      </c>
      <c r="I307" s="373" t="s">
        <v>179</v>
      </c>
      <c r="J307" s="327">
        <f>J301/((($I301*$B297)*(1-$B294))/$B292)</f>
        <v>0.16381048387096775</v>
      </c>
      <c r="K307" s="327">
        <f>K301/((($I301*$B297)*(1-$B294))/$B292)</f>
        <v>0.16875000000000004</v>
      </c>
      <c r="L307" s="327">
        <f>L301/((($I301*$B297)*(1-$B294))/$B292)</f>
        <v>0.16139112903225808</v>
      </c>
      <c r="M307" s="327">
        <f>M301/((($I301*$B297)*(1-$B294))/$B292)</f>
        <v>3.7701612903225809E-2</v>
      </c>
      <c r="N307" s="477"/>
      <c r="O307" s="323">
        <f t="shared" si="42"/>
        <v>0.49395161290322587</v>
      </c>
      <c r="P307" s="707"/>
      <c r="Q307" s="706"/>
      <c r="R307" s="706"/>
      <c r="S307" s="706"/>
    </row>
    <row r="308" spans="1:19" x14ac:dyDescent="0.25">
      <c r="A308" s="612"/>
      <c r="B308" s="612"/>
      <c r="C308" s="612"/>
      <c r="D308" s="612"/>
      <c r="E308" s="612"/>
      <c r="F308" s="612"/>
      <c r="G308" s="612"/>
      <c r="H308" s="612"/>
      <c r="I308" s="612"/>
      <c r="J308" s="612"/>
      <c r="K308" s="612"/>
      <c r="L308" s="612"/>
      <c r="M308" s="612"/>
      <c r="N308" s="612"/>
      <c r="O308" s="612"/>
      <c r="P308" s="612"/>
      <c r="Q308" s="612"/>
      <c r="R308" s="612"/>
      <c r="S308" s="612"/>
    </row>
    <row r="309" spans="1:19" ht="21" x14ac:dyDescent="0.25">
      <c r="A309" s="305"/>
      <c r="B309" s="699" t="s">
        <v>71</v>
      </c>
      <c r="C309" s="700"/>
      <c r="D309" s="700"/>
      <c r="E309" s="700"/>
      <c r="F309" s="700"/>
      <c r="G309" s="700"/>
      <c r="H309" s="700"/>
      <c r="I309" s="700"/>
      <c r="J309" s="700"/>
      <c r="K309" s="700"/>
      <c r="L309" s="700"/>
      <c r="M309" s="700"/>
      <c r="N309" s="700"/>
      <c r="O309" s="701"/>
      <c r="P309" s="707" t="s">
        <v>97</v>
      </c>
      <c r="Q309" s="678" t="s">
        <v>74</v>
      </c>
      <c r="R309" s="678"/>
      <c r="S309" s="678"/>
    </row>
    <row r="310" spans="1:19" ht="21" x14ac:dyDescent="0.25">
      <c r="A310" s="306" t="s">
        <v>283</v>
      </c>
      <c r="B310" s="380"/>
      <c r="C310" s="381"/>
      <c r="D310" s="381"/>
      <c r="E310" s="381"/>
      <c r="F310" s="381"/>
      <c r="G310" s="455"/>
      <c r="H310" s="381"/>
      <c r="I310" s="381"/>
      <c r="J310" s="381"/>
      <c r="K310" s="381"/>
      <c r="L310" s="381"/>
      <c r="M310" s="381"/>
      <c r="N310" s="455"/>
      <c r="O310" s="382"/>
      <c r="P310" s="707"/>
      <c r="Q310" s="678"/>
      <c r="R310" s="678"/>
      <c r="S310" s="678"/>
    </row>
    <row r="311" spans="1:19" x14ac:dyDescent="0.25">
      <c r="A311" s="306"/>
      <c r="B311" s="650" t="s">
        <v>115</v>
      </c>
      <c r="C311" s="651"/>
      <c r="D311" s="651"/>
      <c r="E311" s="651"/>
      <c r="F311" s="651"/>
      <c r="G311" s="651"/>
      <c r="H311" s="651"/>
      <c r="I311" s="651"/>
      <c r="J311" s="651"/>
      <c r="K311" s="651"/>
      <c r="L311" s="651"/>
      <c r="M311" s="651"/>
      <c r="N311" s="651"/>
      <c r="O311" s="652"/>
      <c r="P311" s="707"/>
      <c r="Q311" s="678"/>
      <c r="R311" s="678"/>
      <c r="S311" s="678"/>
    </row>
    <row r="312" spans="1:19" x14ac:dyDescent="0.25">
      <c r="A312" s="303" t="s">
        <v>106</v>
      </c>
      <c r="B312" s="629">
        <v>20.59</v>
      </c>
      <c r="C312" s="630"/>
      <c r="D312" s="630"/>
      <c r="E312" s="690"/>
      <c r="F312" s="365" t="s">
        <v>174</v>
      </c>
      <c r="G312" s="471"/>
      <c r="H312" s="668">
        <v>0.40500000000000003</v>
      </c>
      <c r="I312" s="669"/>
      <c r="J312" s="669"/>
      <c r="K312" s="669"/>
      <c r="L312" s="689"/>
      <c r="M312" s="629">
        <f>SUM(B312+H312)</f>
        <v>20.995000000000001</v>
      </c>
      <c r="N312" s="630"/>
      <c r="O312" s="690"/>
      <c r="P312" s="707"/>
      <c r="Q312" s="678"/>
      <c r="R312" s="678"/>
      <c r="S312" s="678"/>
    </row>
    <row r="313" spans="1:19" x14ac:dyDescent="0.25">
      <c r="A313" s="303" t="s">
        <v>112</v>
      </c>
      <c r="B313" s="626">
        <v>0.15</v>
      </c>
      <c r="C313" s="627"/>
      <c r="D313" s="627"/>
      <c r="E313" s="698"/>
      <c r="F313" s="290"/>
      <c r="G313" s="472"/>
      <c r="H313" s="626">
        <v>0.16</v>
      </c>
      <c r="I313" s="627"/>
      <c r="J313" s="627"/>
      <c r="K313" s="627"/>
      <c r="L313" s="698"/>
      <c r="M313" s="629">
        <v>0.15</v>
      </c>
      <c r="N313" s="630"/>
      <c r="O313" s="690"/>
      <c r="P313" s="707"/>
      <c r="Q313" s="678"/>
      <c r="R313" s="678"/>
      <c r="S313" s="678"/>
    </row>
    <row r="314" spans="1:19" ht="15.75" thickBot="1" x14ac:dyDescent="0.3">
      <c r="A314" s="303" t="s">
        <v>107</v>
      </c>
      <c r="B314" s="629">
        <v>17.54</v>
      </c>
      <c r="C314" s="630"/>
      <c r="D314" s="630"/>
      <c r="E314" s="690"/>
      <c r="F314" s="290"/>
      <c r="G314" s="472"/>
      <c r="H314" s="629">
        <v>0.34</v>
      </c>
      <c r="I314" s="630"/>
      <c r="J314" s="630"/>
      <c r="K314" s="630"/>
      <c r="L314" s="690"/>
      <c r="M314" s="629">
        <f>SUM(B314+H314)</f>
        <v>17.88</v>
      </c>
      <c r="N314" s="630"/>
      <c r="O314" s="690"/>
      <c r="P314" s="707"/>
      <c r="Q314" s="708"/>
      <c r="R314" s="708"/>
      <c r="S314" s="708"/>
    </row>
    <row r="315" spans="1:19" x14ac:dyDescent="0.25">
      <c r="A315" s="303" t="s">
        <v>108</v>
      </c>
      <c r="B315" s="626">
        <f>B318/M314</f>
        <v>0.83080089485458619</v>
      </c>
      <c r="C315" s="627"/>
      <c r="D315" s="627"/>
      <c r="E315" s="627"/>
      <c r="F315" s="627"/>
      <c r="G315" s="627"/>
      <c r="H315" s="627"/>
      <c r="I315" s="627"/>
      <c r="J315" s="627"/>
      <c r="K315" s="627"/>
      <c r="L315" s="627"/>
      <c r="M315" s="627"/>
      <c r="N315" s="627"/>
      <c r="O315" s="628"/>
      <c r="P315" s="707"/>
      <c r="Q315" s="709" t="s">
        <v>139</v>
      </c>
      <c r="R315" s="219" t="s">
        <v>140</v>
      </c>
      <c r="S315" s="711" t="s">
        <v>142</v>
      </c>
    </row>
    <row r="316" spans="1:19" ht="15.75" thickBot="1" x14ac:dyDescent="0.3">
      <c r="A316" s="303" t="s">
        <v>113</v>
      </c>
      <c r="B316" s="668">
        <f>B320*3.044</f>
        <v>48.704000000000001</v>
      </c>
      <c r="C316" s="669"/>
      <c r="D316" s="669"/>
      <c r="E316" s="669"/>
      <c r="F316" s="669"/>
      <c r="G316" s="669"/>
      <c r="H316" s="669"/>
      <c r="I316" s="669"/>
      <c r="J316" s="669"/>
      <c r="K316" s="669"/>
      <c r="L316" s="669"/>
      <c r="M316" s="669"/>
      <c r="N316" s="669"/>
      <c r="O316" s="670"/>
      <c r="P316" s="707"/>
      <c r="Q316" s="710"/>
      <c r="R316" s="220" t="s">
        <v>141</v>
      </c>
      <c r="S316" s="712"/>
    </row>
    <row r="317" spans="1:19" ht="29.25" thickBot="1" x14ac:dyDescent="0.3">
      <c r="A317" s="303" t="s">
        <v>109</v>
      </c>
      <c r="B317" s="626">
        <v>0.69499999999999995</v>
      </c>
      <c r="C317" s="627"/>
      <c r="D317" s="627"/>
      <c r="E317" s="627"/>
      <c r="F317" s="627"/>
      <c r="G317" s="627"/>
      <c r="H317" s="627"/>
      <c r="I317" s="627"/>
      <c r="J317" s="627"/>
      <c r="K317" s="627"/>
      <c r="L317" s="627"/>
      <c r="M317" s="627"/>
      <c r="N317" s="627"/>
      <c r="O317" s="628"/>
      <c r="P317" s="707"/>
      <c r="Q317" s="221" t="s">
        <v>143</v>
      </c>
      <c r="R317" s="220">
        <v>6</v>
      </c>
      <c r="S317" s="222" t="s">
        <v>85</v>
      </c>
    </row>
    <row r="318" spans="1:19" ht="15.75" thickBot="1" x14ac:dyDescent="0.3">
      <c r="A318" s="303" t="s">
        <v>122</v>
      </c>
      <c r="B318" s="668">
        <f>B316-(B316*B317)</f>
        <v>14.85472</v>
      </c>
      <c r="C318" s="669"/>
      <c r="D318" s="669"/>
      <c r="E318" s="669"/>
      <c r="F318" s="669"/>
      <c r="G318" s="669"/>
      <c r="H318" s="669"/>
      <c r="I318" s="669"/>
      <c r="J318" s="669"/>
      <c r="K318" s="669"/>
      <c r="L318" s="669"/>
      <c r="M318" s="669"/>
      <c r="N318" s="669"/>
      <c r="O318" s="689"/>
      <c r="P318" s="707"/>
      <c r="Q318" s="221" t="s">
        <v>145</v>
      </c>
      <c r="R318" s="220">
        <v>7</v>
      </c>
      <c r="S318" s="223" t="s">
        <v>76</v>
      </c>
    </row>
    <row r="319" spans="1:19" ht="15.75" thickBot="1" x14ac:dyDescent="0.3">
      <c r="A319" s="303" t="s">
        <v>110</v>
      </c>
      <c r="B319" s="668">
        <v>116</v>
      </c>
      <c r="C319" s="669"/>
      <c r="D319" s="669"/>
      <c r="E319" s="669"/>
      <c r="F319" s="669"/>
      <c r="G319" s="669"/>
      <c r="H319" s="669"/>
      <c r="I319" s="669"/>
      <c r="J319" s="669"/>
      <c r="K319" s="669"/>
      <c r="L319" s="669"/>
      <c r="M319" s="669"/>
      <c r="N319" s="669"/>
      <c r="O319" s="689"/>
      <c r="P319" s="707"/>
      <c r="Q319" s="221" t="s">
        <v>147</v>
      </c>
      <c r="R319" s="220">
        <v>8</v>
      </c>
      <c r="S319" s="223" t="s">
        <v>148</v>
      </c>
    </row>
    <row r="320" spans="1:19" x14ac:dyDescent="0.25">
      <c r="A320" s="303" t="s">
        <v>111</v>
      </c>
      <c r="B320" s="668">
        <v>16</v>
      </c>
      <c r="C320" s="669"/>
      <c r="D320" s="669"/>
      <c r="E320" s="669"/>
      <c r="F320" s="669"/>
      <c r="G320" s="669"/>
      <c r="H320" s="669"/>
      <c r="I320" s="669"/>
      <c r="J320" s="669"/>
      <c r="K320" s="669"/>
      <c r="L320" s="669"/>
      <c r="M320" s="669"/>
      <c r="N320" s="669"/>
      <c r="O320" s="689"/>
      <c r="P320" s="707"/>
      <c r="Q320" s="224" t="s">
        <v>149</v>
      </c>
      <c r="R320" s="713">
        <v>9</v>
      </c>
      <c r="S320" s="715" t="s">
        <v>86</v>
      </c>
    </row>
    <row r="321" spans="1:19" ht="15.75" thickBot="1" x14ac:dyDescent="0.3">
      <c r="A321" s="309" t="s">
        <v>273</v>
      </c>
      <c r="B321" s="638" t="s">
        <v>275</v>
      </c>
      <c r="C321" s="638"/>
      <c r="D321" s="638"/>
      <c r="E321" s="638"/>
      <c r="F321" s="638"/>
      <c r="G321" s="638"/>
      <c r="H321" s="638"/>
      <c r="I321" s="638"/>
      <c r="J321" s="638"/>
      <c r="K321" s="638"/>
      <c r="L321" s="638"/>
      <c r="M321" s="638"/>
      <c r="N321" s="638"/>
      <c r="O321" s="687"/>
      <c r="P321" s="707"/>
      <c r="Q321" s="221" t="s">
        <v>150</v>
      </c>
      <c r="R321" s="714"/>
      <c r="S321" s="716"/>
    </row>
    <row r="322" spans="1:19" ht="15.75" thickBot="1" x14ac:dyDescent="0.3">
      <c r="A322" s="587" t="s">
        <v>276</v>
      </c>
      <c r="B322" s="588"/>
      <c r="C322" s="588"/>
      <c r="D322" s="588"/>
      <c r="E322" s="588"/>
      <c r="F322" s="688"/>
      <c r="G322" s="453"/>
      <c r="H322" s="668" t="s">
        <v>128</v>
      </c>
      <c r="I322" s="669"/>
      <c r="J322" s="669"/>
      <c r="K322" s="669"/>
      <c r="L322" s="669"/>
      <c r="M322" s="669"/>
      <c r="N322" s="669"/>
      <c r="O322" s="689"/>
      <c r="P322" s="707"/>
      <c r="Q322" s="221" t="s">
        <v>152</v>
      </c>
      <c r="R322" s="220">
        <v>9</v>
      </c>
      <c r="S322" s="223" t="s">
        <v>30</v>
      </c>
    </row>
    <row r="323" spans="1:19" ht="15.75" thickBot="1" x14ac:dyDescent="0.3">
      <c r="A323" s="307" t="s">
        <v>98</v>
      </c>
      <c r="B323" s="365" t="s">
        <v>102</v>
      </c>
      <c r="C323" s="365" t="s">
        <v>92</v>
      </c>
      <c r="D323" s="365" t="s">
        <v>93</v>
      </c>
      <c r="E323" s="365" t="s">
        <v>94</v>
      </c>
      <c r="F323" s="366" t="s">
        <v>99</v>
      </c>
      <c r="G323" s="366"/>
      <c r="H323" s="365" t="s">
        <v>102</v>
      </c>
      <c r="I323" s="367" t="s">
        <v>98</v>
      </c>
      <c r="J323" s="365" t="s">
        <v>92</v>
      </c>
      <c r="K323" s="365" t="s">
        <v>93</v>
      </c>
      <c r="L323" s="365" t="s">
        <v>94</v>
      </c>
      <c r="M323" s="365"/>
      <c r="N323" s="365"/>
      <c r="O323" s="322">
        <f t="shared" ref="O323:O331" si="47">SUM(J323:L323)</f>
        <v>0</v>
      </c>
      <c r="P323" s="707"/>
      <c r="Q323" s="221" t="s">
        <v>154</v>
      </c>
      <c r="R323" s="220">
        <v>8</v>
      </c>
      <c r="S323" s="222" t="s">
        <v>155</v>
      </c>
    </row>
    <row r="324" spans="1:19" ht="15.75" thickBot="1" x14ac:dyDescent="0.3">
      <c r="A324" s="308">
        <v>1280</v>
      </c>
      <c r="B324" s="365" t="s">
        <v>95</v>
      </c>
      <c r="C324" s="383">
        <v>1566.4</v>
      </c>
      <c r="D324" s="383">
        <v>1059</v>
      </c>
      <c r="E324" s="383">
        <v>675.9</v>
      </c>
      <c r="F324" s="384">
        <f t="shared" ref="F324:F331" si="48">SUM(C324:E324)</f>
        <v>3301.3</v>
      </c>
      <c r="G324" s="384"/>
      <c r="H324" s="359" t="s">
        <v>175</v>
      </c>
      <c r="I324" s="385">
        <v>1464</v>
      </c>
      <c r="J324" s="386">
        <v>2481.5</v>
      </c>
      <c r="K324" s="386">
        <v>690.1</v>
      </c>
      <c r="L324" s="386">
        <v>150.69999999999999</v>
      </c>
      <c r="M324" s="386"/>
      <c r="N324" s="386"/>
      <c r="O324" s="322">
        <f t="shared" si="47"/>
        <v>3322.2999999999997</v>
      </c>
      <c r="P324" s="707"/>
      <c r="Q324" s="221" t="s">
        <v>156</v>
      </c>
      <c r="R324" s="220">
        <v>9</v>
      </c>
      <c r="S324" s="222" t="s">
        <v>84</v>
      </c>
    </row>
    <row r="325" spans="1:19" ht="15.75" thickBot="1" x14ac:dyDescent="0.3">
      <c r="A325" s="308">
        <v>151</v>
      </c>
      <c r="B325" s="365" t="s">
        <v>96</v>
      </c>
      <c r="C325" s="383">
        <v>125.8</v>
      </c>
      <c r="D325" s="383">
        <v>146.9</v>
      </c>
      <c r="E325" s="383">
        <v>41.6</v>
      </c>
      <c r="F325" s="360">
        <f t="shared" si="48"/>
        <v>314.3</v>
      </c>
      <c r="G325" s="360"/>
      <c r="H325" s="359" t="s">
        <v>176</v>
      </c>
      <c r="I325" s="386">
        <v>150</v>
      </c>
      <c r="J325" s="386">
        <v>161.6</v>
      </c>
      <c r="K325" s="386">
        <v>138.80000000000001</v>
      </c>
      <c r="L325" s="386">
        <v>0</v>
      </c>
      <c r="M325" s="386"/>
      <c r="N325" s="386"/>
      <c r="O325" s="322">
        <f t="shared" si="47"/>
        <v>300.39999999999998</v>
      </c>
      <c r="P325" s="707"/>
      <c r="Q325" s="221" t="s">
        <v>158</v>
      </c>
      <c r="R325" s="220">
        <v>10</v>
      </c>
      <c r="S325" s="222" t="s">
        <v>87</v>
      </c>
    </row>
    <row r="326" spans="1:19" ht="16.5" thickBot="1" x14ac:dyDescent="0.3">
      <c r="A326" s="307" t="s">
        <v>100</v>
      </c>
      <c r="B326" s="365" t="s">
        <v>95</v>
      </c>
      <c r="C326" s="383">
        <f t="shared" ref="C326:E327" si="49">C324/$A324</f>
        <v>1.2237500000000001</v>
      </c>
      <c r="D326" s="383">
        <f t="shared" si="49"/>
        <v>0.82734375000000004</v>
      </c>
      <c r="E326" s="383">
        <f t="shared" si="49"/>
        <v>0.52804687500000003</v>
      </c>
      <c r="F326" s="360">
        <f t="shared" si="48"/>
        <v>2.579140625</v>
      </c>
      <c r="G326" s="360"/>
      <c r="H326" s="359" t="s">
        <v>175</v>
      </c>
      <c r="I326" s="387" t="s">
        <v>177</v>
      </c>
      <c r="J326" s="320">
        <f t="shared" ref="J326:L327" si="50">J324/$I324</f>
        <v>1.6950136612021858</v>
      </c>
      <c r="K326" s="320">
        <f t="shared" si="50"/>
        <v>0.47137978142076503</v>
      </c>
      <c r="L326" s="320">
        <f t="shared" si="50"/>
        <v>0.10293715846994535</v>
      </c>
      <c r="M326" s="320"/>
      <c r="N326" s="476"/>
      <c r="O326" s="322">
        <f t="shared" si="47"/>
        <v>2.2693306010928964</v>
      </c>
      <c r="P326" s="707"/>
      <c r="Q326" s="225" t="s">
        <v>99</v>
      </c>
      <c r="R326" s="226">
        <v>66</v>
      </c>
      <c r="S326" s="227">
        <v>0.83</v>
      </c>
    </row>
    <row r="327" spans="1:19" x14ac:dyDescent="0.25">
      <c r="A327" s="307" t="s">
        <v>100</v>
      </c>
      <c r="B327" s="365" t="s">
        <v>96</v>
      </c>
      <c r="C327" s="383">
        <f t="shared" si="49"/>
        <v>0.83311258278145695</v>
      </c>
      <c r="D327" s="383">
        <f t="shared" si="49"/>
        <v>0.97284768211920536</v>
      </c>
      <c r="E327" s="383">
        <f t="shared" si="49"/>
        <v>0.27549668874172184</v>
      </c>
      <c r="F327" s="360">
        <f t="shared" si="48"/>
        <v>2.0814569536423839</v>
      </c>
      <c r="G327" s="360"/>
      <c r="H327" s="359" t="s">
        <v>176</v>
      </c>
      <c r="I327" s="387" t="s">
        <v>177</v>
      </c>
      <c r="J327" s="320">
        <f t="shared" si="50"/>
        <v>1.0773333333333333</v>
      </c>
      <c r="K327" s="320">
        <f t="shared" si="50"/>
        <v>0.92533333333333345</v>
      </c>
      <c r="L327" s="320">
        <f t="shared" si="50"/>
        <v>0</v>
      </c>
      <c r="M327" s="320"/>
      <c r="N327" s="476"/>
      <c r="O327" s="322">
        <f t="shared" si="47"/>
        <v>2.0026666666666668</v>
      </c>
      <c r="P327" s="707"/>
      <c r="Q327" s="705"/>
      <c r="R327" s="705"/>
      <c r="S327" s="705"/>
    </row>
    <row r="328" spans="1:19" x14ac:dyDescent="0.25">
      <c r="A328" s="307" t="s">
        <v>104</v>
      </c>
      <c r="B328" s="365" t="s">
        <v>95</v>
      </c>
      <c r="C328" s="383">
        <f>C324/($A324/7.7)</f>
        <v>9.4228750000000012</v>
      </c>
      <c r="D328" s="383">
        <f>D324/($A324/7)</f>
        <v>5.7914062499999996</v>
      </c>
      <c r="E328" s="383">
        <f>E324/($A324/7)</f>
        <v>3.696328125</v>
      </c>
      <c r="F328" s="360">
        <f t="shared" si="48"/>
        <v>18.910609375</v>
      </c>
      <c r="G328" s="469"/>
      <c r="H328" s="372" t="s">
        <v>175</v>
      </c>
      <c r="I328" s="387" t="s">
        <v>178</v>
      </c>
      <c r="J328" s="320">
        <f t="shared" ref="J328:L329" si="51">J324/($I324/7.7)</f>
        <v>13.051605191256831</v>
      </c>
      <c r="K328" s="320">
        <f t="shared" si="51"/>
        <v>3.629624316939891</v>
      </c>
      <c r="L328" s="320">
        <f t="shared" si="51"/>
        <v>0.79261612021857919</v>
      </c>
      <c r="M328" s="320"/>
      <c r="N328" s="476"/>
      <c r="O328" s="322">
        <f t="shared" si="47"/>
        <v>17.473845628415301</v>
      </c>
      <c r="P328" s="707"/>
      <c r="Q328" s="706"/>
      <c r="R328" s="706"/>
      <c r="S328" s="706"/>
    </row>
    <row r="329" spans="1:19" x14ac:dyDescent="0.25">
      <c r="A329" s="307" t="s">
        <v>104</v>
      </c>
      <c r="B329" s="365" t="s">
        <v>96</v>
      </c>
      <c r="C329" s="383">
        <f>C325/($A325/7.7)</f>
        <v>6.4149668874172185</v>
      </c>
      <c r="D329" s="383">
        <f>D325/($A325/7.7)</f>
        <v>7.4909271523178811</v>
      </c>
      <c r="E329" s="383">
        <f>E325/($A325/7.7)</f>
        <v>2.1213245033112584</v>
      </c>
      <c r="F329" s="360">
        <f t="shared" si="48"/>
        <v>16.027218543046356</v>
      </c>
      <c r="G329" s="360"/>
      <c r="H329" s="359" t="s">
        <v>176</v>
      </c>
      <c r="I329" s="387" t="s">
        <v>178</v>
      </c>
      <c r="J329" s="320">
        <f t="shared" si="51"/>
        <v>8.2954666666666661</v>
      </c>
      <c r="K329" s="320">
        <f t="shared" si="51"/>
        <v>7.125066666666668</v>
      </c>
      <c r="L329" s="320">
        <f t="shared" si="51"/>
        <v>0</v>
      </c>
      <c r="M329" s="320"/>
      <c r="N329" s="476"/>
      <c r="O329" s="322">
        <f t="shared" si="47"/>
        <v>15.420533333333335</v>
      </c>
      <c r="P329" s="707"/>
      <c r="Q329" s="706"/>
      <c r="R329" s="706"/>
      <c r="S329" s="706"/>
    </row>
    <row r="330" spans="1:19" x14ac:dyDescent="0.25">
      <c r="A330" s="307" t="s">
        <v>135</v>
      </c>
      <c r="B330" s="365" t="s">
        <v>95</v>
      </c>
      <c r="C330" s="383">
        <f>C324/((($A324*$B320)*(1-$B317))/$B315)</f>
        <v>0.20833864653243847</v>
      </c>
      <c r="D330" s="383">
        <f>D324/((($A324*$B320)*(1-$B317))/$B315)</f>
        <v>0.14085203439597313</v>
      </c>
      <c r="E330" s="383">
        <f>E324/((($A324*$B320)*(1-$B317))/$B315)</f>
        <v>8.9897913171140931E-2</v>
      </c>
      <c r="F330" s="360">
        <f t="shared" si="48"/>
        <v>0.43908859409955253</v>
      </c>
      <c r="G330" s="360"/>
      <c r="H330" s="361" t="s">
        <v>175</v>
      </c>
      <c r="I330" s="387" t="s">
        <v>179</v>
      </c>
      <c r="J330" s="320">
        <f>J324/((($I324*$B320)*(1-$B317))/$B315)</f>
        <v>0.28856943986014838</v>
      </c>
      <c r="K330" s="320">
        <f>K324/((($I324*$B320)*(1-$B317))/$B315)</f>
        <v>8.0250562340313691E-2</v>
      </c>
      <c r="L330" s="320">
        <f>L324/((($I324*$B320)*(1-$B317))/$B315)</f>
        <v>1.7524648231684207E-2</v>
      </c>
      <c r="M330" s="320"/>
      <c r="N330" s="476"/>
      <c r="O330" s="323">
        <f t="shared" si="47"/>
        <v>0.38634465043214627</v>
      </c>
      <c r="P330" s="707"/>
      <c r="Q330" s="706"/>
      <c r="R330" s="706"/>
      <c r="S330" s="706"/>
    </row>
    <row r="331" spans="1:19" x14ac:dyDescent="0.25">
      <c r="A331" s="307" t="s">
        <v>135</v>
      </c>
      <c r="B331" s="365" t="s">
        <v>96</v>
      </c>
      <c r="C331" s="383">
        <f>C325/((($A325*$B320)*(1-$B317))/$B315)</f>
        <v>0.14183415559210039</v>
      </c>
      <c r="D331" s="383">
        <f>D325/((($A325*$B320)*(1-$B317))/$B315)</f>
        <v>0.16562350919300117</v>
      </c>
      <c r="E331" s="383">
        <f>E325/((($A325*$B320)*(1-$B317))/$B315)</f>
        <v>4.6902232691823337E-2</v>
      </c>
      <c r="F331" s="360">
        <f t="shared" si="48"/>
        <v>0.35435989747692487</v>
      </c>
      <c r="G331" s="360"/>
      <c r="H331" s="361" t="s">
        <v>176</v>
      </c>
      <c r="I331" s="387" t="s">
        <v>179</v>
      </c>
      <c r="J331" s="320">
        <f>J325/((($I325*$B320)*(1-$B317))/$B315)</f>
        <v>0.18341178225205068</v>
      </c>
      <c r="K331" s="320">
        <f>K325/((($I325*$B320)*(1-$B317))/$B315)</f>
        <v>0.1575343773303505</v>
      </c>
      <c r="L331" s="320">
        <f>L325/((($I325*$B320)*(1-$B317))/$B315)</f>
        <v>0</v>
      </c>
      <c r="M331" s="320"/>
      <c r="N331" s="476"/>
      <c r="O331" s="323">
        <f t="shared" si="47"/>
        <v>0.34094615958240115</v>
      </c>
    </row>
    <row r="332" spans="1:19" x14ac:dyDescent="0.25">
      <c r="A332" s="178"/>
      <c r="B332" s="178"/>
      <c r="C332" s="178"/>
      <c r="D332" s="178"/>
      <c r="E332" s="178"/>
      <c r="F332" s="178"/>
      <c r="G332" s="178"/>
      <c r="H332" s="178"/>
      <c r="I332" s="178"/>
      <c r="J332" s="178"/>
      <c r="K332" s="178"/>
      <c r="L332" s="178"/>
      <c r="M332" s="178"/>
      <c r="N332" s="178"/>
      <c r="O332" s="178"/>
      <c r="P332" s="106"/>
      <c r="Q332" s="233"/>
      <c r="R332" s="233"/>
      <c r="S332" s="233"/>
    </row>
    <row r="333" spans="1:19" ht="23.25" customHeight="1" x14ac:dyDescent="0.25">
      <c r="A333" s="305"/>
      <c r="B333" s="644" t="s">
        <v>281</v>
      </c>
      <c r="C333" s="645"/>
      <c r="D333" s="645"/>
      <c r="E333" s="645"/>
      <c r="F333" s="645"/>
      <c r="G333" s="645"/>
      <c r="H333" s="645"/>
      <c r="I333" s="645"/>
      <c r="J333" s="645"/>
      <c r="K333" s="645"/>
      <c r="L333" s="645"/>
      <c r="M333" s="645"/>
      <c r="N333" s="645"/>
      <c r="O333" s="646"/>
      <c r="P333" s="108" t="s">
        <v>97</v>
      </c>
      <c r="Q333" s="678" t="s">
        <v>173</v>
      </c>
      <c r="R333" s="678"/>
      <c r="S333" s="678"/>
    </row>
    <row r="334" spans="1:19" ht="21" x14ac:dyDescent="0.25">
      <c r="A334" s="310" t="s">
        <v>282</v>
      </c>
      <c r="B334" s="695">
        <v>43718</v>
      </c>
      <c r="C334" s="696"/>
      <c r="D334" s="696"/>
      <c r="E334" s="696"/>
      <c r="F334" s="696"/>
      <c r="G334" s="696"/>
      <c r="H334" s="696"/>
      <c r="I334" s="696"/>
      <c r="J334" s="696"/>
      <c r="K334" s="696"/>
      <c r="L334" s="696"/>
      <c r="M334" s="696"/>
      <c r="N334" s="696"/>
      <c r="O334" s="697"/>
      <c r="P334" s="108"/>
      <c r="Q334" s="678"/>
      <c r="R334" s="678"/>
      <c r="S334" s="678"/>
    </row>
    <row r="335" spans="1:19" x14ac:dyDescent="0.25">
      <c r="A335" s="310"/>
      <c r="B335" s="650" t="s">
        <v>115</v>
      </c>
      <c r="C335" s="651"/>
      <c r="D335" s="651"/>
      <c r="E335" s="651"/>
      <c r="F335" s="651"/>
      <c r="G335" s="651"/>
      <c r="H335" s="651"/>
      <c r="I335" s="651"/>
      <c r="J335" s="651"/>
      <c r="K335" s="651"/>
      <c r="L335" s="651"/>
      <c r="M335" s="651"/>
      <c r="N335" s="651"/>
      <c r="O335" s="652"/>
      <c r="P335" s="108"/>
      <c r="Q335" s="678"/>
      <c r="R335" s="678"/>
      <c r="S335" s="678"/>
    </row>
    <row r="336" spans="1:19" x14ac:dyDescent="0.25">
      <c r="A336" s="310" t="s">
        <v>106</v>
      </c>
      <c r="B336" s="629">
        <v>19.7</v>
      </c>
      <c r="C336" s="630"/>
      <c r="D336" s="630"/>
      <c r="E336" s="630"/>
      <c r="F336" s="630"/>
      <c r="G336" s="630"/>
      <c r="H336" s="630"/>
      <c r="I336" s="630"/>
      <c r="J336" s="630"/>
      <c r="K336" s="630"/>
      <c r="L336" s="630"/>
      <c r="M336" s="630"/>
      <c r="N336" s="630"/>
      <c r="O336" s="690"/>
      <c r="P336" s="108"/>
      <c r="Q336" s="678"/>
      <c r="R336" s="678"/>
      <c r="S336" s="678"/>
    </row>
    <row r="337" spans="1:19" ht="15.75" thickBot="1" x14ac:dyDescent="0.3">
      <c r="A337" s="311" t="s">
        <v>112</v>
      </c>
      <c r="B337" s="626">
        <v>0.13</v>
      </c>
      <c r="C337" s="627"/>
      <c r="D337" s="627"/>
      <c r="E337" s="627"/>
      <c r="F337" s="627"/>
      <c r="G337" s="627"/>
      <c r="H337" s="627"/>
      <c r="I337" s="627"/>
      <c r="J337" s="627"/>
      <c r="K337" s="627"/>
      <c r="L337" s="627"/>
      <c r="M337" s="627"/>
      <c r="N337" s="627"/>
      <c r="O337" s="698"/>
      <c r="P337" s="108"/>
      <c r="Q337" s="678"/>
      <c r="R337" s="678"/>
      <c r="S337" s="678"/>
    </row>
    <row r="338" spans="1:19" x14ac:dyDescent="0.25">
      <c r="A338" s="311" t="s">
        <v>107</v>
      </c>
      <c r="B338" s="629">
        <f>B336-(B336*B337)</f>
        <v>17.138999999999999</v>
      </c>
      <c r="C338" s="630"/>
      <c r="D338" s="630"/>
      <c r="E338" s="630"/>
      <c r="F338" s="630"/>
      <c r="G338" s="630"/>
      <c r="H338" s="630"/>
      <c r="I338" s="630"/>
      <c r="J338" s="630"/>
      <c r="K338" s="630"/>
      <c r="L338" s="630"/>
      <c r="M338" s="630"/>
      <c r="N338" s="630"/>
      <c r="O338" s="690"/>
      <c r="P338" s="108"/>
      <c r="Q338" s="234" t="s">
        <v>139</v>
      </c>
      <c r="R338" s="235" t="s">
        <v>140</v>
      </c>
      <c r="S338" s="236" t="s">
        <v>142</v>
      </c>
    </row>
    <row r="339" spans="1:19" ht="15.75" thickBot="1" x14ac:dyDescent="0.3">
      <c r="A339" s="311" t="s">
        <v>108</v>
      </c>
      <c r="B339" s="626">
        <f>B342/B338</f>
        <v>0.82870645895326467</v>
      </c>
      <c r="C339" s="627"/>
      <c r="D339" s="627"/>
      <c r="E339" s="627"/>
      <c r="F339" s="627"/>
      <c r="G339" s="627"/>
      <c r="H339" s="627"/>
      <c r="I339" s="627"/>
      <c r="J339" s="627"/>
      <c r="K339" s="627"/>
      <c r="L339" s="627"/>
      <c r="M339" s="627"/>
      <c r="N339" s="627"/>
      <c r="O339" s="628"/>
      <c r="P339" s="108"/>
      <c r="Q339" s="185"/>
      <c r="R339" s="183" t="s">
        <v>141</v>
      </c>
      <c r="S339" s="237"/>
    </row>
    <row r="340" spans="1:19" ht="29.25" thickBot="1" x14ac:dyDescent="0.3">
      <c r="A340" s="311" t="s">
        <v>113</v>
      </c>
      <c r="B340" s="629">
        <f>B344*((A349+A348+I348+I349)/1000)</f>
        <v>47.344000000000001</v>
      </c>
      <c r="C340" s="630"/>
      <c r="D340" s="630"/>
      <c r="E340" s="630"/>
      <c r="F340" s="630"/>
      <c r="G340" s="630"/>
      <c r="H340" s="630"/>
      <c r="I340" s="630"/>
      <c r="J340" s="630"/>
      <c r="K340" s="630"/>
      <c r="L340" s="630"/>
      <c r="M340" s="630"/>
      <c r="N340" s="630"/>
      <c r="O340" s="631"/>
      <c r="P340" s="108"/>
      <c r="Q340" s="238" t="s">
        <v>143</v>
      </c>
      <c r="R340" s="183">
        <v>7</v>
      </c>
      <c r="S340" s="181" t="s">
        <v>75</v>
      </c>
    </row>
    <row r="341" spans="1:19" ht="15.75" thickBot="1" x14ac:dyDescent="0.3">
      <c r="A341" s="311" t="s">
        <v>109</v>
      </c>
      <c r="B341" s="626">
        <v>0.7</v>
      </c>
      <c r="C341" s="627"/>
      <c r="D341" s="627"/>
      <c r="E341" s="627"/>
      <c r="F341" s="627"/>
      <c r="G341" s="627"/>
      <c r="H341" s="627"/>
      <c r="I341" s="627"/>
      <c r="J341" s="627"/>
      <c r="K341" s="627"/>
      <c r="L341" s="627"/>
      <c r="M341" s="627"/>
      <c r="N341" s="627"/>
      <c r="O341" s="698"/>
      <c r="P341" s="108"/>
      <c r="Q341" s="238" t="s">
        <v>145</v>
      </c>
      <c r="R341" s="183" t="s">
        <v>247</v>
      </c>
      <c r="S341" s="184" t="s">
        <v>164</v>
      </c>
    </row>
    <row r="342" spans="1:19" ht="15.75" thickBot="1" x14ac:dyDescent="0.3">
      <c r="A342" s="311" t="s">
        <v>122</v>
      </c>
      <c r="B342" s="629">
        <f>B340-(B340*B341)</f>
        <v>14.203200000000002</v>
      </c>
      <c r="C342" s="630"/>
      <c r="D342" s="630"/>
      <c r="E342" s="630"/>
      <c r="F342" s="630"/>
      <c r="G342" s="630"/>
      <c r="H342" s="630"/>
      <c r="I342" s="630"/>
      <c r="J342" s="630"/>
      <c r="K342" s="630"/>
      <c r="L342" s="630"/>
      <c r="M342" s="630"/>
      <c r="N342" s="630"/>
      <c r="O342" s="690"/>
      <c r="P342" s="108"/>
      <c r="Q342" s="238" t="s">
        <v>147</v>
      </c>
      <c r="R342" s="183">
        <v>8</v>
      </c>
      <c r="S342" s="184" t="s">
        <v>148</v>
      </c>
    </row>
    <row r="343" spans="1:19" x14ac:dyDescent="0.25">
      <c r="A343" s="311" t="s">
        <v>110</v>
      </c>
      <c r="B343" s="668">
        <v>120</v>
      </c>
      <c r="C343" s="669"/>
      <c r="D343" s="669"/>
      <c r="E343" s="669"/>
      <c r="F343" s="669"/>
      <c r="G343" s="669"/>
      <c r="H343" s="669"/>
      <c r="I343" s="669"/>
      <c r="J343" s="669"/>
      <c r="K343" s="669"/>
      <c r="L343" s="669"/>
      <c r="M343" s="669"/>
      <c r="N343" s="669"/>
      <c r="O343" s="689"/>
      <c r="P343" s="108"/>
      <c r="Q343" s="239" t="s">
        <v>149</v>
      </c>
      <c r="R343" s="240">
        <v>10</v>
      </c>
      <c r="S343" s="241" t="s">
        <v>248</v>
      </c>
    </row>
    <row r="344" spans="1:19" ht="15.75" thickBot="1" x14ac:dyDescent="0.3">
      <c r="A344" s="311" t="s">
        <v>111</v>
      </c>
      <c r="B344" s="668">
        <v>16</v>
      </c>
      <c r="C344" s="669"/>
      <c r="D344" s="669"/>
      <c r="E344" s="669"/>
      <c r="F344" s="669"/>
      <c r="G344" s="669"/>
      <c r="H344" s="669"/>
      <c r="I344" s="669"/>
      <c r="J344" s="669"/>
      <c r="K344" s="669"/>
      <c r="L344" s="669"/>
      <c r="M344" s="669"/>
      <c r="N344" s="669"/>
      <c r="O344" s="689"/>
      <c r="P344" s="108"/>
      <c r="Q344" s="238" t="s">
        <v>150</v>
      </c>
      <c r="R344" s="185"/>
      <c r="S344" s="242"/>
    </row>
    <row r="345" spans="1:19" ht="15.75" thickBot="1" x14ac:dyDescent="0.3">
      <c r="A345" s="311" t="s">
        <v>273</v>
      </c>
      <c r="B345" s="638" t="s">
        <v>277</v>
      </c>
      <c r="C345" s="638"/>
      <c r="D345" s="638"/>
      <c r="E345" s="638"/>
      <c r="F345" s="638"/>
      <c r="G345" s="638"/>
      <c r="H345" s="638"/>
      <c r="I345" s="638"/>
      <c r="J345" s="638"/>
      <c r="K345" s="638"/>
      <c r="L345" s="638"/>
      <c r="M345" s="638"/>
      <c r="N345" s="638"/>
      <c r="O345" s="687"/>
      <c r="P345" s="108"/>
      <c r="Q345" s="238" t="s">
        <v>152</v>
      </c>
      <c r="R345" s="243">
        <v>5</v>
      </c>
      <c r="S345" s="184" t="s">
        <v>249</v>
      </c>
    </row>
    <row r="346" spans="1:19" ht="15.75" thickBot="1" x14ac:dyDescent="0.3">
      <c r="A346" s="587" t="s">
        <v>127</v>
      </c>
      <c r="B346" s="588"/>
      <c r="C346" s="588"/>
      <c r="D346" s="588"/>
      <c r="E346" s="588"/>
      <c r="F346" s="688"/>
      <c r="G346" s="453"/>
      <c r="H346" s="668" t="s">
        <v>128</v>
      </c>
      <c r="I346" s="669"/>
      <c r="J346" s="669"/>
      <c r="K346" s="669"/>
      <c r="L346" s="669"/>
      <c r="M346" s="669"/>
      <c r="N346" s="669"/>
      <c r="O346" s="689"/>
      <c r="P346" s="108"/>
      <c r="Q346" s="238" t="s">
        <v>154</v>
      </c>
      <c r="R346" s="183">
        <v>8</v>
      </c>
      <c r="S346" s="181" t="s">
        <v>155</v>
      </c>
    </row>
    <row r="347" spans="1:19" ht="15.75" thickBot="1" x14ac:dyDescent="0.3">
      <c r="A347" s="307" t="s">
        <v>98</v>
      </c>
      <c r="B347" s="365" t="s">
        <v>102</v>
      </c>
      <c r="C347" s="365" t="s">
        <v>92</v>
      </c>
      <c r="D347" s="365" t="s">
        <v>93</v>
      </c>
      <c r="E347" s="365" t="s">
        <v>94</v>
      </c>
      <c r="F347" s="366" t="s">
        <v>99</v>
      </c>
      <c r="G347" s="366"/>
      <c r="H347" s="365" t="s">
        <v>102</v>
      </c>
      <c r="I347" s="367" t="s">
        <v>98</v>
      </c>
      <c r="J347" s="365" t="s">
        <v>92</v>
      </c>
      <c r="K347" s="365" t="s">
        <v>93</v>
      </c>
      <c r="L347" s="365" t="s">
        <v>94</v>
      </c>
      <c r="M347" s="365"/>
      <c r="N347" s="365"/>
      <c r="O347" s="366" t="s">
        <v>99</v>
      </c>
      <c r="P347" s="108"/>
      <c r="Q347" s="238" t="s">
        <v>156</v>
      </c>
      <c r="R347" s="183">
        <v>7</v>
      </c>
      <c r="S347" s="181" t="s">
        <v>31</v>
      </c>
    </row>
    <row r="348" spans="1:19" ht="15.75" thickBot="1" x14ac:dyDescent="0.3">
      <c r="A348" s="308">
        <v>1280</v>
      </c>
      <c r="B348" s="365" t="s">
        <v>95</v>
      </c>
      <c r="C348" s="359">
        <v>1570</v>
      </c>
      <c r="D348" s="359">
        <v>1259.4000000000001</v>
      </c>
      <c r="E348" s="359">
        <v>757.9</v>
      </c>
      <c r="F348" s="368">
        <f>SUM(C348:E348)</f>
        <v>3587.3</v>
      </c>
      <c r="G348" s="368"/>
      <c r="H348" s="359" t="s">
        <v>175</v>
      </c>
      <c r="I348" s="388">
        <v>1379</v>
      </c>
      <c r="J348" s="383">
        <v>2093.9</v>
      </c>
      <c r="K348" s="383">
        <v>1180</v>
      </c>
      <c r="L348" s="383">
        <v>960.9</v>
      </c>
      <c r="M348" s="389">
        <v>321.39999999999998</v>
      </c>
      <c r="N348" s="389"/>
      <c r="O348" s="390">
        <f t="shared" ref="O348:O355" si="52">SUM(J348:L348)</f>
        <v>4234.8</v>
      </c>
      <c r="P348" s="108"/>
      <c r="Q348" s="238" t="s">
        <v>158</v>
      </c>
      <c r="R348" s="183">
        <v>10</v>
      </c>
      <c r="S348" s="181" t="s">
        <v>87</v>
      </c>
    </row>
    <row r="349" spans="1:19" ht="15.75" thickBot="1" x14ac:dyDescent="0.3">
      <c r="A349" s="308">
        <v>150</v>
      </c>
      <c r="B349" s="365" t="s">
        <v>96</v>
      </c>
      <c r="C349" s="359">
        <v>156.6</v>
      </c>
      <c r="D349" s="359">
        <v>117.7</v>
      </c>
      <c r="E349" s="359">
        <v>109.7</v>
      </c>
      <c r="F349" s="368">
        <f>SUM(C349:E349)</f>
        <v>384</v>
      </c>
      <c r="G349" s="368"/>
      <c r="H349" s="359" t="s">
        <v>176</v>
      </c>
      <c r="I349" s="383">
        <v>150</v>
      </c>
      <c r="J349" s="383">
        <v>273.5</v>
      </c>
      <c r="K349" s="383">
        <v>117</v>
      </c>
      <c r="L349" s="383">
        <v>63.4</v>
      </c>
      <c r="M349" s="389">
        <v>14.6</v>
      </c>
      <c r="N349" s="389"/>
      <c r="O349" s="391">
        <f t="shared" si="52"/>
        <v>453.9</v>
      </c>
      <c r="P349" s="108"/>
      <c r="Q349" s="185" t="s">
        <v>99</v>
      </c>
      <c r="R349" s="183" t="s">
        <v>263</v>
      </c>
      <c r="S349" s="181" t="s">
        <v>250</v>
      </c>
    </row>
    <row r="350" spans="1:19" x14ac:dyDescent="0.25">
      <c r="A350" s="307" t="s">
        <v>100</v>
      </c>
      <c r="B350" s="365" t="s">
        <v>95</v>
      </c>
      <c r="C350" s="374">
        <f t="shared" ref="C350:E351" si="53">C348/$A348</f>
        <v>1.2265625</v>
      </c>
      <c r="D350" s="374">
        <f t="shared" si="53"/>
        <v>0.98390625000000009</v>
      </c>
      <c r="E350" s="374">
        <f t="shared" si="53"/>
        <v>0.59210937499999994</v>
      </c>
      <c r="F350" s="360">
        <f t="shared" ref="F350:F355" si="54">SUM(C350:E350)</f>
        <v>2.8025781250000001</v>
      </c>
      <c r="G350" s="360"/>
      <c r="H350" s="359" t="s">
        <v>175</v>
      </c>
      <c r="I350" s="392" t="s">
        <v>177</v>
      </c>
      <c r="J350" s="327">
        <f t="shared" ref="J350:M351" si="55">J348/$I348</f>
        <v>1.5184191443074693</v>
      </c>
      <c r="K350" s="327">
        <f t="shared" si="55"/>
        <v>0.85569253081943442</v>
      </c>
      <c r="L350" s="327">
        <f t="shared" si="55"/>
        <v>0.69680928208846993</v>
      </c>
      <c r="M350" s="327">
        <f t="shared" si="55"/>
        <v>0.23306744017403913</v>
      </c>
      <c r="N350" s="477"/>
      <c r="O350" s="323">
        <f t="shared" si="52"/>
        <v>3.0709209572153737</v>
      </c>
      <c r="P350" s="108"/>
      <c r="Q350" s="244"/>
      <c r="R350" s="245"/>
      <c r="S350" s="245"/>
    </row>
    <row r="351" spans="1:19" x14ac:dyDescent="0.25">
      <c r="A351" s="307" t="s">
        <v>100</v>
      </c>
      <c r="B351" s="365" t="s">
        <v>96</v>
      </c>
      <c r="C351" s="359">
        <f t="shared" si="53"/>
        <v>1.044</v>
      </c>
      <c r="D351" s="359">
        <f t="shared" si="53"/>
        <v>0.78466666666666673</v>
      </c>
      <c r="E351" s="359">
        <f t="shared" si="53"/>
        <v>0.73133333333333339</v>
      </c>
      <c r="F351" s="360">
        <f t="shared" si="54"/>
        <v>2.5600000000000005</v>
      </c>
      <c r="G351" s="360"/>
      <c r="H351" s="359" t="s">
        <v>176</v>
      </c>
      <c r="I351" s="392" t="s">
        <v>177</v>
      </c>
      <c r="J351" s="327">
        <f t="shared" si="55"/>
        <v>1.8233333333333333</v>
      </c>
      <c r="K351" s="327">
        <f t="shared" si="55"/>
        <v>0.78</v>
      </c>
      <c r="L351" s="327">
        <f t="shared" si="55"/>
        <v>0.42266666666666663</v>
      </c>
      <c r="M351" s="327">
        <f t="shared" si="55"/>
        <v>9.7333333333333327E-2</v>
      </c>
      <c r="N351" s="477"/>
      <c r="O351" s="323">
        <f t="shared" si="52"/>
        <v>3.0260000000000002</v>
      </c>
      <c r="P351" s="108"/>
      <c r="Q351" s="246"/>
      <c r="R351" s="246"/>
      <c r="S351" s="246"/>
    </row>
    <row r="352" spans="1:19" x14ac:dyDescent="0.25">
      <c r="A352" s="307" t="s">
        <v>104</v>
      </c>
      <c r="B352" s="365" t="s">
        <v>95</v>
      </c>
      <c r="C352" s="359">
        <f>C348/($A348/7.7)</f>
        <v>9.4445312500000007</v>
      </c>
      <c r="D352" s="359">
        <f>D348/($A348/7)</f>
        <v>6.8873437500000003</v>
      </c>
      <c r="E352" s="359">
        <f>E348/($A348/7)</f>
        <v>4.1447656249999998</v>
      </c>
      <c r="F352" s="360">
        <f t="shared" si="54"/>
        <v>20.476640625000002</v>
      </c>
      <c r="G352" s="469"/>
      <c r="H352" s="372" t="s">
        <v>175</v>
      </c>
      <c r="I352" s="392" t="s">
        <v>178</v>
      </c>
      <c r="J352" s="327">
        <f t="shared" ref="J352:M353" si="56">J348/($I348/7.7)</f>
        <v>11.691827411167512</v>
      </c>
      <c r="K352" s="327">
        <f t="shared" si="56"/>
        <v>6.5888324873096442</v>
      </c>
      <c r="L352" s="327">
        <f t="shared" si="56"/>
        <v>5.3654314720812177</v>
      </c>
      <c r="M352" s="327">
        <f t="shared" si="56"/>
        <v>1.7946192893401014</v>
      </c>
      <c r="N352" s="477"/>
      <c r="O352" s="323">
        <f t="shared" si="52"/>
        <v>23.646091370558374</v>
      </c>
      <c r="P352" s="108"/>
      <c r="Q352" s="246"/>
      <c r="R352" s="246"/>
      <c r="S352" s="246"/>
    </row>
    <row r="353" spans="1:19" x14ac:dyDescent="0.25">
      <c r="A353" s="307" t="s">
        <v>104</v>
      </c>
      <c r="B353" s="365" t="s">
        <v>96</v>
      </c>
      <c r="C353" s="359">
        <f>C349/($A349/7.7)</f>
        <v>8.0388000000000002</v>
      </c>
      <c r="D353" s="359">
        <f>D349/($A349/7.7)</f>
        <v>6.0419333333333336</v>
      </c>
      <c r="E353" s="359">
        <f>E349/($A349/7.7)</f>
        <v>5.6312666666666669</v>
      </c>
      <c r="F353" s="360">
        <f t="shared" si="54"/>
        <v>19.712000000000003</v>
      </c>
      <c r="G353" s="360"/>
      <c r="H353" s="359" t="s">
        <v>176</v>
      </c>
      <c r="I353" s="392" t="s">
        <v>178</v>
      </c>
      <c r="J353" s="327">
        <f t="shared" si="56"/>
        <v>14.039666666666667</v>
      </c>
      <c r="K353" s="327">
        <f t="shared" si="56"/>
        <v>6.0060000000000002</v>
      </c>
      <c r="L353" s="327">
        <f t="shared" si="56"/>
        <v>3.2545333333333333</v>
      </c>
      <c r="M353" s="327">
        <f t="shared" si="56"/>
        <v>0.74946666666666673</v>
      </c>
      <c r="N353" s="477"/>
      <c r="O353" s="323">
        <f t="shared" si="52"/>
        <v>23.300200000000004</v>
      </c>
      <c r="P353" s="108"/>
      <c r="Q353" s="246"/>
      <c r="R353" s="246"/>
      <c r="S353" s="246"/>
    </row>
    <row r="354" spans="1:19" x14ac:dyDescent="0.25">
      <c r="A354" s="307" t="s">
        <v>135</v>
      </c>
      <c r="B354" s="365" t="s">
        <v>95</v>
      </c>
      <c r="C354" s="361">
        <f>C348/((($A348*$B344)*(1-$B341))/$B339)</f>
        <v>0.21176255542913824</v>
      </c>
      <c r="D354" s="361">
        <f>D348/((($A348*$B344)*(1-$B341))/$B339)</f>
        <v>0.16986863841239283</v>
      </c>
      <c r="E354" s="361">
        <f>E348/((($A348*$B344)*(1-$B341))/$B339)</f>
        <v>0.1022260132227668</v>
      </c>
      <c r="F354" s="360">
        <f>SUM(C354:E354)</f>
        <v>0.48385720706429791</v>
      </c>
      <c r="G354" s="360"/>
      <c r="H354" s="361" t="s">
        <v>175</v>
      </c>
      <c r="I354" s="392" t="s">
        <v>179</v>
      </c>
      <c r="J354" s="327">
        <f>J348/((($I348*$B344)*(1-$B341))/$B339)</f>
        <v>0.26215078172622686</v>
      </c>
      <c r="K354" s="327">
        <f>K348/((($I348*$B344)*(1-$B341))/$B339)</f>
        <v>0.14773290149336055</v>
      </c>
      <c r="L354" s="327">
        <f>L348/((($I348*$B344)*(1-$B341))/$B339)</f>
        <v>0.12030215681777132</v>
      </c>
      <c r="M354" s="327">
        <f>M348/((($I348*$B344)*(1-$B341))/$B339)</f>
        <v>4.0238436050818713E-2</v>
      </c>
      <c r="N354" s="477"/>
      <c r="O354" s="323">
        <f t="shared" si="52"/>
        <v>0.53018584003735869</v>
      </c>
    </row>
    <row r="355" spans="1:19" x14ac:dyDescent="0.25">
      <c r="A355" s="307" t="s">
        <v>135</v>
      </c>
      <c r="B355" s="365" t="s">
        <v>96</v>
      </c>
      <c r="C355" s="361">
        <f>C349/((($A349*$B344)*(1-$B341))/$B339)</f>
        <v>0.18024365482233504</v>
      </c>
      <c r="D355" s="361">
        <f>D349/((($A349*$B344)*(1-$B341))/$B339)</f>
        <v>0.13547048641499895</v>
      </c>
      <c r="E355" s="361">
        <f>E349/((($A349*$B344)*(1-$B341))/$B339)</f>
        <v>0.12626263687107378</v>
      </c>
      <c r="F355" s="360">
        <f t="shared" si="54"/>
        <v>0.44197677810840774</v>
      </c>
      <c r="G355" s="360"/>
      <c r="H355" s="361" t="s">
        <v>176</v>
      </c>
      <c r="I355" s="392" t="s">
        <v>179</v>
      </c>
      <c r="J355" s="327">
        <f>J349/((($I349*$B344)*(1-$B341))/$B339)</f>
        <v>0.31479335628294147</v>
      </c>
      <c r="K355" s="327">
        <f>K349/((($I349*$B344)*(1-$B341))/$B339)</f>
        <v>0.13466479957990549</v>
      </c>
      <c r="L355" s="327">
        <f>L349/((($I349*$B344)*(1-$B341))/$B339)</f>
        <v>7.2972207635606898E-2</v>
      </c>
      <c r="M355" s="327">
        <f>M349/((($I349*$B344)*(1-$B341))/$B339)</f>
        <v>1.680432541766342E-2</v>
      </c>
      <c r="N355" s="477"/>
      <c r="O355" s="323">
        <f t="shared" si="52"/>
        <v>0.52243036349845384</v>
      </c>
    </row>
    <row r="356" spans="1:19" x14ac:dyDescent="0.25">
      <c r="A356" s="178"/>
      <c r="B356" s="178"/>
      <c r="C356" s="178"/>
      <c r="D356" s="178"/>
      <c r="E356" s="178"/>
      <c r="F356" s="178"/>
      <c r="G356" s="178"/>
      <c r="H356" s="178"/>
      <c r="I356" s="178"/>
      <c r="J356" s="178"/>
      <c r="K356" s="178"/>
      <c r="L356" s="178"/>
      <c r="M356" s="178"/>
      <c r="N356" s="178"/>
      <c r="O356" s="178"/>
      <c r="P356" s="107"/>
      <c r="Q356" s="233"/>
      <c r="R356" s="233"/>
      <c r="S356" s="233"/>
    </row>
    <row r="357" spans="1:19" ht="21" x14ac:dyDescent="0.25">
      <c r="A357" s="312"/>
      <c r="B357" s="699" t="s">
        <v>180</v>
      </c>
      <c r="C357" s="700"/>
      <c r="D357" s="700"/>
      <c r="E357" s="700"/>
      <c r="F357" s="700"/>
      <c r="G357" s="700"/>
      <c r="H357" s="700"/>
      <c r="I357" s="700"/>
      <c r="J357" s="700"/>
      <c r="K357" s="700"/>
      <c r="L357" s="700"/>
      <c r="M357" s="700"/>
      <c r="N357" s="700"/>
      <c r="O357" s="701"/>
      <c r="P357" s="108" t="s">
        <v>97</v>
      </c>
      <c r="Q357" s="678" t="s">
        <v>181</v>
      </c>
      <c r="R357" s="678"/>
      <c r="S357" s="678"/>
    </row>
    <row r="358" spans="1:19" ht="21" x14ac:dyDescent="0.25">
      <c r="A358" s="310" t="s">
        <v>280</v>
      </c>
      <c r="B358" s="695">
        <v>43733</v>
      </c>
      <c r="C358" s="696"/>
      <c r="D358" s="696"/>
      <c r="E358" s="696"/>
      <c r="F358" s="696"/>
      <c r="G358" s="696"/>
      <c r="H358" s="696"/>
      <c r="I358" s="696"/>
      <c r="J358" s="696"/>
      <c r="K358" s="696"/>
      <c r="L358" s="696"/>
      <c r="M358" s="696"/>
      <c r="N358" s="696"/>
      <c r="O358" s="697"/>
      <c r="P358" s="108"/>
      <c r="Q358" s="678"/>
      <c r="R358" s="678"/>
      <c r="S358" s="678"/>
    </row>
    <row r="359" spans="1:19" x14ac:dyDescent="0.25">
      <c r="A359" s="310"/>
      <c r="B359" s="650" t="s">
        <v>115</v>
      </c>
      <c r="C359" s="651"/>
      <c r="D359" s="651"/>
      <c r="E359" s="651"/>
      <c r="F359" s="651"/>
      <c r="G359" s="651"/>
      <c r="H359" s="651"/>
      <c r="I359" s="651"/>
      <c r="J359" s="651"/>
      <c r="K359" s="651"/>
      <c r="L359" s="651"/>
      <c r="M359" s="651"/>
      <c r="N359" s="651"/>
      <c r="O359" s="652"/>
      <c r="P359" s="108"/>
      <c r="Q359" s="678"/>
      <c r="R359" s="678"/>
      <c r="S359" s="678"/>
    </row>
    <row r="360" spans="1:19" x14ac:dyDescent="0.25">
      <c r="A360" s="311" t="s">
        <v>106</v>
      </c>
      <c r="B360" s="629">
        <v>20</v>
      </c>
      <c r="C360" s="630"/>
      <c r="D360" s="630"/>
      <c r="E360" s="630"/>
      <c r="F360" s="630"/>
      <c r="G360" s="630"/>
      <c r="H360" s="630"/>
      <c r="I360" s="630"/>
      <c r="J360" s="630"/>
      <c r="K360" s="630"/>
      <c r="L360" s="630"/>
      <c r="M360" s="630"/>
      <c r="N360" s="630"/>
      <c r="O360" s="690"/>
      <c r="P360" s="108"/>
      <c r="Q360" s="678"/>
      <c r="R360" s="678"/>
      <c r="S360" s="678"/>
    </row>
    <row r="361" spans="1:19" x14ac:dyDescent="0.25">
      <c r="A361" s="311" t="s">
        <v>112</v>
      </c>
      <c r="B361" s="626">
        <v>0.125</v>
      </c>
      <c r="C361" s="627"/>
      <c r="D361" s="627"/>
      <c r="E361" s="627"/>
      <c r="F361" s="627"/>
      <c r="G361" s="627"/>
      <c r="H361" s="627"/>
      <c r="I361" s="627"/>
      <c r="J361" s="627"/>
      <c r="K361" s="627"/>
      <c r="L361" s="627"/>
      <c r="M361" s="627"/>
      <c r="N361" s="627"/>
      <c r="O361" s="698"/>
      <c r="P361" s="108"/>
      <c r="Q361" s="678"/>
      <c r="R361" s="678"/>
      <c r="S361" s="678"/>
    </row>
    <row r="362" spans="1:19" ht="15.75" thickBot="1" x14ac:dyDescent="0.3">
      <c r="A362" s="311" t="s">
        <v>107</v>
      </c>
      <c r="B362" s="629">
        <v>17.579999999999998</v>
      </c>
      <c r="C362" s="630"/>
      <c r="D362" s="630"/>
      <c r="E362" s="630"/>
      <c r="F362" s="630"/>
      <c r="G362" s="630"/>
      <c r="H362" s="630"/>
      <c r="I362" s="630"/>
      <c r="J362" s="630"/>
      <c r="K362" s="630"/>
      <c r="L362" s="630"/>
      <c r="M362" s="630"/>
      <c r="N362" s="630"/>
      <c r="O362" s="690"/>
      <c r="P362" s="108"/>
      <c r="Q362" s="678"/>
      <c r="R362" s="678"/>
      <c r="S362" s="678"/>
    </row>
    <row r="363" spans="1:19" x14ac:dyDescent="0.25">
      <c r="A363" s="311" t="s">
        <v>108</v>
      </c>
      <c r="B363" s="626">
        <f>B366/B362</f>
        <v>0.88565130830489236</v>
      </c>
      <c r="C363" s="627"/>
      <c r="D363" s="627"/>
      <c r="E363" s="627"/>
      <c r="F363" s="627"/>
      <c r="G363" s="627"/>
      <c r="H363" s="627"/>
      <c r="I363" s="627"/>
      <c r="J363" s="627"/>
      <c r="K363" s="627"/>
      <c r="L363" s="627"/>
      <c r="M363" s="627"/>
      <c r="N363" s="627"/>
      <c r="O363" s="628"/>
      <c r="P363" s="108"/>
      <c r="Q363" s="234" t="s">
        <v>139</v>
      </c>
      <c r="R363" s="235" t="s">
        <v>140</v>
      </c>
      <c r="S363" s="236" t="s">
        <v>142</v>
      </c>
    </row>
    <row r="364" spans="1:19" ht="15.75" thickBot="1" x14ac:dyDescent="0.3">
      <c r="A364" s="311" t="s">
        <v>113</v>
      </c>
      <c r="B364" s="629">
        <f>17.5*2.87</f>
        <v>50.225000000000001</v>
      </c>
      <c r="C364" s="630"/>
      <c r="D364" s="630"/>
      <c r="E364" s="630"/>
      <c r="F364" s="630"/>
      <c r="G364" s="630"/>
      <c r="H364" s="630"/>
      <c r="I364" s="630"/>
      <c r="J364" s="630"/>
      <c r="K364" s="630"/>
      <c r="L364" s="630"/>
      <c r="M364" s="630"/>
      <c r="N364" s="630"/>
      <c r="O364" s="631"/>
      <c r="P364" s="108"/>
      <c r="Q364" s="185"/>
      <c r="R364" s="183" t="s">
        <v>141</v>
      </c>
      <c r="S364" s="237"/>
    </row>
    <row r="365" spans="1:19" ht="29.25" thickBot="1" x14ac:dyDescent="0.3">
      <c r="A365" s="311" t="s">
        <v>109</v>
      </c>
      <c r="B365" s="626">
        <v>0.69</v>
      </c>
      <c r="C365" s="627"/>
      <c r="D365" s="627"/>
      <c r="E365" s="627"/>
      <c r="F365" s="627"/>
      <c r="G365" s="627"/>
      <c r="H365" s="627"/>
      <c r="I365" s="627"/>
      <c r="J365" s="627"/>
      <c r="K365" s="627"/>
      <c r="L365" s="627"/>
      <c r="M365" s="627"/>
      <c r="N365" s="627"/>
      <c r="O365" s="698"/>
      <c r="P365" s="108"/>
      <c r="Q365" s="238" t="s">
        <v>143</v>
      </c>
      <c r="R365" s="183">
        <v>7</v>
      </c>
      <c r="S365" s="247" t="s">
        <v>258</v>
      </c>
    </row>
    <row r="366" spans="1:19" ht="15.75" thickBot="1" x14ac:dyDescent="0.3">
      <c r="A366" s="311" t="s">
        <v>122</v>
      </c>
      <c r="B366" s="629">
        <f>B364-(B364*B365)</f>
        <v>15.569750000000006</v>
      </c>
      <c r="C366" s="630"/>
      <c r="D366" s="630"/>
      <c r="E366" s="630"/>
      <c r="F366" s="630"/>
      <c r="G366" s="630"/>
      <c r="H366" s="630"/>
      <c r="I366" s="630"/>
      <c r="J366" s="630"/>
      <c r="K366" s="630"/>
      <c r="L366" s="630"/>
      <c r="M366" s="630"/>
      <c r="N366" s="630"/>
      <c r="O366" s="690"/>
      <c r="P366" s="108"/>
      <c r="Q366" s="238" t="s">
        <v>145</v>
      </c>
      <c r="R366" s="183">
        <v>6.5</v>
      </c>
      <c r="S366" s="248" t="s">
        <v>259</v>
      </c>
    </row>
    <row r="367" spans="1:19" ht="15.75" thickBot="1" x14ac:dyDescent="0.3">
      <c r="A367" s="311" t="s">
        <v>110</v>
      </c>
      <c r="B367" s="668">
        <v>120</v>
      </c>
      <c r="C367" s="669"/>
      <c r="D367" s="669"/>
      <c r="E367" s="669"/>
      <c r="F367" s="669"/>
      <c r="G367" s="669"/>
      <c r="H367" s="669"/>
      <c r="I367" s="669"/>
      <c r="J367" s="669"/>
      <c r="K367" s="669"/>
      <c r="L367" s="669"/>
      <c r="M367" s="669"/>
      <c r="N367" s="669"/>
      <c r="O367" s="689"/>
      <c r="P367" s="108"/>
      <c r="Q367" s="238" t="s">
        <v>147</v>
      </c>
      <c r="R367" s="183">
        <v>7</v>
      </c>
      <c r="S367" s="248" t="s">
        <v>260</v>
      </c>
    </row>
    <row r="368" spans="1:19" x14ac:dyDescent="0.25">
      <c r="A368" s="311" t="s">
        <v>111</v>
      </c>
      <c r="B368" s="668">
        <v>15</v>
      </c>
      <c r="C368" s="669"/>
      <c r="D368" s="669"/>
      <c r="E368" s="669"/>
      <c r="F368" s="669"/>
      <c r="G368" s="669"/>
      <c r="H368" s="669"/>
      <c r="I368" s="669"/>
      <c r="J368" s="669"/>
      <c r="K368" s="669"/>
      <c r="L368" s="669"/>
      <c r="M368" s="669"/>
      <c r="N368" s="669"/>
      <c r="O368" s="689"/>
      <c r="P368" s="108"/>
      <c r="Q368" s="239" t="s">
        <v>149</v>
      </c>
      <c r="R368" s="240">
        <v>10</v>
      </c>
      <c r="S368" s="249" t="s">
        <v>257</v>
      </c>
    </row>
    <row r="369" spans="1:19" ht="15.75" thickBot="1" x14ac:dyDescent="0.3">
      <c r="A369" s="311" t="s">
        <v>273</v>
      </c>
      <c r="B369" s="638"/>
      <c r="C369" s="638"/>
      <c r="D369" s="638"/>
      <c r="E369" s="638"/>
      <c r="F369" s="638"/>
      <c r="G369" s="638"/>
      <c r="H369" s="638"/>
      <c r="I369" s="638"/>
      <c r="J369" s="638"/>
      <c r="K369" s="638"/>
      <c r="L369" s="638"/>
      <c r="M369" s="638"/>
      <c r="N369" s="638"/>
      <c r="O369" s="687"/>
      <c r="P369" s="108"/>
      <c r="Q369" s="238" t="s">
        <v>150</v>
      </c>
      <c r="R369" s="185"/>
      <c r="S369" s="242"/>
    </row>
    <row r="370" spans="1:19" ht="15.75" thickBot="1" x14ac:dyDescent="0.3">
      <c r="A370" s="587" t="s">
        <v>127</v>
      </c>
      <c r="B370" s="588"/>
      <c r="C370" s="588"/>
      <c r="D370" s="588"/>
      <c r="E370" s="588"/>
      <c r="F370" s="688"/>
      <c r="G370" s="453"/>
      <c r="H370" s="668" t="s">
        <v>128</v>
      </c>
      <c r="I370" s="669"/>
      <c r="J370" s="669"/>
      <c r="K370" s="669"/>
      <c r="L370" s="669"/>
      <c r="M370" s="669"/>
      <c r="N370" s="669"/>
      <c r="O370" s="689"/>
      <c r="P370" s="108"/>
      <c r="Q370" s="238" t="s">
        <v>152</v>
      </c>
      <c r="R370" s="183">
        <v>5</v>
      </c>
      <c r="S370" s="248" t="s">
        <v>261</v>
      </c>
    </row>
    <row r="371" spans="1:19" ht="15.75" thickBot="1" x14ac:dyDescent="0.3">
      <c r="A371" s="307" t="s">
        <v>98</v>
      </c>
      <c r="B371" s="365" t="s">
        <v>102</v>
      </c>
      <c r="C371" s="365" t="s">
        <v>92</v>
      </c>
      <c r="D371" s="365" t="s">
        <v>93</v>
      </c>
      <c r="E371" s="365" t="s">
        <v>94</v>
      </c>
      <c r="F371" s="366" t="s">
        <v>99</v>
      </c>
      <c r="G371" s="366"/>
      <c r="H371" s="365" t="s">
        <v>102</v>
      </c>
      <c r="I371" s="367" t="s">
        <v>98</v>
      </c>
      <c r="J371" s="365" t="s">
        <v>92</v>
      </c>
      <c r="K371" s="365" t="s">
        <v>93</v>
      </c>
      <c r="L371" s="365" t="s">
        <v>94</v>
      </c>
      <c r="M371" s="365"/>
      <c r="N371" s="365"/>
      <c r="O371" s="366" t="s">
        <v>99</v>
      </c>
      <c r="P371" s="108"/>
      <c r="Q371" s="238" t="s">
        <v>154</v>
      </c>
      <c r="R371" s="183">
        <v>8</v>
      </c>
      <c r="S371" s="247" t="s">
        <v>262</v>
      </c>
    </row>
    <row r="372" spans="1:19" ht="15.75" thickBot="1" x14ac:dyDescent="0.3">
      <c r="A372" s="308">
        <v>1289</v>
      </c>
      <c r="B372" s="365" t="s">
        <v>95</v>
      </c>
      <c r="C372" s="393">
        <v>1152.5</v>
      </c>
      <c r="D372" s="393">
        <v>1216.9000000000001</v>
      </c>
      <c r="E372" s="393">
        <v>861.7</v>
      </c>
      <c r="F372" s="368">
        <f>SUM(C372:E372)</f>
        <v>3231.1000000000004</v>
      </c>
      <c r="G372" s="368"/>
      <c r="H372" s="359" t="s">
        <v>175</v>
      </c>
      <c r="I372" s="369">
        <v>1288</v>
      </c>
      <c r="J372" s="393">
        <v>1757.4</v>
      </c>
      <c r="K372" s="393">
        <v>1475.5</v>
      </c>
      <c r="L372" s="393">
        <v>910.1</v>
      </c>
      <c r="M372" s="393"/>
      <c r="N372" s="393"/>
      <c r="O372" s="368">
        <f t="shared" ref="O372:O379" si="57">SUM(J372:L372)</f>
        <v>4143</v>
      </c>
      <c r="P372" s="108"/>
      <c r="Q372" s="238" t="s">
        <v>156</v>
      </c>
      <c r="R372" s="183">
        <v>8</v>
      </c>
      <c r="S372" s="181" t="s">
        <v>31</v>
      </c>
    </row>
    <row r="373" spans="1:19" ht="15.75" thickBot="1" x14ac:dyDescent="0.3">
      <c r="A373" s="308">
        <v>151</v>
      </c>
      <c r="B373" s="365" t="s">
        <v>96</v>
      </c>
      <c r="C373" s="393">
        <v>181.8</v>
      </c>
      <c r="D373" s="393">
        <v>125.1</v>
      </c>
      <c r="E373" s="393">
        <v>133.4</v>
      </c>
      <c r="F373" s="368">
        <f>SUM(C373:E373)</f>
        <v>440.29999999999995</v>
      </c>
      <c r="G373" s="368"/>
      <c r="H373" s="359" t="s">
        <v>176</v>
      </c>
      <c r="I373" s="370">
        <v>151</v>
      </c>
      <c r="J373" s="393">
        <v>188.6</v>
      </c>
      <c r="K373" s="393">
        <v>125.2</v>
      </c>
      <c r="L373" s="393">
        <v>148.30000000000001</v>
      </c>
      <c r="M373" s="393"/>
      <c r="N373" s="393"/>
      <c r="O373" s="368">
        <f t="shared" si="57"/>
        <v>462.1</v>
      </c>
      <c r="P373" s="108"/>
      <c r="Q373" s="238" t="s">
        <v>158</v>
      </c>
      <c r="R373" s="183">
        <v>10</v>
      </c>
      <c r="S373" s="181" t="s">
        <v>87</v>
      </c>
    </row>
    <row r="374" spans="1:19" ht="15.75" thickBot="1" x14ac:dyDescent="0.3">
      <c r="A374" s="307" t="s">
        <v>100</v>
      </c>
      <c r="B374" s="365" t="s">
        <v>95</v>
      </c>
      <c r="C374" s="394">
        <f t="shared" ref="C374:E375" si="58">C372/$A372</f>
        <v>0.89410395655546937</v>
      </c>
      <c r="D374" s="394">
        <f t="shared" si="58"/>
        <v>0.94406516679596597</v>
      </c>
      <c r="E374" s="394">
        <f t="shared" si="58"/>
        <v>0.66850271528316529</v>
      </c>
      <c r="F374" s="360">
        <f t="shared" ref="F374:F379" si="59">SUM(C374:E374)</f>
        <v>2.5066718386346007</v>
      </c>
      <c r="G374" s="360"/>
      <c r="H374" s="359" t="s">
        <v>175</v>
      </c>
      <c r="I374" s="371" t="s">
        <v>177</v>
      </c>
      <c r="J374" s="395">
        <f t="shared" ref="J374:L375" si="60">J372/$I372</f>
        <v>1.36444099378882</v>
      </c>
      <c r="K374" s="395">
        <f t="shared" si="60"/>
        <v>1.1455745341614907</v>
      </c>
      <c r="L374" s="395">
        <f t="shared" si="60"/>
        <v>0.70659937888198765</v>
      </c>
      <c r="M374" s="353"/>
      <c r="N374" s="481"/>
      <c r="O374" s="322">
        <f t="shared" si="57"/>
        <v>3.2166149068322984</v>
      </c>
      <c r="P374" s="108"/>
      <c r="Q374" s="185" t="s">
        <v>99</v>
      </c>
      <c r="R374" s="183">
        <f>SUM(R365:R373)</f>
        <v>61.5</v>
      </c>
      <c r="S374" s="181" t="s">
        <v>250</v>
      </c>
    </row>
    <row r="375" spans="1:19" x14ac:dyDescent="0.25">
      <c r="A375" s="307" t="s">
        <v>100</v>
      </c>
      <c r="B375" s="365" t="s">
        <v>96</v>
      </c>
      <c r="C375" s="393">
        <f t="shared" si="58"/>
        <v>1.2039735099337749</v>
      </c>
      <c r="D375" s="393">
        <f t="shared" si="58"/>
        <v>0.8284768211920529</v>
      </c>
      <c r="E375" s="393">
        <f t="shared" si="58"/>
        <v>0.88344370860927157</v>
      </c>
      <c r="F375" s="360">
        <f t="shared" si="59"/>
        <v>2.9158940397350994</v>
      </c>
      <c r="G375" s="360"/>
      <c r="H375" s="359" t="s">
        <v>176</v>
      </c>
      <c r="I375" s="371" t="s">
        <v>177</v>
      </c>
      <c r="J375" s="353">
        <f t="shared" si="60"/>
        <v>1.2490066225165564</v>
      </c>
      <c r="K375" s="353">
        <f t="shared" si="60"/>
        <v>0.82913907284768218</v>
      </c>
      <c r="L375" s="353">
        <f t="shared" si="60"/>
        <v>0.98211920529801333</v>
      </c>
      <c r="M375" s="353"/>
      <c r="N375" s="481"/>
      <c r="O375" s="322">
        <f t="shared" si="57"/>
        <v>3.0602649006622515</v>
      </c>
      <c r="P375" s="108"/>
      <c r="Q375" s="244"/>
      <c r="R375" s="245"/>
      <c r="S375" s="245"/>
    </row>
    <row r="376" spans="1:19" x14ac:dyDescent="0.25">
      <c r="A376" s="307" t="s">
        <v>104</v>
      </c>
      <c r="B376" s="365" t="s">
        <v>95</v>
      </c>
      <c r="C376" s="393">
        <f>C372/($A372/7.7)</f>
        <v>6.8846004654771145</v>
      </c>
      <c r="D376" s="393">
        <f>D372/($A372/7)</f>
        <v>6.6084561675717621</v>
      </c>
      <c r="E376" s="393">
        <f>E372/($A372/7)</f>
        <v>4.6795190069821571</v>
      </c>
      <c r="F376" s="360">
        <f t="shared" si="59"/>
        <v>18.172575640031035</v>
      </c>
      <c r="G376" s="469"/>
      <c r="H376" s="372" t="s">
        <v>175</v>
      </c>
      <c r="I376" s="371" t="s">
        <v>178</v>
      </c>
      <c r="J376" s="353">
        <f t="shared" ref="J376:L377" si="61">J372/($I372/7.7)</f>
        <v>10.506195652173913</v>
      </c>
      <c r="K376" s="353">
        <f t="shared" si="61"/>
        <v>8.8209239130434778</v>
      </c>
      <c r="L376" s="353">
        <f t="shared" si="61"/>
        <v>5.4408152173913038</v>
      </c>
      <c r="M376" s="353"/>
      <c r="N376" s="481"/>
      <c r="O376" s="322">
        <f t="shared" si="57"/>
        <v>24.767934782608695</v>
      </c>
      <c r="P376" s="108"/>
      <c r="Q376" s="246"/>
      <c r="R376" s="246"/>
      <c r="S376" s="246"/>
    </row>
    <row r="377" spans="1:19" x14ac:dyDescent="0.25">
      <c r="A377" s="307" t="s">
        <v>104</v>
      </c>
      <c r="B377" s="365" t="s">
        <v>96</v>
      </c>
      <c r="C377" s="393">
        <f>C373/($A373/7.7)</f>
        <v>9.2705960264900664</v>
      </c>
      <c r="D377" s="393">
        <f>D373/($A373/7.7)</f>
        <v>6.379271523178808</v>
      </c>
      <c r="E377" s="393">
        <f>E373/($A373/7.7)</f>
        <v>6.8025165562913914</v>
      </c>
      <c r="F377" s="360">
        <f t="shared" si="59"/>
        <v>22.452384105960267</v>
      </c>
      <c r="G377" s="360"/>
      <c r="H377" s="359" t="s">
        <v>176</v>
      </c>
      <c r="I377" s="371" t="s">
        <v>178</v>
      </c>
      <c r="J377" s="353">
        <f t="shared" si="61"/>
        <v>9.6173509933774834</v>
      </c>
      <c r="K377" s="353">
        <f t="shared" si="61"/>
        <v>6.3843708609271523</v>
      </c>
      <c r="L377" s="353">
        <f t="shared" si="61"/>
        <v>7.5623178807947022</v>
      </c>
      <c r="M377" s="353"/>
      <c r="N377" s="481"/>
      <c r="O377" s="322">
        <f t="shared" si="57"/>
        <v>23.564039735099335</v>
      </c>
      <c r="P377" s="108"/>
      <c r="Q377" s="246"/>
      <c r="R377" s="246"/>
      <c r="S377" s="246"/>
    </row>
    <row r="378" spans="1:19" x14ac:dyDescent="0.25">
      <c r="A378" s="307" t="s">
        <v>135</v>
      </c>
      <c r="B378" s="365" t="s">
        <v>95</v>
      </c>
      <c r="C378" s="393">
        <f>C372/((($A372*$B368)*(1-$B365))/$B363)</f>
        <v>0.17029340621159827</v>
      </c>
      <c r="D378" s="393">
        <f>D372/((($A372*$B368)*(1-$B365))/$B363)</f>
        <v>0.17980915055869323</v>
      </c>
      <c r="E378" s="393">
        <f>E372/((($A372*$B368)*(1-$B365))/$B363)</f>
        <v>0.12732479664428134</v>
      </c>
      <c r="F378" s="360">
        <f t="shared" si="59"/>
        <v>0.47742735341457287</v>
      </c>
      <c r="G378" s="360"/>
      <c r="H378" s="361" t="s">
        <v>175</v>
      </c>
      <c r="I378" s="373" t="s">
        <v>179</v>
      </c>
      <c r="J378" s="353">
        <f>J372/((($I372*$B368)*(1-$B365))/$B363)</f>
        <v>0.25987504328040767</v>
      </c>
      <c r="K378" s="353">
        <f>K372/((($I372*$B368)*(1-$B365))/$B363)</f>
        <v>0.21818915805180467</v>
      </c>
      <c r="L378" s="353">
        <f>L372/((($I372*$B368)*(1-$B365))/$B363)</f>
        <v>0.13458078803317344</v>
      </c>
      <c r="M378" s="353"/>
      <c r="N378" s="481"/>
      <c r="O378" s="323">
        <f t="shared" si="57"/>
        <v>0.61264498936538581</v>
      </c>
      <c r="P378" s="108"/>
      <c r="Q378" s="246"/>
      <c r="R378" s="246"/>
      <c r="S378" s="246"/>
    </row>
    <row r="379" spans="1:19" x14ac:dyDescent="0.25">
      <c r="A379" s="307" t="s">
        <v>135</v>
      </c>
      <c r="B379" s="365" t="s">
        <v>96</v>
      </c>
      <c r="C379" s="393">
        <f>C373/((($A373*$B368)*(1-$B365))/$B363)</f>
        <v>0.2293119815564045</v>
      </c>
      <c r="D379" s="393">
        <f>D373/((($A373*$B368)*(1-$B365))/$B363)</f>
        <v>0.15779388829871396</v>
      </c>
      <c r="E379" s="393">
        <f>E373/((($A373*$B368)*(1-$B365))/$B363)</f>
        <v>0.16826302717065103</v>
      </c>
      <c r="F379" s="360">
        <f t="shared" si="59"/>
        <v>0.55536889702576953</v>
      </c>
      <c r="G379" s="360"/>
      <c r="H379" s="361" t="s">
        <v>176</v>
      </c>
      <c r="I379" s="373" t="s">
        <v>179</v>
      </c>
      <c r="J379" s="353">
        <f>J373/((($I373*$B368)*(1-$B365))/$B363)</f>
        <v>0.23788910737919627</v>
      </c>
      <c r="K379" s="353">
        <f>K373/((($I373*$B368)*(1-$B365))/$B363)</f>
        <v>0.15792002250199033</v>
      </c>
      <c r="L379" s="353">
        <f>L373/((($I373*$B368)*(1-$B365))/$B363)</f>
        <v>0.18705702345882722</v>
      </c>
      <c r="M379" s="353"/>
      <c r="N379" s="481"/>
      <c r="O379" s="323">
        <f t="shared" si="57"/>
        <v>0.58286615334001379</v>
      </c>
    </row>
    <row r="381" spans="1:19" x14ac:dyDescent="0.25">
      <c r="A381" s="178"/>
      <c r="B381" s="178"/>
      <c r="C381" s="178"/>
      <c r="D381" s="178"/>
      <c r="E381" s="178"/>
      <c r="F381" s="178"/>
      <c r="G381" s="178"/>
      <c r="H381" s="178"/>
      <c r="I381" s="178"/>
      <c r="J381" s="178"/>
      <c r="K381" s="178"/>
      <c r="L381" s="178"/>
      <c r="M381" s="178"/>
      <c r="N381" s="178"/>
      <c r="O381" s="178"/>
      <c r="P381" s="107"/>
      <c r="Q381" s="233"/>
      <c r="R381" s="233"/>
      <c r="S381" s="233"/>
    </row>
    <row r="382" spans="1:19" ht="21" x14ac:dyDescent="0.25">
      <c r="A382" s="312"/>
      <c r="B382" s="699" t="s">
        <v>182</v>
      </c>
      <c r="C382" s="700"/>
      <c r="D382" s="700"/>
      <c r="E382" s="700"/>
      <c r="F382" s="700"/>
      <c r="G382" s="700"/>
      <c r="H382" s="700"/>
      <c r="I382" s="700"/>
      <c r="J382" s="700"/>
      <c r="K382" s="700"/>
      <c r="L382" s="700"/>
      <c r="M382" s="700"/>
      <c r="N382" s="700"/>
      <c r="O382" s="701"/>
      <c r="P382" s="108" t="s">
        <v>97</v>
      </c>
      <c r="Q382" s="678" t="s">
        <v>269</v>
      </c>
      <c r="R382" s="678"/>
      <c r="S382" s="678"/>
    </row>
    <row r="383" spans="1:19" ht="21" x14ac:dyDescent="0.25">
      <c r="A383" s="310" t="s">
        <v>282</v>
      </c>
      <c r="B383" s="695">
        <v>43747</v>
      </c>
      <c r="C383" s="696"/>
      <c r="D383" s="696"/>
      <c r="E383" s="696"/>
      <c r="F383" s="696"/>
      <c r="G383" s="696"/>
      <c r="H383" s="696"/>
      <c r="I383" s="696"/>
      <c r="J383" s="696"/>
      <c r="K383" s="696"/>
      <c r="L383" s="696"/>
      <c r="M383" s="696"/>
      <c r="N383" s="696"/>
      <c r="O383" s="697"/>
      <c r="P383" s="108"/>
      <c r="Q383" s="678"/>
      <c r="R383" s="678"/>
      <c r="S383" s="678"/>
    </row>
    <row r="384" spans="1:19" x14ac:dyDescent="0.25">
      <c r="A384" s="310"/>
      <c r="B384" s="650" t="s">
        <v>115</v>
      </c>
      <c r="C384" s="651"/>
      <c r="D384" s="651"/>
      <c r="E384" s="651"/>
      <c r="F384" s="651"/>
      <c r="G384" s="651"/>
      <c r="H384" s="651"/>
      <c r="I384" s="651"/>
      <c r="J384" s="651"/>
      <c r="K384" s="651"/>
      <c r="L384" s="651"/>
      <c r="M384" s="651"/>
      <c r="N384" s="651"/>
      <c r="O384" s="652"/>
      <c r="P384" s="108"/>
      <c r="Q384" s="678"/>
      <c r="R384" s="678"/>
      <c r="S384" s="678"/>
    </row>
    <row r="385" spans="1:19" x14ac:dyDescent="0.25">
      <c r="A385" s="311" t="s">
        <v>106</v>
      </c>
      <c r="B385" s="629">
        <v>20.05</v>
      </c>
      <c r="C385" s="630"/>
      <c r="D385" s="630"/>
      <c r="E385" s="630"/>
      <c r="F385" s="630"/>
      <c r="G385" s="630"/>
      <c r="H385" s="630"/>
      <c r="I385" s="630"/>
      <c r="J385" s="630"/>
      <c r="K385" s="630"/>
      <c r="L385" s="630"/>
      <c r="M385" s="630"/>
      <c r="N385" s="630"/>
      <c r="O385" s="690"/>
      <c r="P385" s="108"/>
      <c r="Q385" s="678"/>
      <c r="R385" s="678"/>
      <c r="S385" s="678"/>
    </row>
    <row r="386" spans="1:19" ht="15.75" thickBot="1" x14ac:dyDescent="0.3">
      <c r="A386" s="311" t="s">
        <v>112</v>
      </c>
      <c r="B386" s="626">
        <v>0.12</v>
      </c>
      <c r="C386" s="627"/>
      <c r="D386" s="627"/>
      <c r="E386" s="627"/>
      <c r="F386" s="627"/>
      <c r="G386" s="627"/>
      <c r="H386" s="627"/>
      <c r="I386" s="627"/>
      <c r="J386" s="627"/>
      <c r="K386" s="627"/>
      <c r="L386" s="627"/>
      <c r="M386" s="627"/>
      <c r="N386" s="627"/>
      <c r="O386" s="698"/>
      <c r="P386" s="108"/>
      <c r="Q386" s="678"/>
      <c r="R386" s="678"/>
      <c r="S386" s="678"/>
    </row>
    <row r="387" spans="1:19" x14ac:dyDescent="0.25">
      <c r="A387" s="311" t="s">
        <v>107</v>
      </c>
      <c r="B387" s="629">
        <f>B385*(1-B386)</f>
        <v>17.644000000000002</v>
      </c>
      <c r="C387" s="630"/>
      <c r="D387" s="630"/>
      <c r="E387" s="630"/>
      <c r="F387" s="630"/>
      <c r="G387" s="630"/>
      <c r="H387" s="630"/>
      <c r="I387" s="630"/>
      <c r="J387" s="630"/>
      <c r="K387" s="630"/>
      <c r="L387" s="630"/>
      <c r="M387" s="630"/>
      <c r="N387" s="630"/>
      <c r="O387" s="690"/>
      <c r="P387" s="108"/>
      <c r="Q387" s="234" t="s">
        <v>139</v>
      </c>
      <c r="R387" s="235" t="s">
        <v>140</v>
      </c>
      <c r="S387" s="236" t="s">
        <v>142</v>
      </c>
    </row>
    <row r="388" spans="1:19" ht="15" customHeight="1" thickBot="1" x14ac:dyDescent="0.3">
      <c r="A388" s="311" t="s">
        <v>108</v>
      </c>
      <c r="B388" s="626">
        <f>B391/B387</f>
        <v>0.85380000000000011</v>
      </c>
      <c r="C388" s="627"/>
      <c r="D388" s="627"/>
      <c r="E388" s="627"/>
      <c r="F388" s="627"/>
      <c r="G388" s="627"/>
      <c r="H388" s="627"/>
      <c r="I388" s="627"/>
      <c r="J388" s="627"/>
      <c r="K388" s="627"/>
      <c r="L388" s="627"/>
      <c r="M388" s="627"/>
      <c r="N388" s="627"/>
      <c r="O388" s="628"/>
      <c r="P388" s="108"/>
      <c r="Q388" s="185"/>
      <c r="R388" s="183" t="s">
        <v>141</v>
      </c>
      <c r="S388" s="237"/>
    </row>
    <row r="389" spans="1:19" ht="29.25" thickBot="1" x14ac:dyDescent="0.3">
      <c r="A389" s="311" t="s">
        <v>113</v>
      </c>
      <c r="B389" s="629">
        <f>B387*((A397+A398+I397+I398)/1000)</f>
        <v>50.214824000000007</v>
      </c>
      <c r="C389" s="630"/>
      <c r="D389" s="630"/>
      <c r="E389" s="630"/>
      <c r="F389" s="630"/>
      <c r="G389" s="630"/>
      <c r="H389" s="630"/>
      <c r="I389" s="630"/>
      <c r="J389" s="630"/>
      <c r="K389" s="630"/>
      <c r="L389" s="630"/>
      <c r="M389" s="630"/>
      <c r="N389" s="630"/>
      <c r="O389" s="631"/>
      <c r="P389" s="108"/>
      <c r="Q389" s="238" t="s">
        <v>143</v>
      </c>
      <c r="R389" s="183">
        <v>9</v>
      </c>
      <c r="S389" s="181" t="s">
        <v>75</v>
      </c>
    </row>
    <row r="390" spans="1:19" ht="15.75" thickBot="1" x14ac:dyDescent="0.3">
      <c r="A390" s="311" t="s">
        <v>109</v>
      </c>
      <c r="B390" s="702">
        <v>0.7</v>
      </c>
      <c r="C390" s="703"/>
      <c r="D390" s="703"/>
      <c r="E390" s="703"/>
      <c r="F390" s="703"/>
      <c r="G390" s="703"/>
      <c r="H390" s="703"/>
      <c r="I390" s="703"/>
      <c r="J390" s="703"/>
      <c r="K390" s="703"/>
      <c r="L390" s="703"/>
      <c r="M390" s="703"/>
      <c r="N390" s="703"/>
      <c r="O390" s="704"/>
      <c r="P390" s="108"/>
      <c r="Q390" s="238" t="s">
        <v>145</v>
      </c>
      <c r="R390" s="183">
        <v>5</v>
      </c>
      <c r="S390" s="184" t="s">
        <v>164</v>
      </c>
    </row>
    <row r="391" spans="1:19" ht="15.75" thickBot="1" x14ac:dyDescent="0.3">
      <c r="A391" s="311" t="s">
        <v>122</v>
      </c>
      <c r="B391" s="629">
        <f>B389-(B389*B390)</f>
        <v>15.064447200000004</v>
      </c>
      <c r="C391" s="630"/>
      <c r="D391" s="630"/>
      <c r="E391" s="630"/>
      <c r="F391" s="630"/>
      <c r="G391" s="630"/>
      <c r="H391" s="630"/>
      <c r="I391" s="630"/>
      <c r="J391" s="630"/>
      <c r="K391" s="630"/>
      <c r="L391" s="630"/>
      <c r="M391" s="630"/>
      <c r="N391" s="630"/>
      <c r="O391" s="690"/>
      <c r="P391" s="108"/>
      <c r="Q391" s="238" t="s">
        <v>147</v>
      </c>
      <c r="R391" s="183">
        <v>7</v>
      </c>
      <c r="S391" s="248" t="s">
        <v>260</v>
      </c>
    </row>
    <row r="392" spans="1:19" ht="28.5" x14ac:dyDescent="0.25">
      <c r="A392" s="311" t="s">
        <v>110</v>
      </c>
      <c r="B392" s="668">
        <v>120</v>
      </c>
      <c r="C392" s="669"/>
      <c r="D392" s="669"/>
      <c r="E392" s="669"/>
      <c r="F392" s="669"/>
      <c r="G392" s="669"/>
      <c r="H392" s="669"/>
      <c r="I392" s="669"/>
      <c r="J392" s="669"/>
      <c r="K392" s="669"/>
      <c r="L392" s="669"/>
      <c r="M392" s="669"/>
      <c r="N392" s="669"/>
      <c r="O392" s="689"/>
      <c r="P392" s="108"/>
      <c r="Q392" s="250" t="s">
        <v>274</v>
      </c>
      <c r="R392" s="240">
        <v>5</v>
      </c>
      <c r="S392" s="241" t="s">
        <v>265</v>
      </c>
    </row>
    <row r="393" spans="1:19" x14ac:dyDescent="0.25">
      <c r="A393" s="311" t="s">
        <v>111</v>
      </c>
      <c r="B393" s="668">
        <v>15</v>
      </c>
      <c r="C393" s="669"/>
      <c r="D393" s="669"/>
      <c r="E393" s="669"/>
      <c r="F393" s="669"/>
      <c r="G393" s="669"/>
      <c r="H393" s="669"/>
      <c r="I393" s="669"/>
      <c r="J393" s="669"/>
      <c r="K393" s="669"/>
      <c r="L393" s="669"/>
      <c r="M393" s="669"/>
      <c r="N393" s="669"/>
      <c r="O393" s="689"/>
      <c r="P393" s="108"/>
      <c r="Q393" s="239"/>
      <c r="R393" s="251"/>
      <c r="S393" s="252"/>
    </row>
    <row r="394" spans="1:19" ht="15.75" thickBot="1" x14ac:dyDescent="0.3">
      <c r="A394" s="311" t="s">
        <v>273</v>
      </c>
      <c r="B394" s="638" t="s">
        <v>289</v>
      </c>
      <c r="C394" s="638"/>
      <c r="D394" s="638"/>
      <c r="E394" s="638"/>
      <c r="F394" s="638"/>
      <c r="G394" s="638"/>
      <c r="H394" s="638"/>
      <c r="I394" s="638"/>
      <c r="J394" s="638"/>
      <c r="K394" s="638"/>
      <c r="L394" s="638"/>
      <c r="M394" s="638"/>
      <c r="N394" s="638"/>
      <c r="O394" s="687"/>
      <c r="P394" s="108"/>
      <c r="Q394" s="238"/>
      <c r="R394" s="185"/>
      <c r="S394" s="242"/>
    </row>
    <row r="395" spans="1:19" ht="15.75" thickBot="1" x14ac:dyDescent="0.3">
      <c r="A395" s="587" t="s">
        <v>127</v>
      </c>
      <c r="B395" s="588"/>
      <c r="C395" s="588"/>
      <c r="D395" s="588"/>
      <c r="E395" s="588"/>
      <c r="F395" s="688"/>
      <c r="G395" s="453"/>
      <c r="H395" s="668" t="s">
        <v>128</v>
      </c>
      <c r="I395" s="669"/>
      <c r="J395" s="669"/>
      <c r="K395" s="669"/>
      <c r="L395" s="669"/>
      <c r="M395" s="669"/>
      <c r="N395" s="669"/>
      <c r="O395" s="689"/>
      <c r="P395" s="108"/>
      <c r="Q395" s="238" t="s">
        <v>152</v>
      </c>
      <c r="R395" s="183">
        <v>8</v>
      </c>
      <c r="S395" s="184" t="s">
        <v>266</v>
      </c>
    </row>
    <row r="396" spans="1:19" ht="15.75" thickBot="1" x14ac:dyDescent="0.3">
      <c r="A396" s="307" t="s">
        <v>98</v>
      </c>
      <c r="B396" s="365" t="s">
        <v>102</v>
      </c>
      <c r="C396" s="365" t="s">
        <v>92</v>
      </c>
      <c r="D396" s="365" t="s">
        <v>93</v>
      </c>
      <c r="E396" s="365" t="s">
        <v>94</v>
      </c>
      <c r="F396" s="366" t="s">
        <v>99</v>
      </c>
      <c r="G396" s="366"/>
      <c r="H396" s="365" t="s">
        <v>102</v>
      </c>
      <c r="I396" s="367" t="s">
        <v>98</v>
      </c>
      <c r="J396" s="365" t="s">
        <v>92</v>
      </c>
      <c r="K396" s="365" t="s">
        <v>93</v>
      </c>
      <c r="L396" s="365" t="s">
        <v>94</v>
      </c>
      <c r="M396" s="365" t="s">
        <v>278</v>
      </c>
      <c r="N396" s="365"/>
      <c r="O396" s="366" t="s">
        <v>99</v>
      </c>
      <c r="P396" s="108"/>
      <c r="Q396" s="238" t="s">
        <v>154</v>
      </c>
      <c r="R396" s="183">
        <v>7</v>
      </c>
      <c r="S396" s="181" t="s">
        <v>267</v>
      </c>
    </row>
    <row r="397" spans="1:19" ht="15.75" thickBot="1" x14ac:dyDescent="0.3">
      <c r="A397" s="308">
        <v>1273</v>
      </c>
      <c r="B397" s="365" t="s">
        <v>95</v>
      </c>
      <c r="C397" s="393">
        <v>1162.0999999999999</v>
      </c>
      <c r="D397" s="393">
        <v>672.5</v>
      </c>
      <c r="E397" s="393">
        <v>997</v>
      </c>
      <c r="F397" s="396">
        <f>SUM(C397:E397)</f>
        <v>2831.6</v>
      </c>
      <c r="G397" s="396"/>
      <c r="H397" s="359" t="s">
        <v>175</v>
      </c>
      <c r="I397" s="369">
        <v>1273</v>
      </c>
      <c r="J397" s="393">
        <v>1679.4</v>
      </c>
      <c r="K397" s="393">
        <v>1300.3</v>
      </c>
      <c r="L397" s="397">
        <v>546.20000000000005</v>
      </c>
      <c r="M397" s="398">
        <v>279.39999999999998</v>
      </c>
      <c r="N397" s="393"/>
      <c r="O397" s="360">
        <f t="shared" ref="O397:O404" si="62">SUM(J397:L397)</f>
        <v>3525.8999999999996</v>
      </c>
      <c r="P397" s="108"/>
      <c r="Q397" s="238" t="s">
        <v>156</v>
      </c>
      <c r="R397" s="183">
        <v>9</v>
      </c>
      <c r="S397" s="181" t="s">
        <v>268</v>
      </c>
    </row>
    <row r="398" spans="1:19" ht="15.75" thickBot="1" x14ac:dyDescent="0.3">
      <c r="A398" s="308">
        <v>150</v>
      </c>
      <c r="B398" s="365" t="s">
        <v>96</v>
      </c>
      <c r="C398" s="393">
        <v>159.69999999999999</v>
      </c>
      <c r="D398" s="393">
        <v>71.8</v>
      </c>
      <c r="E398" s="393">
        <v>214.2</v>
      </c>
      <c r="F398" s="396">
        <f>SUM(C398:E398)</f>
        <v>445.7</v>
      </c>
      <c r="G398" s="396"/>
      <c r="H398" s="359" t="s">
        <v>176</v>
      </c>
      <c r="I398" s="370">
        <v>150</v>
      </c>
      <c r="J398" s="393">
        <v>191</v>
      </c>
      <c r="K398" s="393">
        <v>163.6</v>
      </c>
      <c r="L398" s="393">
        <v>105.2</v>
      </c>
      <c r="M398" s="393">
        <v>58</v>
      </c>
      <c r="N398" s="393"/>
      <c r="O398" s="360">
        <f t="shared" si="62"/>
        <v>459.8</v>
      </c>
      <c r="P398" s="108"/>
      <c r="Q398" s="238" t="s">
        <v>158</v>
      </c>
      <c r="R398" s="183">
        <v>9</v>
      </c>
      <c r="S398" s="181" t="s">
        <v>87</v>
      </c>
    </row>
    <row r="399" spans="1:19" ht="15.75" thickBot="1" x14ac:dyDescent="0.3">
      <c r="A399" s="307" t="s">
        <v>100</v>
      </c>
      <c r="B399" s="365" t="s">
        <v>95</v>
      </c>
      <c r="C399" s="394">
        <f t="shared" ref="C399:E400" si="63">C397/$A397</f>
        <v>0.9128829536527886</v>
      </c>
      <c r="D399" s="394">
        <f t="shared" si="63"/>
        <v>0.52827965435978008</v>
      </c>
      <c r="E399" s="394">
        <f t="shared" si="63"/>
        <v>0.78318931657501967</v>
      </c>
      <c r="F399" s="396">
        <f t="shared" ref="F399:F404" si="64">SUM(C399:E399)</f>
        <v>2.2243519245875882</v>
      </c>
      <c r="G399" s="396"/>
      <c r="H399" s="359" t="s">
        <v>175</v>
      </c>
      <c r="I399" s="371" t="s">
        <v>177</v>
      </c>
      <c r="J399" s="353">
        <f t="shared" ref="J399:M400" si="65">J397/$I397</f>
        <v>1.3192458758837393</v>
      </c>
      <c r="K399" s="353">
        <f t="shared" si="65"/>
        <v>1.0214454045561665</v>
      </c>
      <c r="L399" s="353">
        <f t="shared" si="65"/>
        <v>0.42906520031421841</v>
      </c>
      <c r="M399" s="353">
        <f t="shared" si="65"/>
        <v>0.21948153967007067</v>
      </c>
      <c r="N399" s="481"/>
      <c r="O399" s="323">
        <f t="shared" si="62"/>
        <v>2.7697564807541242</v>
      </c>
      <c r="P399" s="108"/>
      <c r="Q399" s="185" t="s">
        <v>99</v>
      </c>
      <c r="R399" s="183">
        <f>SUM(R389:R398)</f>
        <v>59</v>
      </c>
      <c r="S399" s="183">
        <f>R399/80%</f>
        <v>73.75</v>
      </c>
    </row>
    <row r="400" spans="1:19" x14ac:dyDescent="0.25">
      <c r="A400" s="307" t="s">
        <v>100</v>
      </c>
      <c r="B400" s="365" t="s">
        <v>96</v>
      </c>
      <c r="C400" s="393">
        <f t="shared" si="63"/>
        <v>1.0646666666666667</v>
      </c>
      <c r="D400" s="393">
        <f t="shared" si="63"/>
        <v>0.47866666666666663</v>
      </c>
      <c r="E400" s="393">
        <f t="shared" si="63"/>
        <v>1.4279999999999999</v>
      </c>
      <c r="F400" s="396">
        <f t="shared" si="64"/>
        <v>2.9713333333333329</v>
      </c>
      <c r="G400" s="396"/>
      <c r="H400" s="359" t="s">
        <v>176</v>
      </c>
      <c r="I400" s="371" t="s">
        <v>177</v>
      </c>
      <c r="J400" s="353">
        <f t="shared" si="65"/>
        <v>1.2733333333333334</v>
      </c>
      <c r="K400" s="353">
        <f t="shared" si="65"/>
        <v>1.0906666666666667</v>
      </c>
      <c r="L400" s="353">
        <f t="shared" si="65"/>
        <v>0.70133333333333336</v>
      </c>
      <c r="M400" s="353">
        <f t="shared" si="65"/>
        <v>0.38666666666666666</v>
      </c>
      <c r="N400" s="481"/>
      <c r="O400" s="323">
        <f t="shared" si="62"/>
        <v>3.0653333333333332</v>
      </c>
      <c r="P400" s="108"/>
      <c r="Q400" s="244"/>
      <c r="R400" s="245"/>
      <c r="S400" s="245"/>
    </row>
    <row r="401" spans="1:19" x14ac:dyDescent="0.25">
      <c r="A401" s="307" t="s">
        <v>104</v>
      </c>
      <c r="B401" s="365" t="s">
        <v>95</v>
      </c>
      <c r="C401" s="393">
        <f>C397/($A397/7.7)</f>
        <v>7.0291987431264724</v>
      </c>
      <c r="D401" s="393">
        <f>D397/($A397/7)</f>
        <v>3.6979575805184601</v>
      </c>
      <c r="E401" s="393">
        <f>E397/($A397/7)</f>
        <v>5.4823252160251377</v>
      </c>
      <c r="F401" s="396">
        <f t="shared" si="64"/>
        <v>16.209481539670069</v>
      </c>
      <c r="G401" s="473"/>
      <c r="H401" s="372" t="s">
        <v>175</v>
      </c>
      <c r="I401" s="371" t="s">
        <v>178</v>
      </c>
      <c r="J401" s="353">
        <f t="shared" ref="J401:M402" si="66">J397/($I397/7.7)</f>
        <v>10.158193244304792</v>
      </c>
      <c r="K401" s="353">
        <f t="shared" si="66"/>
        <v>7.8651296150824823</v>
      </c>
      <c r="L401" s="353">
        <f t="shared" si="66"/>
        <v>3.3038020424194818</v>
      </c>
      <c r="M401" s="353">
        <f t="shared" si="66"/>
        <v>1.6900078554595441</v>
      </c>
      <c r="N401" s="481"/>
      <c r="O401" s="323">
        <f t="shared" si="62"/>
        <v>21.327124901806755</v>
      </c>
      <c r="P401" s="108"/>
      <c r="Q401" s="246"/>
      <c r="R401" s="246"/>
      <c r="S401" s="246"/>
    </row>
    <row r="402" spans="1:19" x14ac:dyDescent="0.25">
      <c r="A402" s="307" t="s">
        <v>104</v>
      </c>
      <c r="B402" s="365" t="s">
        <v>96</v>
      </c>
      <c r="C402" s="393">
        <f>C398/($A398/7.7)</f>
        <v>8.1979333333333333</v>
      </c>
      <c r="D402" s="393">
        <f>D398/($A398/7.7)</f>
        <v>3.6857333333333333</v>
      </c>
      <c r="E402" s="393">
        <f>E398/($A398/7.7)</f>
        <v>10.9956</v>
      </c>
      <c r="F402" s="396">
        <f t="shared" si="64"/>
        <v>22.879266666666666</v>
      </c>
      <c r="G402" s="396"/>
      <c r="H402" s="359" t="s">
        <v>176</v>
      </c>
      <c r="I402" s="371" t="s">
        <v>178</v>
      </c>
      <c r="J402" s="353">
        <f t="shared" si="66"/>
        <v>9.8046666666666678</v>
      </c>
      <c r="K402" s="353">
        <f t="shared" si="66"/>
        <v>8.3981333333333339</v>
      </c>
      <c r="L402" s="353">
        <f t="shared" si="66"/>
        <v>5.400266666666667</v>
      </c>
      <c r="M402" s="353">
        <f t="shared" si="66"/>
        <v>2.9773333333333336</v>
      </c>
      <c r="N402" s="481"/>
      <c r="O402" s="323">
        <f t="shared" si="62"/>
        <v>23.60306666666667</v>
      </c>
      <c r="P402" s="108"/>
      <c r="Q402" s="246"/>
      <c r="R402" s="246"/>
      <c r="S402" s="246"/>
    </row>
    <row r="403" spans="1:19" x14ac:dyDescent="0.25">
      <c r="A403" s="307" t="s">
        <v>135</v>
      </c>
      <c r="B403" s="365" t="s">
        <v>95</v>
      </c>
      <c r="C403" s="393">
        <f>C397/((($A397*$B393)*(1-$B390))/$B388)</f>
        <v>0.17320432573972244</v>
      </c>
      <c r="D403" s="393">
        <f>D397/((($A397*$B393)*(1-$B390))/$B388)</f>
        <v>0.10023225975386227</v>
      </c>
      <c r="E403" s="393">
        <f>E397/((($A397*$B393)*(1-$B390))/$B388)</f>
        <v>0.14859711966483374</v>
      </c>
      <c r="F403" s="396">
        <f t="shared" si="64"/>
        <v>0.42203370515841848</v>
      </c>
      <c r="G403" s="396"/>
      <c r="H403" s="361" t="s">
        <v>175</v>
      </c>
      <c r="I403" s="373" t="s">
        <v>179</v>
      </c>
      <c r="J403" s="353">
        <f>J397/((($I397*$B393)*(1-$B390))/$B388)</f>
        <v>0.25030491751767481</v>
      </c>
      <c r="K403" s="353">
        <f>K397/((($I397*$B393)*(1-$B390))/$B388)</f>
        <v>0.19380224142445665</v>
      </c>
      <c r="L403" s="353">
        <f>L397/((($I397*$B393)*(1-$B390))/$B388)</f>
        <v>8.1407970672951038E-2</v>
      </c>
      <c r="M403" s="353">
        <f>M397/((($I397*$B393)*(1-$B390))/$B388)</f>
        <v>4.1642964126734745E-2</v>
      </c>
      <c r="N403" s="481"/>
      <c r="O403" s="323">
        <f t="shared" si="62"/>
        <v>0.52551512961508251</v>
      </c>
      <c r="P403" s="108"/>
      <c r="Q403" s="246"/>
      <c r="R403" s="246"/>
      <c r="S403" s="246"/>
    </row>
    <row r="404" spans="1:19" x14ac:dyDescent="0.25">
      <c r="A404" s="307" t="s">
        <v>135</v>
      </c>
      <c r="B404" s="365" t="s">
        <v>96</v>
      </c>
      <c r="C404" s="393">
        <f>C398/((($A398*$B393)*(1-$B390))/$B388)</f>
        <v>0.20200275555555552</v>
      </c>
      <c r="D404" s="393">
        <f>D398/((($A398*$B393)*(1-$B390))/$B388)</f>
        <v>9.0819022222222212E-2</v>
      </c>
      <c r="E404" s="393">
        <f>E398/((($A398*$B393)*(1-$B390))/$B388)</f>
        <v>0.27093919999999994</v>
      </c>
      <c r="F404" s="396">
        <f t="shared" si="64"/>
        <v>0.56376097777777767</v>
      </c>
      <c r="G404" s="396"/>
      <c r="H404" s="361" t="s">
        <v>176</v>
      </c>
      <c r="I404" s="373" t="s">
        <v>179</v>
      </c>
      <c r="J404" s="353">
        <f>J398/((($I398*$B393)*(1-$B390))/$B388)</f>
        <v>0.24159377777777774</v>
      </c>
      <c r="K404" s="353">
        <f>K398/((($I398*$B393)*(1-$B390))/$B388)</f>
        <v>0.2069358222222222</v>
      </c>
      <c r="L404" s="353">
        <f>L398/((($I398*$B393)*(1-$B390))/$B388)</f>
        <v>0.13306631111111111</v>
      </c>
      <c r="M404" s="353">
        <f>M398/((($I398*$B393)*(1-$B390))/$B388)</f>
        <v>7.3363555555555543E-2</v>
      </c>
      <c r="N404" s="481"/>
      <c r="O404" s="323">
        <f t="shared" si="62"/>
        <v>0.58159591111111109</v>
      </c>
    </row>
    <row r="406" spans="1:19" x14ac:dyDescent="0.25">
      <c r="A406" s="178"/>
      <c r="B406" s="178"/>
      <c r="C406" s="178"/>
      <c r="D406" s="178"/>
      <c r="E406" s="178"/>
      <c r="F406" s="178"/>
      <c r="G406" s="178"/>
      <c r="H406" s="178"/>
      <c r="I406" s="178"/>
      <c r="J406" s="178"/>
      <c r="K406" s="178"/>
      <c r="L406" s="178"/>
      <c r="M406" s="178"/>
      <c r="N406" s="178"/>
      <c r="O406" s="178"/>
      <c r="P406" s="107"/>
      <c r="Q406" s="233"/>
      <c r="R406" s="233"/>
      <c r="S406" s="233"/>
    </row>
    <row r="407" spans="1:19" ht="21" x14ac:dyDescent="0.25">
      <c r="A407" s="312"/>
      <c r="B407" s="699" t="s">
        <v>184</v>
      </c>
      <c r="C407" s="700"/>
      <c r="D407" s="700"/>
      <c r="E407" s="700"/>
      <c r="F407" s="700"/>
      <c r="G407" s="700"/>
      <c r="H407" s="700"/>
      <c r="I407" s="700"/>
      <c r="J407" s="700"/>
      <c r="K407" s="700"/>
      <c r="L407" s="700"/>
      <c r="M407" s="700"/>
      <c r="N407" s="700"/>
      <c r="O407" s="701"/>
      <c r="P407" s="108" t="s">
        <v>97</v>
      </c>
      <c r="Q407" s="678" t="s">
        <v>185</v>
      </c>
      <c r="R407" s="678"/>
      <c r="S407" s="678"/>
    </row>
    <row r="408" spans="1:19" ht="21" x14ac:dyDescent="0.25">
      <c r="A408" s="310" t="s">
        <v>282</v>
      </c>
      <c r="B408" s="695">
        <v>43761</v>
      </c>
      <c r="C408" s="696"/>
      <c r="D408" s="696"/>
      <c r="E408" s="696"/>
      <c r="F408" s="696"/>
      <c r="G408" s="696"/>
      <c r="H408" s="696"/>
      <c r="I408" s="696"/>
      <c r="J408" s="696"/>
      <c r="K408" s="696"/>
      <c r="L408" s="696"/>
      <c r="M408" s="696"/>
      <c r="N408" s="696"/>
      <c r="O408" s="697"/>
      <c r="P408" s="108"/>
      <c r="Q408" s="678"/>
      <c r="R408" s="678"/>
      <c r="S408" s="678"/>
    </row>
    <row r="409" spans="1:19" x14ac:dyDescent="0.25">
      <c r="A409" s="310"/>
      <c r="B409" s="650" t="s">
        <v>115</v>
      </c>
      <c r="C409" s="651"/>
      <c r="D409" s="651"/>
      <c r="E409" s="651"/>
      <c r="F409" s="651"/>
      <c r="G409" s="651"/>
      <c r="H409" s="651"/>
      <c r="I409" s="651"/>
      <c r="J409" s="651"/>
      <c r="K409" s="651"/>
      <c r="L409" s="651"/>
      <c r="M409" s="651"/>
      <c r="N409" s="651"/>
      <c r="O409" s="652"/>
      <c r="P409" s="108"/>
      <c r="Q409" s="678"/>
      <c r="R409" s="678"/>
      <c r="S409" s="678"/>
    </row>
    <row r="410" spans="1:19" x14ac:dyDescent="0.25">
      <c r="A410" s="311" t="s">
        <v>106</v>
      </c>
      <c r="B410" s="629">
        <f>20011/1000</f>
        <v>20.010999999999999</v>
      </c>
      <c r="C410" s="630"/>
      <c r="D410" s="630"/>
      <c r="E410" s="630"/>
      <c r="F410" s="630"/>
      <c r="G410" s="630"/>
      <c r="H410" s="630"/>
      <c r="I410" s="630"/>
      <c r="J410" s="630"/>
      <c r="K410" s="630"/>
      <c r="L410" s="630"/>
      <c r="M410" s="630"/>
      <c r="N410" s="630"/>
      <c r="O410" s="690"/>
      <c r="P410" s="108"/>
      <c r="Q410" s="678"/>
      <c r="R410" s="678"/>
      <c r="S410" s="678"/>
    </row>
    <row r="411" spans="1:19" ht="15.75" thickBot="1" x14ac:dyDescent="0.3">
      <c r="A411" s="311" t="s">
        <v>112</v>
      </c>
      <c r="B411" s="626">
        <v>0.14000000000000001</v>
      </c>
      <c r="C411" s="627"/>
      <c r="D411" s="627"/>
      <c r="E411" s="627"/>
      <c r="F411" s="627"/>
      <c r="G411" s="627"/>
      <c r="H411" s="627"/>
      <c r="I411" s="627"/>
      <c r="J411" s="627"/>
      <c r="K411" s="627"/>
      <c r="L411" s="627"/>
      <c r="M411" s="627"/>
      <c r="N411" s="627"/>
      <c r="O411" s="698"/>
      <c r="P411" s="108"/>
      <c r="Q411" s="678"/>
      <c r="R411" s="678"/>
      <c r="S411" s="678"/>
    </row>
    <row r="412" spans="1:19" x14ac:dyDescent="0.25">
      <c r="A412" s="311" t="s">
        <v>107</v>
      </c>
      <c r="B412" s="629">
        <f>B410*(1-B411)</f>
        <v>17.20946</v>
      </c>
      <c r="C412" s="630"/>
      <c r="D412" s="630"/>
      <c r="E412" s="630"/>
      <c r="F412" s="630"/>
      <c r="G412" s="630"/>
      <c r="H412" s="630"/>
      <c r="I412" s="630"/>
      <c r="J412" s="630"/>
      <c r="K412" s="630"/>
      <c r="L412" s="630"/>
      <c r="M412" s="630"/>
      <c r="N412" s="630"/>
      <c r="O412" s="690"/>
      <c r="P412" s="108"/>
      <c r="Q412" s="234" t="s">
        <v>139</v>
      </c>
      <c r="R412" s="235" t="s">
        <v>140</v>
      </c>
      <c r="S412" s="236" t="s">
        <v>142</v>
      </c>
    </row>
    <row r="413" spans="1:19" ht="15.75" thickBot="1" x14ac:dyDescent="0.3">
      <c r="A413" s="311" t="s">
        <v>108</v>
      </c>
      <c r="B413" s="626">
        <f>B416/B412</f>
        <v>0.86400000000000032</v>
      </c>
      <c r="C413" s="627"/>
      <c r="D413" s="627"/>
      <c r="E413" s="627"/>
      <c r="F413" s="627"/>
      <c r="G413" s="627"/>
      <c r="H413" s="627"/>
      <c r="I413" s="627"/>
      <c r="J413" s="627"/>
      <c r="K413" s="627"/>
      <c r="L413" s="627"/>
      <c r="M413" s="627"/>
      <c r="N413" s="627"/>
      <c r="O413" s="628"/>
      <c r="P413" s="108"/>
      <c r="Q413" s="185"/>
      <c r="R413" s="183" t="s">
        <v>141</v>
      </c>
      <c r="S413" s="237"/>
    </row>
    <row r="414" spans="1:19" ht="29.25" thickBot="1" x14ac:dyDescent="0.3">
      <c r="A414" s="311" t="s">
        <v>113</v>
      </c>
      <c r="B414" s="629">
        <f>B412*((A422+A423+I422+I423)/1000)</f>
        <v>49.5632448</v>
      </c>
      <c r="C414" s="630"/>
      <c r="D414" s="630"/>
      <c r="E414" s="630"/>
      <c r="F414" s="630"/>
      <c r="G414" s="630"/>
      <c r="H414" s="630"/>
      <c r="I414" s="630"/>
      <c r="J414" s="630"/>
      <c r="K414" s="630"/>
      <c r="L414" s="630"/>
      <c r="M414" s="630"/>
      <c r="N414" s="630"/>
      <c r="O414" s="631"/>
      <c r="P414" s="108"/>
      <c r="Q414" s="238" t="s">
        <v>143</v>
      </c>
      <c r="R414" s="183">
        <v>7</v>
      </c>
      <c r="S414" s="247" t="s">
        <v>258</v>
      </c>
    </row>
    <row r="415" spans="1:19" ht="15.75" thickBot="1" x14ac:dyDescent="0.3">
      <c r="A415" s="311" t="s">
        <v>109</v>
      </c>
      <c r="B415" s="702">
        <v>0.7</v>
      </c>
      <c r="C415" s="703"/>
      <c r="D415" s="703"/>
      <c r="E415" s="703"/>
      <c r="F415" s="703"/>
      <c r="G415" s="703"/>
      <c r="H415" s="703"/>
      <c r="I415" s="703"/>
      <c r="J415" s="703"/>
      <c r="K415" s="703"/>
      <c r="L415" s="703"/>
      <c r="M415" s="703"/>
      <c r="N415" s="703"/>
      <c r="O415" s="704"/>
      <c r="P415" s="108"/>
      <c r="Q415" s="238" t="s">
        <v>145</v>
      </c>
      <c r="R415" s="183">
        <v>6</v>
      </c>
      <c r="S415" s="184" t="s">
        <v>271</v>
      </c>
    </row>
    <row r="416" spans="1:19" ht="15.75" thickBot="1" x14ac:dyDescent="0.3">
      <c r="A416" s="311" t="s">
        <v>122</v>
      </c>
      <c r="B416" s="629">
        <f>B414-(B414*B415)</f>
        <v>14.868973440000005</v>
      </c>
      <c r="C416" s="630"/>
      <c r="D416" s="630"/>
      <c r="E416" s="630"/>
      <c r="F416" s="630"/>
      <c r="G416" s="630"/>
      <c r="H416" s="630"/>
      <c r="I416" s="630"/>
      <c r="J416" s="630"/>
      <c r="K416" s="630"/>
      <c r="L416" s="630"/>
      <c r="M416" s="630"/>
      <c r="N416" s="630"/>
      <c r="O416" s="690"/>
      <c r="P416" s="108"/>
      <c r="Q416" s="238" t="s">
        <v>147</v>
      </c>
      <c r="R416" s="183">
        <v>9</v>
      </c>
      <c r="S416" s="248" t="s">
        <v>260</v>
      </c>
    </row>
    <row r="417" spans="1:19" x14ac:dyDescent="0.25">
      <c r="A417" s="311" t="s">
        <v>110</v>
      </c>
      <c r="B417" s="668">
        <v>120</v>
      </c>
      <c r="C417" s="669"/>
      <c r="D417" s="669"/>
      <c r="E417" s="669"/>
      <c r="F417" s="669"/>
      <c r="G417" s="669"/>
      <c r="H417" s="669"/>
      <c r="I417" s="669"/>
      <c r="J417" s="669"/>
      <c r="K417" s="669"/>
      <c r="L417" s="669"/>
      <c r="M417" s="669"/>
      <c r="N417" s="669"/>
      <c r="O417" s="689"/>
      <c r="P417" s="108"/>
      <c r="Q417" s="239" t="s">
        <v>149</v>
      </c>
      <c r="R417" s="240">
        <v>9</v>
      </c>
      <c r="S417" s="241" t="s">
        <v>272</v>
      </c>
    </row>
    <row r="418" spans="1:19" ht="15.75" thickBot="1" x14ac:dyDescent="0.3">
      <c r="A418" s="311" t="s">
        <v>111</v>
      </c>
      <c r="B418" s="668">
        <v>16</v>
      </c>
      <c r="C418" s="669"/>
      <c r="D418" s="669"/>
      <c r="E418" s="669"/>
      <c r="F418" s="669"/>
      <c r="G418" s="669"/>
      <c r="H418" s="669"/>
      <c r="I418" s="669"/>
      <c r="J418" s="669"/>
      <c r="K418" s="669"/>
      <c r="L418" s="669"/>
      <c r="M418" s="669"/>
      <c r="N418" s="669"/>
      <c r="O418" s="689"/>
      <c r="P418" s="108"/>
      <c r="Q418" s="238" t="s">
        <v>150</v>
      </c>
      <c r="R418" s="185"/>
      <c r="S418" s="242"/>
    </row>
    <row r="419" spans="1:19" ht="15.75" thickBot="1" x14ac:dyDescent="0.3">
      <c r="A419" s="311" t="s">
        <v>273</v>
      </c>
      <c r="B419" s="638"/>
      <c r="C419" s="638"/>
      <c r="D419" s="638"/>
      <c r="E419" s="638"/>
      <c r="F419" s="638"/>
      <c r="G419" s="638"/>
      <c r="H419" s="638"/>
      <c r="I419" s="638"/>
      <c r="J419" s="638"/>
      <c r="K419" s="638"/>
      <c r="L419" s="638"/>
      <c r="M419" s="638"/>
      <c r="N419" s="638"/>
      <c r="O419" s="687"/>
      <c r="P419" s="108"/>
      <c r="Q419" s="238" t="s">
        <v>152</v>
      </c>
      <c r="R419" s="183">
        <v>5</v>
      </c>
      <c r="S419" s="184" t="s">
        <v>266</v>
      </c>
    </row>
    <row r="420" spans="1:19" ht="15.75" thickBot="1" x14ac:dyDescent="0.3">
      <c r="A420" s="587" t="s">
        <v>127</v>
      </c>
      <c r="B420" s="588"/>
      <c r="C420" s="588"/>
      <c r="D420" s="588"/>
      <c r="E420" s="588"/>
      <c r="F420" s="688"/>
      <c r="G420" s="453"/>
      <c r="H420" s="668" t="s">
        <v>128</v>
      </c>
      <c r="I420" s="669"/>
      <c r="J420" s="669"/>
      <c r="K420" s="669"/>
      <c r="L420" s="669"/>
      <c r="M420" s="669"/>
      <c r="N420" s="669"/>
      <c r="O420" s="689"/>
      <c r="P420" s="108"/>
      <c r="Q420" s="238" t="s">
        <v>154</v>
      </c>
      <c r="R420" s="183">
        <v>8</v>
      </c>
      <c r="S420" s="181" t="s">
        <v>267</v>
      </c>
    </row>
    <row r="421" spans="1:19" ht="15.75" thickBot="1" x14ac:dyDescent="0.3">
      <c r="A421" s="307" t="s">
        <v>98</v>
      </c>
      <c r="B421" s="365" t="s">
        <v>102</v>
      </c>
      <c r="C421" s="365" t="s">
        <v>92</v>
      </c>
      <c r="D421" s="365" t="s">
        <v>93</v>
      </c>
      <c r="E421" s="365" t="s">
        <v>94</v>
      </c>
      <c r="F421" s="366" t="s">
        <v>99</v>
      </c>
      <c r="G421" s="366"/>
      <c r="H421" s="365" t="s">
        <v>102</v>
      </c>
      <c r="I421" s="367" t="s">
        <v>98</v>
      </c>
      <c r="J421" s="365" t="s">
        <v>92</v>
      </c>
      <c r="K421" s="365" t="s">
        <v>93</v>
      </c>
      <c r="L421" s="365" t="s">
        <v>94</v>
      </c>
      <c r="M421" s="365" t="s">
        <v>279</v>
      </c>
      <c r="N421" s="365"/>
      <c r="O421" s="366" t="s">
        <v>99</v>
      </c>
      <c r="P421" s="108"/>
      <c r="Q421" s="238" t="s">
        <v>156</v>
      </c>
      <c r="R421" s="183">
        <v>8</v>
      </c>
      <c r="S421" s="181" t="s">
        <v>31</v>
      </c>
    </row>
    <row r="422" spans="1:19" ht="15.75" thickBot="1" x14ac:dyDescent="0.3">
      <c r="A422" s="308">
        <v>1289</v>
      </c>
      <c r="B422" s="365" t="s">
        <v>95</v>
      </c>
      <c r="C422" s="359">
        <v>1411.7</v>
      </c>
      <c r="D422" s="359">
        <v>1118.4000000000001</v>
      </c>
      <c r="E422" s="359">
        <v>697.6</v>
      </c>
      <c r="F422" s="368">
        <f>SUM(C422:E422)</f>
        <v>3227.7000000000003</v>
      </c>
      <c r="G422" s="368"/>
      <c r="H422" s="359" t="s">
        <v>175</v>
      </c>
      <c r="I422" s="369">
        <f>2579-A422</f>
        <v>1290</v>
      </c>
      <c r="J422" s="359">
        <v>2034</v>
      </c>
      <c r="K422" s="399">
        <v>555.20000000000005</v>
      </c>
      <c r="L422" s="359">
        <v>800.8</v>
      </c>
      <c r="M422" s="359">
        <v>378.2</v>
      </c>
      <c r="N422" s="359"/>
      <c r="O422" s="368">
        <f t="shared" ref="O422:O429" si="67">SUM(J422:M422)</f>
        <v>3768.2</v>
      </c>
      <c r="P422" s="108"/>
      <c r="Q422" s="238" t="s">
        <v>158</v>
      </c>
      <c r="R422" s="183">
        <v>9</v>
      </c>
      <c r="S422" s="181" t="s">
        <v>270</v>
      </c>
    </row>
    <row r="423" spans="1:19" ht="15.75" thickBot="1" x14ac:dyDescent="0.3">
      <c r="A423" s="308">
        <v>151</v>
      </c>
      <c r="B423" s="365" t="s">
        <v>96</v>
      </c>
      <c r="C423" s="359">
        <v>152.9</v>
      </c>
      <c r="D423" s="359">
        <v>101</v>
      </c>
      <c r="E423" s="359">
        <v>42.1</v>
      </c>
      <c r="F423" s="368">
        <f>SUM(C423:E423)</f>
        <v>296</v>
      </c>
      <c r="G423" s="368"/>
      <c r="H423" s="359" t="s">
        <v>176</v>
      </c>
      <c r="I423" s="370">
        <v>150</v>
      </c>
      <c r="J423" s="359">
        <v>153.9</v>
      </c>
      <c r="K423" s="359">
        <v>79.900000000000006</v>
      </c>
      <c r="L423" s="400">
        <v>65.099999999999994</v>
      </c>
      <c r="M423" s="359">
        <v>45.1</v>
      </c>
      <c r="N423" s="359"/>
      <c r="O423" s="368">
        <f t="shared" si="67"/>
        <v>344</v>
      </c>
      <c r="P423" s="108"/>
      <c r="Q423" s="185" t="s">
        <v>99</v>
      </c>
      <c r="R423" s="285">
        <f>SUM(R414:R422)/80</f>
        <v>0.76249999999999996</v>
      </c>
      <c r="S423" s="285">
        <f>R423/80 %</f>
        <v>0.95312499999999989</v>
      </c>
    </row>
    <row r="424" spans="1:19" x14ac:dyDescent="0.25">
      <c r="A424" s="307" t="s">
        <v>100</v>
      </c>
      <c r="B424" s="365" t="s">
        <v>95</v>
      </c>
      <c r="C424" s="401">
        <f t="shared" ref="C424:E425" si="68">C422/$A422</f>
        <v>1.0951900698215671</v>
      </c>
      <c r="D424" s="401">
        <f t="shared" si="68"/>
        <v>0.86764934057408849</v>
      </c>
      <c r="E424" s="401">
        <f t="shared" si="68"/>
        <v>0.54119472459270757</v>
      </c>
      <c r="F424" s="368">
        <f t="shared" ref="F424:F429" si="69">SUM(C424:E424)</f>
        <v>2.504034134988363</v>
      </c>
      <c r="G424" s="368"/>
      <c r="H424" s="359" t="s">
        <v>175</v>
      </c>
      <c r="I424" s="371" t="s">
        <v>177</v>
      </c>
      <c r="J424" s="402">
        <f t="shared" ref="J424:M425" si="70">J422/$I422</f>
        <v>1.5767441860465117</v>
      </c>
      <c r="K424" s="402">
        <f t="shared" si="70"/>
        <v>0.43038759689922484</v>
      </c>
      <c r="L424" s="402">
        <f t="shared" si="70"/>
        <v>0.62077519379844959</v>
      </c>
      <c r="M424" s="320">
        <f t="shared" si="70"/>
        <v>0.29317829457364342</v>
      </c>
      <c r="N424" s="476"/>
      <c r="O424" s="322">
        <f t="shared" si="67"/>
        <v>2.9210852713178297</v>
      </c>
      <c r="P424" s="108"/>
      <c r="Q424" s="244"/>
      <c r="R424" s="245"/>
      <c r="S424" s="245"/>
    </row>
    <row r="425" spans="1:19" x14ac:dyDescent="0.25">
      <c r="A425" s="307" t="s">
        <v>100</v>
      </c>
      <c r="B425" s="365" t="s">
        <v>96</v>
      </c>
      <c r="C425" s="359">
        <f t="shared" si="68"/>
        <v>1.0125827814569537</v>
      </c>
      <c r="D425" s="359">
        <f t="shared" si="68"/>
        <v>0.66887417218543044</v>
      </c>
      <c r="E425" s="359">
        <f t="shared" si="68"/>
        <v>0.27880794701986755</v>
      </c>
      <c r="F425" s="368">
        <f t="shared" si="69"/>
        <v>1.9602649006622515</v>
      </c>
      <c r="G425" s="368"/>
      <c r="H425" s="359" t="s">
        <v>176</v>
      </c>
      <c r="I425" s="371" t="s">
        <v>177</v>
      </c>
      <c r="J425" s="320">
        <f t="shared" si="70"/>
        <v>1.026</v>
      </c>
      <c r="K425" s="320">
        <f t="shared" si="70"/>
        <v>0.53266666666666673</v>
      </c>
      <c r="L425" s="320">
        <f t="shared" si="70"/>
        <v>0.43399999999999994</v>
      </c>
      <c r="M425" s="320">
        <f t="shared" si="70"/>
        <v>0.30066666666666669</v>
      </c>
      <c r="N425" s="476"/>
      <c r="O425" s="322">
        <f t="shared" si="67"/>
        <v>2.2933333333333334</v>
      </c>
      <c r="P425" s="108"/>
      <c r="Q425" s="246"/>
      <c r="R425" s="246"/>
      <c r="S425" s="246"/>
    </row>
    <row r="426" spans="1:19" x14ac:dyDescent="0.25">
      <c r="A426" s="307" t="s">
        <v>104</v>
      </c>
      <c r="B426" s="365" t="s">
        <v>95</v>
      </c>
      <c r="C426" s="359">
        <f>C422/($A422/7.7)</f>
        <v>8.4329635376260672</v>
      </c>
      <c r="D426" s="359">
        <f>D422/($A422/7)</f>
        <v>6.0735453840186198</v>
      </c>
      <c r="E426" s="359">
        <f>E422/($A422/7)</f>
        <v>3.788363072148953</v>
      </c>
      <c r="F426" s="368">
        <f t="shared" si="69"/>
        <v>18.294871993793642</v>
      </c>
      <c r="G426" s="474"/>
      <c r="H426" s="372" t="s">
        <v>175</v>
      </c>
      <c r="I426" s="371" t="s">
        <v>178</v>
      </c>
      <c r="J426" s="320">
        <f t="shared" ref="J426:M427" si="71">J422/($I422/7.7)</f>
        <v>12.140930232558139</v>
      </c>
      <c r="K426" s="320">
        <f t="shared" si="71"/>
        <v>3.3139844961240312</v>
      </c>
      <c r="L426" s="320">
        <f t="shared" si="71"/>
        <v>4.7799689922480617</v>
      </c>
      <c r="M426" s="320">
        <f t="shared" si="71"/>
        <v>2.2574728682170542</v>
      </c>
      <c r="N426" s="476"/>
      <c r="O426" s="322">
        <f t="shared" si="67"/>
        <v>22.492356589147285</v>
      </c>
      <c r="P426" s="108"/>
      <c r="Q426" s="246"/>
      <c r="R426" s="246"/>
      <c r="S426" s="246"/>
    </row>
    <row r="427" spans="1:19" x14ac:dyDescent="0.25">
      <c r="A427" s="307" t="s">
        <v>104</v>
      </c>
      <c r="B427" s="365" t="s">
        <v>96</v>
      </c>
      <c r="C427" s="359">
        <f>C423/($A423/7.7)</f>
        <v>7.7968874172185432</v>
      </c>
      <c r="D427" s="359">
        <f>D423/($A423/7.7)</f>
        <v>5.1503311258278144</v>
      </c>
      <c r="E427" s="359">
        <f>E423/($A423/7.7)</f>
        <v>2.1468211920529803</v>
      </c>
      <c r="F427" s="368">
        <f t="shared" si="69"/>
        <v>15.094039735099338</v>
      </c>
      <c r="G427" s="368"/>
      <c r="H427" s="359" t="s">
        <v>176</v>
      </c>
      <c r="I427" s="371" t="s">
        <v>178</v>
      </c>
      <c r="J427" s="320">
        <f t="shared" si="71"/>
        <v>7.9002000000000008</v>
      </c>
      <c r="K427" s="320">
        <f t="shared" si="71"/>
        <v>4.1015333333333341</v>
      </c>
      <c r="L427" s="320">
        <f t="shared" si="71"/>
        <v>3.3418000000000001</v>
      </c>
      <c r="M427" s="320">
        <f t="shared" si="71"/>
        <v>2.3151333333333337</v>
      </c>
      <c r="N427" s="476"/>
      <c r="O427" s="322">
        <f t="shared" si="67"/>
        <v>17.658666666666669</v>
      </c>
      <c r="P427" s="108"/>
      <c r="Q427" s="246"/>
      <c r="R427" s="246"/>
      <c r="S427" s="246"/>
    </row>
    <row r="428" spans="1:19" x14ac:dyDescent="0.25">
      <c r="A428" s="307" t="s">
        <v>135</v>
      </c>
      <c r="B428" s="365" t="s">
        <v>95</v>
      </c>
      <c r="C428" s="361">
        <f>C422/((($A422*$B418)*(1-$B415))/$B413)</f>
        <v>0.19713421256788213</v>
      </c>
      <c r="D428" s="361">
        <f>D422/((($A422*$B418)*(1-$B415))/$B413)</f>
        <v>0.15617688130333596</v>
      </c>
      <c r="E428" s="361">
        <f>E422/((($A422*$B418)*(1-$B415))/$B413)</f>
        <v>9.7415050426687383E-2</v>
      </c>
      <c r="F428" s="368">
        <f t="shared" si="69"/>
        <v>0.45072614429790547</v>
      </c>
      <c r="G428" s="368"/>
      <c r="H428" s="361" t="s">
        <v>175</v>
      </c>
      <c r="I428" s="373" t="s">
        <v>179</v>
      </c>
      <c r="J428" s="327">
        <f>J422/((($I422*$B418)*(1-$B415))/$B413)</f>
        <v>0.28381395348837213</v>
      </c>
      <c r="K428" s="327">
        <f>K422/((($I422*$B418)*(1-$B415))/$B413)</f>
        <v>7.7469767441860488E-2</v>
      </c>
      <c r="L428" s="327">
        <f>L422/((($I422*$B418)*(1-$B415))/$B413)</f>
        <v>0.11173953488372095</v>
      </c>
      <c r="M428" s="327">
        <f>M422/((($I422*$B418)*(1-$B415))/$B413)</f>
        <v>5.2772093023255827E-2</v>
      </c>
      <c r="N428" s="477"/>
      <c r="O428" s="322">
        <f t="shared" si="67"/>
        <v>0.52579534883720946</v>
      </c>
    </row>
    <row r="429" spans="1:19" x14ac:dyDescent="0.25">
      <c r="A429" s="307" t="s">
        <v>135</v>
      </c>
      <c r="B429" s="365" t="s">
        <v>96</v>
      </c>
      <c r="C429" s="361">
        <f>C423/((($A423*$B418)*(1-$B415))/$B413)</f>
        <v>0.18226490066225171</v>
      </c>
      <c r="D429" s="361">
        <f>D423/((($A423*$B418)*(1-$B415))/$B413)</f>
        <v>0.12039735099337752</v>
      </c>
      <c r="E429" s="361">
        <f>E423/((($A423*$B418)*(1-$B415))/$B413)</f>
        <v>5.0185430463576174E-2</v>
      </c>
      <c r="F429" s="368">
        <f t="shared" si="69"/>
        <v>0.35284768211920536</v>
      </c>
      <c r="G429" s="368"/>
      <c r="H429" s="361" t="s">
        <v>176</v>
      </c>
      <c r="I429" s="373" t="s">
        <v>179</v>
      </c>
      <c r="J429" s="327">
        <f>J423/((($I423*$B418)*(1-$B415))/$B413)</f>
        <v>0.18468000000000004</v>
      </c>
      <c r="K429" s="327">
        <f>K423/((($I423*$B418)*(1-$B415))/$B413)</f>
        <v>9.5880000000000035E-2</v>
      </c>
      <c r="L429" s="327">
        <f>L423/((($I423*$B418)*(1-$B415))/$B413)</f>
        <v>7.8120000000000009E-2</v>
      </c>
      <c r="M429" s="327">
        <f>M423/((($I423*$B418)*(1-$B415))/$B413)</f>
        <v>5.4120000000000015E-2</v>
      </c>
      <c r="N429" s="477"/>
      <c r="O429" s="322">
        <f t="shared" si="67"/>
        <v>0.41280000000000011</v>
      </c>
    </row>
    <row r="431" spans="1:19" x14ac:dyDescent="0.25">
      <c r="A431" s="178"/>
      <c r="B431" s="178"/>
      <c r="C431" s="178"/>
      <c r="D431" s="178"/>
      <c r="E431" s="178"/>
      <c r="F431" s="178"/>
      <c r="G431" s="178"/>
      <c r="H431" s="178"/>
      <c r="I431" s="178"/>
      <c r="J431" s="178"/>
      <c r="K431" s="178"/>
      <c r="L431" s="178"/>
      <c r="M431" s="178"/>
      <c r="N431" s="178"/>
      <c r="O431" s="178"/>
      <c r="P431" s="107"/>
      <c r="Q431" s="233"/>
      <c r="R431" s="233"/>
      <c r="S431" s="233"/>
    </row>
    <row r="432" spans="1:19" ht="21" x14ac:dyDescent="0.25">
      <c r="A432" s="305"/>
      <c r="B432" s="699" t="s">
        <v>186</v>
      </c>
      <c r="C432" s="700"/>
      <c r="D432" s="700"/>
      <c r="E432" s="700"/>
      <c r="F432" s="700"/>
      <c r="G432" s="700"/>
      <c r="H432" s="700"/>
      <c r="I432" s="700"/>
      <c r="J432" s="700"/>
      <c r="K432" s="700"/>
      <c r="L432" s="700"/>
      <c r="M432" s="700"/>
      <c r="N432" s="700"/>
      <c r="O432" s="701"/>
      <c r="P432" s="108" t="s">
        <v>97</v>
      </c>
      <c r="Q432" s="678" t="s">
        <v>187</v>
      </c>
      <c r="R432" s="678"/>
      <c r="S432" s="678"/>
    </row>
    <row r="433" spans="1:19" ht="21" x14ac:dyDescent="0.25">
      <c r="A433" s="310" t="s">
        <v>285</v>
      </c>
      <c r="B433" s="695">
        <v>43775</v>
      </c>
      <c r="C433" s="696"/>
      <c r="D433" s="696"/>
      <c r="E433" s="696"/>
      <c r="F433" s="696"/>
      <c r="G433" s="696"/>
      <c r="H433" s="696"/>
      <c r="I433" s="696"/>
      <c r="J433" s="696"/>
      <c r="K433" s="696"/>
      <c r="L433" s="696"/>
      <c r="M433" s="696"/>
      <c r="N433" s="696"/>
      <c r="O433" s="697"/>
      <c r="P433" s="108"/>
      <c r="Q433" s="678"/>
      <c r="R433" s="678"/>
      <c r="S433" s="678"/>
    </row>
    <row r="434" spans="1:19" x14ac:dyDescent="0.25">
      <c r="A434" s="310"/>
      <c r="B434" s="650" t="s">
        <v>115</v>
      </c>
      <c r="C434" s="651"/>
      <c r="D434" s="651"/>
      <c r="E434" s="651"/>
      <c r="F434" s="651"/>
      <c r="G434" s="651"/>
      <c r="H434" s="651"/>
      <c r="I434" s="651"/>
      <c r="J434" s="651"/>
      <c r="K434" s="651"/>
      <c r="L434" s="651"/>
      <c r="M434" s="651"/>
      <c r="N434" s="651"/>
      <c r="O434" s="652"/>
      <c r="P434" s="108"/>
      <c r="Q434" s="678"/>
      <c r="R434" s="678"/>
      <c r="S434" s="678"/>
    </row>
    <row r="435" spans="1:19" x14ac:dyDescent="0.25">
      <c r="A435" s="310" t="s">
        <v>106</v>
      </c>
      <c r="B435" s="629">
        <f>20142/1000</f>
        <v>20.141999999999999</v>
      </c>
      <c r="C435" s="630"/>
      <c r="D435" s="630"/>
      <c r="E435" s="690"/>
      <c r="F435" s="365" t="s">
        <v>174</v>
      </c>
      <c r="G435" s="471"/>
      <c r="H435" s="668">
        <f>368/1000</f>
        <v>0.36799999999999999</v>
      </c>
      <c r="I435" s="669"/>
      <c r="J435" s="669"/>
      <c r="K435" s="669"/>
      <c r="L435" s="689"/>
      <c r="M435" s="629">
        <f>SUM(B435,H435)</f>
        <v>20.509999999999998</v>
      </c>
      <c r="N435" s="630"/>
      <c r="O435" s="690"/>
      <c r="P435" s="108"/>
      <c r="Q435" s="678"/>
      <c r="R435" s="678"/>
      <c r="S435" s="678"/>
    </row>
    <row r="436" spans="1:19" ht="15.75" thickBot="1" x14ac:dyDescent="0.3">
      <c r="A436" s="311" t="s">
        <v>112</v>
      </c>
      <c r="B436" s="626">
        <v>0.15</v>
      </c>
      <c r="C436" s="627"/>
      <c r="D436" s="627"/>
      <c r="E436" s="698"/>
      <c r="F436" s="290"/>
      <c r="G436" s="472"/>
      <c r="H436" s="626">
        <v>0.1</v>
      </c>
      <c r="I436" s="627"/>
      <c r="J436" s="627"/>
      <c r="K436" s="627"/>
      <c r="L436" s="698"/>
      <c r="M436" s="626">
        <v>0.13</v>
      </c>
      <c r="N436" s="627"/>
      <c r="O436" s="698"/>
      <c r="P436" s="108"/>
      <c r="Q436" s="678"/>
      <c r="R436" s="678"/>
      <c r="S436" s="678"/>
    </row>
    <row r="437" spans="1:19" x14ac:dyDescent="0.25">
      <c r="A437" s="311" t="s">
        <v>107</v>
      </c>
      <c r="B437" s="629">
        <f>B435*(1-B436)</f>
        <v>17.120699999999999</v>
      </c>
      <c r="C437" s="630"/>
      <c r="D437" s="630"/>
      <c r="E437" s="690"/>
      <c r="F437" s="290"/>
      <c r="G437" s="472"/>
      <c r="H437" s="629">
        <f>H435*(1-H436)</f>
        <v>0.33119999999999999</v>
      </c>
      <c r="I437" s="630"/>
      <c r="J437" s="630"/>
      <c r="K437" s="630"/>
      <c r="L437" s="690"/>
      <c r="M437" s="629">
        <f>SUM(B437,H437)</f>
        <v>17.451899999999998</v>
      </c>
      <c r="N437" s="630"/>
      <c r="O437" s="690"/>
      <c r="P437" s="108"/>
      <c r="Q437" s="671" t="s">
        <v>139</v>
      </c>
      <c r="R437" s="235" t="s">
        <v>140</v>
      </c>
      <c r="S437" s="679" t="s">
        <v>142</v>
      </c>
    </row>
    <row r="438" spans="1:19" ht="15.75" thickBot="1" x14ac:dyDescent="0.3">
      <c r="A438" s="311" t="s">
        <v>108</v>
      </c>
      <c r="B438" s="626">
        <f>B441/B437</f>
        <v>0.78135239797438205</v>
      </c>
      <c r="C438" s="627"/>
      <c r="D438" s="627"/>
      <c r="E438" s="627"/>
      <c r="F438" s="627"/>
      <c r="G438" s="627"/>
      <c r="H438" s="627"/>
      <c r="I438" s="627"/>
      <c r="J438" s="627"/>
      <c r="K438" s="627"/>
      <c r="L438" s="627"/>
      <c r="M438" s="627"/>
      <c r="N438" s="627"/>
      <c r="O438" s="628"/>
      <c r="P438" s="108"/>
      <c r="Q438" s="672"/>
      <c r="R438" s="183" t="s">
        <v>141</v>
      </c>
      <c r="S438" s="680"/>
    </row>
    <row r="439" spans="1:19" ht="29.25" thickBot="1" x14ac:dyDescent="0.3">
      <c r="A439" s="311" t="s">
        <v>113</v>
      </c>
      <c r="B439" s="629">
        <f>B443*((A447+A448+I447+I448)/1000)</f>
        <v>43.86</v>
      </c>
      <c r="C439" s="630"/>
      <c r="D439" s="630"/>
      <c r="E439" s="630"/>
      <c r="F439" s="630"/>
      <c r="G439" s="630"/>
      <c r="H439" s="630"/>
      <c r="I439" s="630"/>
      <c r="J439" s="630"/>
      <c r="K439" s="630"/>
      <c r="L439" s="630"/>
      <c r="M439" s="630"/>
      <c r="N439" s="630"/>
      <c r="O439" s="631"/>
      <c r="P439" s="108"/>
      <c r="Q439" s="238" t="s">
        <v>143</v>
      </c>
      <c r="R439" s="183">
        <v>8</v>
      </c>
      <c r="S439" s="181" t="s">
        <v>75</v>
      </c>
    </row>
    <row r="440" spans="1:19" ht="15.75" thickBot="1" x14ac:dyDescent="0.3">
      <c r="A440" s="311" t="s">
        <v>109</v>
      </c>
      <c r="B440" s="626">
        <v>0.69499999999999995</v>
      </c>
      <c r="C440" s="627"/>
      <c r="D440" s="627"/>
      <c r="E440" s="627"/>
      <c r="F440" s="627"/>
      <c r="G440" s="627"/>
      <c r="H440" s="627"/>
      <c r="I440" s="627"/>
      <c r="J440" s="627"/>
      <c r="K440" s="627"/>
      <c r="L440" s="627"/>
      <c r="M440" s="627"/>
      <c r="N440" s="627"/>
      <c r="O440" s="628"/>
      <c r="P440" s="108"/>
      <c r="Q440" s="238" t="s">
        <v>145</v>
      </c>
      <c r="R440" s="183">
        <v>7</v>
      </c>
      <c r="S440" s="184" t="s">
        <v>164</v>
      </c>
    </row>
    <row r="441" spans="1:19" ht="15.75" thickBot="1" x14ac:dyDescent="0.3">
      <c r="A441" s="311" t="s">
        <v>122</v>
      </c>
      <c r="B441" s="629">
        <f>B439-(B439*B440)</f>
        <v>13.377300000000002</v>
      </c>
      <c r="C441" s="630"/>
      <c r="D441" s="630"/>
      <c r="E441" s="630"/>
      <c r="F441" s="630"/>
      <c r="G441" s="630"/>
      <c r="H441" s="630"/>
      <c r="I441" s="630"/>
      <c r="J441" s="630"/>
      <c r="K441" s="630"/>
      <c r="L441" s="630"/>
      <c r="M441" s="630"/>
      <c r="N441" s="630"/>
      <c r="O441" s="690"/>
      <c r="P441" s="108"/>
      <c r="Q441" s="238" t="s">
        <v>147</v>
      </c>
      <c r="R441" s="183">
        <v>8</v>
      </c>
      <c r="S441" s="184" t="s">
        <v>148</v>
      </c>
    </row>
    <row r="442" spans="1:19" x14ac:dyDescent="0.25">
      <c r="A442" s="311" t="s">
        <v>110</v>
      </c>
      <c r="B442" s="668">
        <v>116</v>
      </c>
      <c r="C442" s="669"/>
      <c r="D442" s="669"/>
      <c r="E442" s="669"/>
      <c r="F442" s="669"/>
      <c r="G442" s="669"/>
      <c r="H442" s="669"/>
      <c r="I442" s="669"/>
      <c r="J442" s="669"/>
      <c r="K442" s="669"/>
      <c r="L442" s="669"/>
      <c r="M442" s="669"/>
      <c r="N442" s="669"/>
      <c r="O442" s="689"/>
      <c r="P442" s="108"/>
      <c r="Q442" s="239" t="s">
        <v>149</v>
      </c>
      <c r="R442" s="671">
        <v>9</v>
      </c>
      <c r="S442" s="673" t="s">
        <v>284</v>
      </c>
    </row>
    <row r="443" spans="1:19" ht="15.75" thickBot="1" x14ac:dyDescent="0.3">
      <c r="A443" s="311" t="s">
        <v>111</v>
      </c>
      <c r="B443" s="668">
        <v>15</v>
      </c>
      <c r="C443" s="669"/>
      <c r="D443" s="669"/>
      <c r="E443" s="669"/>
      <c r="F443" s="669"/>
      <c r="G443" s="669"/>
      <c r="H443" s="669"/>
      <c r="I443" s="669"/>
      <c r="J443" s="669"/>
      <c r="K443" s="669"/>
      <c r="L443" s="669"/>
      <c r="M443" s="669"/>
      <c r="N443" s="669"/>
      <c r="O443" s="689"/>
      <c r="P443" s="108"/>
      <c r="Q443" s="238" t="s">
        <v>150</v>
      </c>
      <c r="R443" s="672"/>
      <c r="S443" s="674"/>
    </row>
    <row r="444" spans="1:19" ht="15.75" thickBot="1" x14ac:dyDescent="0.3">
      <c r="A444" s="311" t="s">
        <v>273</v>
      </c>
      <c r="B444" s="638"/>
      <c r="C444" s="638"/>
      <c r="D444" s="638"/>
      <c r="E444" s="638"/>
      <c r="F444" s="638"/>
      <c r="G444" s="638"/>
      <c r="H444" s="638"/>
      <c r="I444" s="638"/>
      <c r="J444" s="638"/>
      <c r="K444" s="638"/>
      <c r="L444" s="638"/>
      <c r="M444" s="638"/>
      <c r="N444" s="638"/>
      <c r="O444" s="687"/>
      <c r="P444" s="108"/>
      <c r="Q444" s="238" t="s">
        <v>152</v>
      </c>
      <c r="R444" s="183">
        <v>7.5</v>
      </c>
      <c r="S444" s="184" t="s">
        <v>266</v>
      </c>
    </row>
    <row r="445" spans="1:19" ht="15.75" thickBot="1" x14ac:dyDescent="0.3">
      <c r="A445" s="587" t="s">
        <v>276</v>
      </c>
      <c r="B445" s="588"/>
      <c r="C445" s="588"/>
      <c r="D445" s="588"/>
      <c r="E445" s="588"/>
      <c r="F445" s="688"/>
      <c r="G445" s="453"/>
      <c r="H445" s="668" t="s">
        <v>128</v>
      </c>
      <c r="I445" s="669"/>
      <c r="J445" s="669"/>
      <c r="K445" s="669"/>
      <c r="L445" s="669"/>
      <c r="M445" s="669"/>
      <c r="N445" s="669"/>
      <c r="O445" s="689"/>
      <c r="P445" s="108"/>
      <c r="Q445" s="238" t="s">
        <v>154</v>
      </c>
      <c r="R445" s="183">
        <v>9</v>
      </c>
      <c r="S445" s="181" t="s">
        <v>267</v>
      </c>
    </row>
    <row r="446" spans="1:19" ht="15.75" thickBot="1" x14ac:dyDescent="0.3">
      <c r="A446" s="307" t="s">
        <v>98</v>
      </c>
      <c r="B446" s="365" t="s">
        <v>102</v>
      </c>
      <c r="C446" s="365" t="s">
        <v>92</v>
      </c>
      <c r="D446" s="365" t="s">
        <v>93</v>
      </c>
      <c r="E446" s="365" t="s">
        <v>94</v>
      </c>
      <c r="F446" s="366" t="s">
        <v>99</v>
      </c>
      <c r="G446" s="366"/>
      <c r="H446" s="365" t="s">
        <v>102</v>
      </c>
      <c r="I446" s="367" t="s">
        <v>98</v>
      </c>
      <c r="J446" s="365" t="s">
        <v>92</v>
      </c>
      <c r="K446" s="365" t="s">
        <v>93</v>
      </c>
      <c r="L446" s="365" t="s">
        <v>94</v>
      </c>
      <c r="M446" s="365" t="s">
        <v>279</v>
      </c>
      <c r="N446" s="365"/>
      <c r="O446" s="322" t="s">
        <v>99</v>
      </c>
      <c r="P446" s="108"/>
      <c r="Q446" s="238" t="s">
        <v>156</v>
      </c>
      <c r="R446" s="183">
        <v>9</v>
      </c>
      <c r="S446" s="181" t="s">
        <v>31</v>
      </c>
    </row>
    <row r="447" spans="1:19" ht="15.75" thickBot="1" x14ac:dyDescent="0.3">
      <c r="A447" s="308">
        <v>1280</v>
      </c>
      <c r="B447" s="365" t="s">
        <v>95</v>
      </c>
      <c r="C447" s="383">
        <v>1333.8</v>
      </c>
      <c r="D447" s="403">
        <v>1141.8</v>
      </c>
      <c r="E447" s="383">
        <v>733.9</v>
      </c>
      <c r="F447" s="360">
        <f t="shared" ref="F447:F454" si="72">SUM(C447:E447)</f>
        <v>3209.5</v>
      </c>
      <c r="G447" s="360"/>
      <c r="H447" s="359" t="s">
        <v>175</v>
      </c>
      <c r="I447" s="383">
        <v>1339</v>
      </c>
      <c r="J447" s="403">
        <v>1765.2</v>
      </c>
      <c r="K447" s="383">
        <v>1181</v>
      </c>
      <c r="L447" s="403">
        <v>499.6</v>
      </c>
      <c r="M447" s="383"/>
      <c r="N447" s="383"/>
      <c r="O447" s="360">
        <f t="shared" ref="O447:O454" si="73">SUM(J447:L447)</f>
        <v>3445.7999999999997</v>
      </c>
      <c r="P447" s="108"/>
      <c r="Q447" s="238" t="s">
        <v>158</v>
      </c>
      <c r="R447" s="183">
        <v>9</v>
      </c>
      <c r="S447" s="181" t="s">
        <v>87</v>
      </c>
    </row>
    <row r="448" spans="1:19" ht="15.75" thickBot="1" x14ac:dyDescent="0.3">
      <c r="A448" s="308">
        <v>151</v>
      </c>
      <c r="B448" s="365" t="s">
        <v>96</v>
      </c>
      <c r="C448" s="383">
        <v>165.6</v>
      </c>
      <c r="D448" s="403">
        <v>153.30000000000001</v>
      </c>
      <c r="E448" s="383">
        <v>70.7</v>
      </c>
      <c r="F448" s="360">
        <f>SUM(C448:E448)</f>
        <v>389.59999999999997</v>
      </c>
      <c r="G448" s="475"/>
      <c r="H448" s="404" t="s">
        <v>176</v>
      </c>
      <c r="I448" s="405">
        <v>154</v>
      </c>
      <c r="J448" s="403">
        <v>132.80000000000001</v>
      </c>
      <c r="K448" s="383">
        <v>138.1</v>
      </c>
      <c r="L448" s="403">
        <v>124.2</v>
      </c>
      <c r="M448" s="383"/>
      <c r="N448" s="383"/>
      <c r="O448" s="360">
        <f t="shared" si="73"/>
        <v>395.09999999999997</v>
      </c>
      <c r="P448" s="108"/>
      <c r="Q448" s="185" t="s">
        <v>99</v>
      </c>
      <c r="R448" s="183">
        <f>SUM(R439:R447)</f>
        <v>66.5</v>
      </c>
      <c r="S448" s="253">
        <f>R448/80</f>
        <v>0.83125000000000004</v>
      </c>
    </row>
    <row r="449" spans="1:19" x14ac:dyDescent="0.25">
      <c r="A449" s="307" t="s">
        <v>100</v>
      </c>
      <c r="B449" s="365" t="s">
        <v>95</v>
      </c>
      <c r="C449" s="406">
        <f t="shared" ref="C449:E450" si="74">C447/$A447</f>
        <v>1.04203125</v>
      </c>
      <c r="D449" s="406">
        <f t="shared" si="74"/>
        <v>0.89203124999999994</v>
      </c>
      <c r="E449" s="406">
        <f t="shared" si="74"/>
        <v>0.573359375</v>
      </c>
      <c r="F449" s="360">
        <f t="shared" si="72"/>
        <v>2.5074218749999999</v>
      </c>
      <c r="G449" s="360"/>
      <c r="H449" s="359" t="s">
        <v>175</v>
      </c>
      <c r="I449" s="387" t="s">
        <v>177</v>
      </c>
      <c r="J449" s="320">
        <f t="shared" ref="J449:L450" si="75">J447/$I447</f>
        <v>1.3182972367438388</v>
      </c>
      <c r="K449" s="320">
        <f t="shared" si="75"/>
        <v>0.88200149365197911</v>
      </c>
      <c r="L449" s="320">
        <f t="shared" si="75"/>
        <v>0.37311426437640033</v>
      </c>
      <c r="M449" s="320"/>
      <c r="N449" s="482"/>
      <c r="O449" s="360">
        <f t="shared" si="73"/>
        <v>2.5734129947722182</v>
      </c>
      <c r="P449" s="108"/>
      <c r="Q449" s="244"/>
      <c r="R449" s="245"/>
      <c r="S449" s="245"/>
    </row>
    <row r="450" spans="1:19" x14ac:dyDescent="0.25">
      <c r="A450" s="307" t="s">
        <v>100</v>
      </c>
      <c r="B450" s="365" t="s">
        <v>96</v>
      </c>
      <c r="C450" s="383">
        <f t="shared" si="74"/>
        <v>1.0966887417218543</v>
      </c>
      <c r="D450" s="383">
        <f t="shared" si="74"/>
        <v>1.0152317880794703</v>
      </c>
      <c r="E450" s="383">
        <f t="shared" si="74"/>
        <v>0.46821192052980132</v>
      </c>
      <c r="F450" s="360">
        <f t="shared" si="72"/>
        <v>2.580132450331126</v>
      </c>
      <c r="G450" s="360"/>
      <c r="H450" s="359" t="s">
        <v>176</v>
      </c>
      <c r="I450" s="387" t="s">
        <v>177</v>
      </c>
      <c r="J450" s="320">
        <f t="shared" si="75"/>
        <v>0.8623376623376624</v>
      </c>
      <c r="K450" s="320">
        <f t="shared" si="75"/>
        <v>0.89675324675324675</v>
      </c>
      <c r="L450" s="320">
        <f t="shared" si="75"/>
        <v>0.80649350649350648</v>
      </c>
      <c r="M450" s="320"/>
      <c r="N450" s="482"/>
      <c r="O450" s="360">
        <f t="shared" si="73"/>
        <v>2.5655844155844156</v>
      </c>
      <c r="P450" s="108"/>
      <c r="Q450" s="246"/>
      <c r="R450" s="246"/>
      <c r="S450" s="246"/>
    </row>
    <row r="451" spans="1:19" x14ac:dyDescent="0.25">
      <c r="A451" s="307" t="s">
        <v>104</v>
      </c>
      <c r="B451" s="365" t="s">
        <v>95</v>
      </c>
      <c r="C451" s="383">
        <f>C447/($A447/7.7)</f>
        <v>8.0236406250000005</v>
      </c>
      <c r="D451" s="383">
        <f>D447/($A447/7)</f>
        <v>6.2442187499999999</v>
      </c>
      <c r="E451" s="383">
        <f>E447/($A447/7)</f>
        <v>4.0135156250000001</v>
      </c>
      <c r="F451" s="360">
        <f t="shared" si="72"/>
        <v>18.281375000000001</v>
      </c>
      <c r="G451" s="469"/>
      <c r="H451" s="372" t="s">
        <v>175</v>
      </c>
      <c r="I451" s="387" t="s">
        <v>178</v>
      </c>
      <c r="J451" s="320">
        <f t="shared" ref="J451:L452" si="76">J447/($I447/7.7)</f>
        <v>10.15088872292756</v>
      </c>
      <c r="K451" s="320">
        <f t="shared" si="76"/>
        <v>6.7914115011202396</v>
      </c>
      <c r="L451" s="320">
        <f t="shared" si="76"/>
        <v>2.8729798356982825</v>
      </c>
      <c r="M451" s="320"/>
      <c r="N451" s="482"/>
      <c r="O451" s="360">
        <f t="shared" si="73"/>
        <v>19.81528005974608</v>
      </c>
      <c r="P451" s="108"/>
      <c r="Q451" s="246"/>
      <c r="R451" s="246"/>
      <c r="S451" s="246"/>
    </row>
    <row r="452" spans="1:19" x14ac:dyDescent="0.25">
      <c r="A452" s="307" t="s">
        <v>104</v>
      </c>
      <c r="B452" s="365" t="s">
        <v>96</v>
      </c>
      <c r="C452" s="383">
        <f>C448/($A448/7.7)</f>
        <v>8.444503311258277</v>
      </c>
      <c r="D452" s="383">
        <f>D448/($A448/7.7)</f>
        <v>7.8172847682119206</v>
      </c>
      <c r="E452" s="383">
        <f>E448/($A448/7.7)</f>
        <v>3.6052317880794704</v>
      </c>
      <c r="F452" s="360">
        <f t="shared" si="72"/>
        <v>19.867019867549669</v>
      </c>
      <c r="G452" s="360"/>
      <c r="H452" s="359" t="s">
        <v>176</v>
      </c>
      <c r="I452" s="387" t="s">
        <v>178</v>
      </c>
      <c r="J452" s="320">
        <f t="shared" si="76"/>
        <v>6.6400000000000006</v>
      </c>
      <c r="K452" s="320">
        <f t="shared" si="76"/>
        <v>6.9049999999999994</v>
      </c>
      <c r="L452" s="320">
        <f t="shared" si="76"/>
        <v>6.21</v>
      </c>
      <c r="M452" s="320"/>
      <c r="N452" s="482"/>
      <c r="O452" s="360">
        <f t="shared" si="73"/>
        <v>19.754999999999999</v>
      </c>
      <c r="P452" s="108"/>
      <c r="Q452" s="246"/>
      <c r="R452" s="246"/>
      <c r="S452" s="246"/>
    </row>
    <row r="453" spans="1:19" x14ac:dyDescent="0.25">
      <c r="A453" s="307" t="s">
        <v>135</v>
      </c>
      <c r="B453" s="365" t="s">
        <v>95</v>
      </c>
      <c r="C453" s="383">
        <f>C447/((($A447*$B443)*(1-$B440))/$B438)</f>
        <v>0.17796581769436998</v>
      </c>
      <c r="D453" s="383">
        <f>D447/((($A447*$B443)*(1-$B440))/$B438)</f>
        <v>0.15234770628537386</v>
      </c>
      <c r="E453" s="383">
        <f>E447/((($A447*$B443)*(1-$B440))/$B438)</f>
        <v>9.7922562307615937E-2</v>
      </c>
      <c r="F453" s="360">
        <f t="shared" si="72"/>
        <v>0.42823608628735976</v>
      </c>
      <c r="G453" s="360"/>
      <c r="H453" s="361" t="s">
        <v>175</v>
      </c>
      <c r="I453" s="387" t="s">
        <v>179</v>
      </c>
      <c r="J453" s="320">
        <f>J447/((($I447*$B443)*(1-$B440))/$B438)</f>
        <v>0.22514856987383605</v>
      </c>
      <c r="K453" s="320">
        <f>K447/((($I447*$B443)*(1-$B440))/$B438)</f>
        <v>0.1506347501818493</v>
      </c>
      <c r="L453" s="320">
        <f>L447/((($I447*$B443)*(1-$B440))/$B438)</f>
        <v>6.3723218620535066E-2</v>
      </c>
      <c r="M453" s="320"/>
      <c r="N453" s="482"/>
      <c r="O453" s="360">
        <f t="shared" si="73"/>
        <v>0.43950653867622047</v>
      </c>
    </row>
    <row r="454" spans="1:19" x14ac:dyDescent="0.25">
      <c r="A454" s="307" t="s">
        <v>135</v>
      </c>
      <c r="B454" s="365" t="s">
        <v>96</v>
      </c>
      <c r="C454" s="383">
        <f>C448/((($A448*$B443)*(1-$B440))/$B438)</f>
        <v>0.18730062910948159</v>
      </c>
      <c r="D454" s="383">
        <f>D448/((($A448*$B443)*(1-$B440))/$B438)</f>
        <v>0.17338880701982809</v>
      </c>
      <c r="E454" s="383">
        <f>E448/((($A448*$B443)*(1-$B440))/$B438)</f>
        <v>7.9964700954349946E-2</v>
      </c>
      <c r="F454" s="360">
        <f t="shared" si="72"/>
        <v>0.44065413708365964</v>
      </c>
      <c r="G454" s="360"/>
      <c r="H454" s="361" t="s">
        <v>176</v>
      </c>
      <c r="I454" s="387" t="s">
        <v>179</v>
      </c>
      <c r="J454" s="320">
        <f>J448/((($I448*$B443)*(1-$B440))/$B438)</f>
        <v>0.14727641537293015</v>
      </c>
      <c r="K454" s="320">
        <f>K448/((($I448*$B443)*(1-$B440))/$B438)</f>
        <v>0.1531541638780245</v>
      </c>
      <c r="L454" s="320">
        <f>L448/((($I448*$B443)*(1-$B440))/$B438)</f>
        <v>0.13773893666655063</v>
      </c>
      <c r="M454" s="320"/>
      <c r="N454" s="482"/>
      <c r="O454" s="360">
        <f t="shared" si="73"/>
        <v>0.43816951591750525</v>
      </c>
    </row>
    <row r="456" spans="1:19" x14ac:dyDescent="0.25">
      <c r="A456" s="178"/>
      <c r="B456" s="178"/>
      <c r="C456" s="178"/>
      <c r="D456" s="178"/>
      <c r="E456" s="178"/>
      <c r="F456" s="178"/>
      <c r="G456" s="178"/>
      <c r="H456" s="178"/>
      <c r="I456" s="178"/>
      <c r="J456" s="178"/>
      <c r="K456" s="178"/>
      <c r="L456" s="178"/>
      <c r="M456" s="178"/>
      <c r="N456" s="178"/>
      <c r="O456" s="178"/>
      <c r="P456" s="116"/>
      <c r="Q456" s="233"/>
      <c r="R456" s="233"/>
      <c r="S456" s="233"/>
    </row>
    <row r="457" spans="1:19" ht="21" x14ac:dyDescent="0.25">
      <c r="A457" s="305"/>
      <c r="B457" s="692" t="s">
        <v>188</v>
      </c>
      <c r="C457" s="693"/>
      <c r="D457" s="693"/>
      <c r="E457" s="693"/>
      <c r="F457" s="693"/>
      <c r="G457" s="693"/>
      <c r="H457" s="693"/>
      <c r="I457" s="693"/>
      <c r="J457" s="693"/>
      <c r="K457" s="693"/>
      <c r="L457" s="693"/>
      <c r="M457" s="693"/>
      <c r="N457" s="693"/>
      <c r="O457" s="694"/>
      <c r="P457" s="115" t="s">
        <v>97</v>
      </c>
      <c r="Q457" s="678" t="s">
        <v>189</v>
      </c>
      <c r="R457" s="678"/>
      <c r="S457" s="678"/>
    </row>
    <row r="458" spans="1:19" ht="21" x14ac:dyDescent="0.25">
      <c r="A458" s="310" t="s">
        <v>285</v>
      </c>
      <c r="B458" s="776">
        <v>43790</v>
      </c>
      <c r="C458" s="777"/>
      <c r="D458" s="777"/>
      <c r="E458" s="777"/>
      <c r="F458" s="777"/>
      <c r="G458" s="777"/>
      <c r="H458" s="777"/>
      <c r="I458" s="777"/>
      <c r="J458" s="777"/>
      <c r="K458" s="777"/>
      <c r="L458" s="777"/>
      <c r="M458" s="777"/>
      <c r="N458" s="777"/>
      <c r="O458" s="778"/>
      <c r="P458" s="115"/>
      <c r="Q458" s="678"/>
      <c r="R458" s="678"/>
      <c r="S458" s="678"/>
    </row>
    <row r="459" spans="1:19" x14ac:dyDescent="0.25">
      <c r="A459" s="310"/>
      <c r="B459" s="650" t="s">
        <v>115</v>
      </c>
      <c r="C459" s="651"/>
      <c r="D459" s="651"/>
      <c r="E459" s="651"/>
      <c r="F459" s="651"/>
      <c r="G459" s="651"/>
      <c r="H459" s="651"/>
      <c r="I459" s="651"/>
      <c r="J459" s="651"/>
      <c r="K459" s="651"/>
      <c r="L459" s="651"/>
      <c r="M459" s="651"/>
      <c r="N459" s="651"/>
      <c r="O459" s="652"/>
      <c r="P459" s="115"/>
      <c r="Q459" s="678"/>
      <c r="R459" s="678"/>
      <c r="S459" s="678"/>
    </row>
    <row r="460" spans="1:19" x14ac:dyDescent="0.25">
      <c r="A460" s="310" t="s">
        <v>106</v>
      </c>
      <c r="B460" s="629">
        <f>18000/1000</f>
        <v>18</v>
      </c>
      <c r="C460" s="630"/>
      <c r="D460" s="630"/>
      <c r="E460" s="690"/>
      <c r="F460" s="365" t="s">
        <v>174</v>
      </c>
      <c r="G460" s="471"/>
      <c r="H460" s="668">
        <v>0</v>
      </c>
      <c r="I460" s="669"/>
      <c r="J460" s="669"/>
      <c r="K460" s="669"/>
      <c r="L460" s="689"/>
      <c r="M460" s="629">
        <f>SUM(B460,H461)</f>
        <v>18</v>
      </c>
      <c r="N460" s="630"/>
      <c r="O460" s="690"/>
      <c r="P460" s="115"/>
      <c r="Q460" s="678"/>
      <c r="R460" s="678"/>
      <c r="S460" s="678"/>
    </row>
    <row r="461" spans="1:19" ht="15.75" thickBot="1" x14ac:dyDescent="0.3">
      <c r="A461" s="311" t="s">
        <v>112</v>
      </c>
      <c r="B461" s="626">
        <v>0.19</v>
      </c>
      <c r="C461" s="627"/>
      <c r="D461" s="627"/>
      <c r="E461" s="698"/>
      <c r="F461" s="290"/>
      <c r="G461" s="472"/>
      <c r="H461" s="626">
        <v>0</v>
      </c>
      <c r="I461" s="627"/>
      <c r="J461" s="627"/>
      <c r="K461" s="627"/>
      <c r="L461" s="698"/>
      <c r="M461" s="626">
        <f>B461</f>
        <v>0.19</v>
      </c>
      <c r="N461" s="627"/>
      <c r="O461" s="698"/>
      <c r="P461" s="115"/>
      <c r="Q461" s="678"/>
      <c r="R461" s="678"/>
      <c r="S461" s="678"/>
    </row>
    <row r="462" spans="1:19" x14ac:dyDescent="0.25">
      <c r="A462" s="311" t="s">
        <v>107</v>
      </c>
      <c r="B462" s="629">
        <f>B460*(1-B461)</f>
        <v>14.580000000000002</v>
      </c>
      <c r="C462" s="630"/>
      <c r="D462" s="630"/>
      <c r="E462" s="690"/>
      <c r="F462" s="290"/>
      <c r="G462" s="472"/>
      <c r="H462" s="629">
        <f>H460*(1-H461)</f>
        <v>0</v>
      </c>
      <c r="I462" s="630"/>
      <c r="J462" s="630"/>
      <c r="K462" s="630"/>
      <c r="L462" s="690"/>
      <c r="M462" s="629">
        <f>SUM(B462,H462)</f>
        <v>14.580000000000002</v>
      </c>
      <c r="N462" s="630"/>
      <c r="O462" s="690"/>
      <c r="P462" s="115"/>
      <c r="Q462" s="671" t="s">
        <v>139</v>
      </c>
      <c r="R462" s="235" t="s">
        <v>140</v>
      </c>
      <c r="S462" s="679" t="s">
        <v>142</v>
      </c>
    </row>
    <row r="463" spans="1:19" ht="15.75" thickBot="1" x14ac:dyDescent="0.3">
      <c r="A463" s="311" t="s">
        <v>108</v>
      </c>
      <c r="B463" s="626">
        <f>B466/B462</f>
        <v>0.8315329218106996</v>
      </c>
      <c r="C463" s="627"/>
      <c r="D463" s="627"/>
      <c r="E463" s="627"/>
      <c r="F463" s="627"/>
      <c r="G463" s="627"/>
      <c r="H463" s="627"/>
      <c r="I463" s="627"/>
      <c r="J463" s="627"/>
      <c r="K463" s="627"/>
      <c r="L463" s="627"/>
      <c r="M463" s="627"/>
      <c r="N463" s="627"/>
      <c r="O463" s="628"/>
      <c r="P463" s="115"/>
      <c r="Q463" s="672"/>
      <c r="R463" s="183" t="s">
        <v>141</v>
      </c>
      <c r="S463" s="680"/>
    </row>
    <row r="464" spans="1:19" ht="29.25" thickBot="1" x14ac:dyDescent="0.3">
      <c r="A464" s="311" t="s">
        <v>113</v>
      </c>
      <c r="B464" s="629">
        <f>B468*((A472+A473+I472+I473)/1000)</f>
        <v>39.75</v>
      </c>
      <c r="C464" s="630"/>
      <c r="D464" s="630"/>
      <c r="E464" s="630"/>
      <c r="F464" s="630"/>
      <c r="G464" s="630"/>
      <c r="H464" s="630"/>
      <c r="I464" s="630"/>
      <c r="J464" s="630"/>
      <c r="K464" s="630"/>
      <c r="L464" s="630"/>
      <c r="M464" s="630"/>
      <c r="N464" s="630"/>
      <c r="O464" s="631"/>
      <c r="P464" s="115"/>
      <c r="Q464" s="238" t="s">
        <v>143</v>
      </c>
      <c r="R464" s="183">
        <v>8</v>
      </c>
      <c r="S464" s="181" t="s">
        <v>75</v>
      </c>
    </row>
    <row r="465" spans="1:19" ht="15.75" thickBot="1" x14ac:dyDescent="0.3">
      <c r="A465" s="311" t="s">
        <v>109</v>
      </c>
      <c r="B465" s="626">
        <v>0.69499999999999995</v>
      </c>
      <c r="C465" s="627"/>
      <c r="D465" s="627"/>
      <c r="E465" s="627"/>
      <c r="F465" s="627"/>
      <c r="G465" s="627"/>
      <c r="H465" s="627"/>
      <c r="I465" s="627"/>
      <c r="J465" s="627"/>
      <c r="K465" s="627"/>
      <c r="L465" s="627"/>
      <c r="M465" s="627"/>
      <c r="N465" s="627"/>
      <c r="O465" s="628"/>
      <c r="P465" s="115"/>
      <c r="Q465" s="238" t="s">
        <v>145</v>
      </c>
      <c r="R465" s="183">
        <v>7</v>
      </c>
      <c r="S465" s="184" t="s">
        <v>164</v>
      </c>
    </row>
    <row r="466" spans="1:19" ht="15.75" thickBot="1" x14ac:dyDescent="0.3">
      <c r="A466" s="311" t="s">
        <v>122</v>
      </c>
      <c r="B466" s="629">
        <f>B464-(B464*B465)</f>
        <v>12.123750000000001</v>
      </c>
      <c r="C466" s="630"/>
      <c r="D466" s="630"/>
      <c r="E466" s="630"/>
      <c r="F466" s="630"/>
      <c r="G466" s="630"/>
      <c r="H466" s="630"/>
      <c r="I466" s="630"/>
      <c r="J466" s="630"/>
      <c r="K466" s="630"/>
      <c r="L466" s="630"/>
      <c r="M466" s="630"/>
      <c r="N466" s="630"/>
      <c r="O466" s="690"/>
      <c r="P466" s="115"/>
      <c r="Q466" s="238" t="s">
        <v>147</v>
      </c>
      <c r="R466" s="183">
        <v>8</v>
      </c>
      <c r="S466" s="184" t="s">
        <v>148</v>
      </c>
    </row>
    <row r="467" spans="1:19" ht="15" customHeight="1" x14ac:dyDescent="0.25">
      <c r="A467" s="311" t="s">
        <v>110</v>
      </c>
      <c r="B467" s="632">
        <v>116</v>
      </c>
      <c r="C467" s="633"/>
      <c r="D467" s="633"/>
      <c r="E467" s="633"/>
      <c r="F467" s="633"/>
      <c r="G467" s="633"/>
      <c r="H467" s="633"/>
      <c r="I467" s="633"/>
      <c r="J467" s="633"/>
      <c r="K467" s="633"/>
      <c r="L467" s="633"/>
      <c r="M467" s="633"/>
      <c r="N467" s="633"/>
      <c r="O467" s="691"/>
      <c r="P467" s="115"/>
      <c r="Q467" s="239" t="s">
        <v>149</v>
      </c>
      <c r="R467" s="671">
        <v>9</v>
      </c>
      <c r="S467" s="673" t="s">
        <v>284</v>
      </c>
    </row>
    <row r="468" spans="1:19" ht="15.75" thickBot="1" x14ac:dyDescent="0.3">
      <c r="A468" s="311" t="s">
        <v>111</v>
      </c>
      <c r="B468" s="635">
        <v>15</v>
      </c>
      <c r="C468" s="636"/>
      <c r="D468" s="636"/>
      <c r="E468" s="636"/>
      <c r="F468" s="636"/>
      <c r="G468" s="636"/>
      <c r="H468" s="636"/>
      <c r="I468" s="636"/>
      <c r="J468" s="636"/>
      <c r="K468" s="636"/>
      <c r="L468" s="636"/>
      <c r="M468" s="636"/>
      <c r="N468" s="636"/>
      <c r="O468" s="686"/>
      <c r="P468" s="115"/>
      <c r="Q468" s="238" t="s">
        <v>150</v>
      </c>
      <c r="R468" s="672"/>
      <c r="S468" s="674"/>
    </row>
    <row r="469" spans="1:19" ht="15.75" thickBot="1" x14ac:dyDescent="0.3">
      <c r="A469" s="311" t="s">
        <v>273</v>
      </c>
      <c r="B469" s="638" t="s">
        <v>287</v>
      </c>
      <c r="C469" s="638"/>
      <c r="D469" s="638"/>
      <c r="E469" s="638"/>
      <c r="F469" s="638"/>
      <c r="G469" s="638"/>
      <c r="H469" s="638"/>
      <c r="I469" s="638"/>
      <c r="J469" s="638"/>
      <c r="K469" s="638"/>
      <c r="L469" s="638"/>
      <c r="M469" s="638"/>
      <c r="N469" s="638"/>
      <c r="O469" s="687"/>
      <c r="P469" s="115"/>
      <c r="Q469" s="238" t="s">
        <v>152</v>
      </c>
      <c r="R469" s="183">
        <v>7.5</v>
      </c>
      <c r="S469" s="184" t="s">
        <v>266</v>
      </c>
    </row>
    <row r="470" spans="1:19" ht="15.75" thickBot="1" x14ac:dyDescent="0.3">
      <c r="A470" s="587" t="s">
        <v>276</v>
      </c>
      <c r="B470" s="588"/>
      <c r="C470" s="588"/>
      <c r="D470" s="588"/>
      <c r="E470" s="588"/>
      <c r="F470" s="688"/>
      <c r="G470" s="453"/>
      <c r="H470" s="668" t="s">
        <v>128</v>
      </c>
      <c r="I470" s="669"/>
      <c r="J470" s="669"/>
      <c r="K470" s="669"/>
      <c r="L470" s="669"/>
      <c r="M470" s="669"/>
      <c r="N470" s="669"/>
      <c r="O470" s="689"/>
      <c r="P470" s="115"/>
      <c r="Q470" s="238" t="s">
        <v>154</v>
      </c>
      <c r="R470" s="183">
        <v>9</v>
      </c>
      <c r="S470" s="181" t="s">
        <v>267</v>
      </c>
    </row>
    <row r="471" spans="1:19" ht="15.75" thickBot="1" x14ac:dyDescent="0.3">
      <c r="A471" s="307" t="s">
        <v>98</v>
      </c>
      <c r="B471" s="365" t="s">
        <v>102</v>
      </c>
      <c r="C471" s="365" t="s">
        <v>92</v>
      </c>
      <c r="D471" s="365" t="s">
        <v>93</v>
      </c>
      <c r="E471" s="365" t="s">
        <v>94</v>
      </c>
      <c r="F471" s="366" t="s">
        <v>99</v>
      </c>
      <c r="G471" s="366"/>
      <c r="H471" s="365" t="s">
        <v>102</v>
      </c>
      <c r="I471" s="367" t="s">
        <v>98</v>
      </c>
      <c r="J471" s="365" t="s">
        <v>92</v>
      </c>
      <c r="K471" s="365" t="s">
        <v>93</v>
      </c>
      <c r="L471" s="365" t="s">
        <v>94</v>
      </c>
      <c r="M471" s="365" t="s">
        <v>279</v>
      </c>
      <c r="N471" s="365"/>
      <c r="O471" s="322" t="s">
        <v>99</v>
      </c>
      <c r="P471" s="115"/>
      <c r="Q471" s="238" t="s">
        <v>156</v>
      </c>
      <c r="R471" s="183">
        <v>9</v>
      </c>
      <c r="S471" s="181" t="s">
        <v>31</v>
      </c>
    </row>
    <row r="472" spans="1:19" ht="15.75" thickBot="1" x14ac:dyDescent="0.3">
      <c r="A472" s="308">
        <v>1159</v>
      </c>
      <c r="B472" s="365" t="s">
        <v>95</v>
      </c>
      <c r="C472" s="386">
        <v>1030.3</v>
      </c>
      <c r="D472" s="407">
        <v>928.9</v>
      </c>
      <c r="E472" s="386">
        <v>739.7</v>
      </c>
      <c r="F472" s="408">
        <f>SUM(C472:E472)</f>
        <v>2698.8999999999996</v>
      </c>
      <c r="G472" s="408"/>
      <c r="H472" s="359" t="s">
        <v>175</v>
      </c>
      <c r="I472" s="383">
        <v>1141</v>
      </c>
      <c r="J472" s="403">
        <v>1210.2</v>
      </c>
      <c r="K472" s="383">
        <v>874.6</v>
      </c>
      <c r="L472" s="409">
        <v>704</v>
      </c>
      <c r="M472" s="383"/>
      <c r="N472" s="383"/>
      <c r="O472" s="408">
        <f t="shared" ref="O472:O479" si="77">SUM(J472:L472)</f>
        <v>2788.8</v>
      </c>
      <c r="P472" s="115"/>
      <c r="Q472" s="238" t="s">
        <v>158</v>
      </c>
      <c r="R472" s="183">
        <v>9</v>
      </c>
      <c r="S472" s="181" t="s">
        <v>87</v>
      </c>
    </row>
    <row r="473" spans="1:19" ht="15.75" thickBot="1" x14ac:dyDescent="0.3">
      <c r="A473" s="308">
        <v>174</v>
      </c>
      <c r="B473" s="365" t="s">
        <v>96</v>
      </c>
      <c r="C473" s="386">
        <v>149.6</v>
      </c>
      <c r="D473" s="407">
        <v>64.400000000000006</v>
      </c>
      <c r="E473" s="386">
        <v>85.2</v>
      </c>
      <c r="F473" s="360">
        <f>SUM(C473:E473)</f>
        <v>299.2</v>
      </c>
      <c r="G473" s="475"/>
      <c r="H473" s="404" t="s">
        <v>176</v>
      </c>
      <c r="I473" s="405">
        <v>176</v>
      </c>
      <c r="J473" s="403">
        <v>155.69999999999999</v>
      </c>
      <c r="K473" s="383">
        <v>167.3</v>
      </c>
      <c r="L473" s="409">
        <v>136.1</v>
      </c>
      <c r="M473" s="383"/>
      <c r="N473" s="383"/>
      <c r="O473" s="360">
        <f t="shared" si="77"/>
        <v>459.1</v>
      </c>
      <c r="P473" s="115"/>
      <c r="Q473" s="185" t="s">
        <v>99</v>
      </c>
      <c r="R473" s="183">
        <v>66.5</v>
      </c>
      <c r="S473" s="186">
        <v>0.83099999999999996</v>
      </c>
    </row>
    <row r="474" spans="1:19" x14ac:dyDescent="0.25">
      <c r="A474" s="307" t="s">
        <v>100</v>
      </c>
      <c r="B474" s="365" t="s">
        <v>95</v>
      </c>
      <c r="C474" s="410">
        <f t="shared" ref="C474:E475" si="78">C472/$A472</f>
        <v>0.88895599654874891</v>
      </c>
      <c r="D474" s="410">
        <f t="shared" si="78"/>
        <v>0.80146678170836927</v>
      </c>
      <c r="E474" s="410">
        <f t="shared" si="78"/>
        <v>0.63822260569456435</v>
      </c>
      <c r="F474" s="408">
        <f t="shared" ref="F474:F479" si="79">SUM(C474:E474)</f>
        <v>2.3286453839516827</v>
      </c>
      <c r="G474" s="408"/>
      <c r="H474" s="359" t="s">
        <v>175</v>
      </c>
      <c r="I474" s="387" t="s">
        <v>177</v>
      </c>
      <c r="J474" s="411">
        <f t="shared" ref="J474:L475" si="80">J472/$I472</f>
        <v>1.0606485539000876</v>
      </c>
      <c r="K474" s="411">
        <f t="shared" si="80"/>
        <v>0.76652059596844879</v>
      </c>
      <c r="L474" s="411">
        <f t="shared" si="80"/>
        <v>0.61700262927256788</v>
      </c>
      <c r="M474" s="320"/>
      <c r="N474" s="482"/>
      <c r="O474" s="408">
        <f t="shared" si="77"/>
        <v>2.4441717791411044</v>
      </c>
      <c r="P474" s="115"/>
      <c r="Q474" s="244"/>
      <c r="R474" s="245"/>
      <c r="S474" s="245"/>
    </row>
    <row r="475" spans="1:19" x14ac:dyDescent="0.25">
      <c r="A475" s="307" t="s">
        <v>100</v>
      </c>
      <c r="B475" s="365" t="s">
        <v>96</v>
      </c>
      <c r="C475" s="386">
        <f t="shared" si="78"/>
        <v>0.85977011494252875</v>
      </c>
      <c r="D475" s="386">
        <f t="shared" si="78"/>
        <v>0.37011494252873567</v>
      </c>
      <c r="E475" s="386">
        <f t="shared" si="78"/>
        <v>0.48965517241379314</v>
      </c>
      <c r="F475" s="408">
        <f t="shared" si="79"/>
        <v>1.7195402298850577</v>
      </c>
      <c r="G475" s="408"/>
      <c r="H475" s="359" t="s">
        <v>176</v>
      </c>
      <c r="I475" s="387" t="s">
        <v>177</v>
      </c>
      <c r="J475" s="320">
        <f t="shared" si="80"/>
        <v>0.88465909090909089</v>
      </c>
      <c r="K475" s="320">
        <f t="shared" si="80"/>
        <v>0.95056818181818192</v>
      </c>
      <c r="L475" s="320">
        <f t="shared" si="80"/>
        <v>0.77329545454545456</v>
      </c>
      <c r="M475" s="320"/>
      <c r="N475" s="482"/>
      <c r="O475" s="408">
        <f t="shared" si="77"/>
        <v>2.6085227272727276</v>
      </c>
      <c r="P475" s="115"/>
      <c r="Q475" s="246"/>
      <c r="R475" s="246"/>
      <c r="S475" s="246"/>
    </row>
    <row r="476" spans="1:19" x14ac:dyDescent="0.25">
      <c r="A476" s="307" t="s">
        <v>104</v>
      </c>
      <c r="B476" s="365" t="s">
        <v>95</v>
      </c>
      <c r="C476" s="386">
        <f>C472/($A472/7.7)</f>
        <v>6.844961173425367</v>
      </c>
      <c r="D476" s="386">
        <f>D472/($A472/7)</f>
        <v>5.6102674719585846</v>
      </c>
      <c r="E476" s="386">
        <f>E472/($A472/7)</f>
        <v>4.4675582398619502</v>
      </c>
      <c r="F476" s="360">
        <f t="shared" si="79"/>
        <v>16.922786885245902</v>
      </c>
      <c r="G476" s="469"/>
      <c r="H476" s="372" t="s">
        <v>175</v>
      </c>
      <c r="I476" s="387" t="s">
        <v>178</v>
      </c>
      <c r="J476" s="320">
        <f t="shared" ref="J476:L477" si="81">J472/($I472/7.7)</f>
        <v>8.1669938650306744</v>
      </c>
      <c r="K476" s="320">
        <f t="shared" si="81"/>
        <v>5.9022085889570555</v>
      </c>
      <c r="L476" s="320">
        <f t="shared" si="81"/>
        <v>4.7509202453987731</v>
      </c>
      <c r="M476" s="320"/>
      <c r="N476" s="482"/>
      <c r="O476" s="360">
        <f t="shared" si="77"/>
        <v>18.820122699386502</v>
      </c>
      <c r="P476" s="115"/>
      <c r="Q476" s="246"/>
      <c r="R476" s="246"/>
      <c r="S476" s="246"/>
    </row>
    <row r="477" spans="1:19" x14ac:dyDescent="0.25">
      <c r="A477" s="307" t="s">
        <v>104</v>
      </c>
      <c r="B477" s="365" t="s">
        <v>96</v>
      </c>
      <c r="C477" s="386">
        <f>C473/($A473/7.7)</f>
        <v>6.6202298850574719</v>
      </c>
      <c r="D477" s="386">
        <f>D473/($A473/7.7)</f>
        <v>2.8498850574712646</v>
      </c>
      <c r="E477" s="386">
        <f>E473/($A473/7.7)</f>
        <v>3.7703448275862073</v>
      </c>
      <c r="F477" s="360">
        <f t="shared" si="79"/>
        <v>13.240459770114944</v>
      </c>
      <c r="G477" s="360"/>
      <c r="H477" s="359" t="s">
        <v>176</v>
      </c>
      <c r="I477" s="387" t="s">
        <v>178</v>
      </c>
      <c r="J477" s="320">
        <f t="shared" si="81"/>
        <v>6.8118749999999997</v>
      </c>
      <c r="K477" s="320">
        <f t="shared" si="81"/>
        <v>7.319375</v>
      </c>
      <c r="L477" s="320">
        <f t="shared" si="81"/>
        <v>5.9543749999999998</v>
      </c>
      <c r="M477" s="320"/>
      <c r="N477" s="482"/>
      <c r="O477" s="360">
        <f t="shared" si="77"/>
        <v>20.085625</v>
      </c>
      <c r="P477" s="115"/>
      <c r="Q477" s="246"/>
      <c r="R477" s="246"/>
      <c r="S477" s="246"/>
    </row>
    <row r="478" spans="1:19" x14ac:dyDescent="0.25">
      <c r="A478" s="307" t="s">
        <v>135</v>
      </c>
      <c r="B478" s="365" t="s">
        <v>95</v>
      </c>
      <c r="C478" s="386">
        <f>C472/((($A472*$B468)*(1-$B465))/$B463)</f>
        <v>0.16157293490083566</v>
      </c>
      <c r="D478" s="386">
        <f>D472/((($A472*$B468)*(1-$B465))/$B463)</f>
        <v>0.14567126004987505</v>
      </c>
      <c r="E478" s="386">
        <f>E472/((($A472*$B468)*(1-$B465))/$B463)</f>
        <v>0.11600067936149486</v>
      </c>
      <c r="F478" s="360">
        <f t="shared" si="79"/>
        <v>0.42324487431220559</v>
      </c>
      <c r="G478" s="360"/>
      <c r="H478" s="361" t="s">
        <v>175</v>
      </c>
      <c r="I478" s="387" t="s">
        <v>179</v>
      </c>
      <c r="J478" s="320">
        <f>J472/((($I472*$B468)*(1-$B465))/$B463)</f>
        <v>0.19277905815056462</v>
      </c>
      <c r="K478" s="320">
        <f>K472/((($I472*$B468)*(1-$B465))/$B463)</f>
        <v>0.13931958705873723</v>
      </c>
      <c r="L478" s="320">
        <f>L472/((($I472*$B468)*(1-$B465))/$B463)</f>
        <v>0.11214382493637207</v>
      </c>
      <c r="M478" s="320"/>
      <c r="N478" s="482"/>
      <c r="O478" s="360">
        <f t="shared" si="77"/>
        <v>0.44424247014567397</v>
      </c>
    </row>
    <row r="479" spans="1:19" x14ac:dyDescent="0.25">
      <c r="A479" s="307" t="s">
        <v>135</v>
      </c>
      <c r="B479" s="365" t="s">
        <v>96</v>
      </c>
      <c r="C479" s="386">
        <f>C473/((($A473*$B468)*(1-$B465))/$B463)</f>
        <v>0.15626823076801785</v>
      </c>
      <c r="D479" s="386">
        <f>D473/((($A473*$B468)*(1-$B465))/$B463)</f>
        <v>6.7270548539173469E-2</v>
      </c>
      <c r="E479" s="386">
        <f>E473/((($A473*$B468)*(1-$B465))/$B463)</f>
        <v>8.899768222884441E-2</v>
      </c>
      <c r="F479" s="360">
        <f t="shared" si="79"/>
        <v>0.31253646153603576</v>
      </c>
      <c r="G479" s="360"/>
      <c r="H479" s="361" t="s">
        <v>176</v>
      </c>
      <c r="I479" s="387" t="s">
        <v>179</v>
      </c>
      <c r="J479" s="320">
        <f>J473/((($I473*$B468)*(1-$B465))/$B463)</f>
        <v>0.16079194725028054</v>
      </c>
      <c r="K479" s="320">
        <f>K473/((($I473*$B468)*(1-$B465))/$B463)</f>
        <v>0.17277130876667912</v>
      </c>
      <c r="L479" s="320">
        <f>L473/((($I473*$B468)*(1-$B465))/$B463)</f>
        <v>0.14055095710188298</v>
      </c>
      <c r="M479" s="320"/>
      <c r="N479" s="482"/>
      <c r="O479" s="360">
        <f t="shared" si="77"/>
        <v>0.47411421311884266</v>
      </c>
    </row>
    <row r="481" spans="1:19" x14ac:dyDescent="0.25">
      <c r="A481" s="178"/>
      <c r="B481" s="178"/>
      <c r="C481" s="178"/>
      <c r="D481" s="178"/>
      <c r="E481" s="178"/>
      <c r="F481" s="178"/>
      <c r="G481" s="178"/>
      <c r="H481" s="178"/>
      <c r="I481" s="178"/>
      <c r="J481" s="178"/>
      <c r="K481" s="178"/>
      <c r="L481" s="178"/>
      <c r="M481" s="178"/>
      <c r="N481" s="178"/>
      <c r="O481" s="178"/>
      <c r="P481" s="116"/>
      <c r="Q481" s="233"/>
      <c r="R481" s="233"/>
      <c r="S481" s="233"/>
    </row>
    <row r="482" spans="1:19" ht="21" x14ac:dyDescent="0.25">
      <c r="A482" s="305"/>
      <c r="B482" s="644" t="s">
        <v>190</v>
      </c>
      <c r="C482" s="645"/>
      <c r="D482" s="645"/>
      <c r="E482" s="645"/>
      <c r="F482" s="645"/>
      <c r="G482" s="645"/>
      <c r="H482" s="645"/>
      <c r="I482" s="645"/>
      <c r="J482" s="645"/>
      <c r="K482" s="645"/>
      <c r="L482" s="645"/>
      <c r="M482" s="645"/>
      <c r="N482" s="645"/>
      <c r="O482" s="646"/>
      <c r="P482" s="115" t="s">
        <v>97</v>
      </c>
      <c r="Q482" s="678" t="s">
        <v>191</v>
      </c>
      <c r="R482" s="678"/>
      <c r="S482" s="678"/>
    </row>
    <row r="483" spans="1:19" ht="21" x14ac:dyDescent="0.25">
      <c r="A483" s="310" t="s">
        <v>285</v>
      </c>
      <c r="B483" s="695">
        <v>43803</v>
      </c>
      <c r="C483" s="696"/>
      <c r="D483" s="696"/>
      <c r="E483" s="696"/>
      <c r="F483" s="696"/>
      <c r="G483" s="696"/>
      <c r="H483" s="696"/>
      <c r="I483" s="696"/>
      <c r="J483" s="696"/>
      <c r="K483" s="696"/>
      <c r="L483" s="696"/>
      <c r="M483" s="696"/>
      <c r="N483" s="696"/>
      <c r="O483" s="697"/>
      <c r="P483" s="115"/>
      <c r="Q483" s="678"/>
      <c r="R483" s="678"/>
      <c r="S483" s="678"/>
    </row>
    <row r="484" spans="1:19" x14ac:dyDescent="0.25">
      <c r="A484" s="310"/>
      <c r="B484" s="650" t="s">
        <v>115</v>
      </c>
      <c r="C484" s="651"/>
      <c r="D484" s="651"/>
      <c r="E484" s="651"/>
      <c r="F484" s="651"/>
      <c r="G484" s="651"/>
      <c r="H484" s="651"/>
      <c r="I484" s="651"/>
      <c r="J484" s="651"/>
      <c r="K484" s="651"/>
      <c r="L484" s="651"/>
      <c r="M484" s="651"/>
      <c r="N484" s="651"/>
      <c r="O484" s="652"/>
      <c r="P484" s="115"/>
      <c r="Q484" s="678"/>
      <c r="R484" s="678"/>
      <c r="S484" s="678"/>
    </row>
    <row r="485" spans="1:19" x14ac:dyDescent="0.25">
      <c r="A485" s="310" t="s">
        <v>106</v>
      </c>
      <c r="B485" s="629">
        <f>19000/1000</f>
        <v>19</v>
      </c>
      <c r="C485" s="630"/>
      <c r="D485" s="630"/>
      <c r="E485" s="690"/>
      <c r="F485" s="365" t="s">
        <v>174</v>
      </c>
      <c r="G485" s="471"/>
      <c r="H485" s="668">
        <v>0</v>
      </c>
      <c r="I485" s="669"/>
      <c r="J485" s="669"/>
      <c r="K485" s="669"/>
      <c r="L485" s="689"/>
      <c r="M485" s="629">
        <f>SUM(B485,H486)</f>
        <v>19</v>
      </c>
      <c r="N485" s="630"/>
      <c r="O485" s="690"/>
      <c r="P485" s="115"/>
      <c r="Q485" s="678"/>
      <c r="R485" s="678"/>
      <c r="S485" s="678"/>
    </row>
    <row r="486" spans="1:19" ht="15.75" thickBot="1" x14ac:dyDescent="0.3">
      <c r="A486" s="311" t="s">
        <v>112</v>
      </c>
      <c r="B486" s="626">
        <v>0.13</v>
      </c>
      <c r="C486" s="627"/>
      <c r="D486" s="627"/>
      <c r="E486" s="698"/>
      <c r="F486" s="290"/>
      <c r="G486" s="472"/>
      <c r="H486" s="626">
        <v>0</v>
      </c>
      <c r="I486" s="627"/>
      <c r="J486" s="627"/>
      <c r="K486" s="627"/>
      <c r="L486" s="698"/>
      <c r="M486" s="626">
        <f>B486</f>
        <v>0.13</v>
      </c>
      <c r="N486" s="627"/>
      <c r="O486" s="698"/>
      <c r="P486" s="115"/>
      <c r="Q486" s="678"/>
      <c r="R486" s="678"/>
      <c r="S486" s="678"/>
    </row>
    <row r="487" spans="1:19" x14ac:dyDescent="0.25">
      <c r="A487" s="311" t="s">
        <v>107</v>
      </c>
      <c r="B487" s="629">
        <f>B485*(1-B486)</f>
        <v>16.53</v>
      </c>
      <c r="C487" s="630"/>
      <c r="D487" s="630"/>
      <c r="E487" s="690"/>
      <c r="F487" s="290"/>
      <c r="G487" s="472"/>
      <c r="H487" s="629">
        <f>H485*(1-H486)</f>
        <v>0</v>
      </c>
      <c r="I487" s="630"/>
      <c r="J487" s="630"/>
      <c r="K487" s="630"/>
      <c r="L487" s="690"/>
      <c r="M487" s="629">
        <f>SUM(B487,H487)</f>
        <v>16.53</v>
      </c>
      <c r="N487" s="630"/>
      <c r="O487" s="690"/>
      <c r="P487" s="115"/>
      <c r="Q487" s="671" t="s">
        <v>139</v>
      </c>
      <c r="R487" s="235" t="s">
        <v>140</v>
      </c>
      <c r="S487" s="679" t="s">
        <v>142</v>
      </c>
    </row>
    <row r="488" spans="1:19" ht="15.75" thickBot="1" x14ac:dyDescent="0.3">
      <c r="A488" s="311" t="s">
        <v>108</v>
      </c>
      <c r="B488" s="626">
        <f>B491/B487</f>
        <v>0.82301754385964876</v>
      </c>
      <c r="C488" s="627"/>
      <c r="D488" s="627"/>
      <c r="E488" s="627"/>
      <c r="F488" s="627"/>
      <c r="G488" s="627"/>
      <c r="H488" s="627"/>
      <c r="I488" s="627"/>
      <c r="J488" s="627"/>
      <c r="K488" s="627"/>
      <c r="L488" s="627"/>
      <c r="M488" s="627"/>
      <c r="N488" s="627"/>
      <c r="O488" s="628"/>
      <c r="P488" s="115"/>
      <c r="Q488" s="672"/>
      <c r="R488" s="183" t="s">
        <v>141</v>
      </c>
      <c r="S488" s="680"/>
    </row>
    <row r="489" spans="1:19" ht="29.25" thickBot="1" x14ac:dyDescent="0.3">
      <c r="A489" s="311" t="s">
        <v>113</v>
      </c>
      <c r="B489" s="629">
        <f>B493*((A497+A498+I497+I498)/1000)</f>
        <v>42.513999999999996</v>
      </c>
      <c r="C489" s="630"/>
      <c r="D489" s="630"/>
      <c r="E489" s="630"/>
      <c r="F489" s="630"/>
      <c r="G489" s="630"/>
      <c r="H489" s="630"/>
      <c r="I489" s="630"/>
      <c r="J489" s="630"/>
      <c r="K489" s="630"/>
      <c r="L489" s="630"/>
      <c r="M489" s="630"/>
      <c r="N489" s="630"/>
      <c r="O489" s="631"/>
      <c r="P489" s="115"/>
      <c r="Q489" s="238" t="s">
        <v>143</v>
      </c>
      <c r="R489" s="183">
        <v>8</v>
      </c>
      <c r="S489" s="181" t="s">
        <v>75</v>
      </c>
    </row>
    <row r="490" spans="1:19" ht="15.75" thickBot="1" x14ac:dyDescent="0.3">
      <c r="A490" s="311" t="s">
        <v>109</v>
      </c>
      <c r="B490" s="626">
        <v>0.68</v>
      </c>
      <c r="C490" s="627"/>
      <c r="D490" s="627"/>
      <c r="E490" s="627"/>
      <c r="F490" s="627"/>
      <c r="G490" s="627"/>
      <c r="H490" s="627"/>
      <c r="I490" s="627"/>
      <c r="J490" s="627"/>
      <c r="K490" s="627"/>
      <c r="L490" s="627"/>
      <c r="M490" s="627"/>
      <c r="N490" s="627"/>
      <c r="O490" s="628"/>
      <c r="P490" s="115"/>
      <c r="Q490" s="238" t="s">
        <v>145</v>
      </c>
      <c r="R490" s="183">
        <v>9</v>
      </c>
      <c r="S490" s="184" t="s">
        <v>76</v>
      </c>
    </row>
    <row r="491" spans="1:19" ht="15.75" thickBot="1" x14ac:dyDescent="0.3">
      <c r="A491" s="311" t="s">
        <v>122</v>
      </c>
      <c r="B491" s="629">
        <f>B489-(B489*B490)</f>
        <v>13.604479999999995</v>
      </c>
      <c r="C491" s="630"/>
      <c r="D491" s="630"/>
      <c r="E491" s="630"/>
      <c r="F491" s="630"/>
      <c r="G491" s="630"/>
      <c r="H491" s="630"/>
      <c r="I491" s="630"/>
      <c r="J491" s="630"/>
      <c r="K491" s="630"/>
      <c r="L491" s="630"/>
      <c r="M491" s="630"/>
      <c r="N491" s="630"/>
      <c r="O491" s="690"/>
      <c r="P491" s="115"/>
      <c r="Q491" s="238" t="s">
        <v>147</v>
      </c>
      <c r="R491" s="183">
        <v>8</v>
      </c>
      <c r="S491" s="184" t="s">
        <v>148</v>
      </c>
    </row>
    <row r="492" spans="1:19" ht="15" customHeight="1" x14ac:dyDescent="0.25">
      <c r="A492" s="311" t="s">
        <v>110</v>
      </c>
      <c r="B492" s="632">
        <v>116</v>
      </c>
      <c r="C492" s="633"/>
      <c r="D492" s="633"/>
      <c r="E492" s="633"/>
      <c r="F492" s="633"/>
      <c r="G492" s="633"/>
      <c r="H492" s="633"/>
      <c r="I492" s="633"/>
      <c r="J492" s="633"/>
      <c r="K492" s="633"/>
      <c r="L492" s="633"/>
      <c r="M492" s="633"/>
      <c r="N492" s="633"/>
      <c r="O492" s="691"/>
      <c r="P492" s="115"/>
      <c r="Q492" s="239" t="s">
        <v>149</v>
      </c>
      <c r="R492" s="671">
        <v>8</v>
      </c>
      <c r="S492" s="673" t="s">
        <v>286</v>
      </c>
    </row>
    <row r="493" spans="1:19" ht="15.75" thickBot="1" x14ac:dyDescent="0.3">
      <c r="A493" s="311" t="s">
        <v>111</v>
      </c>
      <c r="B493" s="635">
        <v>14.5</v>
      </c>
      <c r="C493" s="636"/>
      <c r="D493" s="636"/>
      <c r="E493" s="636"/>
      <c r="F493" s="636"/>
      <c r="G493" s="636"/>
      <c r="H493" s="636"/>
      <c r="I493" s="636"/>
      <c r="J493" s="636"/>
      <c r="K493" s="636"/>
      <c r="L493" s="636"/>
      <c r="M493" s="636"/>
      <c r="N493" s="636"/>
      <c r="O493" s="686"/>
      <c r="P493" s="115"/>
      <c r="Q493" s="238" t="s">
        <v>150</v>
      </c>
      <c r="R493" s="672"/>
      <c r="S493" s="674"/>
    </row>
    <row r="494" spans="1:19" ht="15.75" thickBot="1" x14ac:dyDescent="0.3">
      <c r="A494" s="311" t="s">
        <v>273</v>
      </c>
      <c r="B494" s="638" t="s">
        <v>288</v>
      </c>
      <c r="C494" s="638"/>
      <c r="D494" s="638"/>
      <c r="E494" s="638"/>
      <c r="F494" s="638"/>
      <c r="G494" s="638"/>
      <c r="H494" s="638"/>
      <c r="I494" s="638"/>
      <c r="J494" s="638"/>
      <c r="K494" s="638"/>
      <c r="L494" s="638"/>
      <c r="M494" s="638"/>
      <c r="N494" s="638"/>
      <c r="O494" s="687"/>
      <c r="P494" s="115"/>
      <c r="Q494" s="238" t="s">
        <v>152</v>
      </c>
      <c r="R494" s="183">
        <v>6.5</v>
      </c>
      <c r="S494" s="184" t="s">
        <v>266</v>
      </c>
    </row>
    <row r="495" spans="1:19" ht="15.75" thickBot="1" x14ac:dyDescent="0.3">
      <c r="A495" s="587" t="s">
        <v>276</v>
      </c>
      <c r="B495" s="588"/>
      <c r="C495" s="588"/>
      <c r="D495" s="588"/>
      <c r="E495" s="588"/>
      <c r="F495" s="688"/>
      <c r="G495" s="453"/>
      <c r="H495" s="668" t="s">
        <v>128</v>
      </c>
      <c r="I495" s="669"/>
      <c r="J495" s="669"/>
      <c r="K495" s="669"/>
      <c r="L495" s="669"/>
      <c r="M495" s="669"/>
      <c r="N495" s="669"/>
      <c r="O495" s="689"/>
      <c r="P495" s="115"/>
      <c r="Q495" s="238" t="s">
        <v>154</v>
      </c>
      <c r="R495" s="183">
        <v>9</v>
      </c>
      <c r="S495" s="181" t="s">
        <v>267</v>
      </c>
    </row>
    <row r="496" spans="1:19" ht="15.75" thickBot="1" x14ac:dyDescent="0.3">
      <c r="A496" s="307" t="s">
        <v>98</v>
      </c>
      <c r="B496" s="365" t="s">
        <v>102</v>
      </c>
      <c r="C496" s="365" t="s">
        <v>92</v>
      </c>
      <c r="D496" s="365" t="s">
        <v>93</v>
      </c>
      <c r="E496" s="365" t="s">
        <v>94</v>
      </c>
      <c r="F496" s="366" t="s">
        <v>99</v>
      </c>
      <c r="G496" s="366"/>
      <c r="H496" s="365" t="s">
        <v>102</v>
      </c>
      <c r="I496" s="367" t="s">
        <v>98</v>
      </c>
      <c r="J496" s="365" t="s">
        <v>92</v>
      </c>
      <c r="K496" s="365" t="s">
        <v>93</v>
      </c>
      <c r="L496" s="412" t="s">
        <v>94</v>
      </c>
      <c r="M496" s="365" t="s">
        <v>279</v>
      </c>
      <c r="N496" s="365"/>
      <c r="O496" s="322" t="s">
        <v>99</v>
      </c>
      <c r="P496" s="115"/>
      <c r="Q496" s="238" t="s">
        <v>156</v>
      </c>
      <c r="R496" s="183">
        <v>9</v>
      </c>
      <c r="S496" s="181" t="s">
        <v>31</v>
      </c>
    </row>
    <row r="497" spans="1:19" ht="15.75" thickBot="1" x14ac:dyDescent="0.3">
      <c r="A497" s="308">
        <v>1264</v>
      </c>
      <c r="B497" s="365" t="s">
        <v>95</v>
      </c>
      <c r="C497" s="407">
        <v>1109.2</v>
      </c>
      <c r="D497" s="413">
        <v>799</v>
      </c>
      <c r="E497" s="386">
        <v>606.9</v>
      </c>
      <c r="F497" s="360">
        <f>SUM(C497:E497)</f>
        <v>2515.1</v>
      </c>
      <c r="G497" s="360"/>
      <c r="H497" s="359" t="s">
        <v>175</v>
      </c>
      <c r="I497" s="383">
        <v>1339</v>
      </c>
      <c r="J497" s="409">
        <v>1410.1</v>
      </c>
      <c r="K497" s="383">
        <v>1097.7</v>
      </c>
      <c r="L497" s="414">
        <v>193.3</v>
      </c>
      <c r="M497" s="383"/>
      <c r="N497" s="383"/>
      <c r="O497" s="360">
        <f t="shared" ref="O497:O504" si="82">SUM(J497:L497)</f>
        <v>2701.1000000000004</v>
      </c>
      <c r="P497" s="115"/>
      <c r="Q497" s="238" t="s">
        <v>158</v>
      </c>
      <c r="R497" s="254" t="s">
        <v>205</v>
      </c>
      <c r="S497" s="181"/>
    </row>
    <row r="498" spans="1:19" ht="15.75" thickBot="1" x14ac:dyDescent="0.3">
      <c r="A498" s="308">
        <v>175</v>
      </c>
      <c r="B498" s="365" t="s">
        <v>96</v>
      </c>
      <c r="C498" s="407">
        <v>104</v>
      </c>
      <c r="D498" s="413">
        <v>94.1</v>
      </c>
      <c r="E498" s="386">
        <v>119.1</v>
      </c>
      <c r="F498" s="360">
        <f>SUM(C498:E498)</f>
        <v>317.2</v>
      </c>
      <c r="G498" s="475"/>
      <c r="H498" s="404" t="s">
        <v>176</v>
      </c>
      <c r="I498" s="415">
        <v>154</v>
      </c>
      <c r="J498" s="409">
        <v>152.30000000000001</v>
      </c>
      <c r="K498" s="383">
        <v>153</v>
      </c>
      <c r="L498" s="414">
        <v>42.1</v>
      </c>
      <c r="M498" s="383"/>
      <c r="N498" s="383"/>
      <c r="O498" s="360">
        <f t="shared" si="82"/>
        <v>347.40000000000003</v>
      </c>
      <c r="P498" s="115"/>
      <c r="Q498" s="185" t="s">
        <v>99</v>
      </c>
      <c r="R498" s="183">
        <v>57.5</v>
      </c>
      <c r="S498" s="186">
        <v>0.82099999999999995</v>
      </c>
    </row>
    <row r="499" spans="1:19" x14ac:dyDescent="0.25">
      <c r="A499" s="307" t="s">
        <v>100</v>
      </c>
      <c r="B499" s="365" t="s">
        <v>95</v>
      </c>
      <c r="C499" s="410">
        <f t="shared" ref="C499:E500" si="83">C497/$A497</f>
        <v>0.87753164556962027</v>
      </c>
      <c r="D499" s="410">
        <f t="shared" si="83"/>
        <v>0.632120253164557</v>
      </c>
      <c r="E499" s="410">
        <f t="shared" si="83"/>
        <v>0.48014240506329114</v>
      </c>
      <c r="F499" s="360">
        <f t="shared" ref="F499:F504" si="84">SUM(C499:E499)</f>
        <v>1.9897943037974684</v>
      </c>
      <c r="G499" s="360"/>
      <c r="H499" s="359" t="s">
        <v>175</v>
      </c>
      <c r="I499" s="387" t="s">
        <v>177</v>
      </c>
      <c r="J499" s="411">
        <f t="shared" ref="J499:L500" si="85">J497/$I497</f>
        <v>1.0530993278566094</v>
      </c>
      <c r="K499" s="411">
        <f t="shared" si="85"/>
        <v>0.8197908887229276</v>
      </c>
      <c r="L499" s="416">
        <f t="shared" si="85"/>
        <v>0.14436146377893952</v>
      </c>
      <c r="M499" s="411"/>
      <c r="N499" s="410"/>
      <c r="O499" s="360">
        <f t="shared" si="82"/>
        <v>2.0172516803584766</v>
      </c>
      <c r="P499" s="115"/>
      <c r="Q499" s="244"/>
      <c r="R499" s="245"/>
      <c r="S499" s="245"/>
    </row>
    <row r="500" spans="1:19" x14ac:dyDescent="0.25">
      <c r="A500" s="307" t="s">
        <v>100</v>
      </c>
      <c r="B500" s="365" t="s">
        <v>96</v>
      </c>
      <c r="C500" s="386">
        <f t="shared" si="83"/>
        <v>0.59428571428571431</v>
      </c>
      <c r="D500" s="386">
        <f t="shared" si="83"/>
        <v>0.5377142857142857</v>
      </c>
      <c r="E500" s="386">
        <f t="shared" si="83"/>
        <v>0.68057142857142849</v>
      </c>
      <c r="F500" s="360">
        <f t="shared" si="84"/>
        <v>1.8125714285714287</v>
      </c>
      <c r="G500" s="360"/>
      <c r="H500" s="359" t="s">
        <v>176</v>
      </c>
      <c r="I500" s="387" t="s">
        <v>177</v>
      </c>
      <c r="J500" s="320">
        <f t="shared" si="85"/>
        <v>0.98896103896103904</v>
      </c>
      <c r="K500" s="320">
        <f t="shared" si="85"/>
        <v>0.99350649350649356</v>
      </c>
      <c r="L500" s="320">
        <f t="shared" si="85"/>
        <v>0.27337662337662338</v>
      </c>
      <c r="M500" s="320"/>
      <c r="N500" s="482"/>
      <c r="O500" s="360">
        <f t="shared" si="82"/>
        <v>2.255844155844156</v>
      </c>
      <c r="P500" s="115"/>
      <c r="Q500" s="246"/>
      <c r="R500" s="246"/>
      <c r="S500" s="246"/>
    </row>
    <row r="501" spans="1:19" x14ac:dyDescent="0.25">
      <c r="A501" s="307" t="s">
        <v>104</v>
      </c>
      <c r="B501" s="365" t="s">
        <v>95</v>
      </c>
      <c r="C501" s="386">
        <f>C497/($A497/7.7)</f>
        <v>6.7569936708860761</v>
      </c>
      <c r="D501" s="386">
        <f>D497/($A497/7)</f>
        <v>4.4248417721518987</v>
      </c>
      <c r="E501" s="386">
        <f>E497/($A497/7)</f>
        <v>3.3609968354430375</v>
      </c>
      <c r="F501" s="360">
        <f t="shared" si="84"/>
        <v>14.542832278481013</v>
      </c>
      <c r="G501" s="469"/>
      <c r="H501" s="372" t="s">
        <v>175</v>
      </c>
      <c r="I501" s="387" t="s">
        <v>178</v>
      </c>
      <c r="J501" s="320">
        <f t="shared" ref="J501:L502" si="86">J497/($I497/7.7)</f>
        <v>8.1088648244958925</v>
      </c>
      <c r="K501" s="320">
        <f t="shared" si="86"/>
        <v>6.3123898431665433</v>
      </c>
      <c r="L501" s="320">
        <f t="shared" si="86"/>
        <v>1.1115832710978344</v>
      </c>
      <c r="M501" s="320"/>
      <c r="N501" s="482"/>
      <c r="O501" s="360">
        <f t="shared" si="82"/>
        <v>15.53283793876027</v>
      </c>
      <c r="P501" s="115"/>
      <c r="Q501" s="246"/>
      <c r="R501" s="246"/>
      <c r="S501" s="246"/>
    </row>
    <row r="502" spans="1:19" x14ac:dyDescent="0.25">
      <c r="A502" s="307" t="s">
        <v>104</v>
      </c>
      <c r="B502" s="365" t="s">
        <v>96</v>
      </c>
      <c r="C502" s="386">
        <f>C498/($A498/7.7)</f>
        <v>4.5760000000000005</v>
      </c>
      <c r="D502" s="386">
        <f>D498/($A498/7.7)</f>
        <v>4.1403999999999996</v>
      </c>
      <c r="E502" s="386">
        <f>E498/($A498/7.7)</f>
        <v>5.2404000000000002</v>
      </c>
      <c r="F502" s="360">
        <f t="shared" si="84"/>
        <v>13.956800000000001</v>
      </c>
      <c r="G502" s="360"/>
      <c r="H502" s="359" t="s">
        <v>176</v>
      </c>
      <c r="I502" s="387" t="s">
        <v>178</v>
      </c>
      <c r="J502" s="320">
        <f t="shared" si="86"/>
        <v>7.6150000000000002</v>
      </c>
      <c r="K502" s="320">
        <f t="shared" si="86"/>
        <v>7.65</v>
      </c>
      <c r="L502" s="320">
        <f t="shared" si="86"/>
        <v>2.105</v>
      </c>
      <c r="M502" s="320"/>
      <c r="N502" s="482"/>
      <c r="O502" s="360">
        <f t="shared" si="82"/>
        <v>17.37</v>
      </c>
      <c r="P502" s="115"/>
      <c r="Q502" s="246"/>
      <c r="R502" s="246"/>
      <c r="S502" s="246"/>
    </row>
    <row r="503" spans="1:19" x14ac:dyDescent="0.25">
      <c r="A503" s="307" t="s">
        <v>135</v>
      </c>
      <c r="B503" s="365" t="s">
        <v>95</v>
      </c>
      <c r="C503" s="386">
        <f>C497/((($A497*$B493)*(1-$B490))/$B488)</f>
        <v>0.15565171111978984</v>
      </c>
      <c r="D503" s="386">
        <f>D497/((($A497*$B493)*(1-$B490))/$B488)</f>
        <v>0.11212199529815368</v>
      </c>
      <c r="E503" s="386">
        <f>E497/((($A497*$B493)*(1-$B490))/$B488)</f>
        <v>8.5165004939235886E-2</v>
      </c>
      <c r="F503" s="360">
        <f t="shared" si="84"/>
        <v>0.35293871135717941</v>
      </c>
      <c r="G503" s="360"/>
      <c r="H503" s="361" t="s">
        <v>175</v>
      </c>
      <c r="I503" s="387" t="s">
        <v>179</v>
      </c>
      <c r="J503" s="320">
        <f>J497/((($I497*$B493)*(1-$B490))/$B488)</f>
        <v>0.18679293583034348</v>
      </c>
      <c r="K503" s="320">
        <f>K497/((($I497*$B493)*(1-$B490))/$B488)</f>
        <v>0.14540997493863417</v>
      </c>
      <c r="L503" s="320">
        <f>L497/((($I497*$B493)*(1-$B490))/$B488)</f>
        <v>2.5606038221406568E-2</v>
      </c>
      <c r="M503" s="320"/>
      <c r="N503" s="482"/>
      <c r="O503" s="360">
        <f t="shared" si="82"/>
        <v>0.35780894899038423</v>
      </c>
    </row>
    <row r="504" spans="1:19" x14ac:dyDescent="0.25">
      <c r="A504" s="307" t="s">
        <v>135</v>
      </c>
      <c r="B504" s="365" t="s">
        <v>96</v>
      </c>
      <c r="C504" s="386">
        <f>C498/((($A498*$B493)*(1-$B490))/$B488)</f>
        <v>0.10541111399187621</v>
      </c>
      <c r="D504" s="386">
        <f>D498/((($A498*$B493)*(1-$B490))/$B488)</f>
        <v>9.5376786794572607E-2</v>
      </c>
      <c r="E504" s="386">
        <f>E498/((($A498*$B493)*(1-$B490))/$B488)</f>
        <v>0.12071599688877362</v>
      </c>
      <c r="F504" s="360">
        <f t="shared" si="84"/>
        <v>0.32150389767522242</v>
      </c>
      <c r="G504" s="360"/>
      <c r="H504" s="361" t="s">
        <v>176</v>
      </c>
      <c r="I504" s="387" t="s">
        <v>179</v>
      </c>
      <c r="J504" s="320">
        <f>J498/((($I498*$B493)*(1-$B490))/$B488)</f>
        <v>0.17541644078849156</v>
      </c>
      <c r="K504" s="320">
        <f>K498/((($I498*$B493)*(1-$B490))/$B488)</f>
        <v>0.17622268838239794</v>
      </c>
      <c r="L504" s="320">
        <f>L498/((($I498*$B493)*(1-$B490))/$B488)</f>
        <v>4.8490033862084662E-2</v>
      </c>
      <c r="M504" s="320"/>
      <c r="N504" s="482"/>
      <c r="O504" s="360">
        <f t="shared" si="82"/>
        <v>0.40012916303297413</v>
      </c>
    </row>
    <row r="506" spans="1:19" x14ac:dyDescent="0.25">
      <c r="A506" s="178"/>
      <c r="B506" s="178"/>
      <c r="C506" s="178"/>
      <c r="D506" s="178"/>
      <c r="E506" s="178"/>
      <c r="F506" s="178"/>
      <c r="G506" s="178"/>
      <c r="H506" s="178"/>
      <c r="I506" s="178"/>
      <c r="J506" s="178"/>
      <c r="K506" s="178"/>
      <c r="L506" s="178"/>
      <c r="M506" s="178"/>
      <c r="N506" s="178"/>
      <c r="O506" s="178"/>
      <c r="P506" s="122"/>
      <c r="Q506" s="233"/>
      <c r="R506" s="233"/>
      <c r="S506" s="233"/>
    </row>
    <row r="507" spans="1:19" ht="21" x14ac:dyDescent="0.25">
      <c r="A507" s="305"/>
      <c r="B507" s="692" t="s">
        <v>192</v>
      </c>
      <c r="C507" s="693"/>
      <c r="D507" s="693"/>
      <c r="E507" s="693"/>
      <c r="F507" s="693"/>
      <c r="G507" s="693"/>
      <c r="H507" s="693"/>
      <c r="I507" s="693"/>
      <c r="J507" s="693"/>
      <c r="K507" s="693"/>
      <c r="L507" s="693"/>
      <c r="M507" s="693"/>
      <c r="N507" s="693"/>
      <c r="O507" s="694"/>
      <c r="P507" s="118" t="s">
        <v>97</v>
      </c>
      <c r="Q507" s="678" t="s">
        <v>193</v>
      </c>
      <c r="R507" s="678"/>
      <c r="S507" s="678"/>
    </row>
    <row r="508" spans="1:19" ht="21" x14ac:dyDescent="0.25">
      <c r="A508" s="310" t="s">
        <v>285</v>
      </c>
      <c r="B508" s="695">
        <v>43816</v>
      </c>
      <c r="C508" s="696"/>
      <c r="D508" s="696"/>
      <c r="E508" s="696"/>
      <c r="F508" s="696"/>
      <c r="G508" s="696"/>
      <c r="H508" s="696"/>
      <c r="I508" s="696"/>
      <c r="J508" s="696"/>
      <c r="K508" s="696"/>
      <c r="L508" s="696"/>
      <c r="M508" s="696"/>
      <c r="N508" s="696"/>
      <c r="O508" s="697"/>
      <c r="P508" s="118"/>
      <c r="Q508" s="678"/>
      <c r="R508" s="678"/>
      <c r="S508" s="678"/>
    </row>
    <row r="509" spans="1:19" x14ac:dyDescent="0.25">
      <c r="A509" s="310"/>
      <c r="B509" s="650" t="s">
        <v>115</v>
      </c>
      <c r="C509" s="651"/>
      <c r="D509" s="651"/>
      <c r="E509" s="651"/>
      <c r="F509" s="651"/>
      <c r="G509" s="651"/>
      <c r="H509" s="651"/>
      <c r="I509" s="651"/>
      <c r="J509" s="651"/>
      <c r="K509" s="651"/>
      <c r="L509" s="651"/>
      <c r="M509" s="651"/>
      <c r="N509" s="651"/>
      <c r="O509" s="652"/>
      <c r="P509" s="118"/>
      <c r="Q509" s="678"/>
      <c r="R509" s="678"/>
      <c r="S509" s="678"/>
    </row>
    <row r="510" spans="1:19" x14ac:dyDescent="0.25">
      <c r="A510" s="310" t="s">
        <v>106</v>
      </c>
      <c r="B510" s="629">
        <f>19000/1000</f>
        <v>19</v>
      </c>
      <c r="C510" s="630"/>
      <c r="D510" s="630"/>
      <c r="E510" s="690"/>
      <c r="F510" s="365" t="s">
        <v>174</v>
      </c>
      <c r="G510" s="471"/>
      <c r="H510" s="668">
        <v>0</v>
      </c>
      <c r="I510" s="669"/>
      <c r="J510" s="669"/>
      <c r="K510" s="669"/>
      <c r="L510" s="689"/>
      <c r="M510" s="629">
        <f>SUM(B510,H511)</f>
        <v>19</v>
      </c>
      <c r="N510" s="630"/>
      <c r="O510" s="690"/>
      <c r="P510" s="118"/>
      <c r="Q510" s="678"/>
      <c r="R510" s="678"/>
      <c r="S510" s="678"/>
    </row>
    <row r="511" spans="1:19" x14ac:dyDescent="0.25">
      <c r="A511" s="311" t="s">
        <v>112</v>
      </c>
      <c r="B511" s="626">
        <v>0.13</v>
      </c>
      <c r="C511" s="627"/>
      <c r="D511" s="627"/>
      <c r="E511" s="698"/>
      <c r="F511" s="290"/>
      <c r="G511" s="472"/>
      <c r="H511" s="626">
        <v>0</v>
      </c>
      <c r="I511" s="627"/>
      <c r="J511" s="627"/>
      <c r="K511" s="627"/>
      <c r="L511" s="698"/>
      <c r="M511" s="626">
        <f>B511</f>
        <v>0.13</v>
      </c>
      <c r="N511" s="627"/>
      <c r="O511" s="698"/>
      <c r="P511" s="118"/>
      <c r="Q511" s="678"/>
      <c r="R511" s="678"/>
      <c r="S511" s="678"/>
    </row>
    <row r="512" spans="1:19" ht="15.75" thickBot="1" x14ac:dyDescent="0.3">
      <c r="A512" s="311" t="s">
        <v>107</v>
      </c>
      <c r="B512" s="629">
        <f>B510*(1-B511)</f>
        <v>16.53</v>
      </c>
      <c r="C512" s="630"/>
      <c r="D512" s="630"/>
      <c r="E512" s="690"/>
      <c r="F512" s="290"/>
      <c r="G512" s="472"/>
      <c r="H512" s="629">
        <f>H510*(1-H511)</f>
        <v>0</v>
      </c>
      <c r="I512" s="630"/>
      <c r="J512" s="630"/>
      <c r="K512" s="630"/>
      <c r="L512" s="690"/>
      <c r="M512" s="629">
        <f>SUM(B512,H512)</f>
        <v>16.53</v>
      </c>
      <c r="N512" s="630"/>
      <c r="O512" s="690"/>
      <c r="P512" s="118"/>
      <c r="Q512" s="255" t="s">
        <v>97</v>
      </c>
    </row>
    <row r="513" spans="1:19" ht="15.75" thickBot="1" x14ac:dyDescent="0.3">
      <c r="A513" s="311" t="s">
        <v>108</v>
      </c>
      <c r="B513" s="626">
        <f>B516/B512</f>
        <v>0.85836660617059868</v>
      </c>
      <c r="C513" s="627"/>
      <c r="D513" s="627"/>
      <c r="E513" s="627"/>
      <c r="F513" s="627"/>
      <c r="G513" s="627"/>
      <c r="H513" s="627"/>
      <c r="I513" s="627"/>
      <c r="J513" s="627"/>
      <c r="K513" s="627"/>
      <c r="L513" s="627"/>
      <c r="M513" s="627"/>
      <c r="N513" s="627"/>
      <c r="O513" s="628"/>
      <c r="P513" s="118"/>
      <c r="Q513" s="256" t="s">
        <v>139</v>
      </c>
      <c r="R513" s="257" t="s">
        <v>140</v>
      </c>
      <c r="S513" s="258" t="s">
        <v>142</v>
      </c>
    </row>
    <row r="514" spans="1:19" ht="29.25" thickBot="1" x14ac:dyDescent="0.3">
      <c r="A514" s="311" t="s">
        <v>113</v>
      </c>
      <c r="B514" s="629">
        <f>B518*((A522+A523+I522+I523)/1000)</f>
        <v>44.339999999999996</v>
      </c>
      <c r="C514" s="630"/>
      <c r="D514" s="630"/>
      <c r="E514" s="630"/>
      <c r="F514" s="630"/>
      <c r="G514" s="630"/>
      <c r="H514" s="630"/>
      <c r="I514" s="630"/>
      <c r="J514" s="630"/>
      <c r="K514" s="630"/>
      <c r="L514" s="630"/>
      <c r="M514" s="630"/>
      <c r="N514" s="630"/>
      <c r="O514" s="631"/>
      <c r="P514" s="118"/>
      <c r="Q514" s="238" t="s">
        <v>143</v>
      </c>
      <c r="R514" s="183">
        <v>8</v>
      </c>
      <c r="S514" s="181" t="s">
        <v>75</v>
      </c>
    </row>
    <row r="515" spans="1:19" ht="15.75" thickBot="1" x14ac:dyDescent="0.3">
      <c r="A515" s="311" t="s">
        <v>109</v>
      </c>
      <c r="B515" s="626">
        <v>0.68</v>
      </c>
      <c r="C515" s="627"/>
      <c r="D515" s="627"/>
      <c r="E515" s="627"/>
      <c r="F515" s="627"/>
      <c r="G515" s="627"/>
      <c r="H515" s="627"/>
      <c r="I515" s="627"/>
      <c r="J515" s="627"/>
      <c r="K515" s="627"/>
      <c r="L515" s="627"/>
      <c r="M515" s="627"/>
      <c r="N515" s="627"/>
      <c r="O515" s="628"/>
      <c r="P515" s="118"/>
      <c r="Q515" s="238" t="s">
        <v>145</v>
      </c>
      <c r="R515" s="183">
        <v>9</v>
      </c>
      <c r="S515" s="184" t="s">
        <v>76</v>
      </c>
    </row>
    <row r="516" spans="1:19" ht="15.75" thickBot="1" x14ac:dyDescent="0.3">
      <c r="A516" s="311" t="s">
        <v>122</v>
      </c>
      <c r="B516" s="629">
        <f>B514-(B514*B515)</f>
        <v>14.188799999999997</v>
      </c>
      <c r="C516" s="630"/>
      <c r="D516" s="630"/>
      <c r="E516" s="630"/>
      <c r="F516" s="630"/>
      <c r="G516" s="630"/>
      <c r="H516" s="630"/>
      <c r="I516" s="630"/>
      <c r="J516" s="630"/>
      <c r="K516" s="630"/>
      <c r="L516" s="630"/>
      <c r="M516" s="630"/>
      <c r="N516" s="630"/>
      <c r="O516" s="690"/>
      <c r="P516" s="118"/>
      <c r="Q516" s="238" t="s">
        <v>147</v>
      </c>
      <c r="R516" s="183">
        <v>8</v>
      </c>
      <c r="S516" s="184" t="s">
        <v>148</v>
      </c>
    </row>
    <row r="517" spans="1:19" x14ac:dyDescent="0.25">
      <c r="A517" s="311" t="s">
        <v>110</v>
      </c>
      <c r="B517" s="632">
        <v>116</v>
      </c>
      <c r="C517" s="633"/>
      <c r="D517" s="633"/>
      <c r="E517" s="633"/>
      <c r="F517" s="633"/>
      <c r="G517" s="633"/>
      <c r="H517" s="633"/>
      <c r="I517" s="633"/>
      <c r="J517" s="633"/>
      <c r="K517" s="633"/>
      <c r="L517" s="633"/>
      <c r="M517" s="633"/>
      <c r="N517" s="633"/>
      <c r="O517" s="691"/>
      <c r="P517" s="118"/>
      <c r="Q517" s="239" t="s">
        <v>149</v>
      </c>
      <c r="R517" s="671">
        <v>8</v>
      </c>
      <c r="S517" s="673" t="s">
        <v>286</v>
      </c>
    </row>
    <row r="518" spans="1:19" ht="15.75" thickBot="1" x14ac:dyDescent="0.3">
      <c r="A518" s="311" t="s">
        <v>111</v>
      </c>
      <c r="B518" s="635">
        <v>15</v>
      </c>
      <c r="C518" s="636"/>
      <c r="D518" s="636"/>
      <c r="E518" s="636"/>
      <c r="F518" s="636"/>
      <c r="G518" s="636"/>
      <c r="H518" s="636"/>
      <c r="I518" s="636"/>
      <c r="J518" s="636"/>
      <c r="K518" s="636"/>
      <c r="L518" s="636"/>
      <c r="M518" s="636"/>
      <c r="N518" s="636"/>
      <c r="O518" s="686"/>
      <c r="P518" s="118"/>
      <c r="Q518" s="238" t="s">
        <v>150</v>
      </c>
      <c r="R518" s="672"/>
      <c r="S518" s="674"/>
    </row>
    <row r="519" spans="1:19" ht="15.75" thickBot="1" x14ac:dyDescent="0.3">
      <c r="A519" s="311" t="s">
        <v>273</v>
      </c>
      <c r="B519" s="638" t="s">
        <v>291</v>
      </c>
      <c r="C519" s="638"/>
      <c r="D519" s="638"/>
      <c r="E519" s="638"/>
      <c r="F519" s="638"/>
      <c r="G519" s="638"/>
      <c r="H519" s="638"/>
      <c r="I519" s="638"/>
      <c r="J519" s="638"/>
      <c r="K519" s="638"/>
      <c r="L519" s="638"/>
      <c r="M519" s="638"/>
      <c r="N519" s="638"/>
      <c r="O519" s="687"/>
      <c r="P519" s="118"/>
      <c r="Q519" s="238" t="s">
        <v>152</v>
      </c>
      <c r="R519" s="183">
        <v>6.5</v>
      </c>
      <c r="S519" s="184" t="s">
        <v>266</v>
      </c>
    </row>
    <row r="520" spans="1:19" ht="15.75" thickBot="1" x14ac:dyDescent="0.3">
      <c r="A520" s="587" t="s">
        <v>276</v>
      </c>
      <c r="B520" s="588"/>
      <c r="C520" s="588"/>
      <c r="D520" s="588"/>
      <c r="E520" s="588"/>
      <c r="F520" s="688"/>
      <c r="G520" s="453"/>
      <c r="H520" s="668" t="s">
        <v>128</v>
      </c>
      <c r="I520" s="669"/>
      <c r="J520" s="669"/>
      <c r="K520" s="669"/>
      <c r="L520" s="669"/>
      <c r="M520" s="669"/>
      <c r="N520" s="669"/>
      <c r="O520" s="689"/>
      <c r="P520" s="118"/>
      <c r="Q520" s="238" t="s">
        <v>154</v>
      </c>
      <c r="R520" s="183">
        <v>9</v>
      </c>
      <c r="S520" s="181" t="s">
        <v>267</v>
      </c>
    </row>
    <row r="521" spans="1:19" ht="15.75" thickBot="1" x14ac:dyDescent="0.3">
      <c r="A521" s="307" t="s">
        <v>98</v>
      </c>
      <c r="B521" s="365" t="s">
        <v>102</v>
      </c>
      <c r="C521" s="365" t="s">
        <v>92</v>
      </c>
      <c r="D521" s="365" t="s">
        <v>93</v>
      </c>
      <c r="E521" s="365" t="s">
        <v>94</v>
      </c>
      <c r="F521" s="366" t="s">
        <v>99</v>
      </c>
      <c r="G521" s="366"/>
      <c r="H521" s="365" t="s">
        <v>102</v>
      </c>
      <c r="I521" s="367" t="s">
        <v>98</v>
      </c>
      <c r="J521" s="365" t="s">
        <v>92</v>
      </c>
      <c r="K521" s="365" t="s">
        <v>93</v>
      </c>
      <c r="L521" s="412" t="s">
        <v>94</v>
      </c>
      <c r="M521" s="365" t="s">
        <v>279</v>
      </c>
      <c r="N521" s="365"/>
      <c r="O521" s="322" t="s">
        <v>99</v>
      </c>
      <c r="P521" s="118"/>
      <c r="Q521" s="238" t="s">
        <v>156</v>
      </c>
      <c r="R521" s="183">
        <v>9</v>
      </c>
      <c r="S521" s="181" t="s">
        <v>31</v>
      </c>
    </row>
    <row r="522" spans="1:19" ht="15.75" thickBot="1" x14ac:dyDescent="0.3">
      <c r="A522" s="308">
        <v>1320</v>
      </c>
      <c r="B522" s="365" t="s">
        <v>95</v>
      </c>
      <c r="C522" s="407">
        <v>989.6</v>
      </c>
      <c r="D522" s="413">
        <v>654.20000000000005</v>
      </c>
      <c r="E522" s="386">
        <v>595.79999999999995</v>
      </c>
      <c r="F522" s="360">
        <f>SUM(C522:E522)</f>
        <v>2239.6000000000004</v>
      </c>
      <c r="G522" s="360"/>
      <c r="H522" s="359" t="s">
        <v>175</v>
      </c>
      <c r="I522" s="383">
        <v>1336</v>
      </c>
      <c r="J522" s="403">
        <v>1520.2</v>
      </c>
      <c r="K522" s="409">
        <v>644.79999999999995</v>
      </c>
      <c r="L522" s="403">
        <v>582.5</v>
      </c>
      <c r="M522" s="383">
        <v>430.4</v>
      </c>
      <c r="N522" s="383"/>
      <c r="O522" s="360">
        <f t="shared" ref="O522:O529" si="87">SUM(J522:M522)</f>
        <v>3177.9</v>
      </c>
      <c r="P522" s="118"/>
      <c r="Q522" s="238" t="s">
        <v>158</v>
      </c>
      <c r="R522" s="259">
        <v>7</v>
      </c>
      <c r="S522" s="181" t="s">
        <v>290</v>
      </c>
    </row>
    <row r="523" spans="1:19" ht="15.75" thickBot="1" x14ac:dyDescent="0.3">
      <c r="A523" s="308">
        <v>150</v>
      </c>
      <c r="B523" s="365" t="s">
        <v>96</v>
      </c>
      <c r="C523" s="407">
        <v>102.9</v>
      </c>
      <c r="D523" s="413">
        <v>121.2</v>
      </c>
      <c r="E523" s="386">
        <v>138.80000000000001</v>
      </c>
      <c r="F523" s="360">
        <f>SUM(C523:E523)</f>
        <v>362.90000000000003</v>
      </c>
      <c r="G523" s="475"/>
      <c r="H523" s="404" t="s">
        <v>176</v>
      </c>
      <c r="I523" s="415">
        <v>150</v>
      </c>
      <c r="J523" s="409">
        <v>116.5</v>
      </c>
      <c r="K523" s="409">
        <v>121.2</v>
      </c>
      <c r="L523" s="403">
        <v>15.4</v>
      </c>
      <c r="M523" s="383">
        <v>37.9</v>
      </c>
      <c r="N523" s="383"/>
      <c r="O523" s="360">
        <f t="shared" si="87"/>
        <v>291</v>
      </c>
      <c r="P523" s="118"/>
      <c r="Q523" s="185" t="s">
        <v>99</v>
      </c>
      <c r="R523" s="183">
        <f>SUM(R514:R521)</f>
        <v>57.5</v>
      </c>
      <c r="S523" s="186">
        <f>R523/80</f>
        <v>0.71875</v>
      </c>
    </row>
    <row r="524" spans="1:19" x14ac:dyDescent="0.25">
      <c r="A524" s="307" t="s">
        <v>100</v>
      </c>
      <c r="B524" s="365" t="s">
        <v>95</v>
      </c>
      <c r="C524" s="410">
        <f t="shared" ref="C524:E525" si="88">C522/$A522</f>
        <v>0.74969696969696975</v>
      </c>
      <c r="D524" s="410">
        <f t="shared" si="88"/>
        <v>0.49560606060606066</v>
      </c>
      <c r="E524" s="410">
        <f t="shared" si="88"/>
        <v>0.45136363636363636</v>
      </c>
      <c r="F524" s="417">
        <f t="shared" ref="F524:F529" si="89">SUM(C524:E524)</f>
        <v>1.6966666666666668</v>
      </c>
      <c r="G524" s="417"/>
      <c r="H524" s="359" t="s">
        <v>175</v>
      </c>
      <c r="I524" s="387" t="s">
        <v>177</v>
      </c>
      <c r="J524" s="418">
        <f t="shared" ref="J524:M525" si="90">J522/$I522</f>
        <v>1.1378742514970059</v>
      </c>
      <c r="K524" s="411">
        <f t="shared" si="90"/>
        <v>0.48263473053892214</v>
      </c>
      <c r="L524" s="416">
        <f t="shared" si="90"/>
        <v>0.43600299401197606</v>
      </c>
      <c r="M524" s="416">
        <f t="shared" si="90"/>
        <v>0.32215568862275445</v>
      </c>
      <c r="N524" s="483"/>
      <c r="O524" s="417">
        <f t="shared" si="87"/>
        <v>2.3786676646706586</v>
      </c>
      <c r="P524" s="118"/>
      <c r="Q524" s="244"/>
      <c r="R524" s="245"/>
      <c r="S524" s="245"/>
    </row>
    <row r="525" spans="1:19" x14ac:dyDescent="0.25">
      <c r="A525" s="307" t="s">
        <v>100</v>
      </c>
      <c r="B525" s="365" t="s">
        <v>96</v>
      </c>
      <c r="C525" s="386">
        <f t="shared" si="88"/>
        <v>0.68600000000000005</v>
      </c>
      <c r="D525" s="386">
        <f t="shared" si="88"/>
        <v>0.80800000000000005</v>
      </c>
      <c r="E525" s="386">
        <f t="shared" si="88"/>
        <v>0.92533333333333345</v>
      </c>
      <c r="F525" s="360">
        <f t="shared" si="89"/>
        <v>2.4193333333333338</v>
      </c>
      <c r="G525" s="360"/>
      <c r="H525" s="359" t="s">
        <v>176</v>
      </c>
      <c r="I525" s="387" t="s">
        <v>177</v>
      </c>
      <c r="J525" s="320">
        <f t="shared" si="90"/>
        <v>0.77666666666666662</v>
      </c>
      <c r="K525" s="320">
        <f t="shared" si="90"/>
        <v>0.80800000000000005</v>
      </c>
      <c r="L525" s="320">
        <f t="shared" si="90"/>
        <v>0.10266666666666667</v>
      </c>
      <c r="M525" s="320">
        <f t="shared" si="90"/>
        <v>0.25266666666666665</v>
      </c>
      <c r="N525" s="482"/>
      <c r="O525" s="360">
        <f t="shared" si="87"/>
        <v>1.94</v>
      </c>
      <c r="P525" s="118"/>
      <c r="Q525" s="246"/>
      <c r="R525" s="246"/>
      <c r="S525" s="246"/>
    </row>
    <row r="526" spans="1:19" x14ac:dyDescent="0.25">
      <c r="A526" s="307" t="s">
        <v>104</v>
      </c>
      <c r="B526" s="365" t="s">
        <v>95</v>
      </c>
      <c r="C526" s="386">
        <f>C522/($A522/7.7)</f>
        <v>5.7726666666666668</v>
      </c>
      <c r="D526" s="386">
        <f>D522/($A522/7)</f>
        <v>3.4692424242424242</v>
      </c>
      <c r="E526" s="386">
        <f>E522/($A522/7)</f>
        <v>3.1595454545454542</v>
      </c>
      <c r="F526" s="360">
        <f t="shared" si="89"/>
        <v>12.401454545454545</v>
      </c>
      <c r="G526" s="469"/>
      <c r="H526" s="372" t="s">
        <v>175</v>
      </c>
      <c r="I526" s="387" t="s">
        <v>178</v>
      </c>
      <c r="J526" s="320">
        <f t="shared" ref="J526:M527" si="91">J522/($I522/7.7)</f>
        <v>8.7616317365269456</v>
      </c>
      <c r="K526" s="320">
        <f t="shared" si="91"/>
        <v>3.7162874251497002</v>
      </c>
      <c r="L526" s="320">
        <f t="shared" si="91"/>
        <v>3.3572230538922154</v>
      </c>
      <c r="M526" s="320">
        <f t="shared" si="91"/>
        <v>2.4805988023952095</v>
      </c>
      <c r="N526" s="482"/>
      <c r="O526" s="360">
        <f t="shared" si="87"/>
        <v>18.315741017964072</v>
      </c>
      <c r="P526" s="118"/>
      <c r="Q526" s="246"/>
      <c r="R526" s="246"/>
      <c r="S526" s="246"/>
    </row>
    <row r="527" spans="1:19" x14ac:dyDescent="0.25">
      <c r="A527" s="307" t="s">
        <v>104</v>
      </c>
      <c r="B527" s="365" t="s">
        <v>96</v>
      </c>
      <c r="C527" s="386">
        <f>C523/($A523/7.7)</f>
        <v>5.2822000000000005</v>
      </c>
      <c r="D527" s="386">
        <f>D523/($A523/7.7)</f>
        <v>6.2216000000000005</v>
      </c>
      <c r="E527" s="386">
        <f>E523/($A523/7.7)</f>
        <v>7.125066666666668</v>
      </c>
      <c r="F527" s="360">
        <f t="shared" si="89"/>
        <v>18.628866666666671</v>
      </c>
      <c r="G527" s="360"/>
      <c r="H527" s="359" t="s">
        <v>176</v>
      </c>
      <c r="I527" s="387" t="s">
        <v>178</v>
      </c>
      <c r="J527" s="320">
        <f t="shared" si="91"/>
        <v>5.9803333333333333</v>
      </c>
      <c r="K527" s="320">
        <f t="shared" si="91"/>
        <v>6.2216000000000005</v>
      </c>
      <c r="L527" s="320">
        <f t="shared" si="91"/>
        <v>0.79053333333333342</v>
      </c>
      <c r="M527" s="320">
        <f t="shared" si="91"/>
        <v>1.9455333333333333</v>
      </c>
      <c r="N527" s="482"/>
      <c r="O527" s="360">
        <f t="shared" si="87"/>
        <v>14.938000000000001</v>
      </c>
      <c r="P527" s="118"/>
      <c r="Q527" s="246"/>
      <c r="R527" s="246"/>
      <c r="S527" s="246"/>
    </row>
    <row r="528" spans="1:19" x14ac:dyDescent="0.25">
      <c r="A528" s="307" t="s">
        <v>135</v>
      </c>
      <c r="B528" s="365" t="s">
        <v>95</v>
      </c>
      <c r="C528" s="386">
        <f>C522/((($A522*$B518)*(1-$B515))/$B513)</f>
        <v>0.13406559240316043</v>
      </c>
      <c r="D528" s="386">
        <f>D522/((($A522*$B518)*(1-$B515))/$B513)</f>
        <v>8.8627435883334243E-2</v>
      </c>
      <c r="E528" s="386">
        <f>E522/((($A522*$B518)*(1-$B515))/$B513)</f>
        <v>8.0715723477973914E-2</v>
      </c>
      <c r="F528" s="360">
        <f t="shared" si="89"/>
        <v>0.30340875176446858</v>
      </c>
      <c r="G528" s="360"/>
      <c r="H528" s="361" t="s">
        <v>175</v>
      </c>
      <c r="I528" s="387" t="s">
        <v>179</v>
      </c>
      <c r="J528" s="320">
        <f>J522/((($I522*$B518)*(1-$B515))/$B513)</f>
        <v>0.20348192906383239</v>
      </c>
      <c r="K528" s="320">
        <f>K522/((($I522*$B518)*(1-$B515))/$B513)</f>
        <v>8.6307819931824167E-2</v>
      </c>
      <c r="L528" s="320">
        <f>L522/((($I522*$B518)*(1-$B515))/$B513)</f>
        <v>7.7968835468808284E-2</v>
      </c>
      <c r="M528" s="320">
        <f>M522/((($I522*$B518)*(1-$B515))/$B513)</f>
        <v>5.7609934396180403E-2</v>
      </c>
      <c r="N528" s="482"/>
      <c r="O528" s="360">
        <f t="shared" si="87"/>
        <v>0.42536851886064525</v>
      </c>
    </row>
    <row r="529" spans="1:19" x14ac:dyDescent="0.25">
      <c r="A529" s="307" t="s">
        <v>135</v>
      </c>
      <c r="B529" s="365" t="s">
        <v>96</v>
      </c>
      <c r="C529" s="386">
        <f>C523/((($A523*$B518)*(1-$B515))/$B513)</f>
        <v>0.12267489413188143</v>
      </c>
      <c r="D529" s="386">
        <f>D523/((($A523*$B518)*(1-$B515))/$B513)</f>
        <v>0.14449171203871747</v>
      </c>
      <c r="E529" s="386">
        <f>E523/((($A523*$B518)*(1-$B515))/$B513)</f>
        <v>0.16547400685622102</v>
      </c>
      <c r="F529" s="360">
        <f t="shared" si="89"/>
        <v>0.43264061302681989</v>
      </c>
      <c r="G529" s="360"/>
      <c r="H529" s="361" t="s">
        <v>176</v>
      </c>
      <c r="I529" s="387" t="s">
        <v>179</v>
      </c>
      <c r="J529" s="320">
        <f>J523/((($I523*$B518)*(1-$B515))/$B513)</f>
        <v>0.1388884855817705</v>
      </c>
      <c r="K529" s="320">
        <f>K523/((($I523*$B518)*(1-$B515))/$B513)</f>
        <v>0.14449171203871747</v>
      </c>
      <c r="L529" s="320">
        <f>L523/((($I523*$B518)*(1-$B515))/$B513)</f>
        <v>1.8359507965315585E-2</v>
      </c>
      <c r="M529" s="320">
        <f>M523/((($I523*$B518)*(1-$B515))/$B513)</f>
        <v>4.5183464408146801E-2</v>
      </c>
      <c r="N529" s="482"/>
      <c r="O529" s="360">
        <f t="shared" si="87"/>
        <v>0.34692316999395034</v>
      </c>
    </row>
    <row r="530" spans="1:19" x14ac:dyDescent="0.25">
      <c r="A530" s="178"/>
      <c r="B530" s="178"/>
      <c r="C530" s="178"/>
      <c r="D530" s="178"/>
      <c r="E530" s="178"/>
      <c r="F530" s="178"/>
      <c r="G530" s="178"/>
      <c r="H530" s="178"/>
      <c r="I530" s="178"/>
      <c r="J530" s="178"/>
      <c r="K530" s="178"/>
      <c r="L530" s="178"/>
      <c r="M530" s="178"/>
      <c r="N530" s="178"/>
      <c r="O530" s="178"/>
      <c r="P530" s="122"/>
      <c r="Q530" s="233"/>
      <c r="R530" s="233"/>
      <c r="S530" s="233"/>
    </row>
    <row r="531" spans="1:19" ht="21" x14ac:dyDescent="0.25">
      <c r="A531" s="305"/>
      <c r="B531" s="692" t="s">
        <v>194</v>
      </c>
      <c r="C531" s="693"/>
      <c r="D531" s="693"/>
      <c r="E531" s="693"/>
      <c r="F531" s="693"/>
      <c r="G531" s="693"/>
      <c r="H531" s="693"/>
      <c r="I531" s="693"/>
      <c r="J531" s="693"/>
      <c r="K531" s="693"/>
      <c r="L531" s="693"/>
      <c r="M531" s="693"/>
      <c r="N531" s="693"/>
      <c r="O531" s="694"/>
      <c r="P531" s="119" t="s">
        <v>97</v>
      </c>
      <c r="Q531" s="678" t="s">
        <v>195</v>
      </c>
      <c r="R531" s="678"/>
      <c r="S531" s="678"/>
    </row>
    <row r="532" spans="1:19" ht="21" x14ac:dyDescent="0.25">
      <c r="A532" s="310" t="s">
        <v>285</v>
      </c>
      <c r="B532" s="695">
        <v>43830</v>
      </c>
      <c r="C532" s="696"/>
      <c r="D532" s="696"/>
      <c r="E532" s="696"/>
      <c r="F532" s="696"/>
      <c r="G532" s="696"/>
      <c r="H532" s="696"/>
      <c r="I532" s="696"/>
      <c r="J532" s="696"/>
      <c r="K532" s="696"/>
      <c r="L532" s="696"/>
      <c r="M532" s="696"/>
      <c r="N532" s="696"/>
      <c r="O532" s="697"/>
      <c r="P532" s="119"/>
      <c r="Q532" s="678"/>
      <c r="R532" s="678"/>
      <c r="S532" s="678"/>
    </row>
    <row r="533" spans="1:19" x14ac:dyDescent="0.25">
      <c r="A533" s="310"/>
      <c r="B533" s="650" t="s">
        <v>115</v>
      </c>
      <c r="C533" s="651"/>
      <c r="D533" s="651"/>
      <c r="E533" s="651"/>
      <c r="F533" s="651"/>
      <c r="G533" s="651"/>
      <c r="H533" s="651"/>
      <c r="I533" s="651"/>
      <c r="J533" s="651"/>
      <c r="K533" s="651"/>
      <c r="L533" s="651"/>
      <c r="M533" s="651"/>
      <c r="N533" s="651"/>
      <c r="O533" s="652"/>
      <c r="P533" s="119"/>
      <c r="Q533" s="678"/>
      <c r="R533" s="678"/>
      <c r="S533" s="678"/>
    </row>
    <row r="534" spans="1:19" x14ac:dyDescent="0.25">
      <c r="A534" s="310" t="s">
        <v>106</v>
      </c>
      <c r="B534" s="629">
        <f>19500/1000</f>
        <v>19.5</v>
      </c>
      <c r="C534" s="630"/>
      <c r="D534" s="630"/>
      <c r="E534" s="690"/>
      <c r="F534" s="365" t="s">
        <v>174</v>
      </c>
      <c r="G534" s="471"/>
      <c r="H534" s="668">
        <v>0</v>
      </c>
      <c r="I534" s="669"/>
      <c r="J534" s="669"/>
      <c r="K534" s="669"/>
      <c r="L534" s="689"/>
      <c r="M534" s="629">
        <f>SUM(B534,H535)</f>
        <v>19.5</v>
      </c>
      <c r="N534" s="630"/>
      <c r="O534" s="690"/>
      <c r="P534" s="119"/>
      <c r="Q534" s="678"/>
      <c r="R534" s="678"/>
      <c r="S534" s="678"/>
    </row>
    <row r="535" spans="1:19" x14ac:dyDescent="0.25">
      <c r="A535" s="311" t="s">
        <v>112</v>
      </c>
      <c r="B535" s="626">
        <v>0.13</v>
      </c>
      <c r="C535" s="627"/>
      <c r="D535" s="627"/>
      <c r="E535" s="698"/>
      <c r="F535" s="290"/>
      <c r="G535" s="472"/>
      <c r="H535" s="626">
        <v>0</v>
      </c>
      <c r="I535" s="627"/>
      <c r="J535" s="627"/>
      <c r="K535" s="627"/>
      <c r="L535" s="698"/>
      <c r="M535" s="626">
        <f>B535</f>
        <v>0.13</v>
      </c>
      <c r="N535" s="627"/>
      <c r="O535" s="698"/>
      <c r="P535" s="119"/>
      <c r="Q535" s="678"/>
      <c r="R535" s="678"/>
      <c r="S535" s="678"/>
    </row>
    <row r="536" spans="1:19" ht="15.75" thickBot="1" x14ac:dyDescent="0.3">
      <c r="A536" s="311" t="s">
        <v>107</v>
      </c>
      <c r="B536" s="629">
        <f>B534*(1-B535)</f>
        <v>16.965</v>
      </c>
      <c r="C536" s="630"/>
      <c r="D536" s="630"/>
      <c r="E536" s="690"/>
      <c r="F536" s="290"/>
      <c r="G536" s="472"/>
      <c r="H536" s="629">
        <f>H534*(1-H535)</f>
        <v>0</v>
      </c>
      <c r="I536" s="630"/>
      <c r="J536" s="630"/>
      <c r="K536" s="630"/>
      <c r="L536" s="690"/>
      <c r="M536" s="629">
        <f>SUM(B536,H536)</f>
        <v>16.965</v>
      </c>
      <c r="N536" s="630"/>
      <c r="O536" s="690"/>
      <c r="P536" s="119"/>
      <c r="Q536" s="255" t="s">
        <v>97</v>
      </c>
    </row>
    <row r="537" spans="1:19" x14ac:dyDescent="0.25">
      <c r="A537" s="311" t="s">
        <v>108</v>
      </c>
      <c r="B537" s="626">
        <f>B540/B536</f>
        <v>0.76958443854995584</v>
      </c>
      <c r="C537" s="627"/>
      <c r="D537" s="627"/>
      <c r="E537" s="627"/>
      <c r="F537" s="627"/>
      <c r="G537" s="627"/>
      <c r="H537" s="627"/>
      <c r="I537" s="627"/>
      <c r="J537" s="627"/>
      <c r="K537" s="627"/>
      <c r="L537" s="627"/>
      <c r="M537" s="627"/>
      <c r="N537" s="627"/>
      <c r="O537" s="628"/>
      <c r="P537" s="119"/>
      <c r="Q537" s="671" t="s">
        <v>139</v>
      </c>
      <c r="R537" s="235" t="s">
        <v>140</v>
      </c>
      <c r="S537" s="679" t="s">
        <v>142</v>
      </c>
    </row>
    <row r="538" spans="1:19" ht="15.75" thickBot="1" x14ac:dyDescent="0.3">
      <c r="A538" s="311" t="s">
        <v>113</v>
      </c>
      <c r="B538" s="629">
        <f>B542*((A546+A547+I546+I547)/1000)</f>
        <v>40.800000000000004</v>
      </c>
      <c r="C538" s="630"/>
      <c r="D538" s="630"/>
      <c r="E538" s="630"/>
      <c r="F538" s="630"/>
      <c r="G538" s="630"/>
      <c r="H538" s="630"/>
      <c r="I538" s="630"/>
      <c r="J538" s="630"/>
      <c r="K538" s="630"/>
      <c r="L538" s="630"/>
      <c r="M538" s="630"/>
      <c r="N538" s="630"/>
      <c r="O538" s="631"/>
      <c r="P538" s="119"/>
      <c r="Q538" s="672"/>
      <c r="R538" s="183" t="s">
        <v>141</v>
      </c>
      <c r="S538" s="680"/>
    </row>
    <row r="539" spans="1:19" ht="15.75" thickBot="1" x14ac:dyDescent="0.3">
      <c r="A539" s="311" t="s">
        <v>109</v>
      </c>
      <c r="B539" s="626">
        <v>0.68</v>
      </c>
      <c r="C539" s="627"/>
      <c r="D539" s="627"/>
      <c r="E539" s="627"/>
      <c r="F539" s="627"/>
      <c r="G539" s="627"/>
      <c r="H539" s="627"/>
      <c r="I539" s="627"/>
      <c r="J539" s="627"/>
      <c r="K539" s="627"/>
      <c r="L539" s="627"/>
      <c r="M539" s="627"/>
      <c r="N539" s="627"/>
      <c r="O539" s="628"/>
      <c r="P539" s="119"/>
      <c r="Q539" s="238" t="s">
        <v>143</v>
      </c>
      <c r="R539" s="260">
        <v>5</v>
      </c>
      <c r="S539" s="181" t="s">
        <v>293</v>
      </c>
    </row>
    <row r="540" spans="1:19" ht="15.75" thickBot="1" x14ac:dyDescent="0.3">
      <c r="A540" s="311" t="s">
        <v>122</v>
      </c>
      <c r="B540" s="629">
        <f>B538-(B538*B539)</f>
        <v>13.056000000000001</v>
      </c>
      <c r="C540" s="630"/>
      <c r="D540" s="630"/>
      <c r="E540" s="630"/>
      <c r="F540" s="630"/>
      <c r="G540" s="630"/>
      <c r="H540" s="630"/>
      <c r="I540" s="630"/>
      <c r="J540" s="630"/>
      <c r="K540" s="630"/>
      <c r="L540" s="630"/>
      <c r="M540" s="630"/>
      <c r="N540" s="630"/>
      <c r="O540" s="690"/>
      <c r="P540" s="119"/>
      <c r="Q540" s="238" t="s">
        <v>145</v>
      </c>
      <c r="R540" s="183">
        <v>8</v>
      </c>
      <c r="S540" s="184" t="s">
        <v>76</v>
      </c>
    </row>
    <row r="541" spans="1:19" ht="15" customHeight="1" thickBot="1" x14ac:dyDescent="0.3">
      <c r="A541" s="311" t="s">
        <v>110</v>
      </c>
      <c r="B541" s="632">
        <v>116</v>
      </c>
      <c r="C541" s="633"/>
      <c r="D541" s="633"/>
      <c r="E541" s="633"/>
      <c r="F541" s="633"/>
      <c r="G541" s="633"/>
      <c r="H541" s="633"/>
      <c r="I541" s="633"/>
      <c r="J541" s="633"/>
      <c r="K541" s="633"/>
      <c r="L541" s="633"/>
      <c r="M541" s="633"/>
      <c r="N541" s="633"/>
      <c r="O541" s="691"/>
      <c r="P541" s="119"/>
      <c r="Q541" s="238" t="s">
        <v>147</v>
      </c>
      <c r="R541" s="183">
        <v>8</v>
      </c>
      <c r="S541" s="184" t="s">
        <v>148</v>
      </c>
    </row>
    <row r="542" spans="1:19" x14ac:dyDescent="0.25">
      <c r="A542" s="311" t="s">
        <v>111</v>
      </c>
      <c r="B542" s="635">
        <v>15</v>
      </c>
      <c r="C542" s="636"/>
      <c r="D542" s="636"/>
      <c r="E542" s="636"/>
      <c r="F542" s="636"/>
      <c r="G542" s="636"/>
      <c r="H542" s="636"/>
      <c r="I542" s="636"/>
      <c r="J542" s="636"/>
      <c r="K542" s="636"/>
      <c r="L542" s="636"/>
      <c r="M542" s="636"/>
      <c r="N542" s="636"/>
      <c r="O542" s="686"/>
      <c r="P542" s="119"/>
      <c r="Q542" s="239" t="s">
        <v>149</v>
      </c>
      <c r="R542" s="671">
        <v>8</v>
      </c>
      <c r="S542" s="673" t="s">
        <v>286</v>
      </c>
    </row>
    <row r="543" spans="1:19" ht="15.75" thickBot="1" x14ac:dyDescent="0.3">
      <c r="A543" s="311" t="s">
        <v>273</v>
      </c>
      <c r="B543" s="638" t="s">
        <v>292</v>
      </c>
      <c r="C543" s="638"/>
      <c r="D543" s="638"/>
      <c r="E543" s="638"/>
      <c r="F543" s="638"/>
      <c r="G543" s="638"/>
      <c r="H543" s="638"/>
      <c r="I543" s="638"/>
      <c r="J543" s="638"/>
      <c r="K543" s="638"/>
      <c r="L543" s="638"/>
      <c r="M543" s="638"/>
      <c r="N543" s="638"/>
      <c r="O543" s="687"/>
      <c r="P543" s="119"/>
      <c r="Q543" s="238" t="s">
        <v>150</v>
      </c>
      <c r="R543" s="672"/>
      <c r="S543" s="674"/>
    </row>
    <row r="544" spans="1:19" ht="15.75" thickBot="1" x14ac:dyDescent="0.3">
      <c r="A544" s="587" t="s">
        <v>276</v>
      </c>
      <c r="B544" s="588"/>
      <c r="C544" s="588"/>
      <c r="D544" s="588"/>
      <c r="E544" s="588"/>
      <c r="F544" s="688"/>
      <c r="G544" s="453"/>
      <c r="H544" s="668" t="s">
        <v>128</v>
      </c>
      <c r="I544" s="669"/>
      <c r="J544" s="669"/>
      <c r="K544" s="669"/>
      <c r="L544" s="669"/>
      <c r="M544" s="669"/>
      <c r="N544" s="669"/>
      <c r="O544" s="689"/>
      <c r="P544" s="119"/>
      <c r="Q544" s="238" t="s">
        <v>152</v>
      </c>
      <c r="R544" s="183">
        <v>6</v>
      </c>
      <c r="S544" s="184" t="s">
        <v>294</v>
      </c>
    </row>
    <row r="545" spans="1:19" ht="15.75" thickBot="1" x14ac:dyDescent="0.3">
      <c r="A545" s="307" t="s">
        <v>98</v>
      </c>
      <c r="B545" s="365" t="s">
        <v>102</v>
      </c>
      <c r="C545" s="365" t="s">
        <v>92</v>
      </c>
      <c r="D545" s="365" t="s">
        <v>93</v>
      </c>
      <c r="E545" s="365" t="s">
        <v>94</v>
      </c>
      <c r="F545" s="366" t="s">
        <v>99</v>
      </c>
      <c r="G545" s="366"/>
      <c r="H545" s="365" t="s">
        <v>102</v>
      </c>
      <c r="I545" s="367" t="s">
        <v>98</v>
      </c>
      <c r="J545" s="365" t="s">
        <v>92</v>
      </c>
      <c r="K545" s="365" t="s">
        <v>93</v>
      </c>
      <c r="L545" s="412" t="s">
        <v>94</v>
      </c>
      <c r="M545" s="365" t="s">
        <v>279</v>
      </c>
      <c r="N545" s="365"/>
      <c r="O545" s="322" t="s">
        <v>99</v>
      </c>
      <c r="P545" s="119"/>
      <c r="Q545" s="238" t="s">
        <v>154</v>
      </c>
      <c r="R545" s="183">
        <v>9</v>
      </c>
      <c r="S545" s="181" t="s">
        <v>267</v>
      </c>
    </row>
    <row r="546" spans="1:19" ht="15.75" thickBot="1" x14ac:dyDescent="0.3">
      <c r="A546" s="308">
        <v>1168</v>
      </c>
      <c r="B546" s="365" t="s">
        <v>95</v>
      </c>
      <c r="C546" s="407">
        <v>965.4</v>
      </c>
      <c r="D546" s="413">
        <v>750.1</v>
      </c>
      <c r="E546" s="386">
        <v>509</v>
      </c>
      <c r="F546" s="360">
        <f>SUM(C546:E546)</f>
        <v>2224.5</v>
      </c>
      <c r="G546" s="360"/>
      <c r="H546" s="359" t="s">
        <v>175</v>
      </c>
      <c r="I546" s="383">
        <v>1250</v>
      </c>
      <c r="J546" s="403">
        <v>1421.3</v>
      </c>
      <c r="K546" s="409">
        <v>639</v>
      </c>
      <c r="L546" s="414">
        <v>465.3</v>
      </c>
      <c r="M546" s="414">
        <v>154.1</v>
      </c>
      <c r="N546" s="414"/>
      <c r="O546" s="360">
        <f t="shared" ref="O546:O553" si="92">SUM(J546:M546)</f>
        <v>2679.7000000000003</v>
      </c>
      <c r="P546" s="119"/>
      <c r="Q546" s="238" t="s">
        <v>156</v>
      </c>
      <c r="R546" s="183">
        <v>9</v>
      </c>
      <c r="S546" s="181" t="s">
        <v>84</v>
      </c>
    </row>
    <row r="547" spans="1:19" ht="15.75" thickBot="1" x14ac:dyDescent="0.3">
      <c r="A547" s="308">
        <v>135</v>
      </c>
      <c r="B547" s="365" t="s">
        <v>96</v>
      </c>
      <c r="C547" s="407">
        <v>117.6</v>
      </c>
      <c r="D547" s="413">
        <v>78.5</v>
      </c>
      <c r="E547" s="386">
        <v>85.5</v>
      </c>
      <c r="F547" s="360">
        <f>SUM(C547:E547)</f>
        <v>281.60000000000002</v>
      </c>
      <c r="G547" s="475"/>
      <c r="H547" s="404" t="s">
        <v>176</v>
      </c>
      <c r="I547" s="415">
        <v>167</v>
      </c>
      <c r="J547" s="409">
        <v>134.5</v>
      </c>
      <c r="K547" s="409">
        <v>73.8</v>
      </c>
      <c r="L547" s="419">
        <v>29.1</v>
      </c>
      <c r="M547" s="383">
        <v>8.3000000000000007</v>
      </c>
      <c r="N547" s="383"/>
      <c r="O547" s="360">
        <f t="shared" si="92"/>
        <v>245.70000000000002</v>
      </c>
      <c r="P547" s="119"/>
      <c r="Q547" s="238" t="s">
        <v>158</v>
      </c>
      <c r="R547" s="183">
        <v>8</v>
      </c>
      <c r="S547" s="181" t="s">
        <v>295</v>
      </c>
    </row>
    <row r="548" spans="1:19" ht="15.75" thickBot="1" x14ac:dyDescent="0.3">
      <c r="A548" s="307" t="s">
        <v>100</v>
      </c>
      <c r="B548" s="365" t="s">
        <v>95</v>
      </c>
      <c r="C548" s="420">
        <f t="shared" ref="C548:E549" si="93">C546/$A546</f>
        <v>0.82654109589041092</v>
      </c>
      <c r="D548" s="410">
        <f t="shared" si="93"/>
        <v>0.64220890410958908</v>
      </c>
      <c r="E548" s="410">
        <f t="shared" si="93"/>
        <v>0.43578767123287671</v>
      </c>
      <c r="F548" s="421">
        <f t="shared" ref="F548:F553" si="94">SUM(C548:E548)</f>
        <v>1.9045376712328768</v>
      </c>
      <c r="G548" s="421"/>
      <c r="H548" s="359" t="s">
        <v>175</v>
      </c>
      <c r="I548" s="387" t="s">
        <v>177</v>
      </c>
      <c r="J548" s="422">
        <f>J546/$I546</f>
        <v>1.1370400000000001</v>
      </c>
      <c r="K548" s="411">
        <f>K546/$I546</f>
        <v>0.51119999999999999</v>
      </c>
      <c r="L548" s="416">
        <f>L546/$I546</f>
        <v>0.37224000000000002</v>
      </c>
      <c r="M548" s="416">
        <f>M546/$I546</f>
        <v>0.12328</v>
      </c>
      <c r="N548" s="483"/>
      <c r="O548" s="423">
        <f t="shared" si="92"/>
        <v>2.1437599999999999</v>
      </c>
      <c r="P548" s="119"/>
      <c r="Q548" s="185" t="s">
        <v>99</v>
      </c>
      <c r="R548" s="183">
        <f>SUM(R539:R547)</f>
        <v>61</v>
      </c>
      <c r="S548" s="186">
        <f>R548/80</f>
        <v>0.76249999999999996</v>
      </c>
    </row>
    <row r="549" spans="1:19" x14ac:dyDescent="0.25">
      <c r="A549" s="307" t="s">
        <v>100</v>
      </c>
      <c r="B549" s="365" t="s">
        <v>96</v>
      </c>
      <c r="C549" s="386">
        <f t="shared" si="93"/>
        <v>0.87111111111111106</v>
      </c>
      <c r="D549" s="386">
        <f t="shared" si="93"/>
        <v>0.58148148148148149</v>
      </c>
      <c r="E549" s="386">
        <f t="shared" si="93"/>
        <v>0.6333333333333333</v>
      </c>
      <c r="F549" s="360">
        <f t="shared" si="94"/>
        <v>2.0859259259259257</v>
      </c>
      <c r="G549" s="360"/>
      <c r="H549" s="359" t="s">
        <v>176</v>
      </c>
      <c r="I549" s="387" t="s">
        <v>177</v>
      </c>
      <c r="J549" s="320">
        <f>J547/$I547</f>
        <v>0.80538922155688619</v>
      </c>
      <c r="K549" s="320">
        <f>K547/$I547</f>
        <v>0.44191616766467062</v>
      </c>
      <c r="L549" s="320">
        <f>M546/$I547</f>
        <v>0.92275449101796403</v>
      </c>
      <c r="M549" s="320">
        <f>M547/$I547</f>
        <v>4.9700598802395211E-2</v>
      </c>
      <c r="N549" s="482"/>
      <c r="O549" s="360">
        <f t="shared" si="92"/>
        <v>2.2197604790419163</v>
      </c>
      <c r="P549" s="119"/>
      <c r="Q549" s="246"/>
      <c r="R549" s="246"/>
      <c r="S549" s="246"/>
    </row>
    <row r="550" spans="1:19" x14ac:dyDescent="0.25">
      <c r="A550" s="307" t="s">
        <v>104</v>
      </c>
      <c r="B550" s="365" t="s">
        <v>95</v>
      </c>
      <c r="C550" s="386">
        <f>C546/($A546/7.7)</f>
        <v>6.3643664383561651</v>
      </c>
      <c r="D550" s="386">
        <f>D546/($A546/7)</f>
        <v>4.4954623287671236</v>
      </c>
      <c r="E550" s="386">
        <f>E546/($A546/7)</f>
        <v>3.0505136986301369</v>
      </c>
      <c r="F550" s="360">
        <f t="shared" si="94"/>
        <v>13.910342465753427</v>
      </c>
      <c r="G550" s="469"/>
      <c r="H550" s="372" t="s">
        <v>175</v>
      </c>
      <c r="I550" s="387" t="s">
        <v>178</v>
      </c>
      <c r="J550" s="320">
        <f>J546/($I546/7.7)</f>
        <v>8.7552079999999997</v>
      </c>
      <c r="K550" s="320">
        <f>K546/($I546/7.7)</f>
        <v>3.9362400000000002</v>
      </c>
      <c r="L550" s="320">
        <f>L546/($I546/7.7)</f>
        <v>2.8662480000000001</v>
      </c>
      <c r="M550" s="320">
        <f>M546/($I546/7.7)</f>
        <v>0.9492560000000001</v>
      </c>
      <c r="N550" s="482"/>
      <c r="O550" s="360">
        <f t="shared" si="92"/>
        <v>16.506951999999998</v>
      </c>
      <c r="P550" s="119"/>
      <c r="Q550" s="246"/>
      <c r="R550" s="246"/>
      <c r="S550" s="246"/>
    </row>
    <row r="551" spans="1:19" x14ac:dyDescent="0.25">
      <c r="A551" s="307" t="s">
        <v>104</v>
      </c>
      <c r="B551" s="365" t="s">
        <v>96</v>
      </c>
      <c r="C551" s="386">
        <f>C547/($A547/7.7)</f>
        <v>6.7075555555555555</v>
      </c>
      <c r="D551" s="386">
        <f>D547/($A547/7.7)</f>
        <v>4.4774074074074077</v>
      </c>
      <c r="E551" s="386">
        <f>E547/($A547/7.7)</f>
        <v>4.8766666666666669</v>
      </c>
      <c r="F551" s="360">
        <f t="shared" si="94"/>
        <v>16.061629629629628</v>
      </c>
      <c r="G551" s="360"/>
      <c r="H551" s="359" t="s">
        <v>176</v>
      </c>
      <c r="I551" s="387" t="s">
        <v>178</v>
      </c>
      <c r="J551" s="320">
        <f>J547/($I547/7.7)</f>
        <v>6.2014970059880241</v>
      </c>
      <c r="K551" s="320">
        <f>K547/($I547/7.7)</f>
        <v>3.4027544910179639</v>
      </c>
      <c r="L551" s="320">
        <f>M546/($I547/7.7)</f>
        <v>7.1052095808383227</v>
      </c>
      <c r="M551" s="320">
        <f>M547/($I547/7.7)</f>
        <v>0.38269461077844313</v>
      </c>
      <c r="N551" s="482"/>
      <c r="O551" s="360">
        <f t="shared" si="92"/>
        <v>17.092155688622753</v>
      </c>
      <c r="P551" s="119"/>
      <c r="Q551" s="246"/>
      <c r="R551" s="246"/>
      <c r="S551" s="246"/>
    </row>
    <row r="552" spans="1:19" x14ac:dyDescent="0.25">
      <c r="A552" s="307" t="s">
        <v>135</v>
      </c>
      <c r="B552" s="365" t="s">
        <v>95</v>
      </c>
      <c r="C552" s="386">
        <f>C546/((($A546*$B542)*(1-$B539))/$B537)</f>
        <v>0.13251940942068485</v>
      </c>
      <c r="D552" s="386">
        <f>D546/((($A546*$B542)*(1-$B539))/$B537)</f>
        <v>0.10296541227103347</v>
      </c>
      <c r="E552" s="386">
        <f>E546/((($A546*$B542)*(1-$B539))/$B537)</f>
        <v>6.9869877144322134E-2</v>
      </c>
      <c r="F552" s="360">
        <f t="shared" si="94"/>
        <v>0.30535469883604044</v>
      </c>
      <c r="G552" s="360"/>
      <c r="H552" s="361" t="s">
        <v>175</v>
      </c>
      <c r="I552" s="387" t="s">
        <v>179</v>
      </c>
      <c r="J552" s="320">
        <f>J546/((($I546*$B542)*(1-$B539))/$B537)</f>
        <v>0.18230172708517539</v>
      </c>
      <c r="K552" s="320">
        <f>K546/((($I546*$B542)*(1-$B539))/$B537)</f>
        <v>8.19607427055703E-2</v>
      </c>
      <c r="L552" s="320">
        <f>L546/((($I546*$B542)*(1-$B539))/$B537)</f>
        <v>5.9681273209549079E-2</v>
      </c>
      <c r="M552" s="320">
        <f>M546/((($I546*$B542)*(1-$B539))/$B537)</f>
        <v>1.9765493663424699E-2</v>
      </c>
      <c r="N552" s="482"/>
      <c r="O552" s="360">
        <f t="shared" si="92"/>
        <v>0.34370923666371944</v>
      </c>
    </row>
    <row r="553" spans="1:19" x14ac:dyDescent="0.25">
      <c r="A553" s="307" t="s">
        <v>135</v>
      </c>
      <c r="B553" s="365" t="s">
        <v>96</v>
      </c>
      <c r="C553" s="386">
        <f>C547/((($A547*$B542)*(1-$B539))/$B537)</f>
        <v>0.13966532403314014</v>
      </c>
      <c r="D553" s="386">
        <f>D547/((($A547*$B542)*(1-$B539))/$B537)</f>
        <v>9.3228979052733862E-2</v>
      </c>
      <c r="E553" s="386">
        <f>E547/((($A547*$B542)*(1-$B539))/$B537)</f>
        <v>0.10154239119756363</v>
      </c>
      <c r="F553" s="360">
        <f t="shared" si="94"/>
        <v>0.33443669428343764</v>
      </c>
      <c r="G553" s="360"/>
      <c r="H553" s="361" t="s">
        <v>176</v>
      </c>
      <c r="I553" s="387" t="s">
        <v>179</v>
      </c>
      <c r="J553" s="320">
        <f>J547/((($I547*$B542)*(1-$B539))/$B537)</f>
        <v>0.12912812747625882</v>
      </c>
      <c r="K553" s="320">
        <f>K547/((($I547*$B542)*(1-$B539))/$B537)</f>
        <v>7.0852459537159115E-2</v>
      </c>
      <c r="L553" s="320">
        <f>M546/((($I547*$B542)*(1-$B539))/$B537)</f>
        <v>0.14794531185198129</v>
      </c>
      <c r="M553" s="320">
        <f>O546/((($I547*$B542)*(1-$B539))/$B537)</f>
        <v>2.572673927123649</v>
      </c>
      <c r="N553" s="482"/>
      <c r="O553" s="360">
        <f t="shared" si="92"/>
        <v>2.920599825989048</v>
      </c>
    </row>
    <row r="554" spans="1:19" x14ac:dyDescent="0.25">
      <c r="A554" s="178"/>
      <c r="B554" s="178"/>
      <c r="C554" s="178"/>
      <c r="D554" s="178"/>
      <c r="E554" s="178"/>
      <c r="F554" s="178"/>
      <c r="G554" s="178"/>
      <c r="H554" s="178"/>
      <c r="I554" s="178"/>
      <c r="J554" s="178"/>
      <c r="K554" s="178"/>
      <c r="L554" s="178"/>
      <c r="M554" s="178"/>
      <c r="N554" s="178"/>
      <c r="O554" s="178"/>
      <c r="P554" s="122"/>
      <c r="Q554" s="233"/>
      <c r="R554" s="233"/>
      <c r="S554" s="233"/>
    </row>
    <row r="555" spans="1:19" ht="21" x14ac:dyDescent="0.25">
      <c r="A555" s="305"/>
      <c r="B555" s="692" t="s">
        <v>196</v>
      </c>
      <c r="C555" s="693"/>
      <c r="D555" s="693"/>
      <c r="E555" s="693"/>
      <c r="F555" s="693"/>
      <c r="G555" s="693"/>
      <c r="H555" s="693"/>
      <c r="I555" s="693"/>
      <c r="J555" s="693"/>
      <c r="K555" s="693"/>
      <c r="L555" s="693"/>
      <c r="M555" s="693"/>
      <c r="N555" s="693"/>
      <c r="O555" s="694"/>
      <c r="P555" s="119" t="s">
        <v>97</v>
      </c>
      <c r="Q555" s="678" t="s">
        <v>197</v>
      </c>
      <c r="R555" s="678"/>
      <c r="S555" s="678"/>
    </row>
    <row r="556" spans="1:19" ht="21" x14ac:dyDescent="0.25">
      <c r="A556" s="177" t="s">
        <v>285</v>
      </c>
      <c r="B556" s="695">
        <v>43844</v>
      </c>
      <c r="C556" s="696"/>
      <c r="D556" s="696"/>
      <c r="E556" s="696"/>
      <c r="F556" s="696"/>
      <c r="G556" s="696"/>
      <c r="H556" s="696"/>
      <c r="I556" s="696"/>
      <c r="J556" s="696"/>
      <c r="K556" s="696"/>
      <c r="L556" s="696"/>
      <c r="M556" s="696"/>
      <c r="N556" s="696"/>
      <c r="O556" s="697"/>
      <c r="P556" s="119"/>
      <c r="Q556" s="678"/>
      <c r="R556" s="678"/>
      <c r="S556" s="678"/>
    </row>
    <row r="557" spans="1:19" x14ac:dyDescent="0.25">
      <c r="A557" s="177"/>
      <c r="B557" s="650" t="s">
        <v>115</v>
      </c>
      <c r="C557" s="651"/>
      <c r="D557" s="651"/>
      <c r="E557" s="651"/>
      <c r="F557" s="651"/>
      <c r="G557" s="651"/>
      <c r="H557" s="651"/>
      <c r="I557" s="651"/>
      <c r="J557" s="651"/>
      <c r="K557" s="651"/>
      <c r="L557" s="651"/>
      <c r="M557" s="651"/>
      <c r="N557" s="651"/>
      <c r="O557" s="652"/>
      <c r="P557" s="119"/>
      <c r="Q557" s="678"/>
      <c r="R557" s="678"/>
      <c r="S557" s="678"/>
    </row>
    <row r="558" spans="1:19" x14ac:dyDescent="0.25">
      <c r="A558" s="177" t="s">
        <v>106</v>
      </c>
      <c r="B558" s="629">
        <f>20024/1000</f>
        <v>20.024000000000001</v>
      </c>
      <c r="C558" s="630"/>
      <c r="D558" s="630"/>
      <c r="E558" s="631"/>
      <c r="F558" s="365" t="s">
        <v>174</v>
      </c>
      <c r="G558" s="471"/>
      <c r="H558" s="668">
        <v>0</v>
      </c>
      <c r="I558" s="669"/>
      <c r="J558" s="669"/>
      <c r="K558" s="669"/>
      <c r="L558" s="670"/>
      <c r="M558" s="656">
        <f>SUM(B558,H559)</f>
        <v>20.024000000000001</v>
      </c>
      <c r="N558" s="630"/>
      <c r="O558" s="631"/>
      <c r="P558" s="119"/>
      <c r="Q558" s="678"/>
      <c r="R558" s="678"/>
      <c r="S558" s="678"/>
    </row>
    <row r="559" spans="1:19" x14ac:dyDescent="0.25">
      <c r="A559" s="177" t="s">
        <v>112</v>
      </c>
      <c r="B559" s="626">
        <v>0.13</v>
      </c>
      <c r="C559" s="627"/>
      <c r="D559" s="627"/>
      <c r="E559" s="628"/>
      <c r="F559" s="290"/>
      <c r="G559" s="472"/>
      <c r="H559" s="626">
        <v>0</v>
      </c>
      <c r="I559" s="627"/>
      <c r="J559" s="627"/>
      <c r="K559" s="627"/>
      <c r="L559" s="628"/>
      <c r="M559" s="657">
        <f>B559</f>
        <v>0.13</v>
      </c>
      <c r="N559" s="627"/>
      <c r="O559" s="628"/>
      <c r="P559" s="119"/>
      <c r="Q559" s="678"/>
      <c r="R559" s="678"/>
      <c r="S559" s="678"/>
    </row>
    <row r="560" spans="1:19" ht="15.75" thickBot="1" x14ac:dyDescent="0.3">
      <c r="A560" s="177" t="s">
        <v>107</v>
      </c>
      <c r="B560" s="629">
        <f>B558*(1-B559)</f>
        <v>17.42088</v>
      </c>
      <c r="C560" s="630"/>
      <c r="D560" s="630"/>
      <c r="E560" s="631"/>
      <c r="F560" s="290"/>
      <c r="G560" s="472"/>
      <c r="H560" s="629">
        <f>H558*(1-H559)</f>
        <v>0</v>
      </c>
      <c r="I560" s="630"/>
      <c r="J560" s="630"/>
      <c r="K560" s="630"/>
      <c r="L560" s="631"/>
      <c r="M560" s="656">
        <f>SUM(B560,H560)</f>
        <v>17.42088</v>
      </c>
      <c r="N560" s="630"/>
      <c r="O560" s="631"/>
      <c r="P560" s="119"/>
      <c r="Q560" s="261" t="s">
        <v>97</v>
      </c>
      <c r="R560" s="262"/>
      <c r="S560" s="263"/>
    </row>
    <row r="561" spans="1:19" x14ac:dyDescent="0.25">
      <c r="A561" s="177" t="s">
        <v>108</v>
      </c>
      <c r="B561" s="626">
        <f>B564/B560</f>
        <v>0.78140713901938341</v>
      </c>
      <c r="C561" s="627"/>
      <c r="D561" s="627"/>
      <c r="E561" s="627"/>
      <c r="F561" s="627"/>
      <c r="G561" s="627"/>
      <c r="H561" s="627"/>
      <c r="I561" s="627"/>
      <c r="J561" s="627"/>
      <c r="K561" s="627"/>
      <c r="L561" s="627"/>
      <c r="M561" s="627"/>
      <c r="N561" s="627"/>
      <c r="O561" s="628"/>
      <c r="P561" s="119"/>
      <c r="Q561" s="671" t="s">
        <v>139</v>
      </c>
      <c r="R561" s="235" t="s">
        <v>140</v>
      </c>
      <c r="S561" s="679" t="s">
        <v>142</v>
      </c>
    </row>
    <row r="562" spans="1:19" ht="15.75" thickBot="1" x14ac:dyDescent="0.3">
      <c r="A562" s="177" t="s">
        <v>113</v>
      </c>
      <c r="B562" s="629">
        <f>B566*((A570+A571+I570+I571)/1000)</f>
        <v>42.54</v>
      </c>
      <c r="C562" s="630"/>
      <c r="D562" s="630"/>
      <c r="E562" s="630"/>
      <c r="F562" s="630"/>
      <c r="G562" s="630"/>
      <c r="H562" s="630"/>
      <c r="I562" s="630"/>
      <c r="J562" s="630"/>
      <c r="K562" s="630"/>
      <c r="L562" s="630"/>
      <c r="M562" s="630"/>
      <c r="N562" s="630"/>
      <c r="O562" s="631"/>
      <c r="P562" s="119"/>
      <c r="Q562" s="672"/>
      <c r="R562" s="183" t="s">
        <v>141</v>
      </c>
      <c r="S562" s="680"/>
    </row>
    <row r="563" spans="1:19" ht="15.75" thickBot="1" x14ac:dyDescent="0.3">
      <c r="A563" s="177" t="s">
        <v>109</v>
      </c>
      <c r="B563" s="626">
        <v>0.68</v>
      </c>
      <c r="C563" s="627"/>
      <c r="D563" s="627"/>
      <c r="E563" s="627"/>
      <c r="F563" s="627"/>
      <c r="G563" s="627"/>
      <c r="H563" s="627"/>
      <c r="I563" s="627"/>
      <c r="J563" s="627"/>
      <c r="K563" s="627"/>
      <c r="L563" s="627"/>
      <c r="M563" s="627"/>
      <c r="N563" s="627"/>
      <c r="O563" s="628"/>
      <c r="P563" s="119"/>
      <c r="Q563" s="238" t="s">
        <v>143</v>
      </c>
      <c r="R563" s="260">
        <v>5</v>
      </c>
      <c r="S563" s="181" t="s">
        <v>296</v>
      </c>
    </row>
    <row r="564" spans="1:19" ht="15.75" thickBot="1" x14ac:dyDescent="0.3">
      <c r="A564" s="177" t="s">
        <v>122</v>
      </c>
      <c r="B564" s="629">
        <f>B562-(B562*B563)</f>
        <v>13.612799999999996</v>
      </c>
      <c r="C564" s="630"/>
      <c r="D564" s="630"/>
      <c r="E564" s="630"/>
      <c r="F564" s="630"/>
      <c r="G564" s="630"/>
      <c r="H564" s="630"/>
      <c r="I564" s="630"/>
      <c r="J564" s="630"/>
      <c r="K564" s="630"/>
      <c r="L564" s="630"/>
      <c r="M564" s="630"/>
      <c r="N564" s="630"/>
      <c r="O564" s="631"/>
      <c r="P564" s="119"/>
      <c r="Q564" s="238" t="s">
        <v>145</v>
      </c>
      <c r="R564" s="183">
        <v>6</v>
      </c>
      <c r="S564" s="184" t="s">
        <v>297</v>
      </c>
    </row>
    <row r="565" spans="1:19" ht="15.75" thickBot="1" x14ac:dyDescent="0.3">
      <c r="A565" s="177" t="s">
        <v>110</v>
      </c>
      <c r="B565" s="632">
        <v>116</v>
      </c>
      <c r="C565" s="633"/>
      <c r="D565" s="633"/>
      <c r="E565" s="633"/>
      <c r="F565" s="633"/>
      <c r="G565" s="633"/>
      <c r="H565" s="633"/>
      <c r="I565" s="633"/>
      <c r="J565" s="633"/>
      <c r="K565" s="633"/>
      <c r="L565" s="633"/>
      <c r="M565" s="633"/>
      <c r="N565" s="633"/>
      <c r="O565" s="634"/>
      <c r="P565" s="119"/>
      <c r="Q565" s="238" t="s">
        <v>147</v>
      </c>
      <c r="R565" s="183">
        <v>8</v>
      </c>
      <c r="S565" s="184" t="s">
        <v>148</v>
      </c>
    </row>
    <row r="566" spans="1:19" x14ac:dyDescent="0.25">
      <c r="A566" s="177" t="s">
        <v>111</v>
      </c>
      <c r="B566" s="635">
        <v>15</v>
      </c>
      <c r="C566" s="636"/>
      <c r="D566" s="636"/>
      <c r="E566" s="636"/>
      <c r="F566" s="636"/>
      <c r="G566" s="636"/>
      <c r="H566" s="636"/>
      <c r="I566" s="636"/>
      <c r="J566" s="636"/>
      <c r="K566" s="636"/>
      <c r="L566" s="636"/>
      <c r="M566" s="636"/>
      <c r="N566" s="636"/>
      <c r="O566" s="637"/>
      <c r="P566" s="119"/>
      <c r="Q566" s="239" t="s">
        <v>149</v>
      </c>
      <c r="R566" s="671">
        <v>8</v>
      </c>
      <c r="S566" s="673" t="s">
        <v>298</v>
      </c>
    </row>
    <row r="567" spans="1:19" ht="15.75" thickBot="1" x14ac:dyDescent="0.3">
      <c r="A567" s="177" t="s">
        <v>273</v>
      </c>
      <c r="B567" s="638"/>
      <c r="C567" s="638"/>
      <c r="D567" s="638"/>
      <c r="E567" s="638"/>
      <c r="F567" s="638"/>
      <c r="G567" s="638"/>
      <c r="H567" s="638"/>
      <c r="I567" s="638"/>
      <c r="J567" s="638"/>
      <c r="K567" s="638"/>
      <c r="L567" s="638"/>
      <c r="M567" s="638"/>
      <c r="N567" s="638"/>
      <c r="O567" s="639"/>
      <c r="P567" s="119"/>
      <c r="Q567" s="238" t="s">
        <v>150</v>
      </c>
      <c r="R567" s="672"/>
      <c r="S567" s="674"/>
    </row>
    <row r="568" spans="1:19" ht="15.75" thickBot="1" x14ac:dyDescent="0.3">
      <c r="A568" s="587" t="s">
        <v>276</v>
      </c>
      <c r="B568" s="588"/>
      <c r="C568" s="588"/>
      <c r="D568" s="588"/>
      <c r="E568" s="588"/>
      <c r="F568" s="589"/>
      <c r="G568" s="453"/>
      <c r="H568" s="685" t="s">
        <v>128</v>
      </c>
      <c r="I568" s="669"/>
      <c r="J568" s="669"/>
      <c r="K568" s="669"/>
      <c r="L568" s="669"/>
      <c r="M568" s="669"/>
      <c r="N568" s="669"/>
      <c r="O568" s="670"/>
      <c r="P568" s="119"/>
      <c r="Q568" s="238" t="s">
        <v>152</v>
      </c>
      <c r="R568" s="183">
        <v>6</v>
      </c>
      <c r="S568" s="184" t="s">
        <v>299</v>
      </c>
    </row>
    <row r="569" spans="1:19" ht="15.75" thickBot="1" x14ac:dyDescent="0.3">
      <c r="A569" s="307" t="s">
        <v>98</v>
      </c>
      <c r="B569" s="365" t="s">
        <v>102</v>
      </c>
      <c r="C569" s="365" t="s">
        <v>92</v>
      </c>
      <c r="D569" s="365" t="s">
        <v>93</v>
      </c>
      <c r="E569" s="365" t="s">
        <v>94</v>
      </c>
      <c r="F569" s="366" t="s">
        <v>99</v>
      </c>
      <c r="G569" s="366"/>
      <c r="H569" s="365" t="s">
        <v>102</v>
      </c>
      <c r="I569" s="367" t="s">
        <v>98</v>
      </c>
      <c r="J569" s="365" t="s">
        <v>92</v>
      </c>
      <c r="K569" s="365" t="s">
        <v>93</v>
      </c>
      <c r="L569" s="424" t="s">
        <v>94</v>
      </c>
      <c r="M569" s="365" t="s">
        <v>279</v>
      </c>
      <c r="N569" s="365"/>
      <c r="O569" s="368" t="s">
        <v>99</v>
      </c>
      <c r="P569" s="119"/>
      <c r="Q569" s="238" t="s">
        <v>154</v>
      </c>
      <c r="R569" s="183">
        <v>9</v>
      </c>
      <c r="S569" s="181" t="s">
        <v>267</v>
      </c>
    </row>
    <row r="570" spans="1:19" ht="15.75" thickBot="1" x14ac:dyDescent="0.3">
      <c r="A570" s="308">
        <v>1257</v>
      </c>
      <c r="B570" s="365" t="s">
        <v>95</v>
      </c>
      <c r="C570" s="425">
        <v>946</v>
      </c>
      <c r="D570" s="359">
        <v>637</v>
      </c>
      <c r="E570" s="359">
        <v>631.5</v>
      </c>
      <c r="F570" s="360">
        <f t="shared" ref="F570:F577" si="95">SUM(C570:E570)</f>
        <v>2214.5</v>
      </c>
      <c r="G570" s="360"/>
      <c r="H570" s="359" t="s">
        <v>175</v>
      </c>
      <c r="I570" s="370">
        <v>1280</v>
      </c>
      <c r="J570" s="426">
        <v>1060.8</v>
      </c>
      <c r="K570" s="370">
        <v>1134</v>
      </c>
      <c r="L570" s="427">
        <v>611.4</v>
      </c>
      <c r="M570" s="370"/>
      <c r="N570" s="370"/>
      <c r="O570" s="360">
        <f t="shared" ref="O570:O577" si="96">SUM(J570:L570)</f>
        <v>2806.2000000000003</v>
      </c>
      <c r="P570" s="119"/>
      <c r="Q570" s="238" t="s">
        <v>156</v>
      </c>
      <c r="R570" s="183">
        <v>9</v>
      </c>
      <c r="S570" s="181" t="s">
        <v>84</v>
      </c>
    </row>
    <row r="571" spans="1:19" ht="15.75" thickBot="1" x14ac:dyDescent="0.3">
      <c r="A571" s="308">
        <v>151</v>
      </c>
      <c r="B571" s="365" t="s">
        <v>96</v>
      </c>
      <c r="C571" s="425">
        <v>54.1</v>
      </c>
      <c r="D571" s="359">
        <v>84.1</v>
      </c>
      <c r="E571" s="359">
        <v>56.2</v>
      </c>
      <c r="F571" s="360">
        <f t="shared" si="95"/>
        <v>194.39999999999998</v>
      </c>
      <c r="G571" s="475"/>
      <c r="H571" s="428" t="s">
        <v>176</v>
      </c>
      <c r="I571" s="370">
        <v>148</v>
      </c>
      <c r="J571" s="370">
        <v>115.8</v>
      </c>
      <c r="K571" s="370">
        <v>141.4</v>
      </c>
      <c r="L571" s="427">
        <v>43</v>
      </c>
      <c r="M571" s="370"/>
      <c r="N571" s="370"/>
      <c r="O571" s="360">
        <f t="shared" si="96"/>
        <v>300.2</v>
      </c>
      <c r="P571" s="119"/>
      <c r="Q571" s="238" t="s">
        <v>158</v>
      </c>
      <c r="R571" s="260" t="s">
        <v>205</v>
      </c>
      <c r="S571" s="181"/>
    </row>
    <row r="572" spans="1:19" ht="15.75" thickBot="1" x14ac:dyDescent="0.3">
      <c r="A572" s="307" t="s">
        <v>100</v>
      </c>
      <c r="B572" s="365" t="s">
        <v>95</v>
      </c>
      <c r="C572" s="429">
        <f t="shared" ref="C572:E573" si="97">C570/$A570</f>
        <v>0.7525855210819411</v>
      </c>
      <c r="D572" s="429">
        <f t="shared" si="97"/>
        <v>0.50676213206046139</v>
      </c>
      <c r="E572" s="429">
        <f t="shared" si="97"/>
        <v>0.50238663484486878</v>
      </c>
      <c r="F572" s="360">
        <f t="shared" si="95"/>
        <v>1.7617342879872711</v>
      </c>
      <c r="G572" s="360"/>
      <c r="H572" s="359" t="s">
        <v>175</v>
      </c>
      <c r="I572" s="371" t="s">
        <v>177</v>
      </c>
      <c r="J572" s="429">
        <f t="shared" ref="J572:L573" si="98">J570/$I570</f>
        <v>0.82874999999999999</v>
      </c>
      <c r="K572" s="429">
        <f t="shared" si="98"/>
        <v>0.88593750000000004</v>
      </c>
      <c r="L572" s="430">
        <f t="shared" si="98"/>
        <v>0.47765625</v>
      </c>
      <c r="M572" s="429"/>
      <c r="N572" s="429"/>
      <c r="O572" s="360">
        <f t="shared" si="96"/>
        <v>2.19234375</v>
      </c>
      <c r="P572" s="119"/>
      <c r="Q572" s="185" t="s">
        <v>99</v>
      </c>
      <c r="R572" s="183">
        <f>SUM(R563:R571)</f>
        <v>51</v>
      </c>
      <c r="S572" s="186">
        <f>R572/80</f>
        <v>0.63749999999999996</v>
      </c>
    </row>
    <row r="573" spans="1:19" x14ac:dyDescent="0.25">
      <c r="A573" s="307" t="s">
        <v>100</v>
      </c>
      <c r="B573" s="365" t="s">
        <v>96</v>
      </c>
      <c r="C573" s="359">
        <f t="shared" si="97"/>
        <v>0.35827814569536426</v>
      </c>
      <c r="D573" s="359">
        <f t="shared" si="97"/>
        <v>0.55695364238410594</v>
      </c>
      <c r="E573" s="359">
        <f t="shared" si="97"/>
        <v>0.37218543046357616</v>
      </c>
      <c r="F573" s="360">
        <f t="shared" si="95"/>
        <v>1.2874172185430464</v>
      </c>
      <c r="G573" s="360"/>
      <c r="H573" s="359" t="s">
        <v>176</v>
      </c>
      <c r="I573" s="371" t="s">
        <v>177</v>
      </c>
      <c r="J573" s="359">
        <f t="shared" si="98"/>
        <v>0.78243243243243243</v>
      </c>
      <c r="K573" s="359">
        <f t="shared" si="98"/>
        <v>0.95540540540540542</v>
      </c>
      <c r="L573" s="359">
        <f t="shared" si="98"/>
        <v>0.29054054054054052</v>
      </c>
      <c r="M573" s="359"/>
      <c r="N573" s="359"/>
      <c r="O573" s="360">
        <f t="shared" si="96"/>
        <v>2.0283783783783784</v>
      </c>
      <c r="P573" s="119"/>
      <c r="Q573" s="262"/>
      <c r="R573" s="262"/>
      <c r="S573" s="262"/>
    </row>
    <row r="574" spans="1:19" x14ac:dyDescent="0.25">
      <c r="A574" s="307" t="s">
        <v>104</v>
      </c>
      <c r="B574" s="365" t="s">
        <v>95</v>
      </c>
      <c r="C574" s="359">
        <f>C570/($A570/7.7)</f>
        <v>5.7949085123309469</v>
      </c>
      <c r="D574" s="359">
        <f>D570/($A570/7)</f>
        <v>3.5473349244232297</v>
      </c>
      <c r="E574" s="359">
        <f>E570/($A570/7)</f>
        <v>3.5167064439140807</v>
      </c>
      <c r="F574" s="360">
        <f t="shared" si="95"/>
        <v>12.858949880668259</v>
      </c>
      <c r="G574" s="469"/>
      <c r="H574" s="372" t="s">
        <v>175</v>
      </c>
      <c r="I574" s="371" t="s">
        <v>178</v>
      </c>
      <c r="J574" s="359">
        <f t="shared" ref="J574:L575" si="99">J570/($I570/7.7)</f>
        <v>6.3813749999999994</v>
      </c>
      <c r="K574" s="359">
        <f t="shared" si="99"/>
        <v>6.8217187500000005</v>
      </c>
      <c r="L574" s="359">
        <f t="shared" si="99"/>
        <v>3.6779531249999997</v>
      </c>
      <c r="M574" s="359"/>
      <c r="N574" s="359"/>
      <c r="O574" s="360">
        <f t="shared" si="96"/>
        <v>16.881046874999999</v>
      </c>
      <c r="P574" s="119"/>
      <c r="Q574" s="262"/>
      <c r="R574" s="262"/>
      <c r="S574" s="262"/>
    </row>
    <row r="575" spans="1:19" x14ac:dyDescent="0.25">
      <c r="A575" s="307" t="s">
        <v>104</v>
      </c>
      <c r="B575" s="365" t="s">
        <v>96</v>
      </c>
      <c r="C575" s="359">
        <f>C571/($A571/7.7)</f>
        <v>2.7587417218543049</v>
      </c>
      <c r="D575" s="359">
        <f>D571/($A571/7.7)</f>
        <v>4.2885430463576153</v>
      </c>
      <c r="E575" s="359">
        <f>E571/($A571/7.7)</f>
        <v>2.8658278145695366</v>
      </c>
      <c r="F575" s="360">
        <f t="shared" si="95"/>
        <v>9.9131125827814568</v>
      </c>
      <c r="G575" s="360"/>
      <c r="H575" s="359" t="s">
        <v>176</v>
      </c>
      <c r="I575" s="371" t="s">
        <v>178</v>
      </c>
      <c r="J575" s="359">
        <f t="shared" si="99"/>
        <v>6.0247297297297298</v>
      </c>
      <c r="K575" s="359">
        <f t="shared" si="99"/>
        <v>7.3566216216216223</v>
      </c>
      <c r="L575" s="359">
        <f t="shared" si="99"/>
        <v>2.237162162162162</v>
      </c>
      <c r="M575" s="359"/>
      <c r="N575" s="359"/>
      <c r="O575" s="360">
        <f t="shared" si="96"/>
        <v>15.618513513513514</v>
      </c>
      <c r="P575" s="119"/>
      <c r="Q575" s="262"/>
      <c r="R575" s="262"/>
      <c r="S575" s="262"/>
    </row>
    <row r="576" spans="1:19" x14ac:dyDescent="0.25">
      <c r="A576" s="307" t="s">
        <v>135</v>
      </c>
      <c r="B576" s="365" t="s">
        <v>95</v>
      </c>
      <c r="C576" s="359">
        <f>C570/((($A570*$B566)*(1-$B563))/$B561)</f>
        <v>0.12251577060334407</v>
      </c>
      <c r="D576" s="359">
        <f>D570/((($A570*$B566)*(1-$B563))/$B561)</f>
        <v>8.249740578681837E-2</v>
      </c>
      <c r="E576" s="359">
        <f>E570/((($A570*$B566)*(1-$B563))/$B561)</f>
        <v>8.178510479493846E-2</v>
      </c>
      <c r="F576" s="360">
        <f t="shared" si="95"/>
        <v>0.28679828118510087</v>
      </c>
      <c r="G576" s="360"/>
      <c r="H576" s="361" t="s">
        <v>175</v>
      </c>
      <c r="I576" s="371" t="s">
        <v>179</v>
      </c>
      <c r="J576" s="359">
        <f>J570/((($I570*$B566)*(1-$B563))/$B561)</f>
        <v>0.13491482634631544</v>
      </c>
      <c r="K576" s="359">
        <f>K570/((($I570*$B566)*(1-$B563))/$B561)</f>
        <v>0.14422455983853857</v>
      </c>
      <c r="L576" s="359">
        <f>L570/((($I570*$B566)*(1-$B563))/$B561)</f>
        <v>7.7759167447339045E-2</v>
      </c>
      <c r="M576" s="359"/>
      <c r="N576" s="359"/>
      <c r="O576" s="360">
        <f t="shared" si="96"/>
        <v>0.35689855363219303</v>
      </c>
      <c r="P576" s="42"/>
      <c r="Q576" s="263"/>
      <c r="R576" s="262"/>
      <c r="S576" s="263"/>
    </row>
    <row r="577" spans="1:19" x14ac:dyDescent="0.25">
      <c r="A577" s="307" t="s">
        <v>135</v>
      </c>
      <c r="B577" s="365" t="s">
        <v>96</v>
      </c>
      <c r="C577" s="359">
        <f>C571/((($A571*$B566)*(1-$B563))/$B561)</f>
        <v>5.8325229333538425E-2</v>
      </c>
      <c r="D577" s="359">
        <f>D571/((($A571*$B566)*(1-$B563))/$B561)</f>
        <v>9.0668240054539398E-2</v>
      </c>
      <c r="E577" s="359">
        <f>E571/((($A571*$B566)*(1-$B563))/$B561)</f>
        <v>6.0589240084008497E-2</v>
      </c>
      <c r="F577" s="360">
        <f t="shared" si="95"/>
        <v>0.20958270947208635</v>
      </c>
      <c r="G577" s="360"/>
      <c r="H577" s="361" t="s">
        <v>176</v>
      </c>
      <c r="I577" s="371" t="s">
        <v>179</v>
      </c>
      <c r="J577" s="359">
        <f>J571/((($I571*$B566)*(1-$B563))/$B561)</f>
        <v>0.12737464343812588</v>
      </c>
      <c r="K577" s="359">
        <f>K571/((($I571*$B566)*(1-$B563))/$B561)</f>
        <v>0.1555334592586442</v>
      </c>
      <c r="L577" s="359">
        <f>L571/((($I571*$B566)*(1-$B563))/$B561)</f>
        <v>4.7298010948526877E-2</v>
      </c>
      <c r="M577" s="359"/>
      <c r="N577" s="359"/>
      <c r="O577" s="360">
        <f t="shared" si="96"/>
        <v>0.33020611364529695</v>
      </c>
      <c r="P577" s="42"/>
      <c r="Q577" s="263"/>
      <c r="R577" s="262"/>
      <c r="S577" s="263"/>
    </row>
    <row r="579" spans="1:19" ht="21" x14ac:dyDescent="0.25">
      <c r="A579" s="305"/>
      <c r="B579" s="644" t="s">
        <v>198</v>
      </c>
      <c r="C579" s="645"/>
      <c r="D579" s="645"/>
      <c r="E579" s="645"/>
      <c r="F579" s="645"/>
      <c r="G579" s="645"/>
      <c r="H579" s="645"/>
      <c r="I579" s="645"/>
      <c r="J579" s="645"/>
      <c r="K579" s="645"/>
      <c r="L579" s="645"/>
      <c r="M579" s="645"/>
      <c r="N579" s="645"/>
      <c r="O579" s="646"/>
      <c r="P579" s="120" t="s">
        <v>97</v>
      </c>
      <c r="Q579" s="678" t="s">
        <v>199</v>
      </c>
      <c r="R579" s="678"/>
      <c r="S579" s="678"/>
    </row>
    <row r="580" spans="1:19" ht="21" x14ac:dyDescent="0.25">
      <c r="A580" s="177" t="s">
        <v>285</v>
      </c>
      <c r="B580" s="695">
        <v>43854</v>
      </c>
      <c r="C580" s="696"/>
      <c r="D580" s="696"/>
      <c r="E580" s="696"/>
      <c r="F580" s="696"/>
      <c r="G580" s="696"/>
      <c r="H580" s="696"/>
      <c r="I580" s="696"/>
      <c r="J580" s="696"/>
      <c r="K580" s="696"/>
      <c r="L580" s="696"/>
      <c r="M580" s="696"/>
      <c r="N580" s="696"/>
      <c r="O580" s="697"/>
      <c r="P580" s="120"/>
      <c r="Q580" s="678"/>
      <c r="R580" s="678"/>
      <c r="S580" s="678"/>
    </row>
    <row r="581" spans="1:19" x14ac:dyDescent="0.25">
      <c r="A581" s="177"/>
      <c r="B581" s="650" t="s">
        <v>115</v>
      </c>
      <c r="C581" s="651"/>
      <c r="D581" s="651"/>
      <c r="E581" s="651"/>
      <c r="F581" s="651"/>
      <c r="G581" s="651"/>
      <c r="H581" s="651"/>
      <c r="I581" s="651"/>
      <c r="J581" s="651"/>
      <c r="K581" s="651"/>
      <c r="L581" s="651"/>
      <c r="M581" s="651"/>
      <c r="N581" s="651"/>
      <c r="O581" s="652"/>
      <c r="P581" s="120"/>
      <c r="Q581" s="678"/>
      <c r="R581" s="678"/>
      <c r="S581" s="678"/>
    </row>
    <row r="582" spans="1:19" x14ac:dyDescent="0.25">
      <c r="A582" s="177" t="s">
        <v>106</v>
      </c>
      <c r="B582" s="629">
        <f>12150/1000</f>
        <v>12.15</v>
      </c>
      <c r="C582" s="630"/>
      <c r="D582" s="630"/>
      <c r="E582" s="631"/>
      <c r="F582" s="365" t="s">
        <v>174</v>
      </c>
      <c r="G582" s="471"/>
      <c r="H582" s="668">
        <v>0</v>
      </c>
      <c r="I582" s="669"/>
      <c r="J582" s="669"/>
      <c r="K582" s="669"/>
      <c r="L582" s="670"/>
      <c r="M582" s="656">
        <f>SUM(B582,H583)</f>
        <v>12.15</v>
      </c>
      <c r="N582" s="630"/>
      <c r="O582" s="631"/>
      <c r="P582" s="120"/>
      <c r="Q582" s="678"/>
      <c r="R582" s="678"/>
      <c r="S582" s="678"/>
    </row>
    <row r="583" spans="1:19" x14ac:dyDescent="0.25">
      <c r="A583" s="177" t="s">
        <v>112</v>
      </c>
      <c r="B583" s="626">
        <v>0.12</v>
      </c>
      <c r="C583" s="627"/>
      <c r="D583" s="627"/>
      <c r="E583" s="628"/>
      <c r="F583" s="290"/>
      <c r="G583" s="472"/>
      <c r="H583" s="626">
        <v>0</v>
      </c>
      <c r="I583" s="627"/>
      <c r="J583" s="627"/>
      <c r="K583" s="627"/>
      <c r="L583" s="628"/>
      <c r="M583" s="657">
        <f>B583</f>
        <v>0.12</v>
      </c>
      <c r="N583" s="627"/>
      <c r="O583" s="628"/>
      <c r="P583" s="120"/>
      <c r="Q583" s="678"/>
      <c r="R583" s="678"/>
      <c r="S583" s="678"/>
    </row>
    <row r="584" spans="1:19" ht="15.75" thickBot="1" x14ac:dyDescent="0.3">
      <c r="A584" s="177" t="s">
        <v>107</v>
      </c>
      <c r="B584" s="629">
        <f>B582*(1-B583)</f>
        <v>10.692</v>
      </c>
      <c r="C584" s="630"/>
      <c r="D584" s="630"/>
      <c r="E584" s="631"/>
      <c r="F584" s="290"/>
      <c r="G584" s="472"/>
      <c r="H584" s="629">
        <f>H582*(1-H583)</f>
        <v>0</v>
      </c>
      <c r="I584" s="630"/>
      <c r="J584" s="630"/>
      <c r="K584" s="630"/>
      <c r="L584" s="631"/>
      <c r="M584" s="656">
        <f>SUM(B584,H584)</f>
        <v>10.692</v>
      </c>
      <c r="N584" s="630"/>
      <c r="O584" s="631"/>
      <c r="P584" s="120"/>
      <c r="Q584" s="261" t="s">
        <v>97</v>
      </c>
      <c r="R584" s="262"/>
      <c r="S584" s="263"/>
    </row>
    <row r="585" spans="1:19" x14ac:dyDescent="0.25">
      <c r="A585" s="177" t="s">
        <v>108</v>
      </c>
      <c r="B585" s="626">
        <f>B588/B584</f>
        <v>0.86195286195286169</v>
      </c>
      <c r="C585" s="627"/>
      <c r="D585" s="627"/>
      <c r="E585" s="627"/>
      <c r="F585" s="627"/>
      <c r="G585" s="627"/>
      <c r="H585" s="627"/>
      <c r="I585" s="627"/>
      <c r="J585" s="627"/>
      <c r="K585" s="627"/>
      <c r="L585" s="627"/>
      <c r="M585" s="627"/>
      <c r="N585" s="627"/>
      <c r="O585" s="628"/>
      <c r="P585" s="120"/>
      <c r="Q585" s="671" t="s">
        <v>139</v>
      </c>
      <c r="R585" s="235" t="s">
        <v>140</v>
      </c>
      <c r="S585" s="679" t="s">
        <v>142</v>
      </c>
    </row>
    <row r="586" spans="1:19" ht="15.75" thickBot="1" x14ac:dyDescent="0.3">
      <c r="A586" s="177" t="s">
        <v>113</v>
      </c>
      <c r="B586" s="629">
        <f>B590*((E594+E595)/1000)</f>
        <v>28.799999999999997</v>
      </c>
      <c r="C586" s="630"/>
      <c r="D586" s="630"/>
      <c r="E586" s="630"/>
      <c r="F586" s="630"/>
      <c r="G586" s="630"/>
      <c r="H586" s="630"/>
      <c r="I586" s="630"/>
      <c r="J586" s="630"/>
      <c r="K586" s="630"/>
      <c r="L586" s="630"/>
      <c r="M586" s="630"/>
      <c r="N586" s="630"/>
      <c r="O586" s="631"/>
      <c r="P586" s="120"/>
      <c r="Q586" s="672"/>
      <c r="R586" s="183" t="s">
        <v>141</v>
      </c>
      <c r="S586" s="680"/>
    </row>
    <row r="587" spans="1:19" ht="15.75" thickBot="1" x14ac:dyDescent="0.3">
      <c r="A587" s="177" t="s">
        <v>109</v>
      </c>
      <c r="B587" s="626">
        <v>0.68</v>
      </c>
      <c r="C587" s="627"/>
      <c r="D587" s="627"/>
      <c r="E587" s="627"/>
      <c r="F587" s="627"/>
      <c r="G587" s="627"/>
      <c r="H587" s="627"/>
      <c r="I587" s="627"/>
      <c r="J587" s="627"/>
      <c r="K587" s="627"/>
      <c r="L587" s="627"/>
      <c r="M587" s="627"/>
      <c r="N587" s="627"/>
      <c r="O587" s="628"/>
      <c r="P587" s="120"/>
      <c r="Q587" s="238" t="s">
        <v>143</v>
      </c>
      <c r="R587" s="183">
        <v>3</v>
      </c>
      <c r="S587" s="181" t="s">
        <v>296</v>
      </c>
    </row>
    <row r="588" spans="1:19" ht="15.75" thickBot="1" x14ac:dyDescent="0.3">
      <c r="A588" s="177" t="s">
        <v>122</v>
      </c>
      <c r="B588" s="629">
        <f>B586-(B586*B587)</f>
        <v>9.2159999999999975</v>
      </c>
      <c r="C588" s="630"/>
      <c r="D588" s="630"/>
      <c r="E588" s="630"/>
      <c r="F588" s="630"/>
      <c r="G588" s="630"/>
      <c r="H588" s="630"/>
      <c r="I588" s="630"/>
      <c r="J588" s="630"/>
      <c r="K588" s="630"/>
      <c r="L588" s="630"/>
      <c r="M588" s="630"/>
      <c r="N588" s="630"/>
      <c r="O588" s="631"/>
      <c r="P588" s="120"/>
      <c r="Q588" s="238" t="s">
        <v>145</v>
      </c>
      <c r="R588" s="183">
        <v>8</v>
      </c>
      <c r="S588" s="184" t="s">
        <v>311</v>
      </c>
    </row>
    <row r="589" spans="1:19" ht="15.75" thickBot="1" x14ac:dyDescent="0.3">
      <c r="A589" s="177" t="s">
        <v>110</v>
      </c>
      <c r="B589" s="632">
        <v>116</v>
      </c>
      <c r="C589" s="633"/>
      <c r="D589" s="633"/>
      <c r="E589" s="633"/>
      <c r="F589" s="633"/>
      <c r="G589" s="633"/>
      <c r="H589" s="633"/>
      <c r="I589" s="633"/>
      <c r="J589" s="633"/>
      <c r="K589" s="633"/>
      <c r="L589" s="633"/>
      <c r="M589" s="633"/>
      <c r="N589" s="633"/>
      <c r="O589" s="634"/>
      <c r="P589" s="120"/>
      <c r="Q589" s="238" t="s">
        <v>147</v>
      </c>
      <c r="R589" s="183">
        <v>7</v>
      </c>
      <c r="S589" s="184" t="s">
        <v>148</v>
      </c>
    </row>
    <row r="590" spans="1:19" x14ac:dyDescent="0.25">
      <c r="A590" s="177" t="s">
        <v>111</v>
      </c>
      <c r="B590" s="635">
        <v>15</v>
      </c>
      <c r="C590" s="636"/>
      <c r="D590" s="636"/>
      <c r="E590" s="636"/>
      <c r="F590" s="636"/>
      <c r="G590" s="636"/>
      <c r="H590" s="636"/>
      <c r="I590" s="636"/>
      <c r="J590" s="636"/>
      <c r="K590" s="636"/>
      <c r="L590" s="636"/>
      <c r="M590" s="636"/>
      <c r="N590" s="636"/>
      <c r="O590" s="637"/>
      <c r="P590" s="120"/>
      <c r="Q590" s="239" t="s">
        <v>149</v>
      </c>
      <c r="R590" s="671">
        <v>9</v>
      </c>
      <c r="S590" s="673" t="s">
        <v>312</v>
      </c>
    </row>
    <row r="591" spans="1:19" ht="15.75" thickBot="1" x14ac:dyDescent="0.3">
      <c r="A591" s="177" t="s">
        <v>273</v>
      </c>
      <c r="B591" s="638" t="s">
        <v>302</v>
      </c>
      <c r="C591" s="638"/>
      <c r="D591" s="638"/>
      <c r="E591" s="638"/>
      <c r="F591" s="638"/>
      <c r="G591" s="638"/>
      <c r="H591" s="638"/>
      <c r="I591" s="638"/>
      <c r="J591" s="638"/>
      <c r="K591" s="638"/>
      <c r="L591" s="638"/>
      <c r="M591" s="638"/>
      <c r="N591" s="638"/>
      <c r="O591" s="639"/>
      <c r="P591" s="120"/>
      <c r="Q591" s="238" t="s">
        <v>150</v>
      </c>
      <c r="R591" s="672"/>
      <c r="S591" s="674"/>
    </row>
    <row r="592" spans="1:19" ht="15.75" thickBot="1" x14ac:dyDescent="0.3">
      <c r="A592" s="177" t="s">
        <v>304</v>
      </c>
      <c r="B592" s="431">
        <f>35.8</f>
        <v>35.799999999999997</v>
      </c>
      <c r="C592" s="431"/>
      <c r="D592" s="431"/>
      <c r="E592" s="431"/>
      <c r="F592" s="431"/>
      <c r="G592" s="431"/>
      <c r="H592" s="431"/>
      <c r="I592" s="431"/>
      <c r="J592" s="431"/>
      <c r="K592" s="431"/>
      <c r="L592" s="431"/>
      <c r="M592" s="431"/>
      <c r="N592" s="431"/>
      <c r="O592" s="432"/>
      <c r="P592" s="120"/>
      <c r="Q592" s="238" t="s">
        <v>152</v>
      </c>
      <c r="R592" s="183">
        <v>4.5</v>
      </c>
      <c r="S592" s="184" t="s">
        <v>299</v>
      </c>
    </row>
    <row r="593" spans="1:19" ht="15.75" thickBot="1" x14ac:dyDescent="0.3">
      <c r="E593" s="307" t="s">
        <v>98</v>
      </c>
      <c r="F593" s="365" t="s">
        <v>102</v>
      </c>
      <c r="G593" s="365"/>
      <c r="H593" s="365" t="s">
        <v>92</v>
      </c>
      <c r="I593" s="365" t="s">
        <v>93</v>
      </c>
      <c r="J593" s="365" t="s">
        <v>94</v>
      </c>
      <c r="K593" s="359" t="s">
        <v>99</v>
      </c>
      <c r="L593" s="433"/>
      <c r="M593" s="433"/>
      <c r="N593" s="433"/>
      <c r="O593" s="434"/>
      <c r="P593" s="120"/>
      <c r="Q593" s="238" t="s">
        <v>154</v>
      </c>
      <c r="R593" s="183">
        <v>9</v>
      </c>
      <c r="S593" s="181" t="s">
        <v>267</v>
      </c>
    </row>
    <row r="594" spans="1:19" ht="15.75" thickBot="1" x14ac:dyDescent="0.3">
      <c r="E594" s="308">
        <v>1770</v>
      </c>
      <c r="F594" s="365" t="s">
        <v>95</v>
      </c>
      <c r="G594" s="365"/>
      <c r="H594" s="425">
        <v>1325.2</v>
      </c>
      <c r="I594" s="435">
        <v>616.70000000000005</v>
      </c>
      <c r="J594" s="359">
        <v>483.3</v>
      </c>
      <c r="K594" s="359">
        <f>SUM(H594:J594)</f>
        <v>2425.2000000000003</v>
      </c>
      <c r="L594" s="436"/>
      <c r="M594" s="436"/>
      <c r="N594" s="436"/>
      <c r="O594" s="437"/>
      <c r="P594" s="120"/>
      <c r="Q594" s="238" t="s">
        <v>156</v>
      </c>
      <c r="R594" s="183">
        <v>9</v>
      </c>
      <c r="S594" s="181" t="s">
        <v>84</v>
      </c>
    </row>
    <row r="595" spans="1:19" ht="15.75" thickBot="1" x14ac:dyDescent="0.3">
      <c r="E595" s="308">
        <v>150</v>
      </c>
      <c r="F595" s="438" t="s">
        <v>96</v>
      </c>
      <c r="G595" s="438"/>
      <c r="H595" s="425">
        <v>94.2</v>
      </c>
      <c r="I595" s="435">
        <v>47.5</v>
      </c>
      <c r="J595" s="359">
        <v>20</v>
      </c>
      <c r="K595" s="359">
        <f t="shared" ref="K595:K601" si="100">SUM(H595:J595)</f>
        <v>161.69999999999999</v>
      </c>
      <c r="L595" s="436"/>
      <c r="M595" s="436"/>
      <c r="N595" s="436"/>
      <c r="O595" s="437"/>
      <c r="P595" s="120"/>
      <c r="Q595" s="238" t="s">
        <v>158</v>
      </c>
      <c r="R595" s="183">
        <v>8</v>
      </c>
      <c r="S595" s="181">
        <v>7.45</v>
      </c>
    </row>
    <row r="596" spans="1:19" ht="15.75" thickBot="1" x14ac:dyDescent="0.3">
      <c r="E596" s="307" t="s">
        <v>100</v>
      </c>
      <c r="F596" s="365" t="s">
        <v>95</v>
      </c>
      <c r="G596" s="365"/>
      <c r="H596" s="429">
        <f t="shared" ref="H596:J597" si="101">H594/$E594</f>
        <v>0.74870056497175141</v>
      </c>
      <c r="I596" s="429">
        <f t="shared" si="101"/>
        <v>0.34841807909604522</v>
      </c>
      <c r="J596" s="429">
        <f t="shared" si="101"/>
        <v>0.27305084745762714</v>
      </c>
      <c r="K596" s="359">
        <f t="shared" si="100"/>
        <v>1.3701694915254239</v>
      </c>
      <c r="L596" s="436"/>
      <c r="M596" s="436"/>
      <c r="N596" s="436"/>
      <c r="O596" s="437"/>
      <c r="P596" s="120"/>
      <c r="Q596" s="185" t="s">
        <v>99</v>
      </c>
      <c r="R596" s="183" t="s">
        <v>313</v>
      </c>
      <c r="S596" s="186">
        <v>0.73099999999999998</v>
      </c>
    </row>
    <row r="597" spans="1:19" x14ac:dyDescent="0.25">
      <c r="E597" s="307" t="s">
        <v>100</v>
      </c>
      <c r="F597" s="438" t="s">
        <v>96</v>
      </c>
      <c r="G597" s="438"/>
      <c r="H597" s="359">
        <f t="shared" si="101"/>
        <v>0.628</v>
      </c>
      <c r="I597" s="359">
        <f t="shared" si="101"/>
        <v>0.31666666666666665</v>
      </c>
      <c r="J597" s="359">
        <f t="shared" si="101"/>
        <v>0.13333333333333333</v>
      </c>
      <c r="K597" s="359">
        <f t="shared" si="100"/>
        <v>1.0780000000000001</v>
      </c>
      <c r="L597" s="436"/>
      <c r="M597" s="436"/>
      <c r="N597" s="436"/>
      <c r="O597" s="437"/>
      <c r="P597" s="120"/>
      <c r="Q597" s="262"/>
      <c r="R597" s="262"/>
      <c r="S597" s="262"/>
    </row>
    <row r="598" spans="1:19" x14ac:dyDescent="0.25">
      <c r="E598" s="307" t="s">
        <v>104</v>
      </c>
      <c r="F598" s="365" t="s">
        <v>95</v>
      </c>
      <c r="G598" s="365"/>
      <c r="H598" s="359">
        <f>H594/($E594/7.7)</f>
        <v>5.7649943502824863</v>
      </c>
      <c r="I598" s="359">
        <f>I594/($E594/7)</f>
        <v>2.4389265536723164</v>
      </c>
      <c r="J598" s="359">
        <f>J594/($E594/7)</f>
        <v>1.91135593220339</v>
      </c>
      <c r="K598" s="359">
        <f t="shared" si="100"/>
        <v>10.115276836158193</v>
      </c>
      <c r="L598" s="436"/>
      <c r="M598" s="436"/>
      <c r="N598" s="436"/>
      <c r="O598" s="437"/>
      <c r="P598" s="120"/>
      <c r="Q598" s="262"/>
      <c r="R598" s="262"/>
      <c r="S598" s="262"/>
    </row>
    <row r="599" spans="1:19" x14ac:dyDescent="0.25">
      <c r="E599" s="307" t="s">
        <v>104</v>
      </c>
      <c r="F599" s="438" t="s">
        <v>96</v>
      </c>
      <c r="G599" s="438"/>
      <c r="H599" s="359">
        <f>H595/($E595/7.7)</f>
        <v>4.8356000000000003</v>
      </c>
      <c r="I599" s="359">
        <f>I595/($E595/7.7)</f>
        <v>2.4383333333333335</v>
      </c>
      <c r="J599" s="359">
        <f>J595/($E595/7.7)</f>
        <v>1.0266666666666666</v>
      </c>
      <c r="K599" s="359">
        <f t="shared" si="100"/>
        <v>8.3006000000000011</v>
      </c>
      <c r="L599" s="436"/>
      <c r="M599" s="436"/>
      <c r="N599" s="436"/>
      <c r="O599" s="437"/>
      <c r="P599" s="120"/>
      <c r="Q599" s="262"/>
      <c r="R599" s="262"/>
      <c r="S599" s="262"/>
    </row>
    <row r="600" spans="1:19" x14ac:dyDescent="0.25">
      <c r="E600" s="307" t="s">
        <v>135</v>
      </c>
      <c r="F600" s="365" t="s">
        <v>95</v>
      </c>
      <c r="G600" s="365"/>
      <c r="H600" s="359">
        <f>H594/((($E594*$B590)*(1-$B587))/$B585)</f>
        <v>0.13444679056731787</v>
      </c>
      <c r="I600" s="359">
        <f>I594/((($E594*$B590)*(1-$B587))/$B585)</f>
        <v>6.2566658423532248E-2</v>
      </c>
      <c r="J600" s="359">
        <f>J594/((($E594*$B590)*(1-$B587))/$B585)</f>
        <v>4.9032699880157508E-2</v>
      </c>
      <c r="K600" s="359">
        <f t="shared" si="100"/>
        <v>0.24604614887100762</v>
      </c>
      <c r="L600" s="436"/>
      <c r="M600" s="436"/>
      <c r="N600" s="436"/>
      <c r="O600" s="437"/>
      <c r="P600" s="42"/>
      <c r="Q600" s="263"/>
      <c r="R600" s="262"/>
      <c r="S600" s="263"/>
    </row>
    <row r="601" spans="1:19" x14ac:dyDescent="0.25">
      <c r="E601" s="307" t="s">
        <v>135</v>
      </c>
      <c r="F601" s="438" t="s">
        <v>96</v>
      </c>
      <c r="G601" s="438"/>
      <c r="H601" s="359">
        <f>H595/((($E595*$B590)*(1-$B587))/$B585)</f>
        <v>0.11277216610549942</v>
      </c>
      <c r="I601" s="359">
        <f>I595/((($E595*$B590)*(1-$B587))/$B585)</f>
        <v>5.6864945753834634E-2</v>
      </c>
      <c r="J601" s="359">
        <f>J595/((($E595*$B590)*(1-$B587))/$B585)</f>
        <v>2.394313505424616E-2</v>
      </c>
      <c r="K601" s="359">
        <f t="shared" si="100"/>
        <v>0.19358024691358022</v>
      </c>
      <c r="L601" s="439"/>
      <c r="M601" s="439"/>
      <c r="N601" s="439"/>
      <c r="O601" s="440"/>
      <c r="P601" s="42"/>
      <c r="Q601" s="263"/>
      <c r="R601" s="262"/>
      <c r="S601" s="263"/>
    </row>
    <row r="602" spans="1:19" x14ac:dyDescent="0.25">
      <c r="A602" s="178"/>
      <c r="B602" s="178"/>
      <c r="C602" s="178"/>
      <c r="D602" s="178"/>
      <c r="E602" s="178"/>
      <c r="F602" s="178"/>
      <c r="G602" s="178"/>
      <c r="H602" s="178"/>
      <c r="I602" s="178"/>
      <c r="J602" s="178"/>
      <c r="K602" s="178"/>
      <c r="L602" s="178"/>
      <c r="M602" s="178"/>
      <c r="N602" s="178"/>
      <c r="O602" s="178"/>
      <c r="P602" s="122"/>
      <c r="Q602" s="233"/>
      <c r="R602" s="233"/>
      <c r="S602" s="233"/>
    </row>
    <row r="604" spans="1:19" ht="21" x14ac:dyDescent="0.25">
      <c r="A604" s="305"/>
      <c r="B604" s="644" t="s">
        <v>300</v>
      </c>
      <c r="C604" s="645"/>
      <c r="D604" s="645"/>
      <c r="E604" s="645"/>
      <c r="F604" s="645"/>
      <c r="G604" s="645"/>
      <c r="H604" s="645"/>
      <c r="I604" s="645"/>
      <c r="J604" s="645"/>
      <c r="K604" s="645"/>
      <c r="L604" s="645"/>
      <c r="M604" s="645"/>
      <c r="N604" s="645"/>
      <c r="O604" s="646"/>
      <c r="P604" s="124" t="s">
        <v>97</v>
      </c>
      <c r="Q604" s="678" t="s">
        <v>161</v>
      </c>
      <c r="R604" s="678"/>
      <c r="S604" s="678"/>
    </row>
    <row r="605" spans="1:19" ht="21" x14ac:dyDescent="0.25">
      <c r="A605" s="177" t="s">
        <v>285</v>
      </c>
      <c r="B605" s="647">
        <v>43861</v>
      </c>
      <c r="C605" s="648"/>
      <c r="D605" s="648"/>
      <c r="E605" s="648"/>
      <c r="F605" s="648"/>
      <c r="G605" s="648"/>
      <c r="H605" s="648"/>
      <c r="I605" s="648"/>
      <c r="J605" s="648"/>
      <c r="K605" s="648"/>
      <c r="L605" s="648"/>
      <c r="M605" s="648"/>
      <c r="N605" s="648"/>
      <c r="O605" s="649"/>
      <c r="P605" s="124"/>
      <c r="Q605" s="678"/>
      <c r="R605" s="678"/>
      <c r="S605" s="678"/>
    </row>
    <row r="606" spans="1:19" x14ac:dyDescent="0.25">
      <c r="A606" s="177"/>
      <c r="B606" s="650" t="s">
        <v>115</v>
      </c>
      <c r="C606" s="651"/>
      <c r="D606" s="651"/>
      <c r="E606" s="651"/>
      <c r="F606" s="651"/>
      <c r="G606" s="651"/>
      <c r="H606" s="651"/>
      <c r="I606" s="651"/>
      <c r="J606" s="651"/>
      <c r="K606" s="651"/>
      <c r="L606" s="651"/>
      <c r="M606" s="651"/>
      <c r="N606" s="651"/>
      <c r="O606" s="652"/>
      <c r="P606" s="124"/>
      <c r="Q606" s="678"/>
      <c r="R606" s="678"/>
      <c r="S606" s="678"/>
    </row>
    <row r="607" spans="1:19" x14ac:dyDescent="0.25">
      <c r="A607" s="177" t="s">
        <v>106</v>
      </c>
      <c r="B607" s="629">
        <f>11600/1000</f>
        <v>11.6</v>
      </c>
      <c r="C607" s="630"/>
      <c r="D607" s="630"/>
      <c r="E607" s="631"/>
      <c r="F607" s="365" t="s">
        <v>174</v>
      </c>
      <c r="G607" s="471"/>
      <c r="H607" s="668">
        <v>0</v>
      </c>
      <c r="I607" s="669"/>
      <c r="J607" s="669"/>
      <c r="K607" s="669"/>
      <c r="L607" s="670"/>
      <c r="M607" s="656">
        <f>SUM(B607,H608)</f>
        <v>11.6</v>
      </c>
      <c r="N607" s="630"/>
      <c r="O607" s="631"/>
      <c r="P607" s="124"/>
      <c r="Q607" s="678"/>
      <c r="R607" s="678"/>
      <c r="S607" s="678"/>
    </row>
    <row r="608" spans="1:19" x14ac:dyDescent="0.25">
      <c r="A608" s="177" t="s">
        <v>112</v>
      </c>
      <c r="B608" s="626">
        <v>0.12</v>
      </c>
      <c r="C608" s="627"/>
      <c r="D608" s="627"/>
      <c r="E608" s="628"/>
      <c r="F608" s="290"/>
      <c r="G608" s="472"/>
      <c r="H608" s="626">
        <v>0</v>
      </c>
      <c r="I608" s="627"/>
      <c r="J608" s="627"/>
      <c r="K608" s="627"/>
      <c r="L608" s="628"/>
      <c r="M608" s="657">
        <f>B608</f>
        <v>0.12</v>
      </c>
      <c r="N608" s="627"/>
      <c r="O608" s="628"/>
      <c r="P608" s="124"/>
      <c r="Q608" s="678"/>
      <c r="R608" s="678"/>
      <c r="S608" s="678"/>
    </row>
    <row r="609" spans="1:19" ht="15.75" thickBot="1" x14ac:dyDescent="0.3">
      <c r="A609" s="177" t="s">
        <v>107</v>
      </c>
      <c r="B609" s="629">
        <f>B607*(1-B608)</f>
        <v>10.208</v>
      </c>
      <c r="C609" s="630"/>
      <c r="D609" s="630"/>
      <c r="E609" s="631"/>
      <c r="F609" s="290"/>
      <c r="G609" s="472"/>
      <c r="H609" s="629">
        <f>H607*(1-H608)</f>
        <v>0</v>
      </c>
      <c r="I609" s="630"/>
      <c r="J609" s="630"/>
      <c r="K609" s="630"/>
      <c r="L609" s="631"/>
      <c r="M609" s="656">
        <f>SUM(B609,H609)</f>
        <v>10.208</v>
      </c>
      <c r="N609" s="630"/>
      <c r="O609" s="631"/>
      <c r="P609" s="124"/>
      <c r="Q609" s="261" t="s">
        <v>97</v>
      </c>
      <c r="R609" s="262"/>
      <c r="S609" s="263"/>
    </row>
    <row r="610" spans="1:19" x14ac:dyDescent="0.25">
      <c r="A610" s="177" t="s">
        <v>108</v>
      </c>
      <c r="B610" s="626">
        <f>B613/B609</f>
        <v>0.87460815047021945</v>
      </c>
      <c r="C610" s="627"/>
      <c r="D610" s="627"/>
      <c r="E610" s="627"/>
      <c r="F610" s="627"/>
      <c r="G610" s="627"/>
      <c r="H610" s="627"/>
      <c r="I610" s="627"/>
      <c r="J610" s="627"/>
      <c r="K610" s="627"/>
      <c r="L610" s="627"/>
      <c r="M610" s="627"/>
      <c r="N610" s="627"/>
      <c r="O610" s="628"/>
      <c r="P610" s="124"/>
      <c r="Q610" s="671" t="s">
        <v>139</v>
      </c>
      <c r="R610" s="235" t="s">
        <v>140</v>
      </c>
      <c r="S610" s="679" t="s">
        <v>142</v>
      </c>
    </row>
    <row r="611" spans="1:19" ht="15.75" thickBot="1" x14ac:dyDescent="0.3">
      <c r="A611" s="177" t="s">
        <v>113</v>
      </c>
      <c r="B611" s="629">
        <f>B615*((E619+E620)/1000)</f>
        <v>28.799999999999997</v>
      </c>
      <c r="C611" s="630"/>
      <c r="D611" s="630"/>
      <c r="E611" s="630"/>
      <c r="F611" s="630"/>
      <c r="G611" s="630"/>
      <c r="H611" s="630"/>
      <c r="I611" s="630"/>
      <c r="J611" s="630"/>
      <c r="K611" s="630"/>
      <c r="L611" s="630"/>
      <c r="M611" s="630"/>
      <c r="N611" s="630"/>
      <c r="O611" s="631"/>
      <c r="P611" s="124"/>
      <c r="Q611" s="672"/>
      <c r="R611" s="183" t="s">
        <v>141</v>
      </c>
      <c r="S611" s="680"/>
    </row>
    <row r="612" spans="1:19" ht="15.75" thickBot="1" x14ac:dyDescent="0.3">
      <c r="A612" s="177" t="s">
        <v>109</v>
      </c>
      <c r="B612" s="626">
        <v>0.69</v>
      </c>
      <c r="C612" s="627"/>
      <c r="D612" s="627"/>
      <c r="E612" s="627"/>
      <c r="F612" s="627"/>
      <c r="G612" s="627"/>
      <c r="H612" s="627"/>
      <c r="I612" s="627"/>
      <c r="J612" s="627"/>
      <c r="K612" s="627"/>
      <c r="L612" s="627"/>
      <c r="M612" s="627"/>
      <c r="N612" s="627"/>
      <c r="O612" s="628"/>
      <c r="P612" s="124"/>
      <c r="Q612" s="238" t="s">
        <v>143</v>
      </c>
      <c r="R612" s="183">
        <v>3</v>
      </c>
      <c r="S612" s="181" t="s">
        <v>296</v>
      </c>
    </row>
    <row r="613" spans="1:19" ht="15.75" thickBot="1" x14ac:dyDescent="0.3">
      <c r="A613" s="177" t="s">
        <v>122</v>
      </c>
      <c r="B613" s="629">
        <f>B611-(B611*B612)</f>
        <v>8.9280000000000008</v>
      </c>
      <c r="C613" s="630"/>
      <c r="D613" s="630"/>
      <c r="E613" s="630"/>
      <c r="F613" s="630"/>
      <c r="G613" s="630"/>
      <c r="H613" s="630"/>
      <c r="I613" s="630"/>
      <c r="J613" s="630"/>
      <c r="K613" s="630"/>
      <c r="L613" s="630"/>
      <c r="M613" s="630"/>
      <c r="N613" s="630"/>
      <c r="O613" s="631"/>
      <c r="P613" s="124"/>
      <c r="Q613" s="238" t="s">
        <v>145</v>
      </c>
      <c r="R613" s="183">
        <v>8</v>
      </c>
      <c r="S613" s="184" t="s">
        <v>311</v>
      </c>
    </row>
    <row r="614" spans="1:19" ht="15.75" thickBot="1" x14ac:dyDescent="0.3">
      <c r="A614" s="177" t="s">
        <v>110</v>
      </c>
      <c r="B614" s="632">
        <v>116</v>
      </c>
      <c r="C614" s="633"/>
      <c r="D614" s="633"/>
      <c r="E614" s="633"/>
      <c r="F614" s="633"/>
      <c r="G614" s="633"/>
      <c r="H614" s="633"/>
      <c r="I614" s="633"/>
      <c r="J614" s="633"/>
      <c r="K614" s="633"/>
      <c r="L614" s="633"/>
      <c r="M614" s="633"/>
      <c r="N614" s="633"/>
      <c r="O614" s="634"/>
      <c r="P614" s="124"/>
      <c r="Q614" s="238" t="s">
        <v>147</v>
      </c>
      <c r="R614" s="183">
        <v>7</v>
      </c>
      <c r="S614" s="184" t="s">
        <v>148</v>
      </c>
    </row>
    <row r="615" spans="1:19" x14ac:dyDescent="0.25">
      <c r="A615" s="177" t="s">
        <v>111</v>
      </c>
      <c r="B615" s="635">
        <v>15</v>
      </c>
      <c r="C615" s="636"/>
      <c r="D615" s="636"/>
      <c r="E615" s="636"/>
      <c r="F615" s="636"/>
      <c r="G615" s="636"/>
      <c r="H615" s="636"/>
      <c r="I615" s="636"/>
      <c r="J615" s="636"/>
      <c r="K615" s="636"/>
      <c r="L615" s="636"/>
      <c r="M615" s="636"/>
      <c r="N615" s="636"/>
      <c r="O615" s="637"/>
      <c r="P615" s="124"/>
      <c r="Q615" s="239" t="s">
        <v>149</v>
      </c>
      <c r="R615" s="671">
        <v>9</v>
      </c>
      <c r="S615" s="673" t="s">
        <v>312</v>
      </c>
    </row>
    <row r="616" spans="1:19" ht="15.75" thickBot="1" x14ac:dyDescent="0.3">
      <c r="A616" s="177" t="s">
        <v>273</v>
      </c>
      <c r="B616" s="638" t="s">
        <v>301</v>
      </c>
      <c r="C616" s="638"/>
      <c r="D616" s="638"/>
      <c r="E616" s="638"/>
      <c r="F616" s="638"/>
      <c r="G616" s="638"/>
      <c r="H616" s="638"/>
      <c r="I616" s="638"/>
      <c r="J616" s="638"/>
      <c r="K616" s="638"/>
      <c r="L616" s="638"/>
      <c r="M616" s="638"/>
      <c r="N616" s="638"/>
      <c r="O616" s="639"/>
      <c r="P616" s="124"/>
      <c r="Q616" s="238" t="s">
        <v>150</v>
      </c>
      <c r="R616" s="672"/>
      <c r="S616" s="674"/>
    </row>
    <row r="617" spans="1:19" ht="15.75" thickBot="1" x14ac:dyDescent="0.3">
      <c r="A617" s="177" t="s">
        <v>305</v>
      </c>
      <c r="B617" s="431">
        <f>34.65</f>
        <v>34.65</v>
      </c>
      <c r="C617" s="431"/>
      <c r="D617" s="431"/>
      <c r="E617" s="431"/>
      <c r="F617" s="431"/>
      <c r="G617" s="431"/>
      <c r="H617" s="431"/>
      <c r="I617" s="431"/>
      <c r="J617" s="431"/>
      <c r="K617" s="431"/>
      <c r="L617" s="431"/>
      <c r="M617" s="431"/>
      <c r="N617" s="431"/>
      <c r="O617" s="432"/>
      <c r="P617" s="124"/>
      <c r="Q617" s="238" t="s">
        <v>152</v>
      </c>
      <c r="R617" s="183">
        <v>4.5</v>
      </c>
      <c r="S617" s="184" t="s">
        <v>299</v>
      </c>
    </row>
    <row r="618" spans="1:19" ht="15.75" thickBot="1" x14ac:dyDescent="0.3">
      <c r="E618" s="307" t="s">
        <v>98</v>
      </c>
      <c r="F618" s="365" t="s">
        <v>102</v>
      </c>
      <c r="G618" s="365"/>
      <c r="H618" s="365" t="s">
        <v>92</v>
      </c>
      <c r="I618" s="365" t="s">
        <v>93</v>
      </c>
      <c r="J618" s="365" t="s">
        <v>94</v>
      </c>
      <c r="K618" s="359" t="s">
        <v>99</v>
      </c>
      <c r="L618" s="433"/>
      <c r="M618" s="433"/>
      <c r="N618" s="433"/>
      <c r="O618" s="434"/>
      <c r="P618" s="124"/>
      <c r="Q618" s="238" t="s">
        <v>154</v>
      </c>
      <c r="R618" s="183">
        <v>9</v>
      </c>
      <c r="S618" s="181" t="s">
        <v>267</v>
      </c>
    </row>
    <row r="619" spans="1:19" ht="15.75" thickBot="1" x14ac:dyDescent="0.3">
      <c r="E619" s="308">
        <v>1770</v>
      </c>
      <c r="F619" s="365" t="s">
        <v>95</v>
      </c>
      <c r="G619" s="365"/>
      <c r="H619" s="435">
        <v>1168.7</v>
      </c>
      <c r="I619" s="359">
        <v>514.6</v>
      </c>
      <c r="J619" s="441">
        <v>353.1</v>
      </c>
      <c r="K619" s="359">
        <f>SUM(H619:J619)</f>
        <v>2036.4</v>
      </c>
      <c r="L619" s="436"/>
      <c r="M619" s="436"/>
      <c r="N619" s="436"/>
      <c r="O619" s="437"/>
      <c r="P619" s="124"/>
      <c r="Q619" s="238" t="s">
        <v>156</v>
      </c>
      <c r="R619" s="183">
        <v>9</v>
      </c>
      <c r="S619" s="181" t="s">
        <v>84</v>
      </c>
    </row>
    <row r="620" spans="1:19" ht="15.75" thickBot="1" x14ac:dyDescent="0.3">
      <c r="E620" s="308">
        <v>150</v>
      </c>
      <c r="F620" s="365" t="s">
        <v>96</v>
      </c>
      <c r="G620" s="365"/>
      <c r="H620" s="435">
        <v>84.5</v>
      </c>
      <c r="I620" s="359">
        <v>46.9</v>
      </c>
      <c r="J620" s="441">
        <v>30</v>
      </c>
      <c r="K620" s="359">
        <f t="shared" ref="K620:K626" si="102">SUM(H620:J620)</f>
        <v>161.4</v>
      </c>
      <c r="L620" s="436"/>
      <c r="M620" s="436"/>
      <c r="N620" s="436"/>
      <c r="O620" s="437"/>
      <c r="P620" s="124"/>
      <c r="Q620" s="238" t="s">
        <v>158</v>
      </c>
      <c r="R620" s="183">
        <v>8</v>
      </c>
      <c r="S620" s="181">
        <v>7.45</v>
      </c>
    </row>
    <row r="621" spans="1:19" ht="15.75" thickBot="1" x14ac:dyDescent="0.3">
      <c r="E621" s="307" t="s">
        <v>100</v>
      </c>
      <c r="F621" s="365" t="s">
        <v>95</v>
      </c>
      <c r="G621" s="365"/>
      <c r="H621" s="429">
        <f t="shared" ref="H621:J622" si="103">H619/$E619</f>
        <v>0.66028248587570626</v>
      </c>
      <c r="I621" s="429">
        <f t="shared" si="103"/>
        <v>0.29073446327683616</v>
      </c>
      <c r="J621" s="429">
        <f t="shared" si="103"/>
        <v>0.19949152542372883</v>
      </c>
      <c r="K621" s="442">
        <f t="shared" si="102"/>
        <v>1.1505084745762713</v>
      </c>
      <c r="L621" s="436"/>
      <c r="M621" s="436"/>
      <c r="N621" s="436"/>
      <c r="O621" s="437"/>
      <c r="P621" s="124"/>
      <c r="Q621" s="185" t="s">
        <v>99</v>
      </c>
      <c r="R621" s="183" t="s">
        <v>313</v>
      </c>
      <c r="S621" s="186">
        <v>0.73099999999999998</v>
      </c>
    </row>
    <row r="622" spans="1:19" x14ac:dyDescent="0.25">
      <c r="E622" s="307" t="s">
        <v>100</v>
      </c>
      <c r="F622" s="438" t="s">
        <v>96</v>
      </c>
      <c r="G622" s="438"/>
      <c r="H622" s="359">
        <f t="shared" si="103"/>
        <v>0.56333333333333335</v>
      </c>
      <c r="I622" s="359">
        <f t="shared" si="103"/>
        <v>0.31266666666666665</v>
      </c>
      <c r="J622" s="359">
        <f t="shared" si="103"/>
        <v>0.2</v>
      </c>
      <c r="K622" s="359">
        <f t="shared" si="102"/>
        <v>1.0760000000000001</v>
      </c>
      <c r="L622" s="436"/>
      <c r="M622" s="436"/>
      <c r="N622" s="436"/>
      <c r="O622" s="437"/>
      <c r="P622" s="124"/>
      <c r="Q622" s="262"/>
      <c r="R622" s="262"/>
      <c r="S622" s="262"/>
    </row>
    <row r="623" spans="1:19" x14ac:dyDescent="0.25">
      <c r="E623" s="307" t="s">
        <v>104</v>
      </c>
      <c r="F623" s="365" t="s">
        <v>95</v>
      </c>
      <c r="G623" s="365"/>
      <c r="H623" s="359">
        <f>H619/($E619/7.7)</f>
        <v>5.0841751412429383</v>
      </c>
      <c r="I623" s="359">
        <f>I619/($E619/7)</f>
        <v>2.0351412429378533</v>
      </c>
      <c r="J623" s="359">
        <f>J619/($E619/7)</f>
        <v>1.3964406779661018</v>
      </c>
      <c r="K623" s="359">
        <f t="shared" si="102"/>
        <v>8.5157570621468928</v>
      </c>
      <c r="L623" s="436"/>
      <c r="M623" s="436"/>
      <c r="N623" s="436"/>
      <c r="O623" s="437"/>
      <c r="P623" s="124"/>
      <c r="Q623" s="262"/>
      <c r="R623" s="262"/>
      <c r="S623" s="262"/>
    </row>
    <row r="624" spans="1:19" x14ac:dyDescent="0.25">
      <c r="E624" s="307" t="s">
        <v>104</v>
      </c>
      <c r="F624" s="438" t="s">
        <v>96</v>
      </c>
      <c r="G624" s="438"/>
      <c r="H624" s="359">
        <f>H620/($E620/7.7)</f>
        <v>4.3376666666666672</v>
      </c>
      <c r="I624" s="359">
        <f>I620/($E620/7.7)</f>
        <v>2.4075333333333333</v>
      </c>
      <c r="J624" s="359">
        <f>J620/($E620/7.7)</f>
        <v>1.54</v>
      </c>
      <c r="K624" s="359">
        <f t="shared" si="102"/>
        <v>8.2851999999999997</v>
      </c>
      <c r="L624" s="436"/>
      <c r="M624" s="436"/>
      <c r="N624" s="436"/>
      <c r="O624" s="437"/>
      <c r="P624" s="124"/>
      <c r="Q624" s="262"/>
      <c r="R624" s="262"/>
      <c r="S624" s="262"/>
    </row>
    <row r="625" spans="1:19" x14ac:dyDescent="0.25">
      <c r="E625" s="307" t="s">
        <v>135</v>
      </c>
      <c r="F625" s="365" t="s">
        <v>95</v>
      </c>
      <c r="G625" s="365"/>
      <c r="H625" s="359">
        <f>H619/((($E619*$B615)*(1-$B612))/$B610)</f>
        <v>0.12419106317411401</v>
      </c>
      <c r="I625" s="359">
        <f>I619/((($E619*$B615)*(1-$B612))/$B610)</f>
        <v>5.4683598108495823E-2</v>
      </c>
      <c r="J625" s="359">
        <f>J619/((($E619*$B615)*(1-$B612))/$B610)</f>
        <v>3.7521917007597889E-2</v>
      </c>
      <c r="K625" s="359">
        <f t="shared" si="102"/>
        <v>0.2163965782902077</v>
      </c>
      <c r="L625" s="436"/>
      <c r="M625" s="436"/>
      <c r="N625" s="436"/>
      <c r="O625" s="437"/>
      <c r="P625" s="42"/>
      <c r="Q625" s="263"/>
      <c r="R625" s="262"/>
      <c r="S625" s="263"/>
    </row>
    <row r="626" spans="1:19" x14ac:dyDescent="0.25">
      <c r="E626" s="307" t="s">
        <v>135</v>
      </c>
      <c r="F626" s="438" t="s">
        <v>96</v>
      </c>
      <c r="G626" s="438"/>
      <c r="H626" s="359">
        <f>H620/((($E620*$B615)*(1-$B612))/$B610)</f>
        <v>0.10595611285266456</v>
      </c>
      <c r="I626" s="359">
        <f>I620/((($E620*$B615)*(1-$B612))/$B610)</f>
        <v>5.8808777429467073E-2</v>
      </c>
      <c r="J626" s="359">
        <f>J620/((($E620*$B615)*(1-$B612))/$B610)</f>
        <v>3.7617554858934164E-2</v>
      </c>
      <c r="K626" s="359">
        <f t="shared" si="102"/>
        <v>0.20238244514106579</v>
      </c>
      <c r="L626" s="439"/>
      <c r="M626" s="439"/>
      <c r="N626" s="439"/>
      <c r="O626" s="440"/>
      <c r="P626" s="42"/>
      <c r="Q626" s="263"/>
      <c r="R626" s="262"/>
      <c r="S626" s="263"/>
    </row>
    <row r="627" spans="1:19" x14ac:dyDescent="0.25">
      <c r="A627" s="178"/>
      <c r="B627" s="178"/>
      <c r="C627" s="178"/>
      <c r="D627" s="178"/>
      <c r="E627" s="178"/>
      <c r="F627" s="178"/>
      <c r="G627" s="178"/>
      <c r="H627" s="178"/>
      <c r="I627" s="178"/>
      <c r="J627" s="178"/>
      <c r="K627" s="178"/>
      <c r="L627" s="178"/>
      <c r="M627" s="178"/>
      <c r="N627" s="178"/>
      <c r="O627" s="178"/>
      <c r="P627" s="123"/>
      <c r="Q627" s="233"/>
      <c r="R627" s="233"/>
      <c r="S627" s="233"/>
    </row>
    <row r="628" spans="1:19" x14ac:dyDescent="0.25">
      <c r="A628" s="178"/>
      <c r="B628" s="178"/>
      <c r="C628" s="178"/>
      <c r="D628" s="178"/>
      <c r="E628" s="178"/>
      <c r="F628" s="178"/>
      <c r="G628" s="178"/>
      <c r="H628" s="178"/>
      <c r="I628" s="178"/>
      <c r="J628" s="178"/>
      <c r="K628" s="178"/>
      <c r="L628" s="178"/>
      <c r="M628" s="178"/>
      <c r="N628" s="178"/>
      <c r="O628" s="178"/>
      <c r="P628" s="125"/>
      <c r="Q628" s="233"/>
      <c r="R628" s="233"/>
      <c r="S628" s="233"/>
    </row>
    <row r="630" spans="1:19" ht="21" x14ac:dyDescent="0.25">
      <c r="A630" s="305"/>
      <c r="B630" s="644" t="s">
        <v>303</v>
      </c>
      <c r="C630" s="645"/>
      <c r="D630" s="645"/>
      <c r="E630" s="645"/>
      <c r="F630" s="645"/>
      <c r="G630" s="645"/>
      <c r="H630" s="645"/>
      <c r="I630" s="645"/>
      <c r="J630" s="645"/>
      <c r="K630" s="645"/>
      <c r="L630" s="645"/>
      <c r="M630" s="645"/>
      <c r="N630" s="645"/>
      <c r="O630" s="646"/>
      <c r="P630" s="126" t="s">
        <v>97</v>
      </c>
      <c r="Q630" s="678" t="s">
        <v>162</v>
      </c>
      <c r="R630" s="678"/>
      <c r="S630" s="678"/>
    </row>
    <row r="631" spans="1:19" ht="21" x14ac:dyDescent="0.25">
      <c r="A631" s="177" t="s">
        <v>285</v>
      </c>
      <c r="B631" s="647">
        <v>43868</v>
      </c>
      <c r="C631" s="648"/>
      <c r="D631" s="648"/>
      <c r="E631" s="648"/>
      <c r="F631" s="648"/>
      <c r="G631" s="648"/>
      <c r="H631" s="648"/>
      <c r="I631" s="648"/>
      <c r="J631" s="648"/>
      <c r="K631" s="648"/>
      <c r="L631" s="648"/>
      <c r="M631" s="648"/>
      <c r="N631" s="648"/>
      <c r="O631" s="649"/>
      <c r="P631" s="126"/>
      <c r="Q631" s="678"/>
      <c r="R631" s="678"/>
      <c r="S631" s="678"/>
    </row>
    <row r="632" spans="1:19" x14ac:dyDescent="0.25">
      <c r="A632" s="177"/>
      <c r="B632" s="650" t="s">
        <v>115</v>
      </c>
      <c r="C632" s="651"/>
      <c r="D632" s="651"/>
      <c r="E632" s="651"/>
      <c r="F632" s="651"/>
      <c r="G632" s="651"/>
      <c r="H632" s="651"/>
      <c r="I632" s="651"/>
      <c r="J632" s="651"/>
      <c r="K632" s="651"/>
      <c r="L632" s="651"/>
      <c r="M632" s="651"/>
      <c r="N632" s="651"/>
      <c r="O632" s="652"/>
      <c r="P632" s="126"/>
      <c r="Q632" s="678"/>
      <c r="R632" s="678"/>
      <c r="S632" s="678"/>
    </row>
    <row r="633" spans="1:19" x14ac:dyDescent="0.25">
      <c r="A633" s="177" t="s">
        <v>106</v>
      </c>
      <c r="B633" s="629">
        <f>12049/1000</f>
        <v>12.048999999999999</v>
      </c>
      <c r="C633" s="630"/>
      <c r="D633" s="630"/>
      <c r="E633" s="631"/>
      <c r="F633" s="365" t="s">
        <v>174</v>
      </c>
      <c r="G633" s="471"/>
      <c r="H633" s="668">
        <v>0</v>
      </c>
      <c r="I633" s="669"/>
      <c r="J633" s="669"/>
      <c r="K633" s="669"/>
      <c r="L633" s="670"/>
      <c r="M633" s="656">
        <f>SUM(B633,H634)</f>
        <v>12.048999999999999</v>
      </c>
      <c r="N633" s="630"/>
      <c r="O633" s="631"/>
      <c r="P633" s="126"/>
      <c r="Q633" s="678"/>
      <c r="R633" s="678"/>
      <c r="S633" s="678"/>
    </row>
    <row r="634" spans="1:19" x14ac:dyDescent="0.25">
      <c r="A634" s="177" t="s">
        <v>112</v>
      </c>
      <c r="B634" s="626">
        <v>0.13</v>
      </c>
      <c r="C634" s="627"/>
      <c r="D634" s="627"/>
      <c r="E634" s="628"/>
      <c r="F634" s="290"/>
      <c r="G634" s="472"/>
      <c r="H634" s="626">
        <v>0</v>
      </c>
      <c r="I634" s="627"/>
      <c r="J634" s="627"/>
      <c r="K634" s="627"/>
      <c r="L634" s="628"/>
      <c r="M634" s="657">
        <f>B634</f>
        <v>0.13</v>
      </c>
      <c r="N634" s="627"/>
      <c r="O634" s="628"/>
      <c r="P634" s="126"/>
      <c r="Q634" s="678"/>
      <c r="R634" s="678"/>
      <c r="S634" s="678"/>
    </row>
    <row r="635" spans="1:19" ht="15.75" thickBot="1" x14ac:dyDescent="0.3">
      <c r="A635" s="177" t="s">
        <v>107</v>
      </c>
      <c r="B635" s="629">
        <f>B633*(1-B634)</f>
        <v>10.48263</v>
      </c>
      <c r="C635" s="630"/>
      <c r="D635" s="630"/>
      <c r="E635" s="631"/>
      <c r="F635" s="290"/>
      <c r="G635" s="472"/>
      <c r="H635" s="629">
        <f>H633*(1-H634)</f>
        <v>0</v>
      </c>
      <c r="I635" s="630"/>
      <c r="J635" s="630"/>
      <c r="K635" s="630"/>
      <c r="L635" s="631"/>
      <c r="M635" s="656">
        <f>SUM(B635,H635)</f>
        <v>10.48263</v>
      </c>
      <c r="N635" s="630"/>
      <c r="O635" s="631"/>
      <c r="P635" s="126"/>
      <c r="Q635" s="261" t="s">
        <v>97</v>
      </c>
      <c r="R635" s="262"/>
      <c r="S635" s="263"/>
    </row>
    <row r="636" spans="1:19" x14ac:dyDescent="0.25">
      <c r="A636" s="177" t="s">
        <v>108</v>
      </c>
      <c r="B636" s="626">
        <f>B639/B635</f>
        <v>0.82422063928613343</v>
      </c>
      <c r="C636" s="627"/>
      <c r="D636" s="627"/>
      <c r="E636" s="627"/>
      <c r="F636" s="627"/>
      <c r="G636" s="627"/>
      <c r="H636" s="627"/>
      <c r="I636" s="627"/>
      <c r="J636" s="627"/>
      <c r="K636" s="627"/>
      <c r="L636" s="627"/>
      <c r="M636" s="627"/>
      <c r="N636" s="627"/>
      <c r="O636" s="628"/>
      <c r="P636" s="126"/>
      <c r="Q636" s="671" t="s">
        <v>139</v>
      </c>
      <c r="R636" s="235" t="s">
        <v>140</v>
      </c>
      <c r="S636" s="679" t="s">
        <v>142</v>
      </c>
    </row>
    <row r="637" spans="1:19" ht="15.75" thickBot="1" x14ac:dyDescent="0.3">
      <c r="A637" s="177" t="s">
        <v>113</v>
      </c>
      <c r="B637" s="629">
        <f>B641*((E645+E646)/1000)</f>
        <v>28.799999999999997</v>
      </c>
      <c r="C637" s="630"/>
      <c r="D637" s="630"/>
      <c r="E637" s="630"/>
      <c r="F637" s="630"/>
      <c r="G637" s="630"/>
      <c r="H637" s="630"/>
      <c r="I637" s="630"/>
      <c r="J637" s="630"/>
      <c r="K637" s="630"/>
      <c r="L637" s="630"/>
      <c r="M637" s="630"/>
      <c r="N637" s="630"/>
      <c r="O637" s="631"/>
      <c r="P637" s="126"/>
      <c r="Q637" s="672"/>
      <c r="R637" s="183" t="s">
        <v>141</v>
      </c>
      <c r="S637" s="680"/>
    </row>
    <row r="638" spans="1:19" ht="15.75" thickBot="1" x14ac:dyDescent="0.3">
      <c r="A638" s="177" t="s">
        <v>109</v>
      </c>
      <c r="B638" s="626">
        <v>0.7</v>
      </c>
      <c r="C638" s="627"/>
      <c r="D638" s="627"/>
      <c r="E638" s="627"/>
      <c r="F638" s="627"/>
      <c r="G638" s="627"/>
      <c r="H638" s="627"/>
      <c r="I638" s="627"/>
      <c r="J638" s="627"/>
      <c r="K638" s="627"/>
      <c r="L638" s="627"/>
      <c r="M638" s="627"/>
      <c r="N638" s="627"/>
      <c r="O638" s="628"/>
      <c r="P638" s="126"/>
      <c r="Q638" s="238" t="s">
        <v>143</v>
      </c>
      <c r="R638" s="183">
        <v>2</v>
      </c>
      <c r="S638" s="181" t="s">
        <v>317</v>
      </c>
    </row>
    <row r="639" spans="1:19" ht="15.75" thickBot="1" x14ac:dyDescent="0.3">
      <c r="A639" s="177" t="s">
        <v>122</v>
      </c>
      <c r="B639" s="629">
        <f>B637-(B637*B638)</f>
        <v>8.64</v>
      </c>
      <c r="C639" s="630"/>
      <c r="D639" s="630"/>
      <c r="E639" s="630"/>
      <c r="F639" s="630"/>
      <c r="G639" s="630"/>
      <c r="H639" s="630"/>
      <c r="I639" s="630"/>
      <c r="J639" s="630"/>
      <c r="K639" s="630"/>
      <c r="L639" s="630"/>
      <c r="M639" s="630"/>
      <c r="N639" s="630"/>
      <c r="O639" s="631"/>
      <c r="P639" s="126"/>
      <c r="Q639" s="238" t="s">
        <v>145</v>
      </c>
      <c r="R639" s="183">
        <v>8</v>
      </c>
      <c r="S639" s="184" t="s">
        <v>311</v>
      </c>
    </row>
    <row r="640" spans="1:19" ht="29.25" thickBot="1" x14ac:dyDescent="0.3">
      <c r="A640" s="177" t="s">
        <v>110</v>
      </c>
      <c r="B640" s="632">
        <v>116</v>
      </c>
      <c r="C640" s="633"/>
      <c r="D640" s="633"/>
      <c r="E640" s="633"/>
      <c r="F640" s="633"/>
      <c r="G640" s="633"/>
      <c r="H640" s="633"/>
      <c r="I640" s="633"/>
      <c r="J640" s="633"/>
      <c r="K640" s="633"/>
      <c r="L640" s="633"/>
      <c r="M640" s="633"/>
      <c r="N640" s="633"/>
      <c r="O640" s="634"/>
      <c r="P640" s="126"/>
      <c r="Q640" s="238" t="s">
        <v>147</v>
      </c>
      <c r="R640" s="183">
        <v>4</v>
      </c>
      <c r="S640" s="184" t="s">
        <v>318</v>
      </c>
    </row>
    <row r="641" spans="1:19" x14ac:dyDescent="0.25">
      <c r="A641" s="177" t="s">
        <v>111</v>
      </c>
      <c r="B641" s="635">
        <v>15</v>
      </c>
      <c r="C641" s="636"/>
      <c r="D641" s="636"/>
      <c r="E641" s="636"/>
      <c r="F641" s="636"/>
      <c r="G641" s="636"/>
      <c r="H641" s="636"/>
      <c r="I641" s="636"/>
      <c r="J641" s="636"/>
      <c r="K641" s="636"/>
      <c r="L641" s="636"/>
      <c r="M641" s="636"/>
      <c r="N641" s="636"/>
      <c r="O641" s="637"/>
      <c r="P641" s="126"/>
      <c r="Q641" s="239" t="s">
        <v>149</v>
      </c>
      <c r="R641" s="671">
        <v>9</v>
      </c>
      <c r="S641" s="673" t="s">
        <v>314</v>
      </c>
    </row>
    <row r="642" spans="1:19" ht="15.75" thickBot="1" x14ac:dyDescent="0.3">
      <c r="A642" s="177" t="s">
        <v>273</v>
      </c>
      <c r="B642" s="638" t="s">
        <v>301</v>
      </c>
      <c r="C642" s="638"/>
      <c r="D642" s="638"/>
      <c r="E642" s="638"/>
      <c r="F642" s="638"/>
      <c r="G642" s="638"/>
      <c r="H642" s="638"/>
      <c r="I642" s="638"/>
      <c r="J642" s="638"/>
      <c r="K642" s="638"/>
      <c r="L642" s="638"/>
      <c r="M642" s="638"/>
      <c r="N642" s="638"/>
      <c r="O642" s="639"/>
      <c r="P642" s="126"/>
      <c r="Q642" s="238" t="s">
        <v>150</v>
      </c>
      <c r="R642" s="672"/>
      <c r="S642" s="674"/>
    </row>
    <row r="643" spans="1:19" ht="15.75" thickBot="1" x14ac:dyDescent="0.3">
      <c r="A643" s="177" t="s">
        <v>306</v>
      </c>
      <c r="B643" s="431">
        <v>33.49</v>
      </c>
      <c r="C643" s="431"/>
      <c r="D643" s="431"/>
      <c r="E643" s="431"/>
      <c r="F643" s="431"/>
      <c r="G643" s="431"/>
      <c r="H643" s="431"/>
      <c r="I643" s="431"/>
      <c r="J643" s="431"/>
      <c r="K643" s="431"/>
      <c r="L643" s="431"/>
      <c r="M643" s="431"/>
      <c r="N643" s="431"/>
      <c r="O643" s="432"/>
      <c r="P643" s="126"/>
      <c r="Q643" s="238" t="s">
        <v>152</v>
      </c>
      <c r="R643" s="183">
        <v>4</v>
      </c>
      <c r="S643" s="184" t="s">
        <v>319</v>
      </c>
    </row>
    <row r="644" spans="1:19" ht="15.75" thickBot="1" x14ac:dyDescent="0.3">
      <c r="E644" s="307" t="s">
        <v>98</v>
      </c>
      <c r="F644" s="365" t="s">
        <v>102</v>
      </c>
      <c r="G644" s="365"/>
      <c r="H644" s="365" t="s">
        <v>92</v>
      </c>
      <c r="I644" s="365" t="s">
        <v>93</v>
      </c>
      <c r="J644" s="365" t="s">
        <v>94</v>
      </c>
      <c r="K644" s="359" t="s">
        <v>99</v>
      </c>
      <c r="L644" s="433"/>
      <c r="M644" s="433"/>
      <c r="N644" s="433"/>
      <c r="O644" s="434"/>
      <c r="P644" s="126"/>
      <c r="Q644" s="238" t="s">
        <v>154</v>
      </c>
      <c r="R644" s="183">
        <v>9</v>
      </c>
      <c r="S644" s="181" t="s">
        <v>267</v>
      </c>
    </row>
    <row r="645" spans="1:19" ht="15.75" thickBot="1" x14ac:dyDescent="0.3">
      <c r="E645" s="308">
        <v>1770</v>
      </c>
      <c r="F645" s="365" t="s">
        <v>95</v>
      </c>
      <c r="G645" s="365"/>
      <c r="H645" s="435">
        <v>1024.0999999999999</v>
      </c>
      <c r="I645" s="359">
        <v>870</v>
      </c>
      <c r="J645" s="435">
        <v>590.4</v>
      </c>
      <c r="K645" s="359">
        <f>SUM(H645:J645)</f>
        <v>2484.5</v>
      </c>
      <c r="L645" s="436"/>
      <c r="M645" s="436"/>
      <c r="N645" s="436"/>
      <c r="O645" s="437"/>
      <c r="P645" s="126"/>
      <c r="Q645" s="238" t="s">
        <v>156</v>
      </c>
      <c r="R645" s="183">
        <v>9</v>
      </c>
      <c r="S645" s="181" t="s">
        <v>84</v>
      </c>
    </row>
    <row r="646" spans="1:19" ht="15.75" thickBot="1" x14ac:dyDescent="0.3">
      <c r="E646" s="308">
        <v>150</v>
      </c>
      <c r="F646" s="365" t="s">
        <v>96</v>
      </c>
      <c r="G646" s="365"/>
      <c r="H646" s="435">
        <v>94</v>
      </c>
      <c r="I646" s="359">
        <v>62</v>
      </c>
      <c r="J646" s="435">
        <v>45.2</v>
      </c>
      <c r="K646" s="359">
        <f t="shared" ref="K646:K652" si="104">SUM(H646:J646)</f>
        <v>201.2</v>
      </c>
      <c r="L646" s="436"/>
      <c r="M646" s="436"/>
      <c r="N646" s="436"/>
      <c r="O646" s="437"/>
      <c r="P646" s="126"/>
      <c r="Q646" s="238" t="s">
        <v>158</v>
      </c>
      <c r="R646" s="183"/>
      <c r="S646" s="181"/>
    </row>
    <row r="647" spans="1:19" ht="15.75" thickBot="1" x14ac:dyDescent="0.3">
      <c r="E647" s="307" t="s">
        <v>100</v>
      </c>
      <c r="F647" s="365" t="s">
        <v>95</v>
      </c>
      <c r="G647" s="365"/>
      <c r="H647" s="429">
        <f t="shared" ref="H647:J648" si="105">H645/$E645</f>
        <v>0.57858757062146893</v>
      </c>
      <c r="I647" s="429">
        <f t="shared" si="105"/>
        <v>0.49152542372881358</v>
      </c>
      <c r="J647" s="429">
        <f t="shared" si="105"/>
        <v>0.33355932203389826</v>
      </c>
      <c r="K647" s="443">
        <f t="shared" si="104"/>
        <v>1.4036723163841809</v>
      </c>
      <c r="L647" s="436"/>
      <c r="M647" s="436"/>
      <c r="N647" s="436"/>
      <c r="O647" s="437"/>
      <c r="P647" s="126"/>
      <c r="Q647" s="185" t="s">
        <v>99</v>
      </c>
      <c r="R647" s="183" t="s">
        <v>320</v>
      </c>
      <c r="S647" s="264">
        <v>0.64</v>
      </c>
    </row>
    <row r="648" spans="1:19" x14ac:dyDescent="0.25">
      <c r="E648" s="307" t="s">
        <v>100</v>
      </c>
      <c r="F648" s="438" t="s">
        <v>96</v>
      </c>
      <c r="G648" s="438"/>
      <c r="H648" s="359">
        <f t="shared" si="105"/>
        <v>0.62666666666666671</v>
      </c>
      <c r="I648" s="359">
        <f t="shared" si="105"/>
        <v>0.41333333333333333</v>
      </c>
      <c r="J648" s="359">
        <f t="shared" si="105"/>
        <v>0.30133333333333334</v>
      </c>
      <c r="K648" s="359">
        <f t="shared" si="104"/>
        <v>1.3413333333333335</v>
      </c>
      <c r="L648" s="436"/>
      <c r="M648" s="436"/>
      <c r="N648" s="436"/>
      <c r="O648" s="437"/>
      <c r="P648" s="126"/>
      <c r="Q648" s="262"/>
      <c r="R648" s="262"/>
      <c r="S648" s="262"/>
    </row>
    <row r="649" spans="1:19" x14ac:dyDescent="0.25">
      <c r="E649" s="307" t="s">
        <v>104</v>
      </c>
      <c r="F649" s="365" t="s">
        <v>95</v>
      </c>
      <c r="G649" s="365"/>
      <c r="H649" s="359">
        <f>H645/($E645/7.7)</f>
        <v>4.4551242937853104</v>
      </c>
      <c r="I649" s="359">
        <f>I645/($E645/7)</f>
        <v>3.4406779661016951</v>
      </c>
      <c r="J649" s="359">
        <f>J645/($E645/7)</f>
        <v>2.3349152542372882</v>
      </c>
      <c r="K649" s="359">
        <f t="shared" si="104"/>
        <v>10.230717514124294</v>
      </c>
      <c r="L649" s="436"/>
      <c r="M649" s="436"/>
      <c r="N649" s="436"/>
      <c r="O649" s="437"/>
      <c r="P649" s="126"/>
      <c r="Q649" s="262"/>
      <c r="R649" s="262"/>
      <c r="S649" s="262"/>
    </row>
    <row r="650" spans="1:19" x14ac:dyDescent="0.25">
      <c r="E650" s="307" t="s">
        <v>104</v>
      </c>
      <c r="F650" s="438" t="s">
        <v>96</v>
      </c>
      <c r="G650" s="438"/>
      <c r="H650" s="359">
        <f>H646/($E646/7.7)</f>
        <v>4.8253333333333339</v>
      </c>
      <c r="I650" s="359">
        <f>I646/($E646/7.7)</f>
        <v>3.182666666666667</v>
      </c>
      <c r="J650" s="359">
        <f>J646/($E646/7.7)</f>
        <v>2.3202666666666669</v>
      </c>
      <c r="K650" s="359">
        <f t="shared" si="104"/>
        <v>10.328266666666668</v>
      </c>
      <c r="L650" s="436"/>
      <c r="M650" s="436"/>
      <c r="N650" s="436"/>
      <c r="O650" s="437"/>
      <c r="P650" s="126"/>
      <c r="Q650" s="262"/>
      <c r="R650" s="262"/>
      <c r="S650" s="262"/>
    </row>
    <row r="651" spans="1:19" x14ac:dyDescent="0.25">
      <c r="E651" s="307" t="s">
        <v>135</v>
      </c>
      <c r="F651" s="365" t="s">
        <v>95</v>
      </c>
      <c r="G651" s="365"/>
      <c r="H651" s="359">
        <f>H645/((($E645*$B641)*(1-$B638))/$B636)</f>
        <v>0.10597418163125286</v>
      </c>
      <c r="I651" s="359">
        <f>I645/((($E645*$B641)*(1-$B638))/$B636)</f>
        <v>9.0027866438033385E-2</v>
      </c>
      <c r="J651" s="359">
        <f>J645/((($E645*$B641)*(1-$B638))/$B636)</f>
        <v>6.1094772810361971E-2</v>
      </c>
      <c r="K651" s="359">
        <f t="shared" si="104"/>
        <v>0.25709682087964819</v>
      </c>
      <c r="L651" s="436"/>
      <c r="M651" s="436"/>
      <c r="N651" s="436"/>
      <c r="O651" s="437"/>
      <c r="P651" s="42"/>
      <c r="Q651" s="263"/>
      <c r="R651" s="262"/>
      <c r="S651" s="263"/>
    </row>
    <row r="652" spans="1:19" x14ac:dyDescent="0.25">
      <c r="E652" s="307" t="s">
        <v>135</v>
      </c>
      <c r="F652" s="438" t="s">
        <v>96</v>
      </c>
      <c r="G652" s="438"/>
      <c r="H652" s="359">
        <f>H646/((($E646*$B641)*(1-$B638))/$B636)</f>
        <v>0.11478035569318004</v>
      </c>
      <c r="I652" s="359">
        <f>I646/((($E646*$B641)*(1-$B638))/$B636)</f>
        <v>7.570619205294854E-2</v>
      </c>
      <c r="J652" s="359">
        <f>J646/((($E646*$B641)*(1-$B638))/$B636)</f>
        <v>5.5192256141827004E-2</v>
      </c>
      <c r="K652" s="359">
        <f t="shared" si="104"/>
        <v>0.2456788038879556</v>
      </c>
      <c r="L652" s="439"/>
      <c r="M652" s="439"/>
      <c r="N652" s="439"/>
      <c r="O652" s="440"/>
      <c r="P652" s="42"/>
      <c r="Q652" s="263"/>
      <c r="R652" s="262"/>
      <c r="S652" s="263"/>
    </row>
    <row r="653" spans="1:19" x14ac:dyDescent="0.25">
      <c r="A653" s="178"/>
      <c r="B653" s="178"/>
      <c r="C653" s="178"/>
      <c r="D653" s="178"/>
      <c r="E653" s="178"/>
      <c r="F653" s="178"/>
      <c r="G653" s="178"/>
      <c r="H653" s="178"/>
      <c r="I653" s="178"/>
      <c r="J653" s="178"/>
      <c r="K653" s="178"/>
      <c r="L653" s="178"/>
      <c r="M653" s="178"/>
      <c r="N653" s="178"/>
      <c r="O653" s="178"/>
      <c r="P653" s="125"/>
      <c r="Q653" s="233"/>
      <c r="R653" s="233"/>
      <c r="S653" s="233"/>
    </row>
    <row r="654" spans="1:19" ht="4.5" customHeight="1" x14ac:dyDescent="0.25">
      <c r="A654" s="178"/>
      <c r="B654" s="178"/>
      <c r="C654" s="178"/>
      <c r="D654" s="178"/>
      <c r="E654" s="178"/>
      <c r="F654" s="178"/>
      <c r="G654" s="178"/>
      <c r="H654" s="178"/>
      <c r="I654" s="178"/>
      <c r="J654" s="178"/>
      <c r="K654" s="178"/>
      <c r="L654" s="178"/>
      <c r="M654" s="178"/>
      <c r="N654" s="178"/>
      <c r="O654" s="178"/>
      <c r="P654" s="131"/>
      <c r="Q654" s="233"/>
      <c r="R654" s="233"/>
      <c r="S654" s="233"/>
    </row>
    <row r="656" spans="1:19" ht="21" x14ac:dyDescent="0.25">
      <c r="A656" s="305"/>
      <c r="B656" s="644" t="s">
        <v>307</v>
      </c>
      <c r="C656" s="645"/>
      <c r="D656" s="645"/>
      <c r="E656" s="645"/>
      <c r="F656" s="645"/>
      <c r="G656" s="645"/>
      <c r="H656" s="645"/>
      <c r="I656" s="645"/>
      <c r="J656" s="645"/>
      <c r="K656" s="645"/>
      <c r="L656" s="645"/>
      <c r="M656" s="645"/>
      <c r="N656" s="645"/>
      <c r="O656" s="646"/>
      <c r="P656" s="130" t="s">
        <v>97</v>
      </c>
      <c r="Q656" s="678" t="s">
        <v>169</v>
      </c>
      <c r="R656" s="678"/>
      <c r="S656" s="678"/>
    </row>
    <row r="657" spans="1:19" ht="21" x14ac:dyDescent="0.25">
      <c r="A657" s="177" t="s">
        <v>285</v>
      </c>
      <c r="B657" s="647">
        <v>43875</v>
      </c>
      <c r="C657" s="648"/>
      <c r="D657" s="648"/>
      <c r="E657" s="648"/>
      <c r="F657" s="648"/>
      <c r="G657" s="648"/>
      <c r="H657" s="648"/>
      <c r="I657" s="648"/>
      <c r="J657" s="648"/>
      <c r="K657" s="648"/>
      <c r="L657" s="648"/>
      <c r="M657" s="648"/>
      <c r="N657" s="648"/>
      <c r="O657" s="649"/>
      <c r="P657" s="130"/>
      <c r="Q657" s="678"/>
      <c r="R657" s="678"/>
      <c r="S657" s="678"/>
    </row>
    <row r="658" spans="1:19" x14ac:dyDescent="0.25">
      <c r="A658" s="177"/>
      <c r="B658" s="650" t="s">
        <v>115</v>
      </c>
      <c r="C658" s="651"/>
      <c r="D658" s="651"/>
      <c r="E658" s="651"/>
      <c r="F658" s="651"/>
      <c r="G658" s="651"/>
      <c r="H658" s="651"/>
      <c r="I658" s="651"/>
      <c r="J658" s="651"/>
      <c r="K658" s="651"/>
      <c r="L658" s="651"/>
      <c r="M658" s="651"/>
      <c r="N658" s="651"/>
      <c r="O658" s="652"/>
      <c r="P658" s="130"/>
      <c r="Q658" s="678"/>
      <c r="R658" s="678"/>
      <c r="S658" s="678"/>
    </row>
    <row r="659" spans="1:19" x14ac:dyDescent="0.25">
      <c r="A659" s="177" t="s">
        <v>106</v>
      </c>
      <c r="B659" s="629">
        <f>12003/1000</f>
        <v>12.003</v>
      </c>
      <c r="C659" s="630"/>
      <c r="D659" s="630"/>
      <c r="E659" s="631"/>
      <c r="F659" s="365" t="s">
        <v>174</v>
      </c>
      <c r="G659" s="471"/>
      <c r="H659" s="668">
        <v>0</v>
      </c>
      <c r="I659" s="669"/>
      <c r="J659" s="669"/>
      <c r="K659" s="669"/>
      <c r="L659" s="670"/>
      <c r="M659" s="656">
        <f>SUM(B659,H660)</f>
        <v>12.003</v>
      </c>
      <c r="N659" s="630"/>
      <c r="O659" s="631"/>
      <c r="P659" s="130"/>
      <c r="Q659" s="678"/>
      <c r="R659" s="678"/>
      <c r="S659" s="678"/>
    </row>
    <row r="660" spans="1:19" x14ac:dyDescent="0.25">
      <c r="A660" s="177" t="s">
        <v>112</v>
      </c>
      <c r="B660" s="626">
        <v>0.13</v>
      </c>
      <c r="C660" s="627"/>
      <c r="D660" s="627"/>
      <c r="E660" s="628"/>
      <c r="F660" s="290"/>
      <c r="G660" s="472"/>
      <c r="H660" s="626">
        <v>0</v>
      </c>
      <c r="I660" s="627"/>
      <c r="J660" s="627"/>
      <c r="K660" s="627"/>
      <c r="L660" s="628"/>
      <c r="M660" s="657">
        <f>B660</f>
        <v>0.13</v>
      </c>
      <c r="N660" s="627"/>
      <c r="O660" s="628"/>
      <c r="P660" s="130"/>
      <c r="Q660" s="678"/>
      <c r="R660" s="678"/>
      <c r="S660" s="678"/>
    </row>
    <row r="661" spans="1:19" ht="15.75" thickBot="1" x14ac:dyDescent="0.3">
      <c r="A661" s="177" t="s">
        <v>107</v>
      </c>
      <c r="B661" s="629">
        <f>B659*(1-B660)</f>
        <v>10.44261</v>
      </c>
      <c r="C661" s="630"/>
      <c r="D661" s="630"/>
      <c r="E661" s="631"/>
      <c r="F661" s="290"/>
      <c r="G661" s="472"/>
      <c r="H661" s="629">
        <f>H659*(1-H660)</f>
        <v>0</v>
      </c>
      <c r="I661" s="630"/>
      <c r="J661" s="630"/>
      <c r="K661" s="630"/>
      <c r="L661" s="631"/>
      <c r="M661" s="656">
        <f>SUM(B661,H661)</f>
        <v>10.44261</v>
      </c>
      <c r="N661" s="630"/>
      <c r="O661" s="631"/>
      <c r="P661" s="130"/>
      <c r="Q661" s="261" t="s">
        <v>97</v>
      </c>
      <c r="R661" s="262"/>
      <c r="S661" s="263"/>
    </row>
    <row r="662" spans="1:19" x14ac:dyDescent="0.25">
      <c r="A662" s="177" t="s">
        <v>108</v>
      </c>
      <c r="B662" s="626">
        <f>B665/B661</f>
        <v>0.85495867412457238</v>
      </c>
      <c r="C662" s="627"/>
      <c r="D662" s="627"/>
      <c r="E662" s="627"/>
      <c r="F662" s="627"/>
      <c r="G662" s="627"/>
      <c r="H662" s="627"/>
      <c r="I662" s="627"/>
      <c r="J662" s="627"/>
      <c r="K662" s="627"/>
      <c r="L662" s="627"/>
      <c r="M662" s="627"/>
      <c r="N662" s="627"/>
      <c r="O662" s="628"/>
      <c r="P662" s="130"/>
      <c r="Q662" s="671" t="s">
        <v>139</v>
      </c>
      <c r="R662" s="235" t="s">
        <v>140</v>
      </c>
      <c r="S662" s="679" t="s">
        <v>142</v>
      </c>
    </row>
    <row r="663" spans="1:19" ht="15.75" thickBot="1" x14ac:dyDescent="0.3">
      <c r="A663" s="177" t="s">
        <v>113</v>
      </c>
      <c r="B663" s="629">
        <f>B667*(E671+E672)/1000</f>
        <v>28.8</v>
      </c>
      <c r="C663" s="630"/>
      <c r="D663" s="630"/>
      <c r="E663" s="630"/>
      <c r="F663" s="630"/>
      <c r="G663" s="630"/>
      <c r="H663" s="630"/>
      <c r="I663" s="630"/>
      <c r="J663" s="630"/>
      <c r="K663" s="630"/>
      <c r="L663" s="630"/>
      <c r="M663" s="630"/>
      <c r="N663" s="630"/>
      <c r="O663" s="631"/>
      <c r="P663" s="130"/>
      <c r="Q663" s="672"/>
      <c r="R663" s="183" t="s">
        <v>141</v>
      </c>
      <c r="S663" s="680"/>
    </row>
    <row r="664" spans="1:19" ht="15.75" thickBot="1" x14ac:dyDescent="0.3">
      <c r="A664" s="177" t="s">
        <v>109</v>
      </c>
      <c r="B664" s="626">
        <v>0.69</v>
      </c>
      <c r="C664" s="627"/>
      <c r="D664" s="627"/>
      <c r="E664" s="627"/>
      <c r="F664" s="627"/>
      <c r="G664" s="627"/>
      <c r="H664" s="627"/>
      <c r="I664" s="627"/>
      <c r="J664" s="627"/>
      <c r="K664" s="627"/>
      <c r="L664" s="627"/>
      <c r="M664" s="627"/>
      <c r="N664" s="627"/>
      <c r="O664" s="628"/>
      <c r="P664" s="130"/>
      <c r="Q664" s="238" t="s">
        <v>143</v>
      </c>
      <c r="R664" s="183">
        <v>3.5</v>
      </c>
      <c r="S664" s="181" t="s">
        <v>296</v>
      </c>
    </row>
    <row r="665" spans="1:19" ht="15.75" thickBot="1" x14ac:dyDescent="0.3">
      <c r="A665" s="177" t="s">
        <v>122</v>
      </c>
      <c r="B665" s="629">
        <f>B663-(B663*B664)</f>
        <v>8.9280000000000008</v>
      </c>
      <c r="C665" s="630"/>
      <c r="D665" s="630"/>
      <c r="E665" s="630"/>
      <c r="F665" s="630"/>
      <c r="G665" s="630"/>
      <c r="H665" s="630"/>
      <c r="I665" s="630"/>
      <c r="J665" s="630"/>
      <c r="K665" s="630"/>
      <c r="L665" s="630"/>
      <c r="M665" s="630"/>
      <c r="N665" s="630"/>
      <c r="O665" s="631"/>
      <c r="P665" s="130"/>
      <c r="Q665" s="238" t="s">
        <v>145</v>
      </c>
      <c r="R665" s="183">
        <v>7</v>
      </c>
      <c r="S665" s="184" t="s">
        <v>321</v>
      </c>
    </row>
    <row r="666" spans="1:19" ht="15.75" thickBot="1" x14ac:dyDescent="0.3">
      <c r="A666" s="177" t="s">
        <v>110</v>
      </c>
      <c r="B666" s="632">
        <v>116</v>
      </c>
      <c r="C666" s="633"/>
      <c r="D666" s="633"/>
      <c r="E666" s="633"/>
      <c r="F666" s="633"/>
      <c r="G666" s="633"/>
      <c r="H666" s="633"/>
      <c r="I666" s="633"/>
      <c r="J666" s="633"/>
      <c r="K666" s="633"/>
      <c r="L666" s="633"/>
      <c r="M666" s="633"/>
      <c r="N666" s="633"/>
      <c r="O666" s="634"/>
      <c r="P666" s="130"/>
      <c r="Q666" s="238" t="s">
        <v>147</v>
      </c>
      <c r="R666" s="183">
        <v>6</v>
      </c>
      <c r="S666" s="184" t="s">
        <v>148</v>
      </c>
    </row>
    <row r="667" spans="1:19" x14ac:dyDescent="0.25">
      <c r="A667" s="177" t="s">
        <v>111</v>
      </c>
      <c r="B667" s="635">
        <v>15</v>
      </c>
      <c r="C667" s="636"/>
      <c r="D667" s="636"/>
      <c r="E667" s="636"/>
      <c r="F667" s="636"/>
      <c r="G667" s="636"/>
      <c r="H667" s="636"/>
      <c r="I667" s="636"/>
      <c r="J667" s="636"/>
      <c r="K667" s="636"/>
      <c r="L667" s="636"/>
      <c r="M667" s="636"/>
      <c r="N667" s="636"/>
      <c r="O667" s="637"/>
      <c r="P667" s="130"/>
      <c r="Q667" s="239" t="s">
        <v>149</v>
      </c>
      <c r="R667" s="671">
        <v>9</v>
      </c>
      <c r="S667" s="673" t="s">
        <v>312</v>
      </c>
    </row>
    <row r="668" spans="1:19" ht="15.75" thickBot="1" x14ac:dyDescent="0.3">
      <c r="A668" s="177" t="s">
        <v>273</v>
      </c>
      <c r="B668" s="638" t="s">
        <v>301</v>
      </c>
      <c r="C668" s="638"/>
      <c r="D668" s="638"/>
      <c r="E668" s="638"/>
      <c r="F668" s="638"/>
      <c r="G668" s="638"/>
      <c r="H668" s="638"/>
      <c r="I668" s="638"/>
      <c r="J668" s="638"/>
      <c r="K668" s="638"/>
      <c r="L668" s="638"/>
      <c r="M668" s="638"/>
      <c r="N668" s="638"/>
      <c r="O668" s="639"/>
      <c r="P668" s="130"/>
      <c r="Q668" s="238" t="s">
        <v>150</v>
      </c>
      <c r="R668" s="672"/>
      <c r="S668" s="674"/>
    </row>
    <row r="669" spans="1:19" ht="15.75" thickBot="1" x14ac:dyDescent="0.3">
      <c r="A669" s="177" t="s">
        <v>305</v>
      </c>
      <c r="B669" s="431">
        <f>34.65</f>
        <v>34.65</v>
      </c>
      <c r="C669" s="431"/>
      <c r="D669" s="431"/>
      <c r="E669" s="431"/>
      <c r="F669" s="431"/>
      <c r="G669" s="431"/>
      <c r="H669" s="431"/>
      <c r="I669" s="431"/>
      <c r="J669" s="431"/>
      <c r="K669" s="431"/>
      <c r="L669" s="431"/>
      <c r="M669" s="431"/>
      <c r="N669" s="431"/>
      <c r="O669" s="432"/>
      <c r="P669" s="130"/>
      <c r="Q669" s="238" t="s">
        <v>152</v>
      </c>
      <c r="R669" s="183">
        <v>6</v>
      </c>
      <c r="S669" s="184" t="s">
        <v>322</v>
      </c>
    </row>
    <row r="670" spans="1:19" ht="15.75" thickBot="1" x14ac:dyDescent="0.3">
      <c r="E670" s="307" t="s">
        <v>98</v>
      </c>
      <c r="F670" s="365" t="s">
        <v>102</v>
      </c>
      <c r="G670" s="365"/>
      <c r="H670" s="365" t="s">
        <v>92</v>
      </c>
      <c r="I670" s="365" t="s">
        <v>93</v>
      </c>
      <c r="J670" s="365" t="s">
        <v>94</v>
      </c>
      <c r="K670" s="359" t="s">
        <v>99</v>
      </c>
      <c r="L670" s="433"/>
      <c r="M670" s="433"/>
      <c r="N670" s="433"/>
      <c r="O670" s="434"/>
      <c r="P670" s="130"/>
      <c r="Q670" s="238" t="s">
        <v>154</v>
      </c>
      <c r="R670" s="183">
        <v>9</v>
      </c>
      <c r="S670" s="181" t="s">
        <v>267</v>
      </c>
    </row>
    <row r="671" spans="1:19" ht="15.75" thickBot="1" x14ac:dyDescent="0.3">
      <c r="E671" s="308">
        <v>1770</v>
      </c>
      <c r="F671" s="365" t="s">
        <v>95</v>
      </c>
      <c r="G671" s="365"/>
      <c r="H671" s="441">
        <v>839.7</v>
      </c>
      <c r="I671" s="359">
        <v>357.8</v>
      </c>
      <c r="J671" s="435">
        <v>400.4</v>
      </c>
      <c r="K671" s="359">
        <f>SUM(H671:J671)</f>
        <v>1597.9</v>
      </c>
      <c r="L671" s="436"/>
      <c r="M671" s="436"/>
      <c r="N671" s="436"/>
      <c r="O671" s="437"/>
      <c r="P671" s="130"/>
      <c r="Q671" s="238" t="s">
        <v>156</v>
      </c>
      <c r="R671" s="183">
        <v>9</v>
      </c>
      <c r="S671" s="181" t="s">
        <v>84</v>
      </c>
    </row>
    <row r="672" spans="1:19" ht="15.75" thickBot="1" x14ac:dyDescent="0.3">
      <c r="E672" s="308">
        <v>150</v>
      </c>
      <c r="F672" s="365" t="s">
        <v>96</v>
      </c>
      <c r="G672" s="365"/>
      <c r="H672" s="441">
        <v>47.8</v>
      </c>
      <c r="I672" s="359">
        <v>33.299999999999997</v>
      </c>
      <c r="J672" s="435">
        <v>0</v>
      </c>
      <c r="K672" s="359">
        <f t="shared" ref="K672:K678" si="106">SUM(H672:J672)</f>
        <v>81.099999999999994</v>
      </c>
      <c r="L672" s="436"/>
      <c r="M672" s="436"/>
      <c r="N672" s="436"/>
      <c r="O672" s="437"/>
      <c r="P672" s="130"/>
      <c r="Q672" s="238" t="s">
        <v>158</v>
      </c>
      <c r="R672" s="183"/>
      <c r="S672" s="181"/>
    </row>
    <row r="673" spans="1:19" ht="15.75" thickBot="1" x14ac:dyDescent="0.3">
      <c r="E673" s="307" t="s">
        <v>100</v>
      </c>
      <c r="F673" s="365" t="s">
        <v>95</v>
      </c>
      <c r="G673" s="365"/>
      <c r="H673" s="429">
        <f t="shared" ref="H673:J674" si="107">H671/$E671</f>
        <v>0.47440677966101696</v>
      </c>
      <c r="I673" s="429">
        <f t="shared" si="107"/>
        <v>0.20214689265536723</v>
      </c>
      <c r="J673" s="429">
        <f t="shared" si="107"/>
        <v>0.2262146892655367</v>
      </c>
      <c r="K673" s="359">
        <f t="shared" si="106"/>
        <v>0.90276836158192086</v>
      </c>
      <c r="L673" s="436"/>
      <c r="M673" s="436"/>
      <c r="N673" s="436"/>
      <c r="O673" s="437"/>
      <c r="P673" s="130"/>
      <c r="Q673" s="185" t="s">
        <v>99</v>
      </c>
      <c r="R673" s="183" t="s">
        <v>323</v>
      </c>
      <c r="S673" s="186">
        <v>0.70699999999999996</v>
      </c>
    </row>
    <row r="674" spans="1:19" x14ac:dyDescent="0.25">
      <c r="E674" s="307" t="s">
        <v>100</v>
      </c>
      <c r="F674" s="438" t="s">
        <v>96</v>
      </c>
      <c r="G674" s="438"/>
      <c r="H674" s="359">
        <f t="shared" si="107"/>
        <v>0.31866666666666665</v>
      </c>
      <c r="I674" s="359">
        <f t="shared" si="107"/>
        <v>0.22199999999999998</v>
      </c>
      <c r="J674" s="359">
        <f t="shared" si="107"/>
        <v>0</v>
      </c>
      <c r="K674" s="359">
        <f t="shared" si="106"/>
        <v>0.54066666666666663</v>
      </c>
      <c r="L674" s="436"/>
      <c r="M674" s="436"/>
      <c r="N674" s="436"/>
      <c r="O674" s="437"/>
      <c r="P674" s="130"/>
      <c r="Q674" s="262"/>
      <c r="R674" s="262"/>
      <c r="S674" s="262"/>
    </row>
    <row r="675" spans="1:19" x14ac:dyDescent="0.25">
      <c r="E675" s="307" t="s">
        <v>104</v>
      </c>
      <c r="F675" s="365" t="s">
        <v>95</v>
      </c>
      <c r="G675" s="365"/>
      <c r="H675" s="359">
        <f>H671/($E671/7.7)</f>
        <v>3.652932203389831</v>
      </c>
      <c r="I675" s="359">
        <f>I671/($E671/7)</f>
        <v>1.4150282485875707</v>
      </c>
      <c r="J675" s="359">
        <f>J671/($E671/7)</f>
        <v>1.583502824858757</v>
      </c>
      <c r="K675" s="359">
        <f t="shared" si="106"/>
        <v>6.651463276836159</v>
      </c>
      <c r="L675" s="436"/>
      <c r="M675" s="436"/>
      <c r="N675" s="436"/>
      <c r="O675" s="437"/>
      <c r="P675" s="130"/>
      <c r="Q675" s="262"/>
      <c r="R675" s="262"/>
      <c r="S675" s="262"/>
    </row>
    <row r="676" spans="1:19" x14ac:dyDescent="0.25">
      <c r="E676" s="307" t="s">
        <v>104</v>
      </c>
      <c r="F676" s="438" t="s">
        <v>96</v>
      </c>
      <c r="G676" s="438"/>
      <c r="H676" s="359">
        <f>H672/($E672/7.7)</f>
        <v>2.4537333333333331</v>
      </c>
      <c r="I676" s="359">
        <f>I672/($E672/7.7)</f>
        <v>1.7094</v>
      </c>
      <c r="J676" s="359">
        <f>J672/($E672/7.7)</f>
        <v>0</v>
      </c>
      <c r="K676" s="359">
        <f t="shared" si="106"/>
        <v>4.1631333333333327</v>
      </c>
      <c r="L676" s="436"/>
      <c r="M676" s="436"/>
      <c r="N676" s="436"/>
      <c r="O676" s="437"/>
      <c r="P676" s="130"/>
      <c r="Q676" s="262"/>
      <c r="R676" s="262"/>
      <c r="S676" s="262"/>
    </row>
    <row r="677" spans="1:19" x14ac:dyDescent="0.25">
      <c r="E677" s="307" t="s">
        <v>135</v>
      </c>
      <c r="F677" s="365" t="s">
        <v>95</v>
      </c>
      <c r="G677" s="365"/>
      <c r="H677" s="359">
        <f>H671/((($E671*$B667)*(1-$B664))/$B662)</f>
        <v>8.722541749133142E-2</v>
      </c>
      <c r="I677" s="359">
        <f>I671/((($E671*$B667)*(1-$B664))/$B662)</f>
        <v>3.7167148241512897E-2</v>
      </c>
      <c r="J677" s="359">
        <f>J671/((($E671*$B667)*(1-$B664))/$B662)</f>
        <v>4.1592303398272121E-2</v>
      </c>
      <c r="K677" s="359">
        <f t="shared" si="106"/>
        <v>0.16598486913111643</v>
      </c>
      <c r="L677" s="436"/>
      <c r="M677" s="436"/>
      <c r="N677" s="436"/>
      <c r="O677" s="437"/>
      <c r="P677" s="42"/>
      <c r="Q677" s="263"/>
      <c r="R677" s="262"/>
      <c r="S677" s="263"/>
    </row>
    <row r="678" spans="1:19" x14ac:dyDescent="0.25">
      <c r="E678" s="307" t="s">
        <v>135</v>
      </c>
      <c r="F678" s="438" t="s">
        <v>96</v>
      </c>
      <c r="G678" s="438"/>
      <c r="H678" s="359">
        <f>H672/((($E672*$B667)*(1-$B664))/$B662)</f>
        <v>5.8590716305597923E-2</v>
      </c>
      <c r="I678" s="359">
        <f>I672/((($E672*$B667)*(1-$B664))/$B662)</f>
        <v>4.081738186143119E-2</v>
      </c>
      <c r="J678" s="359">
        <f>J672/((($E672*$B667)*(1-$B664))/$B662)</f>
        <v>0</v>
      </c>
      <c r="K678" s="359">
        <f t="shared" si="106"/>
        <v>9.9408098167029113E-2</v>
      </c>
      <c r="L678" s="439"/>
      <c r="M678" s="439"/>
      <c r="N678" s="439"/>
      <c r="O678" s="440"/>
      <c r="P678" s="42"/>
      <c r="Q678" s="263"/>
      <c r="R678" s="262"/>
      <c r="S678" s="263"/>
    </row>
    <row r="679" spans="1:19" x14ac:dyDescent="0.25">
      <c r="A679" s="178"/>
      <c r="B679" s="178"/>
      <c r="C679" s="178"/>
      <c r="D679" s="178"/>
      <c r="E679" s="178"/>
      <c r="F679" s="178"/>
      <c r="G679" s="178"/>
      <c r="H679" s="178"/>
      <c r="I679" s="178"/>
      <c r="J679" s="178"/>
      <c r="K679" s="178"/>
      <c r="L679" s="178"/>
      <c r="M679" s="178"/>
      <c r="N679" s="178"/>
      <c r="O679" s="178"/>
      <c r="P679" s="131"/>
      <c r="Q679" s="233"/>
      <c r="R679" s="233"/>
      <c r="S679" s="233"/>
    </row>
    <row r="681" spans="1:19" ht="21" x14ac:dyDescent="0.25">
      <c r="A681" s="305"/>
      <c r="B681" s="644" t="s">
        <v>308</v>
      </c>
      <c r="C681" s="645"/>
      <c r="D681" s="645"/>
      <c r="E681" s="645"/>
      <c r="F681" s="645"/>
      <c r="G681" s="645"/>
      <c r="H681" s="645"/>
      <c r="I681" s="645"/>
      <c r="J681" s="645"/>
      <c r="K681" s="645"/>
      <c r="L681" s="645"/>
      <c r="M681" s="645"/>
      <c r="N681" s="645"/>
      <c r="O681" s="646"/>
      <c r="P681" s="134" t="s">
        <v>97</v>
      </c>
      <c r="Q681" s="678" t="s">
        <v>17</v>
      </c>
      <c r="R681" s="678"/>
      <c r="S681" s="678"/>
    </row>
    <row r="682" spans="1:19" ht="21" x14ac:dyDescent="0.25">
      <c r="A682" s="177" t="s">
        <v>285</v>
      </c>
      <c r="B682" s="647">
        <v>43882</v>
      </c>
      <c r="C682" s="648"/>
      <c r="D682" s="648"/>
      <c r="E682" s="648"/>
      <c r="F682" s="648"/>
      <c r="G682" s="648"/>
      <c r="H682" s="648"/>
      <c r="I682" s="648"/>
      <c r="J682" s="648"/>
      <c r="K682" s="648"/>
      <c r="L682" s="648"/>
      <c r="M682" s="648"/>
      <c r="N682" s="648"/>
      <c r="O682" s="649"/>
      <c r="P682" s="134"/>
      <c r="Q682" s="678"/>
      <c r="R682" s="678"/>
      <c r="S682" s="678"/>
    </row>
    <row r="683" spans="1:19" x14ac:dyDescent="0.25">
      <c r="A683" s="177"/>
      <c r="B683" s="650" t="s">
        <v>115</v>
      </c>
      <c r="C683" s="651"/>
      <c r="D683" s="651"/>
      <c r="E683" s="651"/>
      <c r="F683" s="651"/>
      <c r="G683" s="651"/>
      <c r="H683" s="651"/>
      <c r="I683" s="651"/>
      <c r="J683" s="651"/>
      <c r="K683" s="651"/>
      <c r="L683" s="651"/>
      <c r="M683" s="651"/>
      <c r="N683" s="651"/>
      <c r="O683" s="652"/>
      <c r="P683" s="134"/>
      <c r="Q683" s="678"/>
      <c r="R683" s="678"/>
      <c r="S683" s="678"/>
    </row>
    <row r="684" spans="1:19" x14ac:dyDescent="0.25">
      <c r="A684" s="177" t="s">
        <v>106</v>
      </c>
      <c r="B684" s="629">
        <f>12011/1000</f>
        <v>12.010999999999999</v>
      </c>
      <c r="C684" s="630"/>
      <c r="D684" s="630"/>
      <c r="E684" s="631"/>
      <c r="F684" s="365" t="s">
        <v>174</v>
      </c>
      <c r="G684" s="471"/>
      <c r="H684" s="668">
        <v>0</v>
      </c>
      <c r="I684" s="669"/>
      <c r="J684" s="669"/>
      <c r="K684" s="669"/>
      <c r="L684" s="670"/>
      <c r="M684" s="656">
        <f>SUM(B684,H685)</f>
        <v>12.010999999999999</v>
      </c>
      <c r="N684" s="630"/>
      <c r="O684" s="631"/>
      <c r="P684" s="134"/>
      <c r="Q684" s="678"/>
      <c r="R684" s="678"/>
      <c r="S684" s="678"/>
    </row>
    <row r="685" spans="1:19" x14ac:dyDescent="0.25">
      <c r="A685" s="177" t="s">
        <v>112</v>
      </c>
      <c r="B685" s="626">
        <v>0.13</v>
      </c>
      <c r="C685" s="627"/>
      <c r="D685" s="627"/>
      <c r="E685" s="628"/>
      <c r="F685" s="290"/>
      <c r="G685" s="472"/>
      <c r="H685" s="626">
        <v>0</v>
      </c>
      <c r="I685" s="627"/>
      <c r="J685" s="627"/>
      <c r="K685" s="627"/>
      <c r="L685" s="628"/>
      <c r="M685" s="657">
        <f>B685</f>
        <v>0.13</v>
      </c>
      <c r="N685" s="627"/>
      <c r="O685" s="628"/>
      <c r="P685" s="134"/>
      <c r="Q685" s="678"/>
      <c r="R685" s="678"/>
      <c r="S685" s="678"/>
    </row>
    <row r="686" spans="1:19" ht="15.75" thickBot="1" x14ac:dyDescent="0.3">
      <c r="A686" s="177" t="s">
        <v>107</v>
      </c>
      <c r="B686" s="629">
        <f>B684*(1-B685)</f>
        <v>10.44957</v>
      </c>
      <c r="C686" s="630"/>
      <c r="D686" s="630"/>
      <c r="E686" s="631"/>
      <c r="F686" s="290"/>
      <c r="G686" s="472"/>
      <c r="H686" s="629">
        <f>H684*(1-H685)</f>
        <v>0</v>
      </c>
      <c r="I686" s="630"/>
      <c r="J686" s="630"/>
      <c r="K686" s="630"/>
      <c r="L686" s="631"/>
      <c r="M686" s="656">
        <f>SUM(B686,H686)</f>
        <v>10.44957</v>
      </c>
      <c r="N686" s="630"/>
      <c r="O686" s="631"/>
      <c r="P686" s="134"/>
      <c r="Q686" s="261" t="s">
        <v>97</v>
      </c>
      <c r="R686" s="262"/>
      <c r="S686" s="263"/>
    </row>
    <row r="687" spans="1:19" x14ac:dyDescent="0.25">
      <c r="A687" s="177" t="s">
        <v>108</v>
      </c>
      <c r="B687" s="626">
        <f>B690/B686</f>
        <v>0.82590958288235805</v>
      </c>
      <c r="C687" s="627"/>
      <c r="D687" s="627"/>
      <c r="E687" s="627"/>
      <c r="F687" s="627"/>
      <c r="G687" s="627"/>
      <c r="H687" s="627"/>
      <c r="I687" s="627"/>
      <c r="J687" s="627"/>
      <c r="K687" s="627"/>
      <c r="L687" s="627"/>
      <c r="M687" s="627"/>
      <c r="N687" s="627"/>
      <c r="O687" s="628"/>
      <c r="P687" s="134"/>
      <c r="Q687" s="671" t="s">
        <v>139</v>
      </c>
      <c r="R687" s="235" t="s">
        <v>140</v>
      </c>
      <c r="S687" s="679" t="s">
        <v>142</v>
      </c>
    </row>
    <row r="688" spans="1:19" ht="15.75" thickBot="1" x14ac:dyDescent="0.3">
      <c r="A688" s="177" t="s">
        <v>113</v>
      </c>
      <c r="B688" s="629">
        <f>B692*(E696+E697)/1000</f>
        <v>27.84</v>
      </c>
      <c r="C688" s="630"/>
      <c r="D688" s="630"/>
      <c r="E688" s="630"/>
      <c r="F688" s="630"/>
      <c r="G688" s="630"/>
      <c r="H688" s="630"/>
      <c r="I688" s="630"/>
      <c r="J688" s="630"/>
      <c r="K688" s="630"/>
      <c r="L688" s="630"/>
      <c r="M688" s="630"/>
      <c r="N688" s="630"/>
      <c r="O688" s="631"/>
      <c r="P688" s="134"/>
      <c r="Q688" s="672"/>
      <c r="R688" s="183" t="s">
        <v>141</v>
      </c>
      <c r="S688" s="680"/>
    </row>
    <row r="689" spans="1:19" ht="15.75" thickBot="1" x14ac:dyDescent="0.3">
      <c r="A689" s="177" t="s">
        <v>109</v>
      </c>
      <c r="B689" s="626">
        <v>0.69</v>
      </c>
      <c r="C689" s="627"/>
      <c r="D689" s="627"/>
      <c r="E689" s="627"/>
      <c r="F689" s="627"/>
      <c r="G689" s="627"/>
      <c r="H689" s="627"/>
      <c r="I689" s="627"/>
      <c r="J689" s="627"/>
      <c r="K689" s="627"/>
      <c r="L689" s="627"/>
      <c r="M689" s="627"/>
      <c r="N689" s="627"/>
      <c r="O689" s="628"/>
      <c r="P689" s="134"/>
      <c r="Q689" s="238" t="s">
        <v>143</v>
      </c>
      <c r="R689" s="183">
        <v>1</v>
      </c>
      <c r="S689" s="181" t="s">
        <v>296</v>
      </c>
    </row>
    <row r="690" spans="1:19" ht="15.75" thickBot="1" x14ac:dyDescent="0.3">
      <c r="A690" s="177" t="s">
        <v>122</v>
      </c>
      <c r="B690" s="629">
        <f>B688-(B688*B689)</f>
        <v>8.6304000000000016</v>
      </c>
      <c r="C690" s="630"/>
      <c r="D690" s="630"/>
      <c r="E690" s="630"/>
      <c r="F690" s="630"/>
      <c r="G690" s="630"/>
      <c r="H690" s="630"/>
      <c r="I690" s="630"/>
      <c r="J690" s="630"/>
      <c r="K690" s="630"/>
      <c r="L690" s="630"/>
      <c r="M690" s="630"/>
      <c r="N690" s="630"/>
      <c r="O690" s="631"/>
      <c r="P690" s="134"/>
      <c r="Q690" s="238" t="s">
        <v>145</v>
      </c>
      <c r="R690" s="183">
        <v>7</v>
      </c>
      <c r="S690" s="184" t="s">
        <v>311</v>
      </c>
    </row>
    <row r="691" spans="1:19" ht="15.75" thickBot="1" x14ac:dyDescent="0.3">
      <c r="A691" s="177" t="s">
        <v>110</v>
      </c>
      <c r="B691" s="632">
        <v>116</v>
      </c>
      <c r="C691" s="633"/>
      <c r="D691" s="633"/>
      <c r="E691" s="633"/>
      <c r="F691" s="633"/>
      <c r="G691" s="633"/>
      <c r="H691" s="633"/>
      <c r="I691" s="633"/>
      <c r="J691" s="633"/>
      <c r="K691" s="633"/>
      <c r="L691" s="633"/>
      <c r="M691" s="633"/>
      <c r="N691" s="633"/>
      <c r="O691" s="634"/>
      <c r="P691" s="134"/>
      <c r="Q691" s="238" t="s">
        <v>147</v>
      </c>
      <c r="R691" s="183">
        <v>6</v>
      </c>
      <c r="S691" s="184" t="s">
        <v>148</v>
      </c>
    </row>
    <row r="692" spans="1:19" x14ac:dyDescent="0.25">
      <c r="A692" s="177" t="s">
        <v>111</v>
      </c>
      <c r="B692" s="635">
        <v>14.5</v>
      </c>
      <c r="C692" s="636"/>
      <c r="D692" s="636"/>
      <c r="E692" s="636"/>
      <c r="F692" s="636"/>
      <c r="G692" s="636"/>
      <c r="H692" s="636"/>
      <c r="I692" s="636"/>
      <c r="J692" s="636"/>
      <c r="K692" s="636"/>
      <c r="L692" s="636"/>
      <c r="M692" s="636"/>
      <c r="N692" s="636"/>
      <c r="O692" s="637"/>
      <c r="P692" s="134"/>
      <c r="Q692" s="239" t="s">
        <v>149</v>
      </c>
      <c r="R692" s="671">
        <v>9</v>
      </c>
      <c r="S692" s="673" t="s">
        <v>364</v>
      </c>
    </row>
    <row r="693" spans="1:19" ht="15.75" thickBot="1" x14ac:dyDescent="0.3">
      <c r="A693" s="177" t="s">
        <v>273</v>
      </c>
      <c r="B693" s="638"/>
      <c r="C693" s="638"/>
      <c r="D693" s="638"/>
      <c r="E693" s="638"/>
      <c r="F693" s="638"/>
      <c r="G693" s="638"/>
      <c r="H693" s="638"/>
      <c r="I693" s="638"/>
      <c r="J693" s="638"/>
      <c r="K693" s="638"/>
      <c r="L693" s="638"/>
      <c r="M693" s="638"/>
      <c r="N693" s="638"/>
      <c r="O693" s="639"/>
      <c r="P693" s="134"/>
      <c r="Q693" s="238" t="s">
        <v>150</v>
      </c>
      <c r="R693" s="672"/>
      <c r="S693" s="674"/>
    </row>
    <row r="694" spans="1:19" ht="15.75" thickBot="1" x14ac:dyDescent="0.3">
      <c r="A694" s="177" t="s">
        <v>305</v>
      </c>
      <c r="B694" s="431">
        <f>34.65</f>
        <v>34.65</v>
      </c>
      <c r="C694" s="431"/>
      <c r="D694" s="431"/>
      <c r="E694" s="431"/>
      <c r="F694" s="431"/>
      <c r="G694" s="431"/>
      <c r="H694" s="431"/>
      <c r="I694" s="431"/>
      <c r="J694" s="431"/>
      <c r="K694" s="431"/>
      <c r="L694" s="431"/>
      <c r="M694" s="431"/>
      <c r="N694" s="431"/>
      <c r="O694" s="432"/>
      <c r="P694" s="134"/>
      <c r="Q694" s="238" t="s">
        <v>152</v>
      </c>
      <c r="R694" s="183">
        <v>6</v>
      </c>
      <c r="S694" s="184" t="s">
        <v>365</v>
      </c>
    </row>
    <row r="695" spans="1:19" ht="15.75" thickBot="1" x14ac:dyDescent="0.3">
      <c r="E695" s="307" t="s">
        <v>98</v>
      </c>
      <c r="F695" s="365" t="s">
        <v>102</v>
      </c>
      <c r="G695" s="365"/>
      <c r="H695" s="365" t="s">
        <v>92</v>
      </c>
      <c r="I695" s="365" t="s">
        <v>93</v>
      </c>
      <c r="J695" s="365" t="s">
        <v>94</v>
      </c>
      <c r="K695" s="359" t="s">
        <v>99</v>
      </c>
      <c r="L695" s="433"/>
      <c r="M695" s="433"/>
      <c r="N695" s="433"/>
      <c r="O695" s="434"/>
      <c r="P695" s="134"/>
      <c r="Q695" s="238" t="s">
        <v>154</v>
      </c>
      <c r="R695" s="183">
        <v>8</v>
      </c>
      <c r="S695" s="181" t="s">
        <v>267</v>
      </c>
    </row>
    <row r="696" spans="1:19" ht="29.25" thickBot="1" x14ac:dyDescent="0.3">
      <c r="E696" s="308">
        <v>1770</v>
      </c>
      <c r="F696" s="365" t="s">
        <v>95</v>
      </c>
      <c r="G696" s="365"/>
      <c r="H696" s="441">
        <v>974.7</v>
      </c>
      <c r="I696" s="435">
        <v>896.1</v>
      </c>
      <c r="J696" s="435">
        <v>275.60000000000002</v>
      </c>
      <c r="K696" s="359">
        <f>SUM(H696:J696)</f>
        <v>2146.4</v>
      </c>
      <c r="L696" s="436"/>
      <c r="M696" s="436"/>
      <c r="N696" s="436"/>
      <c r="O696" s="437"/>
      <c r="P696" s="134"/>
      <c r="Q696" s="238" t="s">
        <v>156</v>
      </c>
      <c r="R696" s="183">
        <v>5</v>
      </c>
      <c r="S696" s="181" t="s">
        <v>367</v>
      </c>
    </row>
    <row r="697" spans="1:19" ht="15.75" thickBot="1" x14ac:dyDescent="0.3">
      <c r="E697" s="308">
        <v>150</v>
      </c>
      <c r="F697" s="365" t="s">
        <v>96</v>
      </c>
      <c r="G697" s="365"/>
      <c r="H697" s="441">
        <v>74.7</v>
      </c>
      <c r="I697" s="435">
        <v>58.9</v>
      </c>
      <c r="J697" s="435">
        <v>32.5</v>
      </c>
      <c r="K697" s="359">
        <f t="shared" ref="K697:K703" si="108">SUM(H697:J697)</f>
        <v>166.1</v>
      </c>
      <c r="L697" s="436"/>
      <c r="M697" s="436"/>
      <c r="N697" s="436"/>
      <c r="O697" s="437"/>
      <c r="P697" s="134"/>
      <c r="Q697" s="238" t="s">
        <v>158</v>
      </c>
      <c r="R697" s="183">
        <v>5</v>
      </c>
      <c r="S697" s="181" t="s">
        <v>376</v>
      </c>
    </row>
    <row r="698" spans="1:19" ht="15.75" thickBot="1" x14ac:dyDescent="0.3">
      <c r="E698" s="307" t="s">
        <v>100</v>
      </c>
      <c r="F698" s="365" t="s">
        <v>95</v>
      </c>
      <c r="G698" s="365"/>
      <c r="H698" s="429">
        <f t="shared" ref="H698:J699" si="109">H696/$E696</f>
        <v>0.55067796610169495</v>
      </c>
      <c r="I698" s="444">
        <f t="shared" si="109"/>
        <v>0.50627118644067803</v>
      </c>
      <c r="J698" s="444">
        <f t="shared" si="109"/>
        <v>0.15570621468926554</v>
      </c>
      <c r="K698" s="359">
        <f t="shared" si="108"/>
        <v>1.2126553672316385</v>
      </c>
      <c r="L698" s="436"/>
      <c r="M698" s="436"/>
      <c r="N698" s="436"/>
      <c r="O698" s="437"/>
      <c r="P698" s="134"/>
      <c r="Q698" s="185" t="s">
        <v>99</v>
      </c>
      <c r="R698" s="183" t="s">
        <v>377</v>
      </c>
      <c r="S698" s="186">
        <v>0.67</v>
      </c>
    </row>
    <row r="699" spans="1:19" x14ac:dyDescent="0.25">
      <c r="E699" s="307" t="s">
        <v>100</v>
      </c>
      <c r="F699" s="438" t="s">
        <v>96</v>
      </c>
      <c r="G699" s="438"/>
      <c r="H699" s="359">
        <f t="shared" si="109"/>
        <v>0.498</v>
      </c>
      <c r="I699" s="359">
        <f t="shared" si="109"/>
        <v>0.39266666666666666</v>
      </c>
      <c r="J699" s="359">
        <f t="shared" si="109"/>
        <v>0.21666666666666667</v>
      </c>
      <c r="K699" s="359">
        <f t="shared" si="108"/>
        <v>1.1073333333333335</v>
      </c>
      <c r="L699" s="436"/>
      <c r="M699" s="436"/>
      <c r="N699" s="436"/>
      <c r="O699" s="437"/>
      <c r="P699" s="134"/>
      <c r="Q699" s="262"/>
      <c r="R699" s="262"/>
      <c r="S699" s="262"/>
    </row>
    <row r="700" spans="1:19" x14ac:dyDescent="0.25">
      <c r="E700" s="307" t="s">
        <v>104</v>
      </c>
      <c r="F700" s="365" t="s">
        <v>95</v>
      </c>
      <c r="G700" s="365"/>
      <c r="H700" s="359">
        <f>H696/($E696/7.7)</f>
        <v>4.2402203389830513</v>
      </c>
      <c r="I700" s="359">
        <f>I696/($E696/7)</f>
        <v>3.5438983050847459</v>
      </c>
      <c r="J700" s="359">
        <f>J696/($E696/7)</f>
        <v>1.0899435028248587</v>
      </c>
      <c r="K700" s="359">
        <f t="shared" si="108"/>
        <v>8.8740621468926566</v>
      </c>
      <c r="L700" s="436"/>
      <c r="M700" s="436"/>
      <c r="N700" s="436"/>
      <c r="O700" s="437"/>
      <c r="P700" s="134"/>
      <c r="Q700" s="262"/>
      <c r="R700" s="262"/>
      <c r="S700" s="262"/>
    </row>
    <row r="701" spans="1:19" x14ac:dyDescent="0.25">
      <c r="E701" s="307" t="s">
        <v>104</v>
      </c>
      <c r="F701" s="438" t="s">
        <v>96</v>
      </c>
      <c r="G701" s="438"/>
      <c r="H701" s="359">
        <f>H697/($E697/7.7)</f>
        <v>3.8346000000000005</v>
      </c>
      <c r="I701" s="359">
        <f>I697/($E697/7.7)</f>
        <v>3.0235333333333334</v>
      </c>
      <c r="J701" s="359">
        <f>J697/($E697/7.7)</f>
        <v>1.6683333333333334</v>
      </c>
      <c r="K701" s="359">
        <f t="shared" si="108"/>
        <v>8.5264666666666677</v>
      </c>
      <c r="L701" s="436"/>
      <c r="M701" s="436"/>
      <c r="N701" s="436"/>
      <c r="O701" s="437"/>
      <c r="P701" s="134"/>
      <c r="Q701" s="262"/>
      <c r="R701" s="262"/>
      <c r="S701" s="262"/>
    </row>
    <row r="702" spans="1:19" x14ac:dyDescent="0.25">
      <c r="E702" s="307" t="s">
        <v>135</v>
      </c>
      <c r="F702" s="365" t="s">
        <v>95</v>
      </c>
      <c r="G702" s="365"/>
      <c r="H702" s="359">
        <f>H696/((($E696*$B692)*(1-$B689))/$B687)</f>
        <v>0.10118135912915596</v>
      </c>
      <c r="I702" s="359">
        <f>I696/((($E696*$B692)*(1-$B689))/$B687)</f>
        <v>9.3022074397903623E-2</v>
      </c>
      <c r="J702" s="359">
        <f>J696/((($E696*$B692)*(1-$B689))/$B687)</f>
        <v>2.8609400406274119E-2</v>
      </c>
      <c r="K702" s="359">
        <f t="shared" si="108"/>
        <v>0.22281283393333373</v>
      </c>
      <c r="L702" s="436"/>
      <c r="M702" s="436"/>
      <c r="N702" s="436"/>
      <c r="O702" s="437"/>
      <c r="P702" s="42"/>
      <c r="Q702" s="263"/>
      <c r="R702" s="262"/>
      <c r="S702" s="263"/>
    </row>
    <row r="703" spans="1:19" x14ac:dyDescent="0.25">
      <c r="E703" s="307" t="s">
        <v>135</v>
      </c>
      <c r="F703" s="438" t="s">
        <v>96</v>
      </c>
      <c r="G703" s="438"/>
      <c r="H703" s="359">
        <f>H697/((($E697*$B692)*(1-$B689))/$B687)</f>
        <v>9.1502329760937542E-2</v>
      </c>
      <c r="I703" s="359">
        <f>I697/((($E697*$B692)*(1-$B689))/$B687)</f>
        <v>7.2148423332251951E-2</v>
      </c>
      <c r="J703" s="359">
        <f>J697/((($E697*$B692)*(1-$B689))/$B687)</f>
        <v>3.9810250565334271E-2</v>
      </c>
      <c r="K703" s="359">
        <f t="shared" si="108"/>
        <v>0.20346100365852376</v>
      </c>
      <c r="L703" s="439"/>
      <c r="M703" s="439"/>
      <c r="N703" s="439"/>
      <c r="O703" s="440"/>
      <c r="P703" s="42"/>
      <c r="Q703" s="263"/>
      <c r="R703" s="262"/>
      <c r="S703" s="263"/>
    </row>
    <row r="704" spans="1:19" x14ac:dyDescent="0.25">
      <c r="A704" s="178"/>
      <c r="B704" s="178"/>
      <c r="C704" s="178"/>
      <c r="D704" s="178"/>
      <c r="E704" s="178"/>
      <c r="F704" s="178"/>
      <c r="G704" s="178"/>
      <c r="H704" s="178"/>
      <c r="I704" s="178"/>
      <c r="J704" s="178"/>
      <c r="K704" s="178"/>
      <c r="L704" s="178"/>
      <c r="M704" s="178"/>
      <c r="N704" s="178"/>
      <c r="O704" s="178"/>
      <c r="P704" s="133"/>
      <c r="Q704" s="233"/>
      <c r="R704" s="233"/>
      <c r="S704" s="233"/>
    </row>
    <row r="705" spans="1:19" x14ac:dyDescent="0.25">
      <c r="A705" s="178"/>
      <c r="B705" s="178"/>
      <c r="C705" s="178"/>
      <c r="D705" s="178"/>
      <c r="E705" s="178"/>
      <c r="F705" s="178"/>
      <c r="G705" s="178"/>
      <c r="H705" s="178"/>
      <c r="I705" s="178"/>
      <c r="J705" s="178"/>
      <c r="K705" s="178"/>
      <c r="L705" s="178"/>
      <c r="M705" s="178"/>
      <c r="N705" s="178"/>
      <c r="O705" s="178"/>
      <c r="P705" s="133"/>
      <c r="Q705" s="233"/>
      <c r="R705" s="233"/>
      <c r="S705" s="233"/>
    </row>
    <row r="707" spans="1:19" ht="21" x14ac:dyDescent="0.25">
      <c r="A707" s="305"/>
      <c r="B707" s="644" t="s">
        <v>309</v>
      </c>
      <c r="C707" s="645"/>
      <c r="D707" s="645"/>
      <c r="E707" s="645"/>
      <c r="F707" s="645"/>
      <c r="G707" s="645"/>
      <c r="H707" s="645"/>
      <c r="I707" s="645"/>
      <c r="J707" s="645"/>
      <c r="K707" s="645"/>
      <c r="L707" s="645"/>
      <c r="M707" s="645"/>
      <c r="N707" s="645"/>
      <c r="O707" s="646"/>
      <c r="P707" s="134" t="s">
        <v>97</v>
      </c>
      <c r="Q707" s="678" t="s">
        <v>19</v>
      </c>
      <c r="R707" s="678"/>
      <c r="S707" s="678"/>
    </row>
    <row r="708" spans="1:19" ht="21" x14ac:dyDescent="0.25">
      <c r="A708" s="177" t="s">
        <v>285</v>
      </c>
      <c r="B708" s="647">
        <v>43889</v>
      </c>
      <c r="C708" s="648"/>
      <c r="D708" s="648"/>
      <c r="E708" s="648"/>
      <c r="F708" s="648"/>
      <c r="G708" s="648"/>
      <c r="H708" s="648"/>
      <c r="I708" s="648"/>
      <c r="J708" s="648"/>
      <c r="K708" s="648"/>
      <c r="L708" s="648"/>
      <c r="M708" s="648"/>
      <c r="N708" s="648"/>
      <c r="O708" s="649"/>
      <c r="P708" s="134"/>
      <c r="Q708" s="678"/>
      <c r="R708" s="678"/>
      <c r="S708" s="678"/>
    </row>
    <row r="709" spans="1:19" x14ac:dyDescent="0.25">
      <c r="A709" s="177"/>
      <c r="B709" s="650" t="s">
        <v>115</v>
      </c>
      <c r="C709" s="651"/>
      <c r="D709" s="651"/>
      <c r="E709" s="651"/>
      <c r="F709" s="651"/>
      <c r="G709" s="651"/>
      <c r="H709" s="651"/>
      <c r="I709" s="651"/>
      <c r="J709" s="651"/>
      <c r="K709" s="651"/>
      <c r="L709" s="651"/>
      <c r="M709" s="651"/>
      <c r="N709" s="651"/>
      <c r="O709" s="652"/>
      <c r="P709" s="134"/>
      <c r="Q709" s="678"/>
      <c r="R709" s="678"/>
      <c r="S709" s="678"/>
    </row>
    <row r="710" spans="1:19" x14ac:dyDescent="0.25">
      <c r="A710" s="177" t="s">
        <v>106</v>
      </c>
      <c r="B710" s="629">
        <f>12012/1000</f>
        <v>12.012</v>
      </c>
      <c r="C710" s="630"/>
      <c r="D710" s="630"/>
      <c r="E710" s="631"/>
      <c r="F710" s="365" t="s">
        <v>174</v>
      </c>
      <c r="G710" s="471"/>
      <c r="H710" s="668">
        <v>0</v>
      </c>
      <c r="I710" s="669"/>
      <c r="J710" s="669"/>
      <c r="K710" s="669"/>
      <c r="L710" s="670"/>
      <c r="M710" s="656">
        <f>SUM(B710,H711)</f>
        <v>12.012</v>
      </c>
      <c r="N710" s="630"/>
      <c r="O710" s="631"/>
      <c r="P710" s="134"/>
      <c r="Q710" s="678"/>
      <c r="R710" s="678"/>
      <c r="S710" s="678"/>
    </row>
    <row r="711" spans="1:19" x14ac:dyDescent="0.25">
      <c r="A711" s="177" t="s">
        <v>112</v>
      </c>
      <c r="B711" s="626">
        <v>0.13</v>
      </c>
      <c r="C711" s="627"/>
      <c r="D711" s="627"/>
      <c r="E711" s="628"/>
      <c r="F711" s="290"/>
      <c r="G711" s="472"/>
      <c r="H711" s="626">
        <v>0</v>
      </c>
      <c r="I711" s="627"/>
      <c r="J711" s="627"/>
      <c r="K711" s="627"/>
      <c r="L711" s="628"/>
      <c r="M711" s="657">
        <f>B711</f>
        <v>0.13</v>
      </c>
      <c r="N711" s="627"/>
      <c r="O711" s="628"/>
      <c r="P711" s="134"/>
      <c r="Q711" s="678"/>
      <c r="R711" s="678"/>
      <c r="S711" s="678"/>
    </row>
    <row r="712" spans="1:19" ht="15.75" thickBot="1" x14ac:dyDescent="0.3">
      <c r="A712" s="177" t="s">
        <v>107</v>
      </c>
      <c r="B712" s="629">
        <f>B710*(1-B711)</f>
        <v>10.45044</v>
      </c>
      <c r="C712" s="630"/>
      <c r="D712" s="630"/>
      <c r="E712" s="631"/>
      <c r="F712" s="290"/>
      <c r="G712" s="472"/>
      <c r="H712" s="629">
        <f>H710*(1-H711)</f>
        <v>0</v>
      </c>
      <c r="I712" s="630"/>
      <c r="J712" s="630"/>
      <c r="K712" s="630"/>
      <c r="L712" s="631"/>
      <c r="M712" s="656">
        <f>SUM(B712,H712)</f>
        <v>10.45044</v>
      </c>
      <c r="N712" s="630"/>
      <c r="O712" s="631"/>
      <c r="P712" s="134"/>
      <c r="Q712" s="261" t="s">
        <v>97</v>
      </c>
      <c r="R712" s="262"/>
      <c r="S712" s="263"/>
    </row>
    <row r="713" spans="1:19" x14ac:dyDescent="0.25">
      <c r="A713" s="177" t="s">
        <v>108</v>
      </c>
      <c r="B713" s="626">
        <f>B716/B712</f>
        <v>0.76605339105339132</v>
      </c>
      <c r="C713" s="627"/>
      <c r="D713" s="627"/>
      <c r="E713" s="627"/>
      <c r="F713" s="627"/>
      <c r="G713" s="627"/>
      <c r="H713" s="627"/>
      <c r="I713" s="627"/>
      <c r="J713" s="627"/>
      <c r="K713" s="627"/>
      <c r="L713" s="627"/>
      <c r="M713" s="627"/>
      <c r="N713" s="627"/>
      <c r="O713" s="628"/>
      <c r="P713" s="134"/>
      <c r="Q713" s="671" t="s">
        <v>139</v>
      </c>
      <c r="R713" s="235" t="s">
        <v>140</v>
      </c>
      <c r="S713" s="679" t="s">
        <v>142</v>
      </c>
    </row>
    <row r="714" spans="1:19" ht="15.75" thickBot="1" x14ac:dyDescent="0.3">
      <c r="A714" s="177" t="s">
        <v>113</v>
      </c>
      <c r="B714" s="629">
        <f>B718*(E722+E723)/1000</f>
        <v>25.8245</v>
      </c>
      <c r="C714" s="630"/>
      <c r="D714" s="630"/>
      <c r="E714" s="630"/>
      <c r="F714" s="630"/>
      <c r="G714" s="630"/>
      <c r="H714" s="630"/>
      <c r="I714" s="630"/>
      <c r="J714" s="630"/>
      <c r="K714" s="630"/>
      <c r="L714" s="630"/>
      <c r="M714" s="630"/>
      <c r="N714" s="630"/>
      <c r="O714" s="631"/>
      <c r="P714" s="134"/>
      <c r="Q714" s="672"/>
      <c r="R714" s="183" t="s">
        <v>141</v>
      </c>
      <c r="S714" s="680"/>
    </row>
    <row r="715" spans="1:19" ht="15.75" thickBot="1" x14ac:dyDescent="0.3">
      <c r="A715" s="177" t="s">
        <v>109</v>
      </c>
      <c r="B715" s="626">
        <v>0.69</v>
      </c>
      <c r="C715" s="627"/>
      <c r="D715" s="627"/>
      <c r="E715" s="627"/>
      <c r="F715" s="627"/>
      <c r="G715" s="627"/>
      <c r="H715" s="627"/>
      <c r="I715" s="627"/>
      <c r="J715" s="627"/>
      <c r="K715" s="627"/>
      <c r="L715" s="627"/>
      <c r="M715" s="627"/>
      <c r="N715" s="627"/>
      <c r="O715" s="628"/>
      <c r="P715" s="134"/>
      <c r="Q715" s="238" t="s">
        <v>143</v>
      </c>
      <c r="R715" s="183">
        <v>1</v>
      </c>
      <c r="S715" s="181" t="s">
        <v>296</v>
      </c>
    </row>
    <row r="716" spans="1:19" ht="15.75" thickBot="1" x14ac:dyDescent="0.3">
      <c r="A716" s="177" t="s">
        <v>122</v>
      </c>
      <c r="B716" s="629">
        <f>B714-(B714*B715)</f>
        <v>8.0055950000000031</v>
      </c>
      <c r="C716" s="630"/>
      <c r="D716" s="630"/>
      <c r="E716" s="630"/>
      <c r="F716" s="630"/>
      <c r="G716" s="630"/>
      <c r="H716" s="630"/>
      <c r="I716" s="630"/>
      <c r="J716" s="630"/>
      <c r="K716" s="630"/>
      <c r="L716" s="630"/>
      <c r="M716" s="630"/>
      <c r="N716" s="630"/>
      <c r="O716" s="631"/>
      <c r="P716" s="134"/>
      <c r="Q716" s="238" t="s">
        <v>145</v>
      </c>
      <c r="R716" s="183">
        <v>6</v>
      </c>
      <c r="S716" s="184" t="s">
        <v>366</v>
      </c>
    </row>
    <row r="717" spans="1:19" ht="43.5" thickBot="1" x14ac:dyDescent="0.3">
      <c r="A717" s="177" t="s">
        <v>110</v>
      </c>
      <c r="B717" s="632">
        <v>116</v>
      </c>
      <c r="C717" s="633"/>
      <c r="D717" s="633"/>
      <c r="E717" s="633"/>
      <c r="F717" s="633"/>
      <c r="G717" s="633"/>
      <c r="H717" s="633"/>
      <c r="I717" s="633"/>
      <c r="J717" s="633"/>
      <c r="K717" s="633"/>
      <c r="L717" s="633"/>
      <c r="M717" s="633"/>
      <c r="N717" s="633"/>
      <c r="O717" s="634"/>
      <c r="P717" s="134"/>
      <c r="Q717" s="238" t="s">
        <v>147</v>
      </c>
      <c r="R717" s="183">
        <v>6</v>
      </c>
      <c r="S717" s="184" t="s">
        <v>368</v>
      </c>
    </row>
    <row r="718" spans="1:19" x14ac:dyDescent="0.25">
      <c r="A718" s="177" t="s">
        <v>111</v>
      </c>
      <c r="B718" s="635">
        <v>14.5</v>
      </c>
      <c r="C718" s="636"/>
      <c r="D718" s="636"/>
      <c r="E718" s="636"/>
      <c r="F718" s="636"/>
      <c r="G718" s="636"/>
      <c r="H718" s="636"/>
      <c r="I718" s="636"/>
      <c r="J718" s="636"/>
      <c r="K718" s="636"/>
      <c r="L718" s="636"/>
      <c r="M718" s="636"/>
      <c r="N718" s="636"/>
      <c r="O718" s="637"/>
      <c r="P718" s="134"/>
      <c r="Q718" s="239" t="s">
        <v>149</v>
      </c>
      <c r="R718" s="671">
        <v>9</v>
      </c>
      <c r="S718" s="673" t="s">
        <v>312</v>
      </c>
    </row>
    <row r="719" spans="1:19" ht="15.75" thickBot="1" x14ac:dyDescent="0.3">
      <c r="A719" s="177" t="s">
        <v>273</v>
      </c>
      <c r="B719" s="638" t="s">
        <v>301</v>
      </c>
      <c r="C719" s="638"/>
      <c r="D719" s="638"/>
      <c r="E719" s="638"/>
      <c r="F719" s="638"/>
      <c r="G719" s="638"/>
      <c r="H719" s="638"/>
      <c r="I719" s="638"/>
      <c r="J719" s="638"/>
      <c r="K719" s="638"/>
      <c r="L719" s="638"/>
      <c r="M719" s="638"/>
      <c r="N719" s="638"/>
      <c r="O719" s="639"/>
      <c r="P719" s="134"/>
      <c r="Q719" s="238" t="s">
        <v>150</v>
      </c>
      <c r="R719" s="672"/>
      <c r="S719" s="674"/>
    </row>
    <row r="720" spans="1:19" ht="29.25" thickBot="1" x14ac:dyDescent="0.3">
      <c r="A720" s="177" t="s">
        <v>305</v>
      </c>
      <c r="B720" s="431">
        <f>34.65</f>
        <v>34.65</v>
      </c>
      <c r="C720" s="431"/>
      <c r="D720" s="431"/>
      <c r="E720" s="431"/>
      <c r="F720" s="431"/>
      <c r="G720" s="431"/>
      <c r="H720" s="431"/>
      <c r="I720" s="431"/>
      <c r="J720" s="431"/>
      <c r="K720" s="431"/>
      <c r="L720" s="431"/>
      <c r="M720" s="431"/>
      <c r="N720" s="431"/>
      <c r="O720" s="432"/>
      <c r="P720" s="134"/>
      <c r="Q720" s="238" t="s">
        <v>152</v>
      </c>
      <c r="R720" s="183">
        <v>4</v>
      </c>
      <c r="S720" s="184" t="s">
        <v>369</v>
      </c>
    </row>
    <row r="721" spans="1:19" ht="15.75" thickBot="1" x14ac:dyDescent="0.3">
      <c r="E721" s="307" t="s">
        <v>98</v>
      </c>
      <c r="F721" s="365" t="s">
        <v>102</v>
      </c>
      <c r="G721" s="365"/>
      <c r="H721" s="365" t="s">
        <v>92</v>
      </c>
      <c r="I721" s="365" t="s">
        <v>93</v>
      </c>
      <c r="J721" s="365" t="s">
        <v>94</v>
      </c>
      <c r="K721" s="359" t="s">
        <v>99</v>
      </c>
      <c r="L721" s="433"/>
      <c r="M721" s="433"/>
      <c r="N721" s="433"/>
      <c r="O721" s="434"/>
      <c r="P721" s="134"/>
      <c r="Q721" s="238" t="s">
        <v>154</v>
      </c>
      <c r="R721" s="183">
        <v>9</v>
      </c>
      <c r="S721" s="181" t="s">
        <v>267</v>
      </c>
    </row>
    <row r="722" spans="1:19" ht="29.25" thickBot="1" x14ac:dyDescent="0.3">
      <c r="E722" s="308">
        <v>1631</v>
      </c>
      <c r="F722" s="365" t="s">
        <v>95</v>
      </c>
      <c r="G722" s="365"/>
      <c r="H722" s="435">
        <v>828.6</v>
      </c>
      <c r="I722" s="359">
        <v>388.8</v>
      </c>
      <c r="J722" s="435">
        <v>299.89999999999998</v>
      </c>
      <c r="K722" s="359">
        <f>SUM(H722:J722)</f>
        <v>1517.3000000000002</v>
      </c>
      <c r="L722" s="436"/>
      <c r="M722" s="436"/>
      <c r="N722" s="436"/>
      <c r="O722" s="437"/>
      <c r="P722" s="134"/>
      <c r="Q722" s="238" t="s">
        <v>156</v>
      </c>
      <c r="R722" s="183">
        <v>5</v>
      </c>
      <c r="S722" s="181" t="s">
        <v>367</v>
      </c>
    </row>
    <row r="723" spans="1:19" ht="15.75" thickBot="1" x14ac:dyDescent="0.3">
      <c r="E723" s="308">
        <v>150</v>
      </c>
      <c r="F723" s="365" t="s">
        <v>96</v>
      </c>
      <c r="G723" s="365"/>
      <c r="H723" s="435">
        <v>81.900000000000006</v>
      </c>
      <c r="I723" s="359">
        <v>58.1</v>
      </c>
      <c r="J723" s="435">
        <v>42.9</v>
      </c>
      <c r="K723" s="359">
        <f t="shared" ref="K723:K729" si="110">SUM(H723:J723)</f>
        <v>182.9</v>
      </c>
      <c r="L723" s="436"/>
      <c r="M723" s="436"/>
      <c r="N723" s="436"/>
      <c r="O723" s="437"/>
      <c r="P723" s="134"/>
      <c r="Q723" s="238" t="s">
        <v>158</v>
      </c>
      <c r="R723" s="183">
        <v>5</v>
      </c>
      <c r="S723" s="181"/>
    </row>
    <row r="724" spans="1:19" ht="15.75" thickBot="1" x14ac:dyDescent="0.3">
      <c r="E724" s="307" t="s">
        <v>100</v>
      </c>
      <c r="F724" s="365" t="s">
        <v>95</v>
      </c>
      <c r="G724" s="365"/>
      <c r="H724" s="444">
        <f t="shared" ref="H724:J725" si="111">H722/$E722</f>
        <v>0.50803188228080931</v>
      </c>
      <c r="I724" s="444">
        <f t="shared" si="111"/>
        <v>0.23838136112814226</v>
      </c>
      <c r="J724" s="444">
        <f t="shared" si="111"/>
        <v>0.18387492335990188</v>
      </c>
      <c r="K724" s="359">
        <f t="shared" si="110"/>
        <v>0.9302881667688534</v>
      </c>
      <c r="L724" s="436"/>
      <c r="M724" s="436"/>
      <c r="N724" s="436"/>
      <c r="O724" s="437"/>
      <c r="P724" s="134"/>
      <c r="Q724" s="185" t="s">
        <v>99</v>
      </c>
      <c r="R724" s="183" t="s">
        <v>524</v>
      </c>
      <c r="S724" s="186">
        <v>0.64</v>
      </c>
    </row>
    <row r="725" spans="1:19" x14ac:dyDescent="0.25">
      <c r="E725" s="307" t="s">
        <v>100</v>
      </c>
      <c r="F725" s="438" t="s">
        <v>96</v>
      </c>
      <c r="G725" s="438"/>
      <c r="H725" s="359">
        <f t="shared" si="111"/>
        <v>0.54600000000000004</v>
      </c>
      <c r="I725" s="359">
        <f t="shared" si="111"/>
        <v>0.38733333333333336</v>
      </c>
      <c r="J725" s="359">
        <f t="shared" si="111"/>
        <v>0.28599999999999998</v>
      </c>
      <c r="K725" s="359">
        <f t="shared" si="110"/>
        <v>1.2193333333333334</v>
      </c>
      <c r="L725" s="436"/>
      <c r="M725" s="436"/>
      <c r="N725" s="436"/>
      <c r="O725" s="437"/>
      <c r="P725" s="134"/>
      <c r="Q725" s="262"/>
      <c r="R725" s="262"/>
      <c r="S725" s="262"/>
    </row>
    <row r="726" spans="1:19" x14ac:dyDescent="0.25">
      <c r="E726" s="307" t="s">
        <v>104</v>
      </c>
      <c r="F726" s="365" t="s">
        <v>95</v>
      </c>
      <c r="G726" s="365"/>
      <c r="H726" s="359">
        <f>H722/($E722/7.7)</f>
        <v>3.911845493562232</v>
      </c>
      <c r="I726" s="359">
        <f>I722/($E722/7)</f>
        <v>1.6686695278969959</v>
      </c>
      <c r="J726" s="359">
        <f>J722/($E722/7)</f>
        <v>1.2871244635193133</v>
      </c>
      <c r="K726" s="359">
        <f t="shared" si="110"/>
        <v>6.8676394849785405</v>
      </c>
      <c r="L726" s="436"/>
      <c r="M726" s="436"/>
      <c r="N726" s="436"/>
      <c r="O726" s="437"/>
      <c r="P726" s="134"/>
      <c r="Q726" s="262"/>
      <c r="R726" s="262"/>
      <c r="S726" s="262"/>
    </row>
    <row r="727" spans="1:19" x14ac:dyDescent="0.25">
      <c r="E727" s="307" t="s">
        <v>104</v>
      </c>
      <c r="F727" s="438" t="s">
        <v>96</v>
      </c>
      <c r="G727" s="438"/>
      <c r="H727" s="359">
        <f>H723/($E723/7.7)</f>
        <v>4.2042000000000002</v>
      </c>
      <c r="I727" s="359">
        <f>I723/($E723/7.7)</f>
        <v>2.9824666666666668</v>
      </c>
      <c r="J727" s="359">
        <f>J723/($E723/7.7)</f>
        <v>2.2021999999999999</v>
      </c>
      <c r="K727" s="359">
        <f t="shared" si="110"/>
        <v>9.3888666666666669</v>
      </c>
      <c r="L727" s="436"/>
      <c r="M727" s="436"/>
      <c r="N727" s="436"/>
      <c r="O727" s="437"/>
      <c r="P727" s="134"/>
      <c r="Q727" s="262"/>
      <c r="R727" s="262"/>
      <c r="S727" s="262"/>
    </row>
    <row r="728" spans="1:19" x14ac:dyDescent="0.25">
      <c r="E728" s="307" t="s">
        <v>135</v>
      </c>
      <c r="F728" s="365" t="s">
        <v>95</v>
      </c>
      <c r="G728" s="365"/>
      <c r="H728" s="359">
        <f>H722/((($E722*$B718)*(1-$B715))/$B713)</f>
        <v>8.6580544201212736E-2</v>
      </c>
      <c r="I728" s="359">
        <f>I722/((($E722*$B718)*(1-$B715))/$B713)</f>
        <v>4.0625773093689969E-2</v>
      </c>
      <c r="J728" s="359">
        <f>J722/((($E722*$B718)*(1-$B715))/$B713)</f>
        <v>3.1336598124479476E-2</v>
      </c>
      <c r="K728" s="359">
        <f t="shared" si="110"/>
        <v>0.15854291541938217</v>
      </c>
      <c r="L728" s="436"/>
      <c r="M728" s="436"/>
      <c r="N728" s="436"/>
      <c r="O728" s="437"/>
      <c r="P728" s="42"/>
      <c r="Q728" s="263"/>
      <c r="R728" s="262"/>
      <c r="S728" s="263"/>
    </row>
    <row r="729" spans="1:19" x14ac:dyDescent="0.25">
      <c r="E729" s="307" t="s">
        <v>135</v>
      </c>
      <c r="F729" s="438" t="s">
        <v>96</v>
      </c>
      <c r="G729" s="438"/>
      <c r="H729" s="359">
        <f>H723/((($E723*$B718)*(1-$B715))/$B713)</f>
        <v>9.3051201671891348E-2</v>
      </c>
      <c r="I729" s="359">
        <f>I723/((($E723*$B718)*(1-$B715))/$B713)</f>
        <v>6.6010681527922929E-2</v>
      </c>
      <c r="J729" s="359">
        <f>J723/((($E723*$B718)*(1-$B715))/$B713)</f>
        <v>4.8741105637657371E-2</v>
      </c>
      <c r="K729" s="359">
        <f t="shared" si="110"/>
        <v>0.20780298883747167</v>
      </c>
      <c r="L729" s="439"/>
      <c r="M729" s="439"/>
      <c r="N729" s="439"/>
      <c r="O729" s="440"/>
      <c r="P729" s="42"/>
      <c r="Q729" s="263"/>
      <c r="R729" s="262"/>
      <c r="S729" s="263"/>
    </row>
    <row r="730" spans="1:19" x14ac:dyDescent="0.25">
      <c r="A730" s="178"/>
      <c r="B730" s="178"/>
      <c r="C730" s="178"/>
      <c r="D730" s="178"/>
      <c r="E730" s="178"/>
      <c r="F730" s="178"/>
      <c r="G730" s="178"/>
      <c r="H730" s="178"/>
      <c r="I730" s="178"/>
      <c r="J730" s="178"/>
      <c r="K730" s="178"/>
      <c r="L730" s="178"/>
      <c r="M730" s="178"/>
      <c r="N730" s="178"/>
      <c r="O730" s="178"/>
      <c r="P730" s="133"/>
      <c r="Q730" s="233"/>
      <c r="R730" s="233"/>
      <c r="S730" s="233"/>
    </row>
    <row r="731" spans="1:19" x14ac:dyDescent="0.25">
      <c r="A731" s="178"/>
      <c r="B731" s="178"/>
      <c r="C731" s="178"/>
      <c r="D731" s="178"/>
      <c r="E731" s="178"/>
      <c r="F731" s="178"/>
      <c r="G731" s="178"/>
      <c r="H731" s="178"/>
      <c r="I731" s="178"/>
      <c r="J731" s="178"/>
      <c r="K731" s="178"/>
      <c r="L731" s="178"/>
      <c r="M731" s="178"/>
      <c r="N731" s="178"/>
      <c r="O731" s="178"/>
      <c r="P731" s="133"/>
      <c r="Q731" s="233"/>
      <c r="R731" s="233"/>
      <c r="S731" s="233"/>
    </row>
    <row r="733" spans="1:19" ht="21" x14ac:dyDescent="0.25">
      <c r="A733" s="305"/>
      <c r="B733" s="644" t="s">
        <v>310</v>
      </c>
      <c r="C733" s="645"/>
      <c r="D733" s="645"/>
      <c r="E733" s="645"/>
      <c r="F733" s="645"/>
      <c r="G733" s="645"/>
      <c r="H733" s="645"/>
      <c r="I733" s="645"/>
      <c r="J733" s="645"/>
      <c r="K733" s="645"/>
      <c r="L733" s="645"/>
      <c r="M733" s="645"/>
      <c r="N733" s="645"/>
      <c r="O733" s="646"/>
      <c r="P733" s="134" t="s">
        <v>97</v>
      </c>
      <c r="Q733" s="678" t="s">
        <v>23</v>
      </c>
      <c r="R733" s="678"/>
      <c r="S733" s="678"/>
    </row>
    <row r="734" spans="1:19" ht="21" x14ac:dyDescent="0.25">
      <c r="A734" s="177" t="s">
        <v>285</v>
      </c>
      <c r="B734" s="647">
        <v>43896</v>
      </c>
      <c r="C734" s="648"/>
      <c r="D734" s="648"/>
      <c r="E734" s="648"/>
      <c r="F734" s="648"/>
      <c r="G734" s="648"/>
      <c r="H734" s="648"/>
      <c r="I734" s="648"/>
      <c r="J734" s="648"/>
      <c r="K734" s="648"/>
      <c r="L734" s="648"/>
      <c r="M734" s="648"/>
      <c r="N734" s="648"/>
      <c r="O734" s="649"/>
      <c r="P734" s="134"/>
      <c r="Q734" s="678"/>
      <c r="R734" s="678"/>
      <c r="S734" s="678"/>
    </row>
    <row r="735" spans="1:19" x14ac:dyDescent="0.25">
      <c r="A735" s="177"/>
      <c r="B735" s="650" t="s">
        <v>115</v>
      </c>
      <c r="C735" s="651"/>
      <c r="D735" s="651"/>
      <c r="E735" s="651"/>
      <c r="F735" s="651"/>
      <c r="G735" s="651"/>
      <c r="H735" s="651"/>
      <c r="I735" s="651"/>
      <c r="J735" s="651"/>
      <c r="K735" s="651"/>
      <c r="L735" s="651"/>
      <c r="M735" s="651"/>
      <c r="N735" s="651"/>
      <c r="O735" s="652"/>
      <c r="P735" s="134"/>
      <c r="Q735" s="678"/>
      <c r="R735" s="678"/>
      <c r="S735" s="678"/>
    </row>
    <row r="736" spans="1:19" x14ac:dyDescent="0.25">
      <c r="A736" s="177" t="s">
        <v>106</v>
      </c>
      <c r="B736" s="629">
        <f>11697/1000</f>
        <v>11.696999999999999</v>
      </c>
      <c r="C736" s="630"/>
      <c r="D736" s="630"/>
      <c r="E736" s="631"/>
      <c r="F736" s="365" t="s">
        <v>174</v>
      </c>
      <c r="G736" s="471"/>
      <c r="H736" s="668">
        <v>0</v>
      </c>
      <c r="I736" s="669"/>
      <c r="J736" s="669"/>
      <c r="K736" s="669"/>
      <c r="L736" s="670"/>
      <c r="M736" s="656">
        <f>SUM(B736,H737)</f>
        <v>11.696999999999999</v>
      </c>
      <c r="N736" s="630"/>
      <c r="O736" s="631"/>
      <c r="P736" s="134"/>
      <c r="Q736" s="678"/>
      <c r="R736" s="678"/>
      <c r="S736" s="678"/>
    </row>
    <row r="737" spans="1:19" x14ac:dyDescent="0.25">
      <c r="A737" s="177" t="s">
        <v>112</v>
      </c>
      <c r="B737" s="626">
        <v>0.13</v>
      </c>
      <c r="C737" s="627"/>
      <c r="D737" s="627"/>
      <c r="E737" s="628"/>
      <c r="F737" s="290"/>
      <c r="G737" s="472"/>
      <c r="H737" s="626">
        <v>0</v>
      </c>
      <c r="I737" s="627"/>
      <c r="J737" s="627"/>
      <c r="K737" s="627"/>
      <c r="L737" s="628"/>
      <c r="M737" s="657">
        <f>B737</f>
        <v>0.13</v>
      </c>
      <c r="N737" s="627"/>
      <c r="O737" s="628"/>
      <c r="P737" s="134"/>
      <c r="Q737" s="678"/>
      <c r="R737" s="678"/>
      <c r="S737" s="678"/>
    </row>
    <row r="738" spans="1:19" ht="15.75" thickBot="1" x14ac:dyDescent="0.3">
      <c r="A738" s="177" t="s">
        <v>107</v>
      </c>
      <c r="B738" s="629">
        <f>B736*(1-B737)</f>
        <v>10.17639</v>
      </c>
      <c r="C738" s="630"/>
      <c r="D738" s="630"/>
      <c r="E738" s="631"/>
      <c r="F738" s="290"/>
      <c r="G738" s="472"/>
      <c r="H738" s="629">
        <f>H736*(1-H737)</f>
        <v>0</v>
      </c>
      <c r="I738" s="630"/>
      <c r="J738" s="630"/>
      <c r="K738" s="630"/>
      <c r="L738" s="631"/>
      <c r="M738" s="656">
        <f>SUM(B738,H738)</f>
        <v>10.17639</v>
      </c>
      <c r="N738" s="630"/>
      <c r="O738" s="631"/>
      <c r="P738" s="134"/>
      <c r="Q738" s="261" t="s">
        <v>97</v>
      </c>
      <c r="R738" s="262"/>
      <c r="S738" s="263"/>
    </row>
    <row r="739" spans="1:19" x14ac:dyDescent="0.25">
      <c r="A739" s="177" t="s">
        <v>108</v>
      </c>
      <c r="B739" s="626">
        <f>B742/B738</f>
        <v>0.7181878839156125</v>
      </c>
      <c r="C739" s="627"/>
      <c r="D739" s="627"/>
      <c r="E739" s="627"/>
      <c r="F739" s="627"/>
      <c r="G739" s="627"/>
      <c r="H739" s="627"/>
      <c r="I739" s="627"/>
      <c r="J739" s="627"/>
      <c r="K739" s="627"/>
      <c r="L739" s="627"/>
      <c r="M739" s="627"/>
      <c r="N739" s="627"/>
      <c r="O739" s="628"/>
      <c r="P739" s="134"/>
      <c r="Q739" s="671" t="s">
        <v>139</v>
      </c>
      <c r="R739" s="235" t="s">
        <v>140</v>
      </c>
      <c r="S739" s="679" t="s">
        <v>370</v>
      </c>
    </row>
    <row r="740" spans="1:19" ht="15.75" thickBot="1" x14ac:dyDescent="0.3">
      <c r="A740" s="177" t="s">
        <v>113</v>
      </c>
      <c r="B740" s="629">
        <f>B744*(E748+E749)/1000</f>
        <v>23.576000000000001</v>
      </c>
      <c r="C740" s="630"/>
      <c r="D740" s="630"/>
      <c r="E740" s="630"/>
      <c r="F740" s="630"/>
      <c r="G740" s="630"/>
      <c r="H740" s="630"/>
      <c r="I740" s="630"/>
      <c r="J740" s="630"/>
      <c r="K740" s="630"/>
      <c r="L740" s="630"/>
      <c r="M740" s="630"/>
      <c r="N740" s="630"/>
      <c r="O740" s="631"/>
      <c r="P740" s="134"/>
      <c r="Q740" s="672"/>
      <c r="R740" s="183" t="s">
        <v>141</v>
      </c>
      <c r="S740" s="680"/>
    </row>
    <row r="741" spans="1:19" ht="15.75" thickBot="1" x14ac:dyDescent="0.3">
      <c r="A741" s="177" t="s">
        <v>109</v>
      </c>
      <c r="B741" s="626">
        <v>0.69</v>
      </c>
      <c r="C741" s="627"/>
      <c r="D741" s="627"/>
      <c r="E741" s="627"/>
      <c r="F741" s="627"/>
      <c r="G741" s="627"/>
      <c r="H741" s="627"/>
      <c r="I741" s="627"/>
      <c r="J741" s="627"/>
      <c r="K741" s="627"/>
      <c r="L741" s="627"/>
      <c r="M741" s="627"/>
      <c r="N741" s="627"/>
      <c r="O741" s="628"/>
      <c r="P741" s="134"/>
      <c r="Q741" s="238" t="s">
        <v>143</v>
      </c>
      <c r="R741" s="183">
        <v>1.5</v>
      </c>
      <c r="S741" s="181" t="s">
        <v>296</v>
      </c>
    </row>
    <row r="742" spans="1:19" ht="15.75" thickBot="1" x14ac:dyDescent="0.3">
      <c r="A742" s="177" t="s">
        <v>122</v>
      </c>
      <c r="B742" s="629">
        <f>B740-(B740*B741)</f>
        <v>7.3085599999999999</v>
      </c>
      <c r="C742" s="630"/>
      <c r="D742" s="630"/>
      <c r="E742" s="630"/>
      <c r="F742" s="630"/>
      <c r="G742" s="630"/>
      <c r="H742" s="630"/>
      <c r="I742" s="630"/>
      <c r="J742" s="630"/>
      <c r="K742" s="630"/>
      <c r="L742" s="630"/>
      <c r="M742" s="630"/>
      <c r="N742" s="630"/>
      <c r="O742" s="631"/>
      <c r="P742" s="134"/>
      <c r="Q742" s="238" t="s">
        <v>145</v>
      </c>
      <c r="R742" s="183">
        <v>5.5</v>
      </c>
      <c r="S742" s="184" t="s">
        <v>371</v>
      </c>
    </row>
    <row r="743" spans="1:19" ht="29.25" thickBot="1" x14ac:dyDescent="0.3">
      <c r="A743" s="177" t="s">
        <v>110</v>
      </c>
      <c r="B743" s="632">
        <v>116</v>
      </c>
      <c r="C743" s="633"/>
      <c r="D743" s="633"/>
      <c r="E743" s="633"/>
      <c r="F743" s="633"/>
      <c r="G743" s="633"/>
      <c r="H743" s="633"/>
      <c r="I743" s="633"/>
      <c r="J743" s="633"/>
      <c r="K743" s="633"/>
      <c r="L743" s="633"/>
      <c r="M743" s="633"/>
      <c r="N743" s="633"/>
      <c r="O743" s="634"/>
      <c r="P743" s="134"/>
      <c r="Q743" s="238" t="s">
        <v>147</v>
      </c>
      <c r="R743" s="183">
        <v>5</v>
      </c>
      <c r="S743" s="184" t="s">
        <v>372</v>
      </c>
    </row>
    <row r="744" spans="1:19" x14ac:dyDescent="0.25">
      <c r="A744" s="177" t="s">
        <v>111</v>
      </c>
      <c r="B744" s="635">
        <v>14</v>
      </c>
      <c r="C744" s="636"/>
      <c r="D744" s="636"/>
      <c r="E744" s="636"/>
      <c r="F744" s="636"/>
      <c r="G744" s="636"/>
      <c r="H744" s="636"/>
      <c r="I744" s="636"/>
      <c r="J744" s="636"/>
      <c r="K744" s="636"/>
      <c r="L744" s="636"/>
      <c r="M744" s="636"/>
      <c r="N744" s="636"/>
      <c r="O744" s="637"/>
      <c r="P744" s="134"/>
      <c r="Q744" s="239" t="s">
        <v>149</v>
      </c>
      <c r="R744" s="671">
        <v>3.5</v>
      </c>
      <c r="S744" s="673" t="s">
        <v>312</v>
      </c>
    </row>
    <row r="745" spans="1:19" ht="15.75" thickBot="1" x14ac:dyDescent="0.3">
      <c r="A745" s="177" t="s">
        <v>273</v>
      </c>
      <c r="B745" s="638"/>
      <c r="C745" s="638"/>
      <c r="D745" s="638"/>
      <c r="E745" s="638"/>
      <c r="F745" s="638"/>
      <c r="G745" s="638"/>
      <c r="H745" s="638"/>
      <c r="I745" s="638"/>
      <c r="J745" s="638"/>
      <c r="K745" s="638"/>
      <c r="L745" s="638"/>
      <c r="M745" s="638"/>
      <c r="N745" s="638"/>
      <c r="O745" s="639"/>
      <c r="P745" s="134"/>
      <c r="Q745" s="238" t="s">
        <v>150</v>
      </c>
      <c r="R745" s="672"/>
      <c r="S745" s="674"/>
    </row>
    <row r="746" spans="1:19" ht="15.75" thickBot="1" x14ac:dyDescent="0.3">
      <c r="A746" s="177" t="s">
        <v>305</v>
      </c>
      <c r="B746" s="431"/>
      <c r="C746" s="431"/>
      <c r="D746" s="431"/>
      <c r="E746" s="431"/>
      <c r="F746" s="431"/>
      <c r="G746" s="431"/>
      <c r="H746" s="431"/>
      <c r="I746" s="431"/>
      <c r="J746" s="431"/>
      <c r="K746" s="431"/>
      <c r="L746" s="431"/>
      <c r="M746" s="431"/>
      <c r="N746" s="431"/>
      <c r="O746" s="432"/>
      <c r="P746" s="134"/>
      <c r="Q746" s="238" t="s">
        <v>152</v>
      </c>
      <c r="R746" s="183">
        <v>3.5</v>
      </c>
      <c r="S746" s="184" t="s">
        <v>373</v>
      </c>
    </row>
    <row r="747" spans="1:19" ht="15.75" thickBot="1" x14ac:dyDescent="0.3">
      <c r="E747" s="307" t="s">
        <v>98</v>
      </c>
      <c r="F747" s="365" t="s">
        <v>102</v>
      </c>
      <c r="G747" s="365"/>
      <c r="H747" s="365" t="s">
        <v>92</v>
      </c>
      <c r="I747" s="365" t="s">
        <v>93</v>
      </c>
      <c r="J747" s="365" t="s">
        <v>94</v>
      </c>
      <c r="K747" s="359" t="s">
        <v>99</v>
      </c>
      <c r="L747" s="433"/>
      <c r="M747" s="433"/>
      <c r="N747" s="433"/>
      <c r="O747" s="434"/>
      <c r="P747" s="134"/>
      <c r="Q747" s="238" t="s">
        <v>154</v>
      </c>
      <c r="R747" s="183">
        <v>8</v>
      </c>
      <c r="S747" s="181" t="s">
        <v>267</v>
      </c>
    </row>
    <row r="748" spans="1:19" ht="29.25" thickBot="1" x14ac:dyDescent="0.3">
      <c r="E748" s="308">
        <v>1528</v>
      </c>
      <c r="F748" s="365" t="s">
        <v>95</v>
      </c>
      <c r="G748" s="365"/>
      <c r="H748" s="441">
        <v>1081.5</v>
      </c>
      <c r="I748" s="359">
        <v>536.70000000000005</v>
      </c>
      <c r="J748" s="435">
        <v>138</v>
      </c>
      <c r="K748" s="359">
        <f>SUM(H748:J748)</f>
        <v>1756.2</v>
      </c>
      <c r="L748" s="436"/>
      <c r="M748" s="436"/>
      <c r="N748" s="436"/>
      <c r="O748" s="437"/>
      <c r="P748" s="134"/>
      <c r="Q748" s="238" t="s">
        <v>156</v>
      </c>
      <c r="R748" s="183">
        <v>5</v>
      </c>
      <c r="S748" s="181" t="s">
        <v>374</v>
      </c>
    </row>
    <row r="749" spans="1:19" ht="15.75" thickBot="1" x14ac:dyDescent="0.3">
      <c r="E749" s="308">
        <v>156</v>
      </c>
      <c r="F749" s="365" t="s">
        <v>96</v>
      </c>
      <c r="G749" s="365"/>
      <c r="H749" s="441">
        <v>92.8</v>
      </c>
      <c r="I749" s="359">
        <v>43.7</v>
      </c>
      <c r="J749" s="435">
        <v>46.8</v>
      </c>
      <c r="K749" s="359">
        <f t="shared" ref="K749:K755" si="112">SUM(H749:J749)</f>
        <v>183.3</v>
      </c>
      <c r="L749" s="436"/>
      <c r="M749" s="436"/>
      <c r="N749" s="436"/>
      <c r="O749" s="437"/>
      <c r="P749" s="134"/>
      <c r="Q749" s="238" t="s">
        <v>158</v>
      </c>
      <c r="R749" s="183">
        <v>5</v>
      </c>
      <c r="S749" s="181"/>
    </row>
    <row r="750" spans="1:19" ht="15.75" thickBot="1" x14ac:dyDescent="0.3">
      <c r="E750" s="307" t="s">
        <v>100</v>
      </c>
      <c r="F750" s="365" t="s">
        <v>95</v>
      </c>
      <c r="G750" s="365"/>
      <c r="H750" s="444">
        <f t="shared" ref="H750:J751" si="113">H748/$E748</f>
        <v>0.70778795811518325</v>
      </c>
      <c r="I750" s="429">
        <f t="shared" si="113"/>
        <v>0.35124345549738223</v>
      </c>
      <c r="J750" s="429">
        <f t="shared" si="113"/>
        <v>9.0314136125654448E-2</v>
      </c>
      <c r="K750" s="359">
        <f t="shared" si="112"/>
        <v>1.1493455497382201</v>
      </c>
      <c r="L750" s="436"/>
      <c r="M750" s="436"/>
      <c r="N750" s="436"/>
      <c r="O750" s="437"/>
      <c r="P750" s="134"/>
      <c r="Q750" s="185" t="s">
        <v>99</v>
      </c>
      <c r="R750" s="183" t="s">
        <v>378</v>
      </c>
      <c r="S750" s="265">
        <v>0.53</v>
      </c>
    </row>
    <row r="751" spans="1:19" x14ac:dyDescent="0.25">
      <c r="E751" s="307" t="s">
        <v>100</v>
      </c>
      <c r="F751" s="438" t="s">
        <v>96</v>
      </c>
      <c r="G751" s="438"/>
      <c r="H751" s="359">
        <f t="shared" si="113"/>
        <v>0.59487179487179487</v>
      </c>
      <c r="I751" s="359">
        <f t="shared" si="113"/>
        <v>0.28012820512820513</v>
      </c>
      <c r="J751" s="359">
        <f t="shared" si="113"/>
        <v>0.3</v>
      </c>
      <c r="K751" s="359">
        <f t="shared" si="112"/>
        <v>1.175</v>
      </c>
      <c r="L751" s="436"/>
      <c r="M751" s="436"/>
      <c r="N751" s="436"/>
      <c r="O751" s="437"/>
      <c r="P751" s="134"/>
      <c r="Q751" s="262"/>
      <c r="R751" s="262"/>
      <c r="S751" s="262"/>
    </row>
    <row r="752" spans="1:19" x14ac:dyDescent="0.25">
      <c r="E752" s="307" t="s">
        <v>104</v>
      </c>
      <c r="F752" s="365" t="s">
        <v>95</v>
      </c>
      <c r="G752" s="365"/>
      <c r="H752" s="359">
        <f>H748/($E748/7.7)</f>
        <v>5.4499672774869108</v>
      </c>
      <c r="I752" s="359">
        <f>I748/($E748/7)</f>
        <v>2.4587041884816756</v>
      </c>
      <c r="J752" s="359">
        <f>J748/($E748/7)</f>
        <v>0.63219895287958117</v>
      </c>
      <c r="K752" s="359">
        <f t="shared" si="112"/>
        <v>8.5408704188481668</v>
      </c>
      <c r="L752" s="436"/>
      <c r="M752" s="436"/>
      <c r="N752" s="436"/>
      <c r="O752" s="437"/>
      <c r="P752" s="134"/>
      <c r="Q752" s="262"/>
      <c r="R752" s="262"/>
      <c r="S752" s="262"/>
    </row>
    <row r="753" spans="1:19" x14ac:dyDescent="0.25">
      <c r="E753" s="307" t="s">
        <v>104</v>
      </c>
      <c r="F753" s="438" t="s">
        <v>96</v>
      </c>
      <c r="G753" s="438"/>
      <c r="H753" s="359">
        <f>H749/($E749/7.7)</f>
        <v>4.5805128205128209</v>
      </c>
      <c r="I753" s="359">
        <f>I749/($E749/7.7)</f>
        <v>2.1569871794871798</v>
      </c>
      <c r="J753" s="359">
        <f>J749/($E749/7.7)</f>
        <v>2.31</v>
      </c>
      <c r="K753" s="359">
        <f t="shared" si="112"/>
        <v>9.0475000000000012</v>
      </c>
      <c r="L753" s="436"/>
      <c r="M753" s="436"/>
      <c r="N753" s="436"/>
      <c r="O753" s="437"/>
      <c r="P753" s="134"/>
      <c r="Q753" s="262"/>
      <c r="R753" s="262"/>
      <c r="S753" s="262"/>
    </row>
    <row r="754" spans="1:19" x14ac:dyDescent="0.25">
      <c r="E754" s="307" t="s">
        <v>135</v>
      </c>
      <c r="F754" s="365" t="s">
        <v>95</v>
      </c>
      <c r="G754" s="365"/>
      <c r="H754" s="359">
        <f>H748/((($E748*$B744)*(1-$B741))/$B739)</f>
        <v>0.11712551518426165</v>
      </c>
      <c r="I754" s="359">
        <f>I748/((($E748*$B744)*(1-$B741))/$B739)</f>
        <v>5.8124146092827768E-2</v>
      </c>
      <c r="J754" s="359">
        <f>J748/((($E748*$B744)*(1-$B741))/$B739)</f>
        <v>1.4945280716993165E-2</v>
      </c>
      <c r="K754" s="359">
        <f t="shared" si="112"/>
        <v>0.19019494199408257</v>
      </c>
      <c r="L754" s="436"/>
      <c r="M754" s="436"/>
      <c r="N754" s="436"/>
      <c r="O754" s="437"/>
      <c r="P754" s="42"/>
      <c r="Q754" s="263"/>
      <c r="R754" s="262"/>
      <c r="S754" s="263"/>
    </row>
    <row r="755" spans="1:19" x14ac:dyDescent="0.25">
      <c r="E755" s="307" t="s">
        <v>135</v>
      </c>
      <c r="F755" s="438" t="s">
        <v>96</v>
      </c>
      <c r="G755" s="438"/>
      <c r="H755" s="359">
        <f>H749/((($E749*$B744)*(1-$B741))/$B739)</f>
        <v>9.8440026626741159E-2</v>
      </c>
      <c r="I755" s="359">
        <f>I749/((($E749*$B744)*(1-$B741))/$B739)</f>
        <v>4.6355917711083931E-2</v>
      </c>
      <c r="J755" s="359">
        <f>J749/((($E749*$B744)*(1-$B741))/$B739)</f>
        <v>4.9644323772968603E-2</v>
      </c>
      <c r="K755" s="359">
        <f t="shared" si="112"/>
        <v>0.19444026811079368</v>
      </c>
      <c r="L755" s="439"/>
      <c r="M755" s="439"/>
      <c r="N755" s="439"/>
      <c r="O755" s="440"/>
      <c r="P755" s="42"/>
      <c r="Q755" s="263"/>
      <c r="R755" s="262"/>
      <c r="S755" s="263"/>
    </row>
    <row r="757" spans="1:19" x14ac:dyDescent="0.25">
      <c r="A757" s="178"/>
      <c r="B757" s="178"/>
      <c r="C757" s="178"/>
      <c r="D757" s="178"/>
      <c r="E757" s="178"/>
      <c r="F757" s="178"/>
      <c r="G757" s="178"/>
      <c r="H757" s="178"/>
      <c r="I757" s="178"/>
      <c r="J757" s="178"/>
      <c r="K757" s="178"/>
      <c r="L757" s="178"/>
      <c r="M757" s="178"/>
      <c r="N757" s="178"/>
      <c r="O757" s="178"/>
      <c r="P757" s="136"/>
      <c r="Q757" s="233"/>
      <c r="R757" s="233"/>
      <c r="S757" s="233"/>
    </row>
    <row r="759" spans="1:19" ht="21" x14ac:dyDescent="0.25">
      <c r="A759" s="305"/>
      <c r="B759" s="644" t="s">
        <v>315</v>
      </c>
      <c r="C759" s="645"/>
      <c r="D759" s="645"/>
      <c r="E759" s="645"/>
      <c r="F759" s="645"/>
      <c r="G759" s="645"/>
      <c r="H759" s="645"/>
      <c r="I759" s="645"/>
      <c r="J759" s="645"/>
      <c r="K759" s="645"/>
      <c r="L759" s="645"/>
      <c r="M759" s="645"/>
      <c r="N759" s="645"/>
      <c r="O759" s="646"/>
      <c r="P759" s="135" t="s">
        <v>97</v>
      </c>
      <c r="Q759" s="678" t="s">
        <v>25</v>
      </c>
      <c r="R759" s="678"/>
      <c r="S759" s="678"/>
    </row>
    <row r="760" spans="1:19" ht="21" x14ac:dyDescent="0.25">
      <c r="A760" s="177" t="s">
        <v>285</v>
      </c>
      <c r="B760" s="647">
        <v>43903</v>
      </c>
      <c r="C760" s="648"/>
      <c r="D760" s="648"/>
      <c r="E760" s="648"/>
      <c r="F760" s="648"/>
      <c r="G760" s="648"/>
      <c r="H760" s="648"/>
      <c r="I760" s="648"/>
      <c r="J760" s="648"/>
      <c r="K760" s="648"/>
      <c r="L760" s="648"/>
      <c r="M760" s="648"/>
      <c r="N760" s="648"/>
      <c r="O760" s="649"/>
      <c r="P760" s="135"/>
      <c r="Q760" s="678"/>
      <c r="R760" s="678"/>
      <c r="S760" s="678"/>
    </row>
    <row r="761" spans="1:19" x14ac:dyDescent="0.25">
      <c r="A761" s="177"/>
      <c r="B761" s="650" t="s">
        <v>115</v>
      </c>
      <c r="C761" s="651"/>
      <c r="D761" s="651"/>
      <c r="E761" s="651"/>
      <c r="F761" s="651"/>
      <c r="G761" s="651"/>
      <c r="H761" s="651"/>
      <c r="I761" s="651"/>
      <c r="J761" s="651"/>
      <c r="K761" s="651"/>
      <c r="L761" s="651"/>
      <c r="M761" s="651"/>
      <c r="N761" s="651"/>
      <c r="O761" s="652"/>
      <c r="P761" s="135"/>
      <c r="Q761" s="678"/>
      <c r="R761" s="678"/>
      <c r="S761" s="678"/>
    </row>
    <row r="762" spans="1:19" x14ac:dyDescent="0.25">
      <c r="A762" s="177" t="s">
        <v>106</v>
      </c>
      <c r="B762" s="629">
        <f>11720/1000</f>
        <v>11.72</v>
      </c>
      <c r="C762" s="630"/>
      <c r="D762" s="630"/>
      <c r="E762" s="631"/>
      <c r="F762" s="365" t="s">
        <v>174</v>
      </c>
      <c r="G762" s="471"/>
      <c r="H762" s="668">
        <v>0</v>
      </c>
      <c r="I762" s="669"/>
      <c r="J762" s="669"/>
      <c r="K762" s="669"/>
      <c r="L762" s="670"/>
      <c r="M762" s="656">
        <f>SUM(B762,H763)</f>
        <v>11.72</v>
      </c>
      <c r="N762" s="630"/>
      <c r="O762" s="631"/>
      <c r="P762" s="135"/>
      <c r="Q762" s="678"/>
      <c r="R762" s="678"/>
      <c r="S762" s="678"/>
    </row>
    <row r="763" spans="1:19" ht="15.75" thickBot="1" x14ac:dyDescent="0.3">
      <c r="A763" s="177" t="s">
        <v>112</v>
      </c>
      <c r="B763" s="626">
        <v>0.13</v>
      </c>
      <c r="C763" s="627"/>
      <c r="D763" s="627"/>
      <c r="E763" s="628"/>
      <c r="F763" s="290"/>
      <c r="G763" s="472"/>
      <c r="H763" s="626">
        <v>0</v>
      </c>
      <c r="I763" s="627"/>
      <c r="J763" s="627"/>
      <c r="K763" s="627"/>
      <c r="L763" s="628"/>
      <c r="M763" s="657">
        <f>B763</f>
        <v>0.13</v>
      </c>
      <c r="N763" s="627"/>
      <c r="O763" s="628"/>
      <c r="P763" s="135"/>
      <c r="Q763" s="678"/>
      <c r="R763" s="678"/>
      <c r="S763" s="678"/>
    </row>
    <row r="764" spans="1:19" x14ac:dyDescent="0.25">
      <c r="A764" s="177" t="s">
        <v>107</v>
      </c>
      <c r="B764" s="629">
        <f>B762*(1-B763)</f>
        <v>10.196400000000001</v>
      </c>
      <c r="C764" s="630"/>
      <c r="D764" s="630"/>
      <c r="E764" s="631"/>
      <c r="F764" s="290"/>
      <c r="G764" s="472"/>
      <c r="H764" s="629">
        <f>H762*(1-H763)</f>
        <v>0</v>
      </c>
      <c r="I764" s="630"/>
      <c r="J764" s="630"/>
      <c r="K764" s="630"/>
      <c r="L764" s="631"/>
      <c r="M764" s="656">
        <f>SUM(B764,H764)</f>
        <v>10.196400000000001</v>
      </c>
      <c r="N764" s="630"/>
      <c r="O764" s="631"/>
      <c r="P764" s="135"/>
      <c r="Q764" s="240" t="s">
        <v>139</v>
      </c>
      <c r="R764" s="235" t="s">
        <v>140</v>
      </c>
      <c r="S764" s="284" t="s">
        <v>142</v>
      </c>
    </row>
    <row r="765" spans="1:19" ht="15.75" thickBot="1" x14ac:dyDescent="0.3">
      <c r="A765" s="177" t="s">
        <v>108</v>
      </c>
      <c r="B765" s="626">
        <f>B768/B764</f>
        <v>0.80718145620022752</v>
      </c>
      <c r="C765" s="627"/>
      <c r="D765" s="627"/>
      <c r="E765" s="627"/>
      <c r="F765" s="627"/>
      <c r="G765" s="627"/>
      <c r="H765" s="627"/>
      <c r="I765" s="627"/>
      <c r="J765" s="627"/>
      <c r="K765" s="627"/>
      <c r="L765" s="627"/>
      <c r="M765" s="627"/>
      <c r="N765" s="627"/>
      <c r="O765" s="628"/>
      <c r="P765" s="135"/>
      <c r="Q765" s="185"/>
      <c r="R765" s="183" t="s">
        <v>141</v>
      </c>
      <c r="S765" s="237"/>
    </row>
    <row r="766" spans="1:19" ht="15.75" thickBot="1" x14ac:dyDescent="0.3">
      <c r="A766" s="177" t="s">
        <v>113</v>
      </c>
      <c r="B766" s="629">
        <f>B770*(E774+E775)/1000</f>
        <v>26.549499999999998</v>
      </c>
      <c r="C766" s="630"/>
      <c r="D766" s="630"/>
      <c r="E766" s="630"/>
      <c r="F766" s="630"/>
      <c r="G766" s="630"/>
      <c r="H766" s="630"/>
      <c r="I766" s="630"/>
      <c r="J766" s="630"/>
      <c r="K766" s="630"/>
      <c r="L766" s="630"/>
      <c r="M766" s="630"/>
      <c r="N766" s="630"/>
      <c r="O766" s="631"/>
      <c r="P766" s="135"/>
      <c r="Q766" s="238" t="s">
        <v>143</v>
      </c>
      <c r="R766" s="183">
        <v>1.5</v>
      </c>
      <c r="S766" s="181" t="s">
        <v>296</v>
      </c>
    </row>
    <row r="767" spans="1:19" ht="15.75" thickBot="1" x14ac:dyDescent="0.3">
      <c r="A767" s="177" t="s">
        <v>109</v>
      </c>
      <c r="B767" s="626">
        <v>0.69</v>
      </c>
      <c r="C767" s="627"/>
      <c r="D767" s="627"/>
      <c r="E767" s="627"/>
      <c r="F767" s="627"/>
      <c r="G767" s="627"/>
      <c r="H767" s="627"/>
      <c r="I767" s="627"/>
      <c r="J767" s="627"/>
      <c r="K767" s="627"/>
      <c r="L767" s="627"/>
      <c r="M767" s="627"/>
      <c r="N767" s="627"/>
      <c r="O767" s="628"/>
      <c r="P767" s="135"/>
      <c r="Q767" s="238" t="s">
        <v>145</v>
      </c>
      <c r="R767" s="183">
        <v>5</v>
      </c>
      <c r="S767" s="184" t="s">
        <v>362</v>
      </c>
    </row>
    <row r="768" spans="1:19" ht="15.75" thickBot="1" x14ac:dyDescent="0.3">
      <c r="A768" s="177" t="s">
        <v>122</v>
      </c>
      <c r="B768" s="629">
        <f>B766-(B766*B767)</f>
        <v>8.2303449999999998</v>
      </c>
      <c r="C768" s="630"/>
      <c r="D768" s="630"/>
      <c r="E768" s="630"/>
      <c r="F768" s="630"/>
      <c r="G768" s="630"/>
      <c r="H768" s="630"/>
      <c r="I768" s="630"/>
      <c r="J768" s="630"/>
      <c r="K768" s="630"/>
      <c r="L768" s="630"/>
      <c r="M768" s="630"/>
      <c r="N768" s="630"/>
      <c r="O768" s="631"/>
      <c r="P768" s="135"/>
      <c r="Q768" s="238" t="s">
        <v>147</v>
      </c>
      <c r="R768" s="183">
        <v>4</v>
      </c>
      <c r="S768" s="184" t="s">
        <v>148</v>
      </c>
    </row>
    <row r="769" spans="1:19" x14ac:dyDescent="0.25">
      <c r="A769" s="177" t="s">
        <v>110</v>
      </c>
      <c r="B769" s="632">
        <v>123</v>
      </c>
      <c r="C769" s="633"/>
      <c r="D769" s="633"/>
      <c r="E769" s="633"/>
      <c r="F769" s="633"/>
      <c r="G769" s="633"/>
      <c r="H769" s="633"/>
      <c r="I769" s="633"/>
      <c r="J769" s="633"/>
      <c r="K769" s="633"/>
      <c r="L769" s="633"/>
      <c r="M769" s="633"/>
      <c r="N769" s="633"/>
      <c r="O769" s="634"/>
      <c r="P769" s="135"/>
      <c r="Q769" s="239" t="s">
        <v>149</v>
      </c>
      <c r="R769" s="240">
        <v>9</v>
      </c>
      <c r="S769" s="241" t="s">
        <v>312</v>
      </c>
    </row>
    <row r="770" spans="1:19" ht="15.75" thickBot="1" x14ac:dyDescent="0.3">
      <c r="A770" s="177" t="s">
        <v>111</v>
      </c>
      <c r="B770" s="635">
        <v>14.5</v>
      </c>
      <c r="C770" s="636"/>
      <c r="D770" s="636"/>
      <c r="E770" s="636"/>
      <c r="F770" s="636"/>
      <c r="G770" s="636"/>
      <c r="H770" s="636"/>
      <c r="I770" s="636"/>
      <c r="J770" s="636"/>
      <c r="K770" s="636"/>
      <c r="L770" s="636"/>
      <c r="M770" s="636"/>
      <c r="N770" s="636"/>
      <c r="O770" s="637"/>
      <c r="P770" s="135"/>
      <c r="Q770" s="238" t="s">
        <v>150</v>
      </c>
      <c r="R770" s="185"/>
      <c r="S770" s="242"/>
    </row>
    <row r="771" spans="1:19" ht="15.75" thickBot="1" x14ac:dyDescent="0.3">
      <c r="A771" s="177" t="s">
        <v>273</v>
      </c>
      <c r="B771" s="638"/>
      <c r="C771" s="638"/>
      <c r="D771" s="638"/>
      <c r="E771" s="638"/>
      <c r="F771" s="638"/>
      <c r="G771" s="638"/>
      <c r="H771" s="638"/>
      <c r="I771" s="638"/>
      <c r="J771" s="638"/>
      <c r="K771" s="638"/>
      <c r="L771" s="638"/>
      <c r="M771" s="638"/>
      <c r="N771" s="638"/>
      <c r="O771" s="639"/>
      <c r="P771" s="135"/>
      <c r="Q771" s="238" t="s">
        <v>152</v>
      </c>
      <c r="R771" s="183">
        <v>5</v>
      </c>
      <c r="S771" s="184" t="s">
        <v>319</v>
      </c>
    </row>
    <row r="772" spans="1:19" ht="15.75" thickBot="1" x14ac:dyDescent="0.3">
      <c r="A772" s="177" t="s">
        <v>305</v>
      </c>
      <c r="B772" s="431"/>
      <c r="C772" s="431"/>
      <c r="D772" s="431"/>
      <c r="E772" s="431"/>
      <c r="F772" s="431"/>
      <c r="G772" s="431"/>
      <c r="H772" s="431"/>
      <c r="I772" s="431"/>
      <c r="J772" s="431"/>
      <c r="K772" s="431"/>
      <c r="L772" s="431"/>
      <c r="M772" s="431"/>
      <c r="N772" s="431"/>
      <c r="O772" s="432"/>
      <c r="P772" s="135"/>
      <c r="Q772" s="238" t="s">
        <v>154</v>
      </c>
      <c r="R772" s="183">
        <v>8</v>
      </c>
      <c r="S772" s="181" t="s">
        <v>267</v>
      </c>
    </row>
    <row r="773" spans="1:19" ht="29.25" thickBot="1" x14ac:dyDescent="0.3">
      <c r="E773" s="307" t="s">
        <v>98</v>
      </c>
      <c r="F773" s="365" t="s">
        <v>102</v>
      </c>
      <c r="G773" s="365"/>
      <c r="H773" s="365" t="s">
        <v>92</v>
      </c>
      <c r="I773" s="365" t="s">
        <v>93</v>
      </c>
      <c r="J773" s="365" t="s">
        <v>94</v>
      </c>
      <c r="K773" s="359" t="s">
        <v>99</v>
      </c>
      <c r="L773" s="433"/>
      <c r="M773" s="433"/>
      <c r="N773" s="433"/>
      <c r="O773" s="434"/>
      <c r="P773" s="135"/>
      <c r="Q773" s="238" t="s">
        <v>156</v>
      </c>
      <c r="R773" s="183">
        <v>4</v>
      </c>
      <c r="S773" s="181" t="s">
        <v>375</v>
      </c>
    </row>
    <row r="774" spans="1:19" ht="15.75" thickBot="1" x14ac:dyDescent="0.3">
      <c r="E774" s="308">
        <v>1681</v>
      </c>
      <c r="F774" s="365" t="s">
        <v>95</v>
      </c>
      <c r="G774" s="365"/>
      <c r="H774" s="441">
        <v>1026.4000000000001</v>
      </c>
      <c r="I774" s="435">
        <v>419.3</v>
      </c>
      <c r="J774" s="435">
        <v>347.9</v>
      </c>
      <c r="K774" s="359">
        <f>SUM(H774:J774)</f>
        <v>1793.6</v>
      </c>
      <c r="L774" s="436"/>
      <c r="M774" s="436"/>
      <c r="N774" s="436"/>
      <c r="O774" s="437"/>
      <c r="P774" s="135"/>
      <c r="Q774" s="238" t="s">
        <v>158</v>
      </c>
      <c r="R774" s="183">
        <v>5</v>
      </c>
      <c r="S774" s="181"/>
    </row>
    <row r="775" spans="1:19" ht="15.75" thickBot="1" x14ac:dyDescent="0.3">
      <c r="E775" s="308">
        <v>150</v>
      </c>
      <c r="F775" s="365" t="s">
        <v>96</v>
      </c>
      <c r="G775" s="365"/>
      <c r="H775" s="441">
        <v>102.4</v>
      </c>
      <c r="I775" s="435">
        <v>8</v>
      </c>
      <c r="J775" s="435">
        <v>85.8</v>
      </c>
      <c r="K775" s="359">
        <f t="shared" ref="K775:K781" si="114">SUM(H775:J775)</f>
        <v>196.2</v>
      </c>
      <c r="L775" s="436"/>
      <c r="M775" s="436"/>
      <c r="N775" s="436"/>
      <c r="O775" s="437"/>
      <c r="P775" s="135"/>
      <c r="Q775" s="185" t="s">
        <v>99</v>
      </c>
      <c r="R775" s="183" t="s">
        <v>379</v>
      </c>
      <c r="S775" s="265">
        <v>0.59</v>
      </c>
    </row>
    <row r="776" spans="1:19" x14ac:dyDescent="0.25">
      <c r="E776" s="307" t="s">
        <v>100</v>
      </c>
      <c r="F776" s="365" t="s">
        <v>95</v>
      </c>
      <c r="G776" s="365"/>
      <c r="H776" s="444">
        <f t="shared" ref="H776:J777" si="115">H774/$E774</f>
        <v>0.61058893515764434</v>
      </c>
      <c r="I776" s="429">
        <f t="shared" si="115"/>
        <v>0.24943486020226058</v>
      </c>
      <c r="J776" s="429">
        <f t="shared" si="115"/>
        <v>0.20696014277215941</v>
      </c>
      <c r="K776" s="374">
        <f t="shared" si="114"/>
        <v>1.0669839381320643</v>
      </c>
      <c r="L776" s="436"/>
      <c r="M776" s="436"/>
      <c r="N776" s="436"/>
      <c r="O776" s="437"/>
      <c r="P776" s="135"/>
    </row>
    <row r="777" spans="1:19" x14ac:dyDescent="0.25">
      <c r="E777" s="307" t="s">
        <v>100</v>
      </c>
      <c r="F777" s="438" t="s">
        <v>96</v>
      </c>
      <c r="G777" s="438"/>
      <c r="H777" s="359">
        <f t="shared" si="115"/>
        <v>0.68266666666666675</v>
      </c>
      <c r="I777" s="359">
        <f t="shared" si="115"/>
        <v>5.3333333333333337E-2</v>
      </c>
      <c r="J777" s="359">
        <f t="shared" si="115"/>
        <v>0.57199999999999995</v>
      </c>
      <c r="K777" s="359">
        <f t="shared" si="114"/>
        <v>1.3080000000000001</v>
      </c>
      <c r="L777" s="436"/>
      <c r="M777" s="436"/>
      <c r="N777" s="436"/>
      <c r="O777" s="437"/>
      <c r="P777" s="135"/>
      <c r="Q777" s="262"/>
      <c r="R777" s="262"/>
      <c r="S777" s="262"/>
    </row>
    <row r="778" spans="1:19" x14ac:dyDescent="0.25">
      <c r="E778" s="307" t="s">
        <v>104</v>
      </c>
      <c r="F778" s="365" t="s">
        <v>95</v>
      </c>
      <c r="G778" s="365"/>
      <c r="H778" s="359">
        <f>H774/($E774/7.7)</f>
        <v>4.7015348007138611</v>
      </c>
      <c r="I778" s="359">
        <f>I774/($E774/7)</f>
        <v>1.7460440214158239</v>
      </c>
      <c r="J778" s="359">
        <f>J774/($E774/7)</f>
        <v>1.448720999405116</v>
      </c>
      <c r="K778" s="359">
        <f t="shared" si="114"/>
        <v>7.896299821534801</v>
      </c>
      <c r="L778" s="436"/>
      <c r="M778" s="436"/>
      <c r="N778" s="436"/>
      <c r="O778" s="437"/>
      <c r="P778" s="135"/>
      <c r="Q778" s="262"/>
      <c r="R778" s="262"/>
      <c r="S778" s="262"/>
    </row>
    <row r="779" spans="1:19" x14ac:dyDescent="0.25">
      <c r="E779" s="307" t="s">
        <v>104</v>
      </c>
      <c r="F779" s="438" t="s">
        <v>96</v>
      </c>
      <c r="G779" s="438"/>
      <c r="H779" s="359">
        <f>H775/($E775/7.7)</f>
        <v>5.2565333333333335</v>
      </c>
      <c r="I779" s="359">
        <f>I775/($E775/7.7)</f>
        <v>0.41066666666666668</v>
      </c>
      <c r="J779" s="359">
        <f>J775/($E775/7.7)</f>
        <v>4.4043999999999999</v>
      </c>
      <c r="K779" s="359">
        <f t="shared" si="114"/>
        <v>10.0716</v>
      </c>
      <c r="L779" s="436"/>
      <c r="M779" s="436"/>
      <c r="N779" s="436"/>
      <c r="O779" s="437"/>
      <c r="P779" s="135"/>
      <c r="Q779" s="262"/>
      <c r="R779" s="262"/>
      <c r="S779" s="262"/>
    </row>
    <row r="780" spans="1:19" x14ac:dyDescent="0.25">
      <c r="E780" s="307" t="s">
        <v>135</v>
      </c>
      <c r="F780" s="365" t="s">
        <v>95</v>
      </c>
      <c r="G780" s="365"/>
      <c r="H780" s="359">
        <f>H774/((($E774*$B770)*(1-$B767))/$B765)</f>
        <v>0.10964539840273495</v>
      </c>
      <c r="I780" s="359">
        <f>I774/((($E774*$B770)*(1-$B767))/$B765)</f>
        <v>4.4791811720836669E-2</v>
      </c>
      <c r="J780" s="359">
        <f>J774/((($E774*$B770)*(1-$B767))/$B765)</f>
        <v>3.7164491527972993E-2</v>
      </c>
      <c r="K780" s="359">
        <f t="shared" si="114"/>
        <v>0.19160170165154461</v>
      </c>
      <c r="L780" s="436"/>
      <c r="M780" s="436"/>
      <c r="N780" s="436"/>
      <c r="O780" s="437"/>
      <c r="P780" s="42"/>
      <c r="Q780" s="263"/>
      <c r="R780" s="262"/>
      <c r="S780" s="263"/>
    </row>
    <row r="781" spans="1:19" x14ac:dyDescent="0.25">
      <c r="E781" s="307" t="s">
        <v>135</v>
      </c>
      <c r="F781" s="438" t="s">
        <v>96</v>
      </c>
      <c r="G781" s="438"/>
      <c r="H781" s="359">
        <f>H775/((($E775*$B770)*(1-$B767))/$B765)</f>
        <v>0.12258862605102452</v>
      </c>
      <c r="I781" s="359">
        <f>I775/((($E775*$B770)*(1-$B767))/$B765)</f>
        <v>9.5772364102362905E-3</v>
      </c>
      <c r="J781" s="359">
        <f>J775/((($E775*$B770)*(1-$B767))/$B765)</f>
        <v>0.10271586049978422</v>
      </c>
      <c r="K781" s="359">
        <f t="shared" si="114"/>
        <v>0.23488172296104504</v>
      </c>
      <c r="L781" s="439"/>
      <c r="M781" s="439"/>
      <c r="N781" s="439"/>
      <c r="O781" s="440"/>
      <c r="P781" s="42"/>
      <c r="Q781" s="263"/>
      <c r="R781" s="262"/>
      <c r="S781" s="263"/>
    </row>
    <row r="782" spans="1:19" ht="21" x14ac:dyDescent="0.35">
      <c r="A782" s="305"/>
      <c r="B782" s="664" t="s">
        <v>316</v>
      </c>
      <c r="C782" s="665"/>
      <c r="D782" s="665"/>
      <c r="E782" s="665"/>
      <c r="F782" s="665"/>
      <c r="G782" s="665"/>
      <c r="H782" s="665"/>
      <c r="I782" s="665"/>
      <c r="J782" s="665"/>
      <c r="K782" s="665"/>
      <c r="L782" s="665"/>
      <c r="M782" s="665"/>
      <c r="N782" s="665"/>
      <c r="O782" s="666"/>
      <c r="Q782" s="790" t="s">
        <v>126</v>
      </c>
      <c r="R782" s="791"/>
      <c r="S782" s="791"/>
    </row>
    <row r="783" spans="1:19" ht="21" x14ac:dyDescent="0.35">
      <c r="A783" s="177" t="s">
        <v>285</v>
      </c>
      <c r="B783" s="667">
        <v>43910</v>
      </c>
      <c r="C783" s="665"/>
      <c r="D783" s="665"/>
      <c r="E783" s="665"/>
      <c r="F783" s="665"/>
      <c r="G783" s="665"/>
      <c r="H783" s="665"/>
      <c r="I783" s="665"/>
      <c r="J783" s="665"/>
      <c r="K783" s="665"/>
      <c r="L783" s="665"/>
      <c r="M783" s="665"/>
      <c r="N783" s="665"/>
      <c r="O783" s="666"/>
      <c r="Q783" s="790"/>
      <c r="R783" s="791"/>
      <c r="S783" s="791"/>
    </row>
    <row r="784" spans="1:19" x14ac:dyDescent="0.25">
      <c r="A784" s="177"/>
      <c r="B784" s="590" t="s">
        <v>115</v>
      </c>
      <c r="C784" s="665"/>
      <c r="D784" s="665"/>
      <c r="E784" s="665"/>
      <c r="F784" s="665"/>
      <c r="G784" s="665"/>
      <c r="H784" s="665"/>
      <c r="I784" s="665"/>
      <c r="J784" s="665"/>
      <c r="K784" s="665"/>
      <c r="L784" s="665"/>
      <c r="M784" s="665"/>
      <c r="N784" s="665"/>
      <c r="O784" s="666"/>
      <c r="Q784" s="790"/>
      <c r="R784" s="791"/>
      <c r="S784" s="791"/>
    </row>
    <row r="785" spans="1:19" x14ac:dyDescent="0.25">
      <c r="A785" s="177" t="s">
        <v>106</v>
      </c>
      <c r="B785" s="629">
        <f>12018/1000</f>
        <v>12.018000000000001</v>
      </c>
      <c r="C785" s="630"/>
      <c r="D785" s="630"/>
      <c r="E785" s="631"/>
      <c r="F785" s="365" t="s">
        <v>174</v>
      </c>
      <c r="G785" s="365"/>
      <c r="H785" s="668">
        <v>0</v>
      </c>
      <c r="I785" s="669"/>
      <c r="J785" s="669"/>
      <c r="K785" s="669"/>
      <c r="L785" s="670"/>
      <c r="M785" s="656">
        <f>SUM(B785,H786)</f>
        <v>12.018000000000001</v>
      </c>
      <c r="N785" s="630"/>
      <c r="O785" s="631"/>
      <c r="Q785" s="790"/>
      <c r="R785" s="791"/>
      <c r="S785" s="791"/>
    </row>
    <row r="786" spans="1:19" ht="15.75" thickBot="1" x14ac:dyDescent="0.3">
      <c r="A786" s="177" t="s">
        <v>112</v>
      </c>
      <c r="B786" s="626">
        <v>0.13</v>
      </c>
      <c r="C786" s="627"/>
      <c r="D786" s="627"/>
      <c r="E786" s="628"/>
      <c r="F786" s="290"/>
      <c r="G786" s="290"/>
      <c r="H786" s="626">
        <v>0</v>
      </c>
      <c r="I786" s="627"/>
      <c r="J786" s="627"/>
      <c r="K786" s="627"/>
      <c r="L786" s="628"/>
      <c r="M786" s="657">
        <f>B786</f>
        <v>0.13</v>
      </c>
      <c r="N786" s="627"/>
      <c r="O786" s="628"/>
      <c r="Q786" s="792"/>
      <c r="R786" s="793"/>
      <c r="S786" s="793"/>
    </row>
    <row r="787" spans="1:19" ht="15" customHeight="1" x14ac:dyDescent="0.25">
      <c r="A787" s="177" t="s">
        <v>107</v>
      </c>
      <c r="B787" s="629">
        <f>B785*(1-B786)</f>
        <v>10.45566</v>
      </c>
      <c r="C787" s="630"/>
      <c r="D787" s="630"/>
      <c r="E787" s="631"/>
      <c r="F787" s="290"/>
      <c r="G787" s="290"/>
      <c r="H787" s="629">
        <f>H785*(1-H786)</f>
        <v>0</v>
      </c>
      <c r="I787" s="630"/>
      <c r="J787" s="630"/>
      <c r="K787" s="630"/>
      <c r="L787" s="631"/>
      <c r="M787" s="656">
        <f>SUM(B787,H787)</f>
        <v>10.45566</v>
      </c>
      <c r="N787" s="630"/>
      <c r="O787" s="631"/>
      <c r="Q787" s="683" t="s">
        <v>139</v>
      </c>
      <c r="R787" s="266" t="s">
        <v>140</v>
      </c>
      <c r="S787" s="684" t="s">
        <v>142</v>
      </c>
    </row>
    <row r="788" spans="1:19" ht="15" customHeight="1" thickBot="1" x14ac:dyDescent="0.3">
      <c r="A788" s="177" t="s">
        <v>108</v>
      </c>
      <c r="B788" s="626">
        <f>B791/B787</f>
        <v>0.68328541670253251</v>
      </c>
      <c r="C788" s="627"/>
      <c r="D788" s="627"/>
      <c r="E788" s="627"/>
      <c r="F788" s="627"/>
      <c r="G788" s="627"/>
      <c r="H788" s="627"/>
      <c r="I788" s="627"/>
      <c r="J788" s="627"/>
      <c r="K788" s="627"/>
      <c r="L788" s="627"/>
      <c r="M788" s="627"/>
      <c r="N788" s="627"/>
      <c r="O788" s="628"/>
      <c r="Q788" s="672"/>
      <c r="R788" s="183" t="s">
        <v>141</v>
      </c>
      <c r="S788" s="680"/>
    </row>
    <row r="789" spans="1:19" ht="15.75" thickBot="1" x14ac:dyDescent="0.3">
      <c r="A789" s="177" t="s">
        <v>113</v>
      </c>
      <c r="B789" s="629">
        <f>B793*(E797+E798)/1000</f>
        <v>23.814</v>
      </c>
      <c r="C789" s="630"/>
      <c r="D789" s="630"/>
      <c r="E789" s="630"/>
      <c r="F789" s="630"/>
      <c r="G789" s="630"/>
      <c r="H789" s="630"/>
      <c r="I789" s="630"/>
      <c r="J789" s="630"/>
      <c r="K789" s="630"/>
      <c r="L789" s="630"/>
      <c r="M789" s="630"/>
      <c r="N789" s="630"/>
      <c r="O789" s="631"/>
      <c r="Q789" s="238" t="s">
        <v>143</v>
      </c>
      <c r="R789" s="183">
        <v>2.2999999999999998</v>
      </c>
      <c r="S789" s="181" t="s">
        <v>296</v>
      </c>
    </row>
    <row r="790" spans="1:19" ht="15.75" thickBot="1" x14ac:dyDescent="0.3">
      <c r="A790" s="177" t="s">
        <v>109</v>
      </c>
      <c r="B790" s="626">
        <v>0.7</v>
      </c>
      <c r="C790" s="627"/>
      <c r="D790" s="627"/>
      <c r="E790" s="627"/>
      <c r="F790" s="627"/>
      <c r="G790" s="627"/>
      <c r="H790" s="627"/>
      <c r="I790" s="627"/>
      <c r="J790" s="627"/>
      <c r="K790" s="627"/>
      <c r="L790" s="627"/>
      <c r="M790" s="627"/>
      <c r="N790" s="627"/>
      <c r="O790" s="628"/>
      <c r="Q790" s="238" t="s">
        <v>145</v>
      </c>
      <c r="R790" s="183">
        <v>5</v>
      </c>
      <c r="S790" s="184" t="s">
        <v>311</v>
      </c>
    </row>
    <row r="791" spans="1:19" ht="15.75" thickBot="1" x14ac:dyDescent="0.3">
      <c r="A791" s="177" t="s">
        <v>122</v>
      </c>
      <c r="B791" s="629">
        <f>B789-(B789*B790)</f>
        <v>7.1442000000000014</v>
      </c>
      <c r="C791" s="630"/>
      <c r="D791" s="630"/>
      <c r="E791" s="630"/>
      <c r="F791" s="630"/>
      <c r="G791" s="630"/>
      <c r="H791" s="630"/>
      <c r="I791" s="630"/>
      <c r="J791" s="630"/>
      <c r="K791" s="630"/>
      <c r="L791" s="630"/>
      <c r="M791" s="630"/>
      <c r="N791" s="630"/>
      <c r="O791" s="631"/>
      <c r="Q791" s="238" t="s">
        <v>147</v>
      </c>
      <c r="R791" s="183">
        <v>5</v>
      </c>
      <c r="S791" s="184" t="s">
        <v>148</v>
      </c>
    </row>
    <row r="792" spans="1:19" ht="15" customHeight="1" x14ac:dyDescent="0.25">
      <c r="A792" s="177" t="s">
        <v>110</v>
      </c>
      <c r="B792" s="632">
        <v>121</v>
      </c>
      <c r="C792" s="633"/>
      <c r="D792" s="633"/>
      <c r="E792" s="633"/>
      <c r="F792" s="633"/>
      <c r="G792" s="633"/>
      <c r="H792" s="633"/>
      <c r="I792" s="633"/>
      <c r="J792" s="633"/>
      <c r="K792" s="633"/>
      <c r="L792" s="633"/>
      <c r="M792" s="633"/>
      <c r="N792" s="633"/>
      <c r="O792" s="634"/>
      <c r="Q792" s="239" t="s">
        <v>149</v>
      </c>
      <c r="R792" s="683">
        <v>8</v>
      </c>
      <c r="S792" s="779" t="s">
        <v>312</v>
      </c>
    </row>
    <row r="793" spans="1:19" ht="16.5" customHeight="1" thickBot="1" x14ac:dyDescent="0.3">
      <c r="A793" s="177" t="s">
        <v>111</v>
      </c>
      <c r="B793" s="635">
        <v>14</v>
      </c>
      <c r="C793" s="636"/>
      <c r="D793" s="636"/>
      <c r="E793" s="636"/>
      <c r="F793" s="636"/>
      <c r="G793" s="636"/>
      <c r="H793" s="636"/>
      <c r="I793" s="636"/>
      <c r="J793" s="636"/>
      <c r="K793" s="636"/>
      <c r="L793" s="636"/>
      <c r="M793" s="636"/>
      <c r="N793" s="636"/>
      <c r="O793" s="637"/>
      <c r="Q793" s="238" t="s">
        <v>150</v>
      </c>
      <c r="R793" s="672"/>
      <c r="S793" s="674"/>
    </row>
    <row r="794" spans="1:19" ht="12" customHeight="1" thickBot="1" x14ac:dyDescent="0.3">
      <c r="A794" s="177" t="s">
        <v>273</v>
      </c>
      <c r="B794" s="638"/>
      <c r="C794" s="638"/>
      <c r="D794" s="638"/>
      <c r="E794" s="638"/>
      <c r="F794" s="638"/>
      <c r="G794" s="638"/>
      <c r="H794" s="638"/>
      <c r="I794" s="638"/>
      <c r="J794" s="638"/>
      <c r="K794" s="638"/>
      <c r="L794" s="638"/>
      <c r="M794" s="638"/>
      <c r="N794" s="638"/>
      <c r="O794" s="639"/>
      <c r="Q794" s="238" t="s">
        <v>152</v>
      </c>
      <c r="R794" s="183">
        <v>5.5</v>
      </c>
      <c r="S794" s="184" t="s">
        <v>319</v>
      </c>
    </row>
    <row r="795" spans="1:19" ht="15.75" thickBot="1" x14ac:dyDescent="0.3">
      <c r="A795" s="177" t="s">
        <v>305</v>
      </c>
      <c r="B795" s="431"/>
      <c r="C795" s="431"/>
      <c r="D795" s="431"/>
      <c r="E795" s="431"/>
      <c r="F795" s="431"/>
      <c r="G795" s="431"/>
      <c r="H795" s="431"/>
      <c r="I795" s="431"/>
      <c r="J795" s="431"/>
      <c r="K795" s="431"/>
      <c r="L795" s="431"/>
      <c r="M795" s="431"/>
      <c r="N795" s="431"/>
      <c r="O795" s="132"/>
      <c r="Q795" s="238" t="s">
        <v>154</v>
      </c>
      <c r="R795" s="183">
        <v>8</v>
      </c>
      <c r="S795" s="181" t="s">
        <v>267</v>
      </c>
    </row>
    <row r="796" spans="1:19" ht="15.75" thickBot="1" x14ac:dyDescent="0.3">
      <c r="E796" s="307" t="s">
        <v>98</v>
      </c>
      <c r="F796" s="367"/>
      <c r="G796" s="365" t="s">
        <v>102</v>
      </c>
      <c r="H796" s="365" t="s">
        <v>92</v>
      </c>
      <c r="I796" s="365" t="s">
        <v>93</v>
      </c>
      <c r="J796" s="365" t="s">
        <v>94</v>
      </c>
      <c r="K796" s="359" t="s">
        <v>99</v>
      </c>
      <c r="M796" s="433"/>
      <c r="N796" s="433"/>
      <c r="O796" s="433"/>
      <c r="P796" s="127"/>
      <c r="Q796" s="238" t="s">
        <v>156</v>
      </c>
      <c r="R796" s="183">
        <v>8</v>
      </c>
      <c r="S796" s="181" t="s">
        <v>84</v>
      </c>
    </row>
    <row r="797" spans="1:19" ht="15.75" thickBot="1" x14ac:dyDescent="0.3">
      <c r="E797" s="308">
        <v>1550</v>
      </c>
      <c r="F797" s="370"/>
      <c r="G797" s="365" t="s">
        <v>95</v>
      </c>
      <c r="H797" s="441">
        <v>1087.0999999999999</v>
      </c>
      <c r="I797" s="435">
        <v>532.16</v>
      </c>
      <c r="J797" s="435">
        <v>362.7</v>
      </c>
      <c r="K797" s="359">
        <f>SUM(H797:J797)</f>
        <v>1981.9599999999998</v>
      </c>
      <c r="M797" s="436"/>
      <c r="N797" s="436"/>
      <c r="O797" s="436"/>
      <c r="P797" s="128"/>
      <c r="Q797" s="238" t="s">
        <v>158</v>
      </c>
      <c r="R797" s="183"/>
      <c r="S797" s="181"/>
    </row>
    <row r="798" spans="1:19" ht="15.75" thickBot="1" x14ac:dyDescent="0.3">
      <c r="E798" s="308">
        <v>151</v>
      </c>
      <c r="F798" s="370"/>
      <c r="G798" s="365" t="s">
        <v>96</v>
      </c>
      <c r="H798" s="441">
        <v>66.3</v>
      </c>
      <c r="I798" s="435">
        <v>33.28</v>
      </c>
      <c r="J798" s="435">
        <v>59.24</v>
      </c>
      <c r="K798" s="359">
        <f t="shared" ref="K798:K804" si="116">SUM(H798:J798)</f>
        <v>158.82</v>
      </c>
      <c r="M798" s="436"/>
      <c r="N798" s="436"/>
      <c r="O798" s="436"/>
      <c r="P798" s="128"/>
      <c r="Q798" s="185" t="s">
        <v>99</v>
      </c>
      <c r="R798" s="183" t="s">
        <v>525</v>
      </c>
      <c r="S798" s="265">
        <v>0.59</v>
      </c>
    </row>
    <row r="799" spans="1:19" x14ac:dyDescent="0.25">
      <c r="E799" s="307" t="s">
        <v>100</v>
      </c>
      <c r="F799" s="367"/>
      <c r="G799" s="365" t="s">
        <v>95</v>
      </c>
      <c r="H799" s="444">
        <f t="shared" ref="H799:J800" si="117">H797/$E797</f>
        <v>0.70135483870967741</v>
      </c>
      <c r="I799" s="444">
        <f t="shared" si="117"/>
        <v>0.34332903225806449</v>
      </c>
      <c r="J799" s="444">
        <f t="shared" si="117"/>
        <v>0.23399999999999999</v>
      </c>
      <c r="K799" s="374">
        <f t="shared" si="116"/>
        <v>1.2786838709677419</v>
      </c>
      <c r="M799" s="436"/>
      <c r="N799" s="436"/>
      <c r="O799" s="436"/>
      <c r="P799" s="128"/>
      <c r="Q799" s="262"/>
      <c r="R799" s="267"/>
      <c r="S799" s="268"/>
    </row>
    <row r="800" spans="1:19" x14ac:dyDescent="0.25">
      <c r="E800" s="307" t="s">
        <v>100</v>
      </c>
      <c r="F800" s="367"/>
      <c r="G800" s="438" t="s">
        <v>96</v>
      </c>
      <c r="H800" s="359">
        <f t="shared" si="117"/>
        <v>0.43907284768211918</v>
      </c>
      <c r="I800" s="359">
        <f t="shared" si="117"/>
        <v>0.22039735099337748</v>
      </c>
      <c r="J800" s="359">
        <f t="shared" si="117"/>
        <v>0.39231788079470198</v>
      </c>
      <c r="K800" s="359">
        <f t="shared" si="116"/>
        <v>1.0517880794701986</v>
      </c>
      <c r="M800" s="436"/>
      <c r="N800" s="436"/>
      <c r="O800" s="436"/>
      <c r="P800" s="128"/>
      <c r="Q800" s="262"/>
      <c r="R800" s="262"/>
      <c r="S800" s="262"/>
    </row>
    <row r="801" spans="1:19" x14ac:dyDescent="0.25">
      <c r="E801" s="307" t="s">
        <v>104</v>
      </c>
      <c r="F801" s="367"/>
      <c r="G801" s="365" t="s">
        <v>95</v>
      </c>
      <c r="H801" s="359">
        <f t="shared" ref="H801:J802" si="118">H797/($E797/7.7)</f>
        <v>5.4004322580645159</v>
      </c>
      <c r="I801" s="359">
        <f t="shared" si="118"/>
        <v>2.6436335483870965</v>
      </c>
      <c r="J801" s="359">
        <f t="shared" si="118"/>
        <v>1.8017999999999998</v>
      </c>
      <c r="K801" s="359">
        <f t="shared" si="116"/>
        <v>9.8458658064516129</v>
      </c>
      <c r="M801" s="436"/>
      <c r="N801" s="436"/>
      <c r="O801" s="436"/>
      <c r="P801" s="128"/>
      <c r="Q801" s="262"/>
      <c r="R801" s="262"/>
      <c r="S801" s="262"/>
    </row>
    <row r="802" spans="1:19" x14ac:dyDescent="0.25">
      <c r="E802" s="307" t="s">
        <v>104</v>
      </c>
      <c r="F802" s="367"/>
      <c r="G802" s="438" t="s">
        <v>96</v>
      </c>
      <c r="H802" s="359">
        <f t="shared" si="118"/>
        <v>3.3808609271523178</v>
      </c>
      <c r="I802" s="359">
        <f t="shared" si="118"/>
        <v>1.6970596026490066</v>
      </c>
      <c r="J802" s="359">
        <f t="shared" si="118"/>
        <v>3.0208476821192054</v>
      </c>
      <c r="K802" s="359">
        <f t="shared" si="116"/>
        <v>8.0987682119205289</v>
      </c>
      <c r="M802" s="436"/>
      <c r="N802" s="436"/>
      <c r="O802" s="436"/>
      <c r="P802" s="128"/>
      <c r="Q802" s="262"/>
      <c r="R802" s="262"/>
      <c r="S802" s="262"/>
    </row>
    <row r="803" spans="1:19" x14ac:dyDescent="0.25">
      <c r="E803" s="307" t="s">
        <v>135</v>
      </c>
      <c r="F803" s="367"/>
      <c r="G803" s="365" t="s">
        <v>95</v>
      </c>
      <c r="H803" s="359">
        <f>H797/((($E797*$B793)*(1-$B790))/$B788)</f>
        <v>0.1141013174343046</v>
      </c>
      <c r="I803" s="359">
        <f>I797/((($E797*$B793)*(1-$B790))/$B788)</f>
        <v>5.5855171636316377E-2</v>
      </c>
      <c r="J803" s="359">
        <f>J797/((($E797*$B793)*(1-$B790))/$B788)</f>
        <v>3.8068758930569664E-2</v>
      </c>
      <c r="K803" s="359">
        <f t="shared" si="116"/>
        <v>0.20802524800119063</v>
      </c>
      <c r="M803" s="436"/>
      <c r="N803" s="436"/>
      <c r="O803" s="436"/>
      <c r="P803" s="128"/>
      <c r="Q803" s="263"/>
      <c r="R803" s="262"/>
      <c r="S803" s="263"/>
    </row>
    <row r="804" spans="1:19" x14ac:dyDescent="0.25">
      <c r="E804" s="307" t="s">
        <v>135</v>
      </c>
      <c r="F804" s="367"/>
      <c r="G804" s="438" t="s">
        <v>96</v>
      </c>
      <c r="H804" s="359">
        <f>H798/((($E798*$B793)*(1-$B790))/$B788)</f>
        <v>7.1431446116962949E-2</v>
      </c>
      <c r="I804" s="359">
        <f>I798/((($E798*$B793)*(1-$B790))/$B788)</f>
        <v>3.5855784717534346E-2</v>
      </c>
      <c r="J804" s="359">
        <f>J798/((($E798*$B793)*(1-$B790))/$B788)</f>
        <v>6.3825020633014859E-2</v>
      </c>
      <c r="K804" s="359">
        <f t="shared" si="116"/>
        <v>0.17111225146751213</v>
      </c>
      <c r="M804" s="439"/>
      <c r="N804" s="439"/>
      <c r="O804" s="439"/>
      <c r="P804" s="129"/>
      <c r="Q804" s="263"/>
      <c r="R804" s="262"/>
      <c r="S804" s="263"/>
    </row>
    <row r="807" spans="1:19" x14ac:dyDescent="0.25">
      <c r="A807" s="178"/>
      <c r="B807" s="178"/>
      <c r="C807" s="178"/>
      <c r="D807" s="178"/>
      <c r="E807" s="178"/>
      <c r="F807" s="178"/>
      <c r="G807" s="178"/>
      <c r="H807" s="178"/>
      <c r="I807" s="178"/>
      <c r="J807" s="178"/>
      <c r="K807" s="178"/>
      <c r="L807" s="178"/>
      <c r="M807" s="178"/>
      <c r="N807" s="178"/>
      <c r="O807" s="178"/>
      <c r="P807" s="138"/>
      <c r="Q807" s="233"/>
      <c r="R807" s="233"/>
      <c r="S807" s="233"/>
    </row>
    <row r="809" spans="1:19" ht="21" x14ac:dyDescent="0.25">
      <c r="A809" s="305"/>
      <c r="B809" s="644" t="s">
        <v>324</v>
      </c>
      <c r="C809" s="645"/>
      <c r="D809" s="645"/>
      <c r="E809" s="645"/>
      <c r="F809" s="645"/>
      <c r="G809" s="645"/>
      <c r="H809" s="645"/>
      <c r="I809" s="645"/>
      <c r="J809" s="645"/>
      <c r="K809" s="645"/>
      <c r="L809" s="645"/>
      <c r="M809" s="645"/>
      <c r="N809" s="645"/>
      <c r="O809" s="646"/>
      <c r="P809" s="137" t="s">
        <v>97</v>
      </c>
      <c r="Q809" s="678" t="s">
        <v>58</v>
      </c>
      <c r="R809" s="678"/>
      <c r="S809" s="678"/>
    </row>
    <row r="810" spans="1:19" ht="21" x14ac:dyDescent="0.25">
      <c r="A810" s="177" t="s">
        <v>285</v>
      </c>
      <c r="B810" s="647">
        <v>43917</v>
      </c>
      <c r="C810" s="648"/>
      <c r="D810" s="648"/>
      <c r="E810" s="648"/>
      <c r="F810" s="648"/>
      <c r="G810" s="648"/>
      <c r="H810" s="648"/>
      <c r="I810" s="648"/>
      <c r="J810" s="648"/>
      <c r="K810" s="648"/>
      <c r="L810" s="648"/>
      <c r="M810" s="648"/>
      <c r="N810" s="648"/>
      <c r="O810" s="649"/>
      <c r="P810" s="137"/>
      <c r="Q810" s="678"/>
      <c r="R810" s="678"/>
      <c r="S810" s="678"/>
    </row>
    <row r="811" spans="1:19" x14ac:dyDescent="0.25">
      <c r="A811" s="177"/>
      <c r="B811" s="650" t="s">
        <v>115</v>
      </c>
      <c r="C811" s="651"/>
      <c r="D811" s="651"/>
      <c r="E811" s="651"/>
      <c r="F811" s="651"/>
      <c r="G811" s="651"/>
      <c r="H811" s="651"/>
      <c r="I811" s="651"/>
      <c r="J811" s="651"/>
      <c r="K811" s="651"/>
      <c r="L811" s="651"/>
      <c r="M811" s="651"/>
      <c r="N811" s="651"/>
      <c r="O811" s="652"/>
      <c r="P811" s="137"/>
      <c r="Q811" s="678"/>
      <c r="R811" s="678"/>
      <c r="S811" s="678"/>
    </row>
    <row r="812" spans="1:19" x14ac:dyDescent="0.25">
      <c r="A812" s="177" t="s">
        <v>106</v>
      </c>
      <c r="B812" s="629">
        <f>12548/1000</f>
        <v>12.548</v>
      </c>
      <c r="C812" s="630"/>
      <c r="D812" s="630"/>
      <c r="E812" s="631"/>
      <c r="F812" s="365" t="s">
        <v>174</v>
      </c>
      <c r="G812" s="471"/>
      <c r="H812" s="668">
        <v>0</v>
      </c>
      <c r="I812" s="669"/>
      <c r="J812" s="669"/>
      <c r="K812" s="669"/>
      <c r="L812" s="670"/>
      <c r="M812" s="656">
        <f>SUM(B812,H813)</f>
        <v>12.548</v>
      </c>
      <c r="N812" s="630"/>
      <c r="O812" s="631"/>
      <c r="P812" s="137"/>
      <c r="Q812" s="678"/>
      <c r="R812" s="678"/>
      <c r="S812" s="678"/>
    </row>
    <row r="813" spans="1:19" ht="15.75" thickBot="1" x14ac:dyDescent="0.3">
      <c r="A813" s="177" t="s">
        <v>112</v>
      </c>
      <c r="B813" s="626">
        <v>0.2</v>
      </c>
      <c r="C813" s="627"/>
      <c r="D813" s="627"/>
      <c r="E813" s="628"/>
      <c r="F813" s="290"/>
      <c r="G813" s="472"/>
      <c r="H813" s="626">
        <v>0</v>
      </c>
      <c r="I813" s="627"/>
      <c r="J813" s="627"/>
      <c r="K813" s="627"/>
      <c r="L813" s="628"/>
      <c r="M813" s="657">
        <f>B813</f>
        <v>0.2</v>
      </c>
      <c r="N813" s="627"/>
      <c r="O813" s="628"/>
      <c r="P813" s="137"/>
      <c r="Q813" s="678"/>
      <c r="R813" s="678"/>
      <c r="S813" s="678"/>
    </row>
    <row r="814" spans="1:19" x14ac:dyDescent="0.25">
      <c r="A814" s="177" t="s">
        <v>107</v>
      </c>
      <c r="B814" s="629">
        <f>B812*(1-B813)</f>
        <v>10.038400000000001</v>
      </c>
      <c r="C814" s="630"/>
      <c r="D814" s="630"/>
      <c r="E814" s="631"/>
      <c r="F814" s="290"/>
      <c r="G814" s="472"/>
      <c r="H814" s="629">
        <f>H812*(1-H813)</f>
        <v>0</v>
      </c>
      <c r="I814" s="630"/>
      <c r="J814" s="630"/>
      <c r="K814" s="630"/>
      <c r="L814" s="631"/>
      <c r="M814" s="656">
        <f>SUM(B814,H814)</f>
        <v>10.038400000000001</v>
      </c>
      <c r="N814" s="630"/>
      <c r="O814" s="631"/>
      <c r="P814" s="137"/>
      <c r="Q814" s="240" t="s">
        <v>139</v>
      </c>
      <c r="R814" s="235" t="s">
        <v>140</v>
      </c>
      <c r="S814" s="284" t="s">
        <v>142</v>
      </c>
    </row>
    <row r="815" spans="1:19" ht="15.75" thickBot="1" x14ac:dyDescent="0.3">
      <c r="A815" s="177" t="s">
        <v>108</v>
      </c>
      <c r="B815" s="626">
        <f>B818/B814</f>
        <v>0.71544494142492843</v>
      </c>
      <c r="C815" s="627"/>
      <c r="D815" s="627"/>
      <c r="E815" s="627"/>
      <c r="F815" s="627"/>
      <c r="G815" s="627"/>
      <c r="H815" s="627"/>
      <c r="I815" s="627"/>
      <c r="J815" s="627"/>
      <c r="K815" s="627"/>
      <c r="L815" s="627"/>
      <c r="M815" s="627"/>
      <c r="N815" s="627"/>
      <c r="O815" s="628"/>
      <c r="P815" s="137"/>
      <c r="Q815" s="185"/>
      <c r="R815" s="183" t="s">
        <v>141</v>
      </c>
      <c r="S815" s="237"/>
    </row>
    <row r="816" spans="1:19" ht="15.75" thickBot="1" x14ac:dyDescent="0.3">
      <c r="A816" s="177" t="s">
        <v>113</v>
      </c>
      <c r="B816" s="629">
        <f>B820*(E824+E825)/1000</f>
        <v>24.345500000000001</v>
      </c>
      <c r="C816" s="630"/>
      <c r="D816" s="630"/>
      <c r="E816" s="630"/>
      <c r="F816" s="630"/>
      <c r="G816" s="630"/>
      <c r="H816" s="630"/>
      <c r="I816" s="630"/>
      <c r="J816" s="630"/>
      <c r="K816" s="630"/>
      <c r="L816" s="630"/>
      <c r="M816" s="630"/>
      <c r="N816" s="630"/>
      <c r="O816" s="631"/>
      <c r="P816" s="137"/>
      <c r="Q816" s="238" t="s">
        <v>143</v>
      </c>
      <c r="R816" s="183">
        <v>4</v>
      </c>
      <c r="S816" s="181" t="s">
        <v>296</v>
      </c>
    </row>
    <row r="817" spans="1:19" ht="15.75" thickBot="1" x14ac:dyDescent="0.3">
      <c r="A817" s="177" t="s">
        <v>109</v>
      </c>
      <c r="B817" s="626">
        <v>0.70499999999999996</v>
      </c>
      <c r="C817" s="627"/>
      <c r="D817" s="627"/>
      <c r="E817" s="627"/>
      <c r="F817" s="627"/>
      <c r="G817" s="627"/>
      <c r="H817" s="627"/>
      <c r="I817" s="627"/>
      <c r="J817" s="627"/>
      <c r="K817" s="627"/>
      <c r="L817" s="627"/>
      <c r="M817" s="627"/>
      <c r="N817" s="627"/>
      <c r="O817" s="628"/>
      <c r="P817" s="137"/>
      <c r="Q817" s="238" t="s">
        <v>145</v>
      </c>
      <c r="R817" s="183">
        <v>5</v>
      </c>
      <c r="S817" s="184" t="s">
        <v>340</v>
      </c>
    </row>
    <row r="818" spans="1:19" ht="29.25" thickBot="1" x14ac:dyDescent="0.3">
      <c r="A818" s="177" t="s">
        <v>122</v>
      </c>
      <c r="B818" s="629">
        <f>B816-(B816*B817)</f>
        <v>7.1819225000000024</v>
      </c>
      <c r="C818" s="630"/>
      <c r="D818" s="630"/>
      <c r="E818" s="630"/>
      <c r="F818" s="630"/>
      <c r="G818" s="630"/>
      <c r="H818" s="630"/>
      <c r="I818" s="630"/>
      <c r="J818" s="630"/>
      <c r="K818" s="630"/>
      <c r="L818" s="630"/>
      <c r="M818" s="630"/>
      <c r="N818" s="630"/>
      <c r="O818" s="631"/>
      <c r="P818" s="137"/>
      <c r="Q818" s="238" t="s">
        <v>147</v>
      </c>
      <c r="R818" s="183">
        <v>6</v>
      </c>
      <c r="S818" s="184" t="s">
        <v>380</v>
      </c>
    </row>
    <row r="819" spans="1:19" x14ac:dyDescent="0.25">
      <c r="A819" s="177" t="s">
        <v>110</v>
      </c>
      <c r="B819" s="632">
        <v>121</v>
      </c>
      <c r="C819" s="633"/>
      <c r="D819" s="633"/>
      <c r="E819" s="633"/>
      <c r="F819" s="633"/>
      <c r="G819" s="633"/>
      <c r="H819" s="633"/>
      <c r="I819" s="633"/>
      <c r="J819" s="633"/>
      <c r="K819" s="633"/>
      <c r="L819" s="633"/>
      <c r="M819" s="633"/>
      <c r="N819" s="633"/>
      <c r="O819" s="634"/>
      <c r="P819" s="137"/>
      <c r="Q819" s="239" t="s">
        <v>149</v>
      </c>
      <c r="R819" s="240">
        <v>7</v>
      </c>
      <c r="S819" s="241" t="s">
        <v>341</v>
      </c>
    </row>
    <row r="820" spans="1:19" ht="15.75" thickBot="1" x14ac:dyDescent="0.3">
      <c r="A820" s="177" t="s">
        <v>111</v>
      </c>
      <c r="B820" s="635">
        <v>14.5</v>
      </c>
      <c r="C820" s="636"/>
      <c r="D820" s="636"/>
      <c r="E820" s="636"/>
      <c r="F820" s="636"/>
      <c r="G820" s="636"/>
      <c r="H820" s="636"/>
      <c r="I820" s="636"/>
      <c r="J820" s="636"/>
      <c r="K820" s="636"/>
      <c r="L820" s="636"/>
      <c r="M820" s="636"/>
      <c r="N820" s="636"/>
      <c r="O820" s="637"/>
      <c r="P820" s="137"/>
      <c r="Q820" s="238" t="s">
        <v>150</v>
      </c>
      <c r="R820" s="185"/>
      <c r="S820" s="242"/>
    </row>
    <row r="821" spans="1:19" ht="29.25" thickBot="1" x14ac:dyDescent="0.3">
      <c r="A821" s="177" t="s">
        <v>273</v>
      </c>
      <c r="B821" s="638" t="s">
        <v>395</v>
      </c>
      <c r="C821" s="638"/>
      <c r="D821" s="638"/>
      <c r="E821" s="638"/>
      <c r="F821" s="638"/>
      <c r="G821" s="638"/>
      <c r="H821" s="638"/>
      <c r="I821" s="638"/>
      <c r="J821" s="638"/>
      <c r="K821" s="638"/>
      <c r="L821" s="638"/>
      <c r="M821" s="638"/>
      <c r="N821" s="638"/>
      <c r="O821" s="639"/>
      <c r="P821" s="137"/>
      <c r="Q821" s="238" t="s">
        <v>152</v>
      </c>
      <c r="R821" s="183">
        <v>5</v>
      </c>
      <c r="S821" s="184" t="s">
        <v>381</v>
      </c>
    </row>
    <row r="822" spans="1:19" ht="15.75" thickBot="1" x14ac:dyDescent="0.3">
      <c r="A822" s="177" t="s">
        <v>351</v>
      </c>
      <c r="B822" s="431" t="s">
        <v>354</v>
      </c>
      <c r="C822" s="431"/>
      <c r="D822" s="431"/>
      <c r="E822" s="431"/>
      <c r="F822" s="431"/>
      <c r="G822" s="431"/>
      <c r="H822" s="431"/>
      <c r="I822" s="431"/>
      <c r="J822" s="431"/>
      <c r="K822" s="431"/>
      <c r="L822" s="431"/>
      <c r="M822" s="431"/>
      <c r="N822" s="431"/>
      <c r="O822" s="432"/>
      <c r="P822" s="137"/>
      <c r="Q822" s="238" t="s">
        <v>154</v>
      </c>
      <c r="R822" s="183">
        <v>7</v>
      </c>
      <c r="S822" s="181" t="s">
        <v>382</v>
      </c>
    </row>
    <row r="823" spans="1:19" ht="15.75" thickBot="1" x14ac:dyDescent="0.3">
      <c r="E823" s="307" t="s">
        <v>98</v>
      </c>
      <c r="F823" s="365" t="s">
        <v>102</v>
      </c>
      <c r="G823" s="365"/>
      <c r="H823" s="365" t="s">
        <v>92</v>
      </c>
      <c r="I823" s="365" t="s">
        <v>93</v>
      </c>
      <c r="J823" s="365" t="s">
        <v>94</v>
      </c>
      <c r="K823" s="359" t="s">
        <v>99</v>
      </c>
      <c r="L823" s="433"/>
      <c r="M823" s="433"/>
      <c r="N823" s="433"/>
      <c r="O823" s="434"/>
      <c r="P823" s="137"/>
      <c r="Q823" s="238" t="s">
        <v>156</v>
      </c>
      <c r="R823" s="183">
        <v>5</v>
      </c>
      <c r="S823" s="181" t="s">
        <v>84</v>
      </c>
    </row>
    <row r="824" spans="1:19" ht="15.75" thickBot="1" x14ac:dyDescent="0.3">
      <c r="E824" s="308">
        <v>1558</v>
      </c>
      <c r="F824" s="365" t="s">
        <v>95</v>
      </c>
      <c r="G824" s="365"/>
      <c r="H824" s="435">
        <v>816.14</v>
      </c>
      <c r="I824" s="435">
        <v>597.64</v>
      </c>
      <c r="J824" s="435">
        <v>431.4</v>
      </c>
      <c r="K824" s="359">
        <f>SUM(H824:J824)</f>
        <v>1845.1799999999998</v>
      </c>
      <c r="L824" s="436"/>
      <c r="M824" s="436"/>
      <c r="N824" s="436"/>
      <c r="O824" s="437"/>
      <c r="P824" s="137"/>
      <c r="Q824" s="238" t="s">
        <v>158</v>
      </c>
      <c r="R824" s="183">
        <v>5</v>
      </c>
      <c r="S824" s="181"/>
    </row>
    <row r="825" spans="1:19" ht="15.75" thickBot="1" x14ac:dyDescent="0.3">
      <c r="E825" s="308">
        <v>121</v>
      </c>
      <c r="F825" s="365" t="s">
        <v>96</v>
      </c>
      <c r="G825" s="365"/>
      <c r="H825" s="435">
        <v>150.6</v>
      </c>
      <c r="I825" s="435">
        <v>37</v>
      </c>
      <c r="J825" s="435">
        <v>49.9</v>
      </c>
      <c r="K825" s="359">
        <f t="shared" ref="K825:K831" si="119">SUM(H825:J825)</f>
        <v>237.5</v>
      </c>
      <c r="L825" s="436"/>
      <c r="M825" s="436"/>
      <c r="N825" s="436"/>
      <c r="O825" s="437"/>
      <c r="P825" s="137"/>
      <c r="Q825" s="185" t="s">
        <v>99</v>
      </c>
      <c r="R825" s="183" t="s">
        <v>383</v>
      </c>
      <c r="S825" s="265">
        <v>0.62</v>
      </c>
    </row>
    <row r="826" spans="1:19" x14ac:dyDescent="0.25">
      <c r="E826" s="307" t="s">
        <v>100</v>
      </c>
      <c r="F826" s="365" t="s">
        <v>95</v>
      </c>
      <c r="G826" s="365"/>
      <c r="H826" s="444">
        <f t="shared" ref="H826:J827" si="120">H824/$E824</f>
        <v>0.52383825417201535</v>
      </c>
      <c r="I826" s="429">
        <f t="shared" si="120"/>
        <v>0.383594351732991</v>
      </c>
      <c r="J826" s="429">
        <f t="shared" si="120"/>
        <v>0.27689345314505776</v>
      </c>
      <c r="K826" s="374">
        <f t="shared" si="119"/>
        <v>1.1843260590500642</v>
      </c>
      <c r="L826" s="436"/>
      <c r="M826" s="436"/>
      <c r="N826" s="436"/>
      <c r="O826" s="437"/>
      <c r="P826" s="137"/>
    </row>
    <row r="827" spans="1:19" x14ac:dyDescent="0.25">
      <c r="E827" s="307" t="s">
        <v>100</v>
      </c>
      <c r="F827" s="438" t="s">
        <v>96</v>
      </c>
      <c r="G827" s="438"/>
      <c r="H827" s="359">
        <f t="shared" si="120"/>
        <v>1.2446280991735537</v>
      </c>
      <c r="I827" s="359">
        <f t="shared" si="120"/>
        <v>0.30578512396694213</v>
      </c>
      <c r="J827" s="359">
        <f t="shared" si="120"/>
        <v>0.41239669421487601</v>
      </c>
      <c r="K827" s="359">
        <f t="shared" si="119"/>
        <v>1.9628099173553717</v>
      </c>
      <c r="L827" s="436"/>
      <c r="M827" s="436"/>
      <c r="N827" s="436"/>
      <c r="O827" s="437"/>
      <c r="P827" s="137"/>
      <c r="Q827" s="262"/>
      <c r="R827" s="262"/>
      <c r="S827" s="262"/>
    </row>
    <row r="828" spans="1:19" x14ac:dyDescent="0.25">
      <c r="E828" s="307" t="s">
        <v>104</v>
      </c>
      <c r="F828" s="365" t="s">
        <v>95</v>
      </c>
      <c r="G828" s="365"/>
      <c r="H828" s="359">
        <f>H824/($E824/7.7)</f>
        <v>4.0335545571245186</v>
      </c>
      <c r="I828" s="359">
        <f>I824/($E824/7)</f>
        <v>2.6851604621309368</v>
      </c>
      <c r="J828" s="359">
        <f>J824/($E824/7)</f>
        <v>1.9382541720154041</v>
      </c>
      <c r="K828" s="359">
        <f t="shared" si="119"/>
        <v>8.6569691912708588</v>
      </c>
      <c r="L828" s="436"/>
      <c r="M828" s="436"/>
      <c r="N828" s="436"/>
      <c r="O828" s="437"/>
      <c r="P828" s="137"/>
      <c r="Q828" s="262"/>
      <c r="R828" s="262"/>
      <c r="S828" s="262"/>
    </row>
    <row r="829" spans="1:19" x14ac:dyDescent="0.25">
      <c r="E829" s="307" t="s">
        <v>104</v>
      </c>
      <c r="F829" s="438" t="s">
        <v>96</v>
      </c>
      <c r="G829" s="438"/>
      <c r="H829" s="359">
        <f>H825/($E825/7.7)</f>
        <v>9.583636363636364</v>
      </c>
      <c r="I829" s="359">
        <f>I825/($E825/7.7)</f>
        <v>2.3545454545454545</v>
      </c>
      <c r="J829" s="359">
        <f>J825/($E825/7.7)</f>
        <v>3.1754545454545453</v>
      </c>
      <c r="K829" s="359">
        <f>SUM(H829:J829)</f>
        <v>15.113636363636363</v>
      </c>
      <c r="L829" s="436"/>
      <c r="M829" s="436"/>
      <c r="N829" s="436"/>
      <c r="O829" s="437"/>
      <c r="P829" s="137"/>
      <c r="Q829" s="262"/>
      <c r="R829" s="262"/>
      <c r="S829" s="262"/>
    </row>
    <row r="830" spans="1:19" x14ac:dyDescent="0.25">
      <c r="E830" s="307" t="s">
        <v>135</v>
      </c>
      <c r="F830" s="365" t="s">
        <v>95</v>
      </c>
      <c r="G830" s="365"/>
      <c r="H830" s="359">
        <f>H824/((($E824*$B820)*(1-$B817))/$B815)</f>
        <v>8.7615997445291471E-2</v>
      </c>
      <c r="I830" s="359">
        <f>I824/((($E824*$B820)*(1-$B817))/$B815)</f>
        <v>6.4159120632739472E-2</v>
      </c>
      <c r="J830" s="359">
        <f>J824/((($E824*$B820)*(1-$B817))/$B815)</f>
        <v>4.6312570512288008E-2</v>
      </c>
      <c r="K830" s="359">
        <f t="shared" si="119"/>
        <v>0.19808768859031897</v>
      </c>
      <c r="L830" s="436"/>
      <c r="M830" s="436"/>
      <c r="N830" s="436"/>
      <c r="O830" s="437"/>
      <c r="P830" s="42"/>
      <c r="Q830" s="263"/>
      <c r="R830" s="262"/>
      <c r="S830" s="263"/>
    </row>
    <row r="831" spans="1:19" x14ac:dyDescent="0.25">
      <c r="E831" s="307" t="s">
        <v>135</v>
      </c>
      <c r="F831" s="438" t="s">
        <v>96</v>
      </c>
      <c r="G831" s="438"/>
      <c r="H831" s="359">
        <f>H825/((($E825*$B820)*(1-$B817))/$B815)</f>
        <v>0.20817367095477335</v>
      </c>
      <c r="I831" s="359">
        <f>I825/((($E825*$B820)*(1-$B817))/$B815)</f>
        <v>5.11449257989815E-2</v>
      </c>
      <c r="J831" s="359">
        <f>J825/((($E825*$B820)*(1-$B817))/$B815)</f>
        <v>6.8976535064031799E-2</v>
      </c>
      <c r="K831" s="359">
        <f t="shared" si="119"/>
        <v>0.32829513181778663</v>
      </c>
      <c r="L831" s="439"/>
      <c r="M831" s="439"/>
      <c r="N831" s="439"/>
      <c r="O831" s="440"/>
      <c r="P831" s="42"/>
      <c r="Q831" s="263"/>
      <c r="R831" s="262"/>
      <c r="S831" s="263"/>
    </row>
    <row r="833" spans="1:19" x14ac:dyDescent="0.25">
      <c r="A833" s="178"/>
      <c r="B833" s="178"/>
      <c r="C833" s="178"/>
      <c r="D833" s="178"/>
      <c r="E833" s="178"/>
      <c r="F833" s="178"/>
      <c r="G833" s="178"/>
      <c r="H833" s="178"/>
      <c r="I833" s="178"/>
      <c r="J833" s="178"/>
      <c r="K833" s="178"/>
      <c r="L833" s="178"/>
      <c r="M833" s="178"/>
      <c r="N833" s="178"/>
      <c r="O833" s="178"/>
      <c r="P833" s="138"/>
      <c r="Q833" s="233"/>
      <c r="R833" s="233"/>
      <c r="S833" s="233"/>
    </row>
    <row r="835" spans="1:19" ht="21" x14ac:dyDescent="0.25">
      <c r="A835" s="305"/>
      <c r="B835" s="644" t="s">
        <v>325</v>
      </c>
      <c r="C835" s="645"/>
      <c r="D835" s="645"/>
      <c r="E835" s="645"/>
      <c r="F835" s="645"/>
      <c r="G835" s="645"/>
      <c r="H835" s="645"/>
      <c r="I835" s="645"/>
      <c r="J835" s="645"/>
      <c r="K835" s="645"/>
      <c r="L835" s="645"/>
      <c r="M835" s="645"/>
      <c r="N835" s="645"/>
      <c r="O835" s="646"/>
      <c r="P835" s="137" t="s">
        <v>97</v>
      </c>
      <c r="Q835" s="678" t="s">
        <v>61</v>
      </c>
      <c r="R835" s="678"/>
      <c r="S835" s="678"/>
    </row>
    <row r="836" spans="1:19" ht="21" x14ac:dyDescent="0.25">
      <c r="A836" s="177" t="s">
        <v>285</v>
      </c>
      <c r="B836" s="647">
        <v>43924</v>
      </c>
      <c r="C836" s="648"/>
      <c r="D836" s="648"/>
      <c r="E836" s="648"/>
      <c r="F836" s="648"/>
      <c r="G836" s="648"/>
      <c r="H836" s="648"/>
      <c r="I836" s="648"/>
      <c r="J836" s="648"/>
      <c r="K836" s="648"/>
      <c r="L836" s="648"/>
      <c r="M836" s="648"/>
      <c r="N836" s="648"/>
      <c r="O836" s="649"/>
      <c r="P836" s="137"/>
      <c r="Q836" s="678"/>
      <c r="R836" s="678"/>
      <c r="S836" s="678"/>
    </row>
    <row r="837" spans="1:19" x14ac:dyDescent="0.25">
      <c r="A837" s="177"/>
      <c r="B837" s="650" t="s">
        <v>115</v>
      </c>
      <c r="C837" s="651"/>
      <c r="D837" s="651"/>
      <c r="E837" s="651"/>
      <c r="F837" s="651"/>
      <c r="G837" s="651"/>
      <c r="H837" s="651"/>
      <c r="I837" s="651"/>
      <c r="J837" s="651"/>
      <c r="K837" s="651"/>
      <c r="L837" s="651"/>
      <c r="M837" s="651"/>
      <c r="N837" s="651"/>
      <c r="O837" s="652"/>
      <c r="P837" s="137"/>
      <c r="Q837" s="678"/>
      <c r="R837" s="678"/>
      <c r="S837" s="678"/>
    </row>
    <row r="838" spans="1:19" x14ac:dyDescent="0.25">
      <c r="A838" s="177" t="s">
        <v>106</v>
      </c>
      <c r="B838" s="629">
        <f>11993/1000</f>
        <v>11.993</v>
      </c>
      <c r="C838" s="630"/>
      <c r="D838" s="630"/>
      <c r="E838" s="631"/>
      <c r="F838" s="365" t="s">
        <v>174</v>
      </c>
      <c r="G838" s="471"/>
      <c r="H838" s="653">
        <f>1007/1000</f>
        <v>1.0069999999999999</v>
      </c>
      <c r="I838" s="654"/>
      <c r="J838" s="654"/>
      <c r="K838" s="654"/>
      <c r="L838" s="655"/>
      <c r="M838" s="656">
        <f>SUM(B838,H839)</f>
        <v>11.993</v>
      </c>
      <c r="N838" s="630"/>
      <c r="O838" s="631"/>
      <c r="P838" s="137"/>
      <c r="Q838" s="678"/>
      <c r="R838" s="678"/>
      <c r="S838" s="678"/>
    </row>
    <row r="839" spans="1:19" x14ac:dyDescent="0.25">
      <c r="A839" s="177" t="s">
        <v>112</v>
      </c>
      <c r="B839" s="626">
        <v>0.17</v>
      </c>
      <c r="C839" s="627"/>
      <c r="D839" s="627"/>
      <c r="E839" s="628"/>
      <c r="F839" s="290"/>
      <c r="G839" s="472"/>
      <c r="H839" s="626">
        <v>0</v>
      </c>
      <c r="I839" s="627"/>
      <c r="J839" s="627"/>
      <c r="K839" s="627"/>
      <c r="L839" s="628"/>
      <c r="M839" s="657">
        <f>B839</f>
        <v>0.17</v>
      </c>
      <c r="N839" s="627"/>
      <c r="O839" s="628"/>
      <c r="P839" s="137"/>
      <c r="Q839" s="678"/>
      <c r="R839" s="678"/>
      <c r="S839" s="678"/>
    </row>
    <row r="840" spans="1:19" ht="15.75" thickBot="1" x14ac:dyDescent="0.3">
      <c r="A840" s="177" t="s">
        <v>107</v>
      </c>
      <c r="B840" s="629">
        <f>B838*(1-B839)</f>
        <v>9.9541900000000005</v>
      </c>
      <c r="C840" s="630"/>
      <c r="D840" s="630"/>
      <c r="E840" s="631"/>
      <c r="F840" s="290"/>
      <c r="G840" s="472"/>
      <c r="H840" s="629">
        <f>H838*(1-H839)</f>
        <v>1.0069999999999999</v>
      </c>
      <c r="I840" s="630"/>
      <c r="J840" s="630"/>
      <c r="K840" s="630"/>
      <c r="L840" s="631"/>
      <c r="M840" s="656">
        <f>SUM(B840,H840)</f>
        <v>10.96119</v>
      </c>
      <c r="N840" s="630"/>
      <c r="O840" s="631"/>
      <c r="P840" s="137"/>
      <c r="Q840" s="261" t="s">
        <v>97</v>
      </c>
      <c r="R840" s="262"/>
      <c r="S840" s="263"/>
    </row>
    <row r="841" spans="1:19" x14ac:dyDescent="0.25">
      <c r="A841" s="177" t="s">
        <v>108</v>
      </c>
      <c r="B841" s="626">
        <f>B844/B840</f>
        <v>0.71425701136908193</v>
      </c>
      <c r="C841" s="627"/>
      <c r="D841" s="627"/>
      <c r="E841" s="627"/>
      <c r="F841" s="627"/>
      <c r="G841" s="627"/>
      <c r="H841" s="627"/>
      <c r="I841" s="627"/>
      <c r="J841" s="627"/>
      <c r="K841" s="627"/>
      <c r="L841" s="627"/>
      <c r="M841" s="627"/>
      <c r="N841" s="627"/>
      <c r="O841" s="628"/>
      <c r="P841" s="137"/>
      <c r="Q841" s="671" t="s">
        <v>139</v>
      </c>
      <c r="R841" s="235" t="s">
        <v>140</v>
      </c>
      <c r="S841" s="679" t="s">
        <v>142</v>
      </c>
    </row>
    <row r="842" spans="1:19" ht="15.75" thickBot="1" x14ac:dyDescent="0.3">
      <c r="A842" s="177" t="s">
        <v>113</v>
      </c>
      <c r="B842" s="629">
        <f>B846*(E850+E851)/1000</f>
        <v>23.6995</v>
      </c>
      <c r="C842" s="630"/>
      <c r="D842" s="630"/>
      <c r="E842" s="630"/>
      <c r="F842" s="630"/>
      <c r="G842" s="630"/>
      <c r="H842" s="630"/>
      <c r="I842" s="630"/>
      <c r="J842" s="630"/>
      <c r="K842" s="630"/>
      <c r="L842" s="630"/>
      <c r="M842" s="630"/>
      <c r="N842" s="630"/>
      <c r="O842" s="631"/>
      <c r="P842" s="137"/>
      <c r="Q842" s="672"/>
      <c r="R842" s="183" t="s">
        <v>141</v>
      </c>
      <c r="S842" s="680"/>
    </row>
    <row r="843" spans="1:19" ht="15.75" thickBot="1" x14ac:dyDescent="0.3">
      <c r="A843" s="177" t="s">
        <v>109</v>
      </c>
      <c r="B843" s="626">
        <v>0.7</v>
      </c>
      <c r="C843" s="627"/>
      <c r="D843" s="627"/>
      <c r="E843" s="627"/>
      <c r="F843" s="627"/>
      <c r="G843" s="627"/>
      <c r="H843" s="627"/>
      <c r="I843" s="627"/>
      <c r="J843" s="627"/>
      <c r="K843" s="627"/>
      <c r="L843" s="627"/>
      <c r="M843" s="627"/>
      <c r="N843" s="627"/>
      <c r="O843" s="628"/>
      <c r="P843" s="137"/>
      <c r="Q843" s="238" t="s">
        <v>143</v>
      </c>
      <c r="R843" s="183">
        <v>6</v>
      </c>
      <c r="S843" s="181" t="s">
        <v>296</v>
      </c>
    </row>
    <row r="844" spans="1:19" ht="29.25" thickBot="1" x14ac:dyDescent="0.3">
      <c r="A844" s="177" t="s">
        <v>122</v>
      </c>
      <c r="B844" s="629">
        <f>B842-(B842*B843)</f>
        <v>7.1098500000000016</v>
      </c>
      <c r="C844" s="630"/>
      <c r="D844" s="630"/>
      <c r="E844" s="630"/>
      <c r="F844" s="630"/>
      <c r="G844" s="630"/>
      <c r="H844" s="630"/>
      <c r="I844" s="630"/>
      <c r="J844" s="630"/>
      <c r="K844" s="630"/>
      <c r="L844" s="630"/>
      <c r="M844" s="630"/>
      <c r="N844" s="630"/>
      <c r="O844" s="631"/>
      <c r="P844" s="137"/>
      <c r="Q844" s="238" t="s">
        <v>145</v>
      </c>
      <c r="R844" s="183">
        <v>6</v>
      </c>
      <c r="S844" s="184" t="s">
        <v>385</v>
      </c>
    </row>
    <row r="845" spans="1:19" ht="29.25" thickBot="1" x14ac:dyDescent="0.3">
      <c r="A845" s="177" t="s">
        <v>110</v>
      </c>
      <c r="B845" s="632">
        <v>126</v>
      </c>
      <c r="C845" s="633"/>
      <c r="D845" s="633"/>
      <c r="E845" s="633"/>
      <c r="F845" s="633"/>
      <c r="G845" s="633"/>
      <c r="H845" s="633"/>
      <c r="I845" s="633"/>
      <c r="J845" s="633"/>
      <c r="K845" s="633"/>
      <c r="L845" s="633"/>
      <c r="M845" s="633"/>
      <c r="N845" s="633"/>
      <c r="O845" s="634"/>
      <c r="P845" s="137"/>
      <c r="Q845" s="238" t="s">
        <v>147</v>
      </c>
      <c r="R845" s="183">
        <v>6</v>
      </c>
      <c r="S845" s="184" t="s">
        <v>380</v>
      </c>
    </row>
    <row r="846" spans="1:19" x14ac:dyDescent="0.25">
      <c r="A846" s="177" t="s">
        <v>111</v>
      </c>
      <c r="B846" s="635">
        <v>15.5</v>
      </c>
      <c r="C846" s="636"/>
      <c r="D846" s="636"/>
      <c r="E846" s="636"/>
      <c r="F846" s="636"/>
      <c r="G846" s="636"/>
      <c r="H846" s="636"/>
      <c r="I846" s="636"/>
      <c r="J846" s="636"/>
      <c r="K846" s="636"/>
      <c r="L846" s="636"/>
      <c r="M846" s="636"/>
      <c r="N846" s="636"/>
      <c r="O846" s="637"/>
      <c r="P846" s="137"/>
      <c r="Q846" s="239" t="s">
        <v>149</v>
      </c>
      <c r="R846" s="671">
        <v>7</v>
      </c>
      <c r="S846" s="673" t="s">
        <v>342</v>
      </c>
    </row>
    <row r="847" spans="1:19" ht="15.75" thickBot="1" x14ac:dyDescent="0.3">
      <c r="A847" s="177" t="s">
        <v>273</v>
      </c>
      <c r="B847" s="638" t="s">
        <v>394</v>
      </c>
      <c r="C847" s="638"/>
      <c r="D847" s="638"/>
      <c r="E847" s="638"/>
      <c r="F847" s="638"/>
      <c r="G847" s="638"/>
      <c r="H847" s="638"/>
      <c r="I847" s="638"/>
      <c r="J847" s="638"/>
      <c r="K847" s="638"/>
      <c r="L847" s="638"/>
      <c r="M847" s="638"/>
      <c r="N847" s="638"/>
      <c r="O847" s="639"/>
      <c r="P847" s="137"/>
      <c r="Q847" s="238" t="s">
        <v>150</v>
      </c>
      <c r="R847" s="672"/>
      <c r="S847" s="674"/>
    </row>
    <row r="848" spans="1:19" ht="15.75" thickBot="1" x14ac:dyDescent="0.3">
      <c r="A848" s="177" t="s">
        <v>351</v>
      </c>
      <c r="B848" s="431" t="s">
        <v>353</v>
      </c>
      <c r="C848" s="431"/>
      <c r="D848" s="431"/>
      <c r="E848" s="431"/>
      <c r="F848" s="431"/>
      <c r="G848" s="431"/>
      <c r="H848" s="431"/>
      <c r="I848" s="431"/>
      <c r="J848" s="431"/>
      <c r="K848" s="431"/>
      <c r="L848" s="431"/>
      <c r="M848" s="431"/>
      <c r="N848" s="431"/>
      <c r="O848" s="432"/>
      <c r="P848" s="137"/>
      <c r="Q848" s="238" t="s">
        <v>152</v>
      </c>
      <c r="R848" s="183">
        <v>5</v>
      </c>
      <c r="S848" s="184" t="s">
        <v>299</v>
      </c>
    </row>
    <row r="849" spans="1:19" ht="15.75" thickBot="1" x14ac:dyDescent="0.3">
      <c r="E849" s="307" t="s">
        <v>98</v>
      </c>
      <c r="F849" s="365" t="s">
        <v>102</v>
      </c>
      <c r="G849" s="365"/>
      <c r="H849" s="365" t="s">
        <v>92</v>
      </c>
      <c r="I849" s="365" t="s">
        <v>93</v>
      </c>
      <c r="J849" s="365" t="s">
        <v>94</v>
      </c>
      <c r="K849" s="359" t="s">
        <v>99</v>
      </c>
      <c r="L849" s="433"/>
      <c r="M849" s="433"/>
      <c r="N849" s="433"/>
      <c r="O849" s="434"/>
      <c r="P849" s="137"/>
      <c r="Q849" s="238" t="s">
        <v>154</v>
      </c>
      <c r="R849" s="183">
        <v>6</v>
      </c>
      <c r="S849" s="181" t="s">
        <v>382</v>
      </c>
    </row>
    <row r="850" spans="1:19" ht="15.75" thickBot="1" x14ac:dyDescent="0.3">
      <c r="E850" s="308">
        <v>1409</v>
      </c>
      <c r="F850" s="365" t="s">
        <v>95</v>
      </c>
      <c r="G850" s="365"/>
      <c r="H850" s="441">
        <v>708.88</v>
      </c>
      <c r="I850" s="435">
        <v>301.51</v>
      </c>
      <c r="J850" s="435">
        <v>78.72</v>
      </c>
      <c r="K850" s="359">
        <f>SUM(H850:J850)</f>
        <v>1089.1099999999999</v>
      </c>
      <c r="L850" s="436"/>
      <c r="M850" s="436"/>
      <c r="N850" s="436"/>
      <c r="O850" s="437"/>
      <c r="P850" s="137"/>
      <c r="Q850" s="238" t="s">
        <v>156</v>
      </c>
      <c r="R850" s="183">
        <v>5</v>
      </c>
      <c r="S850" s="181" t="s">
        <v>384</v>
      </c>
    </row>
    <row r="851" spans="1:19" ht="15.75" thickBot="1" x14ac:dyDescent="0.3">
      <c r="E851" s="308">
        <v>120</v>
      </c>
      <c r="F851" s="365" t="s">
        <v>96</v>
      </c>
      <c r="G851" s="365"/>
      <c r="H851" s="441">
        <v>45.76</v>
      </c>
      <c r="I851" s="435">
        <v>37.44</v>
      </c>
      <c r="J851" s="435">
        <v>25</v>
      </c>
      <c r="K851" s="359">
        <f t="shared" ref="K851:K857" si="121">SUM(H851:J851)</f>
        <v>108.19999999999999</v>
      </c>
      <c r="L851" s="436"/>
      <c r="M851" s="436"/>
      <c r="N851" s="436"/>
      <c r="O851" s="437"/>
      <c r="P851" s="137"/>
      <c r="Q851" s="238" t="s">
        <v>158</v>
      </c>
      <c r="R851" s="183">
        <v>5</v>
      </c>
      <c r="S851" s="181"/>
    </row>
    <row r="852" spans="1:19" ht="15.75" thickBot="1" x14ac:dyDescent="0.3">
      <c r="E852" s="307" t="s">
        <v>100</v>
      </c>
      <c r="F852" s="365" t="s">
        <v>95</v>
      </c>
      <c r="G852" s="365"/>
      <c r="H852" s="444">
        <f t="shared" ref="H852:J853" si="122">H850/$E850</f>
        <v>0.50310858765081623</v>
      </c>
      <c r="I852" s="429">
        <f t="shared" si="122"/>
        <v>0.2139886444286728</v>
      </c>
      <c r="J852" s="429">
        <f t="shared" si="122"/>
        <v>5.5869410929737399E-2</v>
      </c>
      <c r="K852" s="443">
        <f t="shared" si="121"/>
        <v>0.77296664300922646</v>
      </c>
      <c r="L852" s="436"/>
      <c r="M852" s="436"/>
      <c r="N852" s="436"/>
      <c r="O852" s="437"/>
      <c r="P852" s="137"/>
      <c r="Q852" s="185" t="s">
        <v>99</v>
      </c>
      <c r="R852" s="183" t="s">
        <v>346</v>
      </c>
      <c r="S852" s="265">
        <v>0.65</v>
      </c>
    </row>
    <row r="853" spans="1:19" x14ac:dyDescent="0.25">
      <c r="E853" s="307" t="s">
        <v>100</v>
      </c>
      <c r="F853" s="438" t="s">
        <v>96</v>
      </c>
      <c r="G853" s="438"/>
      <c r="H853" s="359">
        <f t="shared" si="122"/>
        <v>0.3813333333333333</v>
      </c>
      <c r="I853" s="359">
        <f t="shared" si="122"/>
        <v>0.312</v>
      </c>
      <c r="J853" s="359">
        <f t="shared" si="122"/>
        <v>0.20833333333333334</v>
      </c>
      <c r="K853" s="359">
        <f t="shared" si="121"/>
        <v>0.90166666666666673</v>
      </c>
      <c r="L853" s="436"/>
      <c r="M853" s="436"/>
      <c r="N853" s="436"/>
      <c r="O853" s="437"/>
      <c r="P853" s="137"/>
      <c r="Q853" s="262"/>
      <c r="R853" s="262"/>
      <c r="S853" s="262"/>
    </row>
    <row r="854" spans="1:19" x14ac:dyDescent="0.25">
      <c r="E854" s="307" t="s">
        <v>104</v>
      </c>
      <c r="F854" s="365" t="s">
        <v>95</v>
      </c>
      <c r="G854" s="365"/>
      <c r="H854" s="359">
        <f>H850/($E850/7.7)</f>
        <v>3.8739361249112849</v>
      </c>
      <c r="I854" s="359">
        <f>I850/($E850/7)</f>
        <v>1.4979205110007097</v>
      </c>
      <c r="J854" s="359">
        <f>J850/($E850/7)</f>
        <v>0.39108587650816184</v>
      </c>
      <c r="K854" s="359">
        <f t="shared" si="121"/>
        <v>5.7629425124201559</v>
      </c>
      <c r="L854" s="436"/>
      <c r="M854" s="436"/>
      <c r="N854" s="436"/>
      <c r="O854" s="437"/>
      <c r="P854" s="137"/>
      <c r="Q854" s="262"/>
      <c r="R854" s="262"/>
      <c r="S854" s="262"/>
    </row>
    <row r="855" spans="1:19" x14ac:dyDescent="0.25">
      <c r="E855" s="307" t="s">
        <v>104</v>
      </c>
      <c r="F855" s="438" t="s">
        <v>96</v>
      </c>
      <c r="G855" s="438"/>
      <c r="H855" s="359">
        <f>H851/($E851/7.7)</f>
        <v>2.9362666666666666</v>
      </c>
      <c r="I855" s="359">
        <f>I851/($E851/7.7)</f>
        <v>2.4024000000000001</v>
      </c>
      <c r="J855" s="359">
        <f>J851/($E851/7.7)</f>
        <v>1.6041666666666667</v>
      </c>
      <c r="K855" s="359">
        <f t="shared" si="121"/>
        <v>6.9428333333333336</v>
      </c>
      <c r="L855" s="436"/>
      <c r="M855" s="436"/>
      <c r="N855" s="436"/>
      <c r="O855" s="437"/>
      <c r="P855" s="137"/>
      <c r="Q855" s="262"/>
      <c r="R855" s="262"/>
      <c r="S855" s="262"/>
    </row>
    <row r="856" spans="1:19" x14ac:dyDescent="0.25">
      <c r="E856" s="307" t="s">
        <v>135</v>
      </c>
      <c r="F856" s="365" t="s">
        <v>95</v>
      </c>
      <c r="G856" s="365"/>
      <c r="H856" s="359">
        <f>H850/((($E850*$B846)*(1-$B843))/$B841)</f>
        <v>7.7279319614965952E-2</v>
      </c>
      <c r="I856" s="359">
        <f>I850/((($E850*$B846)*(1-$B843))/$B841)</f>
        <v>3.2869438631515042E-2</v>
      </c>
      <c r="J856" s="359">
        <f>J850/((($E850*$B846)*(1-$B843))/$B841)</f>
        <v>8.5817459091667419E-3</v>
      </c>
      <c r="K856" s="359">
        <f t="shared" si="121"/>
        <v>0.11873050415564773</v>
      </c>
      <c r="L856" s="436"/>
      <c r="M856" s="436"/>
      <c r="N856" s="436"/>
      <c r="O856" s="437"/>
      <c r="P856" s="42"/>
      <c r="Q856" s="263"/>
      <c r="R856" s="262"/>
      <c r="S856" s="263"/>
    </row>
    <row r="857" spans="1:19" x14ac:dyDescent="0.25">
      <c r="E857" s="307" t="s">
        <v>135</v>
      </c>
      <c r="F857" s="438" t="s">
        <v>96</v>
      </c>
      <c r="G857" s="438"/>
      <c r="H857" s="359">
        <f>H851/((($E851*$B846)*(1-$B843))/$B841)</f>
        <v>5.857419505421E-2</v>
      </c>
      <c r="I857" s="359">
        <f>I851/((($E851*$B846)*(1-$B843))/$B841)</f>
        <v>4.7924341407989998E-2</v>
      </c>
      <c r="J857" s="359">
        <f>J851/((($E851*$B846)*(1-$B843))/$B841)</f>
        <v>3.2000762158112983E-2</v>
      </c>
      <c r="K857" s="359">
        <f t="shared" si="121"/>
        <v>0.13849929862031299</v>
      </c>
      <c r="L857" s="439"/>
      <c r="M857" s="439"/>
      <c r="N857" s="439"/>
      <c r="O857" s="440"/>
      <c r="P857" s="42"/>
      <c r="Q857" s="263"/>
      <c r="R857" s="262"/>
      <c r="S857" s="263"/>
    </row>
    <row r="859" spans="1:19" x14ac:dyDescent="0.25">
      <c r="A859" s="178"/>
      <c r="B859" s="178"/>
      <c r="C859" s="178"/>
      <c r="D859" s="178"/>
      <c r="E859" s="178"/>
      <c r="F859" s="178"/>
      <c r="G859" s="178"/>
      <c r="H859" s="178"/>
      <c r="I859" s="178"/>
      <c r="J859" s="178"/>
      <c r="K859" s="178"/>
      <c r="L859" s="178"/>
      <c r="M859" s="178"/>
      <c r="N859" s="178"/>
      <c r="O859" s="178"/>
      <c r="P859" s="138"/>
      <c r="Q859" s="233"/>
      <c r="R859" s="233"/>
      <c r="S859" s="233"/>
    </row>
    <row r="861" spans="1:19" ht="21" x14ac:dyDescent="0.25">
      <c r="A861" s="305"/>
      <c r="B861" s="644" t="s">
        <v>326</v>
      </c>
      <c r="C861" s="645"/>
      <c r="D861" s="645"/>
      <c r="E861" s="645"/>
      <c r="F861" s="645"/>
      <c r="G861" s="645"/>
      <c r="H861" s="645"/>
      <c r="I861" s="645"/>
      <c r="J861" s="645"/>
      <c r="K861" s="645"/>
      <c r="L861" s="645"/>
      <c r="M861" s="645"/>
      <c r="N861" s="645"/>
      <c r="O861" s="646"/>
      <c r="P861" s="137" t="s">
        <v>97</v>
      </c>
      <c r="Q861" s="678" t="s">
        <v>66</v>
      </c>
      <c r="R861" s="678"/>
      <c r="S861" s="678"/>
    </row>
    <row r="862" spans="1:19" ht="21" x14ac:dyDescent="0.25">
      <c r="A862" s="177" t="s">
        <v>285</v>
      </c>
      <c r="B862" s="647">
        <v>43931</v>
      </c>
      <c r="C862" s="648"/>
      <c r="D862" s="648"/>
      <c r="E862" s="648"/>
      <c r="F862" s="648"/>
      <c r="G862" s="648"/>
      <c r="H862" s="648"/>
      <c r="I862" s="648"/>
      <c r="J862" s="648"/>
      <c r="K862" s="648"/>
      <c r="L862" s="648"/>
      <c r="M862" s="648"/>
      <c r="N862" s="648"/>
      <c r="O862" s="649"/>
      <c r="P862" s="137"/>
      <c r="Q862" s="678"/>
      <c r="R862" s="678"/>
      <c r="S862" s="678"/>
    </row>
    <row r="863" spans="1:19" x14ac:dyDescent="0.25">
      <c r="A863" s="177"/>
      <c r="B863" s="650" t="s">
        <v>115</v>
      </c>
      <c r="C863" s="651"/>
      <c r="D863" s="651"/>
      <c r="E863" s="651"/>
      <c r="F863" s="651"/>
      <c r="G863" s="651"/>
      <c r="H863" s="651"/>
      <c r="I863" s="651"/>
      <c r="J863" s="651"/>
      <c r="K863" s="651"/>
      <c r="L863" s="651"/>
      <c r="M863" s="651"/>
      <c r="N863" s="651"/>
      <c r="O863" s="652"/>
      <c r="P863" s="137"/>
      <c r="Q863" s="678"/>
      <c r="R863" s="678"/>
      <c r="S863" s="678"/>
    </row>
    <row r="864" spans="1:19" x14ac:dyDescent="0.25">
      <c r="A864" s="177" t="s">
        <v>106</v>
      </c>
      <c r="B864" s="629">
        <f>13000/1000</f>
        <v>13</v>
      </c>
      <c r="C864" s="630"/>
      <c r="D864" s="630"/>
      <c r="E864" s="631"/>
      <c r="F864" s="365" t="s">
        <v>174</v>
      </c>
      <c r="G864" s="471"/>
      <c r="H864" s="653">
        <f>1000/1000</f>
        <v>1</v>
      </c>
      <c r="I864" s="654"/>
      <c r="J864" s="654"/>
      <c r="K864" s="654"/>
      <c r="L864" s="655"/>
      <c r="M864" s="656">
        <f>SUM(B864,H865)</f>
        <v>13</v>
      </c>
      <c r="N864" s="630"/>
      <c r="O864" s="631"/>
      <c r="P864" s="137"/>
      <c r="Q864" s="678"/>
      <c r="R864" s="678"/>
      <c r="S864" s="678"/>
    </row>
    <row r="865" spans="1:19" x14ac:dyDescent="0.25">
      <c r="A865" s="177" t="s">
        <v>112</v>
      </c>
      <c r="B865" s="626">
        <v>0.15</v>
      </c>
      <c r="C865" s="627"/>
      <c r="D865" s="627"/>
      <c r="E865" s="628"/>
      <c r="F865" s="290"/>
      <c r="G865" s="472"/>
      <c r="H865" s="626">
        <v>0</v>
      </c>
      <c r="I865" s="627"/>
      <c r="J865" s="627"/>
      <c r="K865" s="627"/>
      <c r="L865" s="628"/>
      <c r="M865" s="657">
        <f>B865</f>
        <v>0.15</v>
      </c>
      <c r="N865" s="627"/>
      <c r="O865" s="628"/>
      <c r="P865" s="137"/>
      <c r="Q865" s="678"/>
      <c r="R865" s="678"/>
      <c r="S865" s="678"/>
    </row>
    <row r="866" spans="1:19" ht="15.75" thickBot="1" x14ac:dyDescent="0.3">
      <c r="A866" s="177" t="s">
        <v>107</v>
      </c>
      <c r="B866" s="629">
        <f>B864*(1-B865)</f>
        <v>11.049999999999999</v>
      </c>
      <c r="C866" s="630"/>
      <c r="D866" s="630"/>
      <c r="E866" s="631"/>
      <c r="F866" s="290"/>
      <c r="G866" s="472"/>
      <c r="H866" s="629">
        <f>H864*(1-H865)</f>
        <v>1</v>
      </c>
      <c r="I866" s="630"/>
      <c r="J866" s="630"/>
      <c r="K866" s="630"/>
      <c r="L866" s="631"/>
      <c r="M866" s="656">
        <f>SUM(B866,H866)</f>
        <v>12.049999999999999</v>
      </c>
      <c r="N866" s="630"/>
      <c r="O866" s="631"/>
      <c r="P866" s="137"/>
      <c r="Q866" s="261" t="s">
        <v>97</v>
      </c>
      <c r="R866" s="262"/>
      <c r="S866" s="263"/>
    </row>
    <row r="867" spans="1:19" x14ac:dyDescent="0.25">
      <c r="A867" s="177" t="s">
        <v>108</v>
      </c>
      <c r="B867" s="626">
        <f>B870/B866</f>
        <v>0.67957330316742071</v>
      </c>
      <c r="C867" s="627"/>
      <c r="D867" s="627"/>
      <c r="E867" s="627"/>
      <c r="F867" s="627"/>
      <c r="G867" s="627"/>
      <c r="H867" s="627"/>
      <c r="I867" s="627"/>
      <c r="J867" s="627"/>
      <c r="K867" s="627"/>
      <c r="L867" s="627"/>
      <c r="M867" s="627"/>
      <c r="N867" s="627"/>
      <c r="O867" s="628"/>
      <c r="P867" s="137"/>
      <c r="Q867" s="671" t="s">
        <v>139</v>
      </c>
      <c r="R867" s="235" t="s">
        <v>140</v>
      </c>
      <c r="S867" s="679" t="s">
        <v>142</v>
      </c>
    </row>
    <row r="868" spans="1:19" ht="15.75" thickBot="1" x14ac:dyDescent="0.3">
      <c r="A868" s="177" t="s">
        <v>113</v>
      </c>
      <c r="B868" s="629">
        <f>B872*(E876+E877)/1000</f>
        <v>23.838999999999999</v>
      </c>
      <c r="C868" s="630"/>
      <c r="D868" s="630"/>
      <c r="E868" s="630"/>
      <c r="F868" s="630"/>
      <c r="G868" s="630"/>
      <c r="H868" s="630"/>
      <c r="I868" s="630"/>
      <c r="J868" s="630"/>
      <c r="K868" s="630"/>
      <c r="L868" s="630"/>
      <c r="M868" s="630"/>
      <c r="N868" s="630"/>
      <c r="O868" s="631"/>
      <c r="P868" s="137"/>
      <c r="Q868" s="672"/>
      <c r="R868" s="183" t="s">
        <v>141</v>
      </c>
      <c r="S868" s="680"/>
    </row>
    <row r="869" spans="1:19" ht="29.25" thickBot="1" x14ac:dyDescent="0.3">
      <c r="A869" s="177" t="s">
        <v>109</v>
      </c>
      <c r="B869" s="626">
        <v>0.68500000000000005</v>
      </c>
      <c r="C869" s="627"/>
      <c r="D869" s="627"/>
      <c r="E869" s="627"/>
      <c r="F869" s="627"/>
      <c r="G869" s="627"/>
      <c r="H869" s="627"/>
      <c r="I869" s="627"/>
      <c r="J869" s="627"/>
      <c r="K869" s="627"/>
      <c r="L869" s="627"/>
      <c r="M869" s="627"/>
      <c r="N869" s="627"/>
      <c r="O869" s="628"/>
      <c r="P869" s="137"/>
      <c r="Q869" s="238" t="s">
        <v>143</v>
      </c>
      <c r="R869" s="183">
        <v>7</v>
      </c>
      <c r="S869" s="181" t="s">
        <v>343</v>
      </c>
    </row>
    <row r="870" spans="1:19" ht="15.75" thickBot="1" x14ac:dyDescent="0.3">
      <c r="A870" s="177" t="s">
        <v>122</v>
      </c>
      <c r="B870" s="629">
        <f>B868-(B868*B869)</f>
        <v>7.5092849999999984</v>
      </c>
      <c r="C870" s="630"/>
      <c r="D870" s="630"/>
      <c r="E870" s="630"/>
      <c r="F870" s="630"/>
      <c r="G870" s="630"/>
      <c r="H870" s="630"/>
      <c r="I870" s="630"/>
      <c r="J870" s="630"/>
      <c r="K870" s="630"/>
      <c r="L870" s="630"/>
      <c r="M870" s="630"/>
      <c r="N870" s="630"/>
      <c r="O870" s="631"/>
      <c r="P870" s="137"/>
      <c r="Q870" s="238" t="s">
        <v>145</v>
      </c>
      <c r="R870" s="183">
        <v>6</v>
      </c>
      <c r="S870" s="184" t="s">
        <v>344</v>
      </c>
    </row>
    <row r="871" spans="1:19" ht="43.5" thickBot="1" x14ac:dyDescent="0.3">
      <c r="A871" s="177" t="s">
        <v>110</v>
      </c>
      <c r="B871" s="632">
        <v>123</v>
      </c>
      <c r="C871" s="633"/>
      <c r="D871" s="633"/>
      <c r="E871" s="633"/>
      <c r="F871" s="633"/>
      <c r="G871" s="633"/>
      <c r="H871" s="633"/>
      <c r="I871" s="633"/>
      <c r="J871" s="633"/>
      <c r="K871" s="633"/>
      <c r="L871" s="633"/>
      <c r="M871" s="633"/>
      <c r="N871" s="633"/>
      <c r="O871" s="634"/>
      <c r="P871" s="137"/>
      <c r="Q871" s="238" t="s">
        <v>147</v>
      </c>
      <c r="R871" s="183">
        <v>7</v>
      </c>
      <c r="S871" s="184" t="s">
        <v>401</v>
      </c>
    </row>
    <row r="872" spans="1:19" x14ac:dyDescent="0.25">
      <c r="A872" s="177" t="s">
        <v>111</v>
      </c>
      <c r="B872" s="635">
        <v>15.5</v>
      </c>
      <c r="C872" s="636"/>
      <c r="D872" s="636"/>
      <c r="E872" s="636"/>
      <c r="F872" s="636"/>
      <c r="G872" s="636"/>
      <c r="H872" s="636"/>
      <c r="I872" s="636"/>
      <c r="J872" s="636"/>
      <c r="K872" s="636"/>
      <c r="L872" s="636"/>
      <c r="M872" s="636"/>
      <c r="N872" s="636"/>
      <c r="O872" s="637"/>
      <c r="P872" s="137"/>
      <c r="Q872" s="239" t="s">
        <v>149</v>
      </c>
      <c r="R872" s="671">
        <v>6</v>
      </c>
      <c r="S872" s="673" t="s">
        <v>345</v>
      </c>
    </row>
    <row r="873" spans="1:19" ht="15.75" thickBot="1" x14ac:dyDescent="0.3">
      <c r="A873" s="177" t="s">
        <v>273</v>
      </c>
      <c r="B873" s="638"/>
      <c r="C873" s="638"/>
      <c r="D873" s="638"/>
      <c r="E873" s="638"/>
      <c r="F873" s="638"/>
      <c r="G873" s="638"/>
      <c r="H873" s="638"/>
      <c r="I873" s="638"/>
      <c r="J873" s="638"/>
      <c r="K873" s="638"/>
      <c r="L873" s="638"/>
      <c r="M873" s="638"/>
      <c r="N873" s="638"/>
      <c r="O873" s="639"/>
      <c r="P873" s="137"/>
      <c r="Q873" s="238" t="s">
        <v>150</v>
      </c>
      <c r="R873" s="672"/>
      <c r="S873" s="674"/>
    </row>
    <row r="874" spans="1:19" ht="29.25" thickBot="1" x14ac:dyDescent="0.3">
      <c r="A874" s="177" t="s">
        <v>351</v>
      </c>
      <c r="B874" s="431" t="s">
        <v>353</v>
      </c>
      <c r="C874" s="431"/>
      <c r="D874" s="431"/>
      <c r="E874" s="431"/>
      <c r="F874" s="431"/>
      <c r="G874" s="431"/>
      <c r="H874" s="431"/>
      <c r="I874" s="431"/>
      <c r="J874" s="431"/>
      <c r="K874" s="431"/>
      <c r="L874" s="431"/>
      <c r="M874" s="431"/>
      <c r="N874" s="431"/>
      <c r="O874" s="432"/>
      <c r="P874" s="137"/>
      <c r="Q874" s="238" t="s">
        <v>152</v>
      </c>
      <c r="R874" s="183">
        <v>6</v>
      </c>
      <c r="S874" s="184" t="s">
        <v>387</v>
      </c>
    </row>
    <row r="875" spans="1:19" ht="15.75" thickBot="1" x14ac:dyDescent="0.3">
      <c r="E875" s="307" t="s">
        <v>98</v>
      </c>
      <c r="F875" s="365" t="s">
        <v>102</v>
      </c>
      <c r="G875" s="365"/>
      <c r="H875" s="365" t="s">
        <v>92</v>
      </c>
      <c r="I875" s="365" t="s">
        <v>93</v>
      </c>
      <c r="J875" s="365" t="s">
        <v>94</v>
      </c>
      <c r="K875" s="359" t="s">
        <v>99</v>
      </c>
      <c r="L875" s="433"/>
      <c r="M875" s="433"/>
      <c r="N875" s="433"/>
      <c r="O875" s="434"/>
      <c r="P875" s="137"/>
      <c r="Q875" s="238" t="s">
        <v>154</v>
      </c>
      <c r="R875" s="183">
        <v>8</v>
      </c>
      <c r="S875" s="181" t="s">
        <v>388</v>
      </c>
    </row>
    <row r="876" spans="1:19" ht="29.25" thickBot="1" x14ac:dyDescent="0.3">
      <c r="E876" s="308">
        <v>1418</v>
      </c>
      <c r="F876" s="365" t="s">
        <v>95</v>
      </c>
      <c r="G876" s="365"/>
      <c r="H876" s="441">
        <v>905</v>
      </c>
      <c r="I876" s="435">
        <v>422.94</v>
      </c>
      <c r="J876" s="435">
        <v>210.84</v>
      </c>
      <c r="K876" s="359">
        <f>SUM(H876:J876)</f>
        <v>1538.78</v>
      </c>
      <c r="L876" s="436"/>
      <c r="M876" s="436"/>
      <c r="N876" s="436"/>
      <c r="O876" s="437"/>
      <c r="P876" s="137"/>
      <c r="Q876" s="238" t="s">
        <v>156</v>
      </c>
      <c r="R876" s="183">
        <v>5</v>
      </c>
      <c r="S876" s="181" t="s">
        <v>386</v>
      </c>
    </row>
    <row r="877" spans="1:19" ht="15.75" thickBot="1" x14ac:dyDescent="0.3">
      <c r="E877" s="308">
        <v>120</v>
      </c>
      <c r="F877" s="365" t="s">
        <v>96</v>
      </c>
      <c r="G877" s="365"/>
      <c r="H877" s="441">
        <v>96.99</v>
      </c>
      <c r="I877" s="435">
        <v>54.01</v>
      </c>
      <c r="J877" s="435">
        <v>19.5</v>
      </c>
      <c r="K877" s="359">
        <f t="shared" ref="K877:K883" si="123">SUM(H877:J877)</f>
        <v>170.5</v>
      </c>
      <c r="L877" s="436"/>
      <c r="M877" s="436"/>
      <c r="N877" s="436"/>
      <c r="O877" s="437"/>
      <c r="P877" s="137"/>
      <c r="Q877" s="238" t="s">
        <v>158</v>
      </c>
      <c r="R877" s="183">
        <v>5</v>
      </c>
      <c r="S877" s="181"/>
    </row>
    <row r="878" spans="1:19" ht="15.75" thickBot="1" x14ac:dyDescent="0.3">
      <c r="E878" s="307" t="s">
        <v>100</v>
      </c>
      <c r="F878" s="365" t="s">
        <v>95</v>
      </c>
      <c r="G878" s="365"/>
      <c r="H878" s="445">
        <f t="shared" ref="H878:J879" si="124">H876/$E876</f>
        <v>0.6382228490832158</v>
      </c>
      <c r="I878" s="429">
        <f t="shared" si="124"/>
        <v>0.2982651622002821</v>
      </c>
      <c r="J878" s="429">
        <f t="shared" si="124"/>
        <v>0.148688293370945</v>
      </c>
      <c r="K878" s="374">
        <f t="shared" si="123"/>
        <v>1.0851763046544429</v>
      </c>
      <c r="L878" s="436"/>
      <c r="M878" s="436"/>
      <c r="N878" s="436"/>
      <c r="O878" s="437"/>
      <c r="P878" s="137"/>
      <c r="Q878" s="185" t="s">
        <v>99</v>
      </c>
      <c r="R878" s="183" t="s">
        <v>320</v>
      </c>
      <c r="S878" s="265">
        <v>0.65</v>
      </c>
    </row>
    <row r="879" spans="1:19" x14ac:dyDescent="0.25">
      <c r="E879" s="307" t="s">
        <v>100</v>
      </c>
      <c r="F879" s="438" t="s">
        <v>96</v>
      </c>
      <c r="G879" s="438"/>
      <c r="H879" s="359">
        <f t="shared" si="124"/>
        <v>0.80824999999999991</v>
      </c>
      <c r="I879" s="359">
        <f t="shared" si="124"/>
        <v>0.45008333333333334</v>
      </c>
      <c r="J879" s="359">
        <f t="shared" si="124"/>
        <v>0.16250000000000001</v>
      </c>
      <c r="K879" s="359">
        <f t="shared" si="123"/>
        <v>1.4208333333333334</v>
      </c>
      <c r="L879" s="436"/>
      <c r="M879" s="436"/>
      <c r="N879" s="436"/>
      <c r="O879" s="437"/>
      <c r="P879" s="137"/>
      <c r="Q879" s="262"/>
      <c r="R879" s="262"/>
      <c r="S879" s="262"/>
    </row>
    <row r="880" spans="1:19" x14ac:dyDescent="0.25">
      <c r="E880" s="307" t="s">
        <v>104</v>
      </c>
      <c r="F880" s="365" t="s">
        <v>95</v>
      </c>
      <c r="G880" s="365"/>
      <c r="H880" s="359">
        <f>H876/($E876/7.7)</f>
        <v>4.9143159379407617</v>
      </c>
      <c r="I880" s="359">
        <f>I876/($E876/7)</f>
        <v>2.0878561354019745</v>
      </c>
      <c r="J880" s="359">
        <f>J876/($E876/7)</f>
        <v>1.0408180535966149</v>
      </c>
      <c r="K880" s="359">
        <f t="shared" si="123"/>
        <v>8.0429901269393511</v>
      </c>
      <c r="L880" s="436"/>
      <c r="M880" s="436"/>
      <c r="N880" s="436"/>
      <c r="O880" s="437"/>
      <c r="P880" s="137"/>
      <c r="Q880" s="262"/>
      <c r="R880" s="262"/>
      <c r="S880" s="262"/>
    </row>
    <row r="881" spans="1:19" x14ac:dyDescent="0.25">
      <c r="E881" s="307" t="s">
        <v>104</v>
      </c>
      <c r="F881" s="438" t="s">
        <v>96</v>
      </c>
      <c r="G881" s="438"/>
      <c r="H881" s="359">
        <f>H877/($E877/7.7)</f>
        <v>6.2235249999999995</v>
      </c>
      <c r="I881" s="359">
        <f>I877/($E877/7.7)</f>
        <v>3.4656416666666665</v>
      </c>
      <c r="J881" s="359">
        <f>J877/($E877/7.7)</f>
        <v>1.25125</v>
      </c>
      <c r="K881" s="359">
        <f t="shared" si="123"/>
        <v>10.940416666666666</v>
      </c>
      <c r="L881" s="436"/>
      <c r="M881" s="436"/>
      <c r="N881" s="436"/>
      <c r="O881" s="437"/>
      <c r="P881" s="137"/>
      <c r="Q881" s="262"/>
      <c r="R881" s="262"/>
      <c r="S881" s="262"/>
    </row>
    <row r="882" spans="1:19" x14ac:dyDescent="0.25">
      <c r="E882" s="307" t="s">
        <v>135</v>
      </c>
      <c r="F882" s="365" t="s">
        <v>95</v>
      </c>
      <c r="G882" s="365"/>
      <c r="H882" s="359">
        <f>H876/((($E876*$B872)*(1-$B869))/$B867)</f>
        <v>8.8831379356559811E-2</v>
      </c>
      <c r="I882" s="359">
        <f>I876/((($E876*$B872)*(1-$B869))/$B867)</f>
        <v>4.15141918066999E-2</v>
      </c>
      <c r="J882" s="359">
        <f>J876/((($E876*$B872)*(1-$B869))/$B867)</f>
        <v>2.069525748457135E-2</v>
      </c>
      <c r="K882" s="359">
        <f t="shared" si="123"/>
        <v>0.15104082864783105</v>
      </c>
      <c r="L882" s="436"/>
      <c r="M882" s="436"/>
      <c r="N882" s="436"/>
      <c r="O882" s="437"/>
      <c r="P882" s="42"/>
      <c r="Q882" s="263"/>
      <c r="R882" s="262"/>
      <c r="S882" s="263"/>
    </row>
    <row r="883" spans="1:19" x14ac:dyDescent="0.25">
      <c r="E883" s="307" t="s">
        <v>135</v>
      </c>
      <c r="F883" s="438" t="s">
        <v>96</v>
      </c>
      <c r="G883" s="438"/>
      <c r="H883" s="359">
        <f>H877/((($E877*$B872)*(1-$B869))/$B867)</f>
        <v>0.11249669683257918</v>
      </c>
      <c r="I883" s="359">
        <f>I877/((($E877*$B872)*(1-$B869))/$B867)</f>
        <v>6.2645082956259424E-2</v>
      </c>
      <c r="J883" s="359">
        <f>J877/((($E877*$B872)*(1-$B869))/$B867)</f>
        <v>2.2617647058823531E-2</v>
      </c>
      <c r="K883" s="359">
        <f t="shared" si="123"/>
        <v>0.19775942684766212</v>
      </c>
      <c r="L883" s="439"/>
      <c r="M883" s="439"/>
      <c r="N883" s="439"/>
      <c r="O883" s="440"/>
      <c r="P883" s="42"/>
      <c r="Q883" s="263"/>
      <c r="R883" s="262"/>
      <c r="S883" s="263"/>
    </row>
    <row r="884" spans="1:19" x14ac:dyDescent="0.25">
      <c r="A884" s="178"/>
      <c r="B884" s="178"/>
      <c r="C884" s="178"/>
      <c r="D884" s="178"/>
      <c r="E884" s="178"/>
      <c r="F884" s="178"/>
      <c r="G884" s="178"/>
      <c r="H884" s="178"/>
      <c r="I884" s="178"/>
      <c r="J884" s="178"/>
      <c r="K884" s="178"/>
      <c r="L884" s="178"/>
      <c r="M884" s="178"/>
      <c r="N884" s="178"/>
      <c r="O884" s="178"/>
      <c r="P884" s="142"/>
      <c r="Q884" s="233"/>
      <c r="R884" s="233"/>
      <c r="S884" s="233"/>
    </row>
    <row r="886" spans="1:19" ht="21" x14ac:dyDescent="0.25">
      <c r="A886" s="305"/>
      <c r="B886" s="644" t="s">
        <v>331</v>
      </c>
      <c r="C886" s="645"/>
      <c r="D886" s="645"/>
      <c r="E886" s="645"/>
      <c r="F886" s="645"/>
      <c r="G886" s="645"/>
      <c r="H886" s="645"/>
      <c r="I886" s="645"/>
      <c r="J886" s="645"/>
      <c r="K886" s="645"/>
      <c r="L886" s="645"/>
      <c r="M886" s="645"/>
      <c r="N886" s="645"/>
      <c r="O886" s="646"/>
      <c r="P886" s="141" t="s">
        <v>97</v>
      </c>
      <c r="Q886" s="678" t="s">
        <v>68</v>
      </c>
      <c r="R886" s="678"/>
      <c r="S886" s="678"/>
    </row>
    <row r="887" spans="1:19" ht="21" x14ac:dyDescent="0.25">
      <c r="A887" s="177" t="s">
        <v>285</v>
      </c>
      <c r="B887" s="647">
        <v>43938</v>
      </c>
      <c r="C887" s="648"/>
      <c r="D887" s="648"/>
      <c r="E887" s="648"/>
      <c r="F887" s="648"/>
      <c r="G887" s="648"/>
      <c r="H887" s="648"/>
      <c r="I887" s="648"/>
      <c r="J887" s="648"/>
      <c r="K887" s="648"/>
      <c r="L887" s="648"/>
      <c r="M887" s="648"/>
      <c r="N887" s="648"/>
      <c r="O887" s="649"/>
      <c r="P887" s="141"/>
      <c r="Q887" s="678"/>
      <c r="R887" s="678"/>
      <c r="S887" s="678"/>
    </row>
    <row r="888" spans="1:19" x14ac:dyDescent="0.25">
      <c r="A888" s="177"/>
      <c r="B888" s="650" t="s">
        <v>115</v>
      </c>
      <c r="C888" s="651"/>
      <c r="D888" s="651"/>
      <c r="E888" s="651"/>
      <c r="F888" s="651"/>
      <c r="G888" s="651"/>
      <c r="H888" s="651"/>
      <c r="I888" s="651"/>
      <c r="J888" s="651"/>
      <c r="K888" s="651"/>
      <c r="L888" s="651"/>
      <c r="M888" s="651"/>
      <c r="N888" s="651"/>
      <c r="O888" s="652"/>
      <c r="P888" s="141"/>
      <c r="Q888" s="678"/>
      <c r="R888" s="678"/>
      <c r="S888" s="678"/>
    </row>
    <row r="889" spans="1:19" x14ac:dyDescent="0.25">
      <c r="A889" s="177" t="s">
        <v>106</v>
      </c>
      <c r="B889" s="629">
        <f>13000/1000</f>
        <v>13</v>
      </c>
      <c r="C889" s="630"/>
      <c r="D889" s="630"/>
      <c r="E889" s="631"/>
      <c r="F889" s="365" t="s">
        <v>174</v>
      </c>
      <c r="G889" s="471"/>
      <c r="H889" s="653">
        <f>1000/1000</f>
        <v>1</v>
      </c>
      <c r="I889" s="654"/>
      <c r="J889" s="654"/>
      <c r="K889" s="654"/>
      <c r="L889" s="655"/>
      <c r="M889" s="656">
        <f>SUM(B889,H890)</f>
        <v>13</v>
      </c>
      <c r="N889" s="630"/>
      <c r="O889" s="631"/>
      <c r="P889" s="141"/>
      <c r="Q889" s="678"/>
      <c r="R889" s="678"/>
      <c r="S889" s="678"/>
    </row>
    <row r="890" spans="1:19" x14ac:dyDescent="0.25">
      <c r="A890" s="177" t="s">
        <v>112</v>
      </c>
      <c r="B890" s="626">
        <v>0.15</v>
      </c>
      <c r="C890" s="627"/>
      <c r="D890" s="627"/>
      <c r="E890" s="628"/>
      <c r="F890" s="290"/>
      <c r="G890" s="472"/>
      <c r="H890" s="626">
        <v>0</v>
      </c>
      <c r="I890" s="627"/>
      <c r="J890" s="627"/>
      <c r="K890" s="627"/>
      <c r="L890" s="628"/>
      <c r="M890" s="657">
        <f>B890</f>
        <v>0.15</v>
      </c>
      <c r="N890" s="627"/>
      <c r="O890" s="628"/>
      <c r="P890" s="141"/>
      <c r="Q890" s="678"/>
      <c r="R890" s="678"/>
      <c r="S890" s="678"/>
    </row>
    <row r="891" spans="1:19" ht="15.75" thickBot="1" x14ac:dyDescent="0.3">
      <c r="A891" s="177" t="s">
        <v>107</v>
      </c>
      <c r="B891" s="629">
        <f>B889*(1-B890)</f>
        <v>11.049999999999999</v>
      </c>
      <c r="C891" s="630"/>
      <c r="D891" s="630"/>
      <c r="E891" s="631"/>
      <c r="F891" s="290"/>
      <c r="G891" s="472"/>
      <c r="H891" s="629">
        <f>H889*(1-H890)</f>
        <v>1</v>
      </c>
      <c r="I891" s="630"/>
      <c r="J891" s="630"/>
      <c r="K891" s="630"/>
      <c r="L891" s="631"/>
      <c r="M891" s="656">
        <f>SUM(B891,H891)</f>
        <v>12.049999999999999</v>
      </c>
      <c r="N891" s="630"/>
      <c r="O891" s="631"/>
      <c r="P891" s="141"/>
      <c r="Q891" s="261" t="s">
        <v>97</v>
      </c>
      <c r="R891" s="262"/>
      <c r="S891" s="263"/>
    </row>
    <row r="892" spans="1:19" x14ac:dyDescent="0.25">
      <c r="A892" s="177" t="s">
        <v>108</v>
      </c>
      <c r="B892" s="626">
        <f>B895/B891</f>
        <v>0.63826244343891403</v>
      </c>
      <c r="C892" s="627"/>
      <c r="D892" s="627"/>
      <c r="E892" s="627"/>
      <c r="F892" s="627"/>
      <c r="G892" s="627"/>
      <c r="H892" s="627"/>
      <c r="I892" s="627"/>
      <c r="J892" s="627"/>
      <c r="K892" s="627"/>
      <c r="L892" s="627"/>
      <c r="M892" s="627"/>
      <c r="N892" s="627"/>
      <c r="O892" s="628"/>
      <c r="P892" s="141"/>
      <c r="Q892" s="671" t="s">
        <v>139</v>
      </c>
      <c r="R892" s="235" t="s">
        <v>140</v>
      </c>
      <c r="S892" s="679" t="s">
        <v>142</v>
      </c>
    </row>
    <row r="893" spans="1:19" ht="15.75" thickBot="1" x14ac:dyDescent="0.3">
      <c r="A893" s="177" t="s">
        <v>113</v>
      </c>
      <c r="B893" s="629">
        <f>B897*(E901+E902)/1000</f>
        <v>22.04</v>
      </c>
      <c r="C893" s="630"/>
      <c r="D893" s="630"/>
      <c r="E893" s="630"/>
      <c r="F893" s="630"/>
      <c r="G893" s="630"/>
      <c r="H893" s="630"/>
      <c r="I893" s="630"/>
      <c r="J893" s="630"/>
      <c r="K893" s="630"/>
      <c r="L893" s="630"/>
      <c r="M893" s="630"/>
      <c r="N893" s="630"/>
      <c r="O893" s="631"/>
      <c r="P893" s="141"/>
      <c r="Q893" s="672"/>
      <c r="R893" s="183" t="s">
        <v>141</v>
      </c>
      <c r="S893" s="680"/>
    </row>
    <row r="894" spans="1:19" ht="15.75" thickBot="1" x14ac:dyDescent="0.3">
      <c r="A894" s="177" t="s">
        <v>109</v>
      </c>
      <c r="B894" s="626">
        <v>0.68</v>
      </c>
      <c r="C894" s="627"/>
      <c r="D894" s="627"/>
      <c r="E894" s="627"/>
      <c r="F894" s="627"/>
      <c r="G894" s="627"/>
      <c r="H894" s="627"/>
      <c r="I894" s="627"/>
      <c r="J894" s="627"/>
      <c r="K894" s="627"/>
      <c r="L894" s="627"/>
      <c r="M894" s="627"/>
      <c r="N894" s="627"/>
      <c r="O894" s="628"/>
      <c r="P894" s="141"/>
      <c r="Q894" s="238" t="s">
        <v>143</v>
      </c>
      <c r="R894" s="183">
        <v>8</v>
      </c>
      <c r="S894" s="181" t="s">
        <v>296</v>
      </c>
    </row>
    <row r="895" spans="1:19" ht="15.75" thickBot="1" x14ac:dyDescent="0.3">
      <c r="A895" s="177" t="s">
        <v>122</v>
      </c>
      <c r="B895" s="629">
        <f>B893-(B893*B894)</f>
        <v>7.0527999999999995</v>
      </c>
      <c r="C895" s="630"/>
      <c r="D895" s="630"/>
      <c r="E895" s="630"/>
      <c r="F895" s="630"/>
      <c r="G895" s="630"/>
      <c r="H895" s="630"/>
      <c r="I895" s="630"/>
      <c r="J895" s="630"/>
      <c r="K895" s="630"/>
      <c r="L895" s="630"/>
      <c r="M895" s="630"/>
      <c r="N895" s="630"/>
      <c r="O895" s="631"/>
      <c r="P895" s="141"/>
      <c r="Q895" s="238" t="s">
        <v>145</v>
      </c>
      <c r="R895" s="183">
        <v>7</v>
      </c>
      <c r="S895" s="184" t="s">
        <v>311</v>
      </c>
    </row>
    <row r="896" spans="1:19" ht="29.25" thickBot="1" x14ac:dyDescent="0.3">
      <c r="A896" s="177" t="s">
        <v>110</v>
      </c>
      <c r="B896" s="632">
        <v>125</v>
      </c>
      <c r="C896" s="633"/>
      <c r="D896" s="633"/>
      <c r="E896" s="633"/>
      <c r="F896" s="633"/>
      <c r="G896" s="633"/>
      <c r="H896" s="633"/>
      <c r="I896" s="633"/>
      <c r="J896" s="633"/>
      <c r="K896" s="633"/>
      <c r="L896" s="633"/>
      <c r="M896" s="633"/>
      <c r="N896" s="633"/>
      <c r="O896" s="634"/>
      <c r="P896" s="141"/>
      <c r="Q896" s="238" t="s">
        <v>147</v>
      </c>
      <c r="R896" s="183">
        <v>8</v>
      </c>
      <c r="S896" s="184" t="s">
        <v>402</v>
      </c>
    </row>
    <row r="897" spans="1:19" x14ac:dyDescent="0.25">
      <c r="A897" s="177" t="s">
        <v>111</v>
      </c>
      <c r="B897" s="635">
        <v>14.5</v>
      </c>
      <c r="C897" s="636"/>
      <c r="D897" s="636"/>
      <c r="E897" s="636"/>
      <c r="F897" s="636"/>
      <c r="G897" s="636"/>
      <c r="H897" s="636"/>
      <c r="I897" s="636"/>
      <c r="J897" s="636"/>
      <c r="K897" s="636"/>
      <c r="L897" s="636"/>
      <c r="M897" s="636"/>
      <c r="N897" s="636"/>
      <c r="O897" s="637"/>
      <c r="P897" s="141"/>
      <c r="Q897" s="239" t="s">
        <v>149</v>
      </c>
      <c r="R897" s="671">
        <v>7</v>
      </c>
      <c r="S897" s="673" t="s">
        <v>298</v>
      </c>
    </row>
    <row r="898" spans="1:19" ht="15.75" thickBot="1" x14ac:dyDescent="0.3">
      <c r="A898" s="177" t="s">
        <v>273</v>
      </c>
      <c r="B898" s="780" t="s">
        <v>393</v>
      </c>
      <c r="C898" s="638"/>
      <c r="D898" s="638"/>
      <c r="E898" s="638"/>
      <c r="F898" s="638"/>
      <c r="G898" s="638"/>
      <c r="H898" s="638"/>
      <c r="I898" s="638"/>
      <c r="J898" s="638"/>
      <c r="K898" s="638"/>
      <c r="L898" s="638"/>
      <c r="M898" s="638"/>
      <c r="N898" s="638"/>
      <c r="O898" s="639"/>
      <c r="P898" s="141"/>
      <c r="Q898" s="238" t="s">
        <v>150</v>
      </c>
      <c r="R898" s="672"/>
      <c r="S898" s="674"/>
    </row>
    <row r="899" spans="1:19" ht="15.75" thickBot="1" x14ac:dyDescent="0.3">
      <c r="A899" s="177" t="s">
        <v>351</v>
      </c>
      <c r="B899" s="431" t="s">
        <v>349</v>
      </c>
      <c r="C899" s="431"/>
      <c r="D899" s="431"/>
      <c r="E899" s="431"/>
      <c r="F899" s="431"/>
      <c r="G899" s="431"/>
      <c r="H899" s="431"/>
      <c r="I899" s="431"/>
      <c r="J899" s="431"/>
      <c r="K899" s="431"/>
      <c r="L899" s="431"/>
      <c r="M899" s="431"/>
      <c r="N899" s="431"/>
      <c r="O899" s="432"/>
      <c r="P899" s="141"/>
      <c r="Q899" s="238" t="s">
        <v>152</v>
      </c>
      <c r="R899" s="183">
        <v>8</v>
      </c>
      <c r="S899" s="184" t="s">
        <v>299</v>
      </c>
    </row>
    <row r="900" spans="1:19" ht="15.75" thickBot="1" x14ac:dyDescent="0.3">
      <c r="E900" s="307" t="s">
        <v>98</v>
      </c>
      <c r="F900" s="365" t="s">
        <v>102</v>
      </c>
      <c r="G900" s="365"/>
      <c r="H900" s="365" t="s">
        <v>92</v>
      </c>
      <c r="I900" s="365" t="s">
        <v>93</v>
      </c>
      <c r="J900" s="365" t="s">
        <v>94</v>
      </c>
      <c r="K900" s="359" t="s">
        <v>99</v>
      </c>
      <c r="L900" s="433"/>
      <c r="M900" s="433"/>
      <c r="N900" s="433"/>
      <c r="O900" s="434"/>
      <c r="P900" s="141"/>
      <c r="Q900" s="238" t="s">
        <v>154</v>
      </c>
      <c r="R900" s="183">
        <v>5</v>
      </c>
      <c r="S900" s="181" t="s">
        <v>267</v>
      </c>
    </row>
    <row r="901" spans="1:19" ht="15.75" thickBot="1" x14ac:dyDescent="0.3">
      <c r="E901" s="308">
        <v>1400</v>
      </c>
      <c r="F901" s="365" t="s">
        <v>95</v>
      </c>
      <c r="G901" s="365"/>
      <c r="H901" s="435">
        <v>1630.24</v>
      </c>
      <c r="I901" s="435">
        <v>661.3</v>
      </c>
      <c r="J901" s="435">
        <v>178.8</v>
      </c>
      <c r="K901" s="359">
        <f>SUM(H901:J901)</f>
        <v>2470.34</v>
      </c>
      <c r="L901" s="436"/>
      <c r="M901" s="436"/>
      <c r="N901" s="436"/>
      <c r="O901" s="437"/>
      <c r="P901" s="141"/>
      <c r="Q901" s="238" t="s">
        <v>156</v>
      </c>
      <c r="R901" s="183">
        <v>5</v>
      </c>
      <c r="S901" s="181" t="s">
        <v>84</v>
      </c>
    </row>
    <row r="902" spans="1:19" ht="15.75" thickBot="1" x14ac:dyDescent="0.3">
      <c r="E902" s="308">
        <v>120</v>
      </c>
      <c r="F902" s="365" t="s">
        <v>96</v>
      </c>
      <c r="G902" s="365"/>
      <c r="H902" s="441">
        <v>57.84</v>
      </c>
      <c r="I902" s="435">
        <v>74.08</v>
      </c>
      <c r="J902" s="435">
        <v>62.4</v>
      </c>
      <c r="K902" s="359">
        <f t="shared" ref="K902:K908" si="125">SUM(H902:J902)</f>
        <v>194.32000000000002</v>
      </c>
      <c r="L902" s="436"/>
      <c r="M902" s="436"/>
      <c r="N902" s="436"/>
      <c r="O902" s="437"/>
      <c r="P902" s="141"/>
      <c r="Q902" s="238" t="s">
        <v>158</v>
      </c>
      <c r="R902" s="183">
        <v>5</v>
      </c>
      <c r="S902" s="181"/>
    </row>
    <row r="903" spans="1:19" ht="15.75" thickBot="1" x14ac:dyDescent="0.3">
      <c r="E903" s="307" t="s">
        <v>100</v>
      </c>
      <c r="F903" s="365" t="s">
        <v>95</v>
      </c>
      <c r="G903" s="365"/>
      <c r="H903" s="445">
        <f t="shared" ref="H903:J904" si="126">H901/$E901</f>
        <v>1.1644571428571429</v>
      </c>
      <c r="I903" s="429">
        <f t="shared" si="126"/>
        <v>0.47235714285714281</v>
      </c>
      <c r="J903" s="429">
        <f t="shared" si="126"/>
        <v>0.12771428571428572</v>
      </c>
      <c r="K903" s="374">
        <f t="shared" si="125"/>
        <v>1.7645285714285714</v>
      </c>
      <c r="L903" s="436"/>
      <c r="M903" s="436"/>
      <c r="N903" s="436"/>
      <c r="O903" s="437"/>
      <c r="P903" s="141"/>
      <c r="Q903" s="185" t="s">
        <v>99</v>
      </c>
      <c r="R903" s="183" t="s">
        <v>347</v>
      </c>
      <c r="S903" s="186">
        <v>0.68500000000000005</v>
      </c>
    </row>
    <row r="904" spans="1:19" x14ac:dyDescent="0.25">
      <c r="E904" s="307" t="s">
        <v>100</v>
      </c>
      <c r="F904" s="438" t="s">
        <v>96</v>
      </c>
      <c r="G904" s="438"/>
      <c r="H904" s="359">
        <f t="shared" si="126"/>
        <v>0.48200000000000004</v>
      </c>
      <c r="I904" s="359">
        <f t="shared" si="126"/>
        <v>0.61733333333333329</v>
      </c>
      <c r="J904" s="359">
        <f t="shared" si="126"/>
        <v>0.52</v>
      </c>
      <c r="K904" s="359">
        <f t="shared" si="125"/>
        <v>1.6193333333333333</v>
      </c>
      <c r="L904" s="436"/>
      <c r="M904" s="436"/>
      <c r="N904" s="436"/>
      <c r="O904" s="437"/>
      <c r="P904" s="141"/>
      <c r="Q904" s="262"/>
      <c r="R904" s="262"/>
      <c r="S904" s="262"/>
    </row>
    <row r="905" spans="1:19" x14ac:dyDescent="0.25">
      <c r="E905" s="307" t="s">
        <v>104</v>
      </c>
      <c r="F905" s="365" t="s">
        <v>95</v>
      </c>
      <c r="G905" s="365"/>
      <c r="H905" s="359">
        <f>H901/($E901/7.7)</f>
        <v>8.9663199999999996</v>
      </c>
      <c r="I905" s="359">
        <f>I901/($E901/7)</f>
        <v>3.3064999999999998</v>
      </c>
      <c r="J905" s="359">
        <f>J901/($E901/7)</f>
        <v>0.89400000000000002</v>
      </c>
      <c r="K905" s="359">
        <f t="shared" si="125"/>
        <v>13.16682</v>
      </c>
      <c r="L905" s="436"/>
      <c r="M905" s="436"/>
      <c r="N905" s="436"/>
      <c r="O905" s="437"/>
      <c r="P905" s="141"/>
      <c r="Q905" s="262"/>
      <c r="R905" s="262"/>
      <c r="S905" s="262"/>
    </row>
    <row r="906" spans="1:19" x14ac:dyDescent="0.25">
      <c r="E906" s="307" t="s">
        <v>104</v>
      </c>
      <c r="F906" s="438" t="s">
        <v>96</v>
      </c>
      <c r="G906" s="438"/>
      <c r="H906" s="359">
        <f>H902/($E902/7.7)</f>
        <v>3.7114000000000003</v>
      </c>
      <c r="I906" s="359">
        <f>I902/($E902/7.7)</f>
        <v>4.7534666666666663</v>
      </c>
      <c r="J906" s="359">
        <f>J902/($E902/7.7)</f>
        <v>4.0039999999999996</v>
      </c>
      <c r="K906" s="359">
        <f t="shared" si="125"/>
        <v>12.468866666666665</v>
      </c>
      <c r="L906" s="436"/>
      <c r="M906" s="436"/>
      <c r="N906" s="436"/>
      <c r="O906" s="437"/>
      <c r="P906" s="141"/>
      <c r="Q906" s="262"/>
      <c r="R906" s="262"/>
      <c r="S906" s="262"/>
    </row>
    <row r="907" spans="1:19" x14ac:dyDescent="0.25">
      <c r="E907" s="307" t="s">
        <v>135</v>
      </c>
      <c r="F907" s="365" t="s">
        <v>95</v>
      </c>
      <c r="G907" s="365"/>
      <c r="H907" s="359">
        <f>H901/((($E901*$B897)*(1-$B894))/$B892)</f>
        <v>0.16017872010342601</v>
      </c>
      <c r="I907" s="359">
        <f>I901/((($E901*$B897)*(1-$B894))/$B892)</f>
        <v>6.497582417582419E-2</v>
      </c>
      <c r="J907" s="359">
        <f>J901/((($E901*$B897)*(1-$B894))/$B892)</f>
        <v>1.7567937944408536E-2</v>
      </c>
      <c r="K907" s="359">
        <f t="shared" si="125"/>
        <v>0.24272248222365872</v>
      </c>
      <c r="L907" s="436"/>
      <c r="M907" s="436"/>
      <c r="N907" s="436"/>
      <c r="O907" s="437"/>
      <c r="P907" s="42"/>
      <c r="Q907" s="263"/>
      <c r="R907" s="262"/>
      <c r="S907" s="263"/>
    </row>
    <row r="908" spans="1:19" x14ac:dyDescent="0.25">
      <c r="E908" s="307" t="s">
        <v>135</v>
      </c>
      <c r="F908" s="438" t="s">
        <v>96</v>
      </c>
      <c r="G908" s="438"/>
      <c r="H908" s="359">
        <f>H902/((($E902*$B897)*(1-$B894))/$B892)</f>
        <v>6.6302262443438925E-2</v>
      </c>
      <c r="I908" s="359">
        <f>I902/((($E902*$B897)*(1-$B894))/$B892)</f>
        <v>8.4918250377073901E-2</v>
      </c>
      <c r="J908" s="359">
        <f>J902/((($E902*$B897)*(1-$B894))/$B892)</f>
        <v>7.1529411764705883E-2</v>
      </c>
      <c r="K908" s="359">
        <f t="shared" si="125"/>
        <v>0.22274992458521869</v>
      </c>
      <c r="L908" s="439"/>
      <c r="M908" s="439"/>
      <c r="N908" s="439"/>
      <c r="O908" s="440"/>
      <c r="P908" s="42"/>
      <c r="Q908" s="263"/>
      <c r="R908" s="262"/>
      <c r="S908" s="263"/>
    </row>
    <row r="909" spans="1:19" x14ac:dyDescent="0.25">
      <c r="A909" s="178"/>
      <c r="B909" s="178"/>
      <c r="C909" s="178"/>
      <c r="D909" s="178"/>
      <c r="E909" s="178"/>
      <c r="F909" s="178"/>
      <c r="G909" s="178"/>
      <c r="H909" s="178"/>
      <c r="I909" s="178"/>
      <c r="J909" s="178"/>
      <c r="K909" s="178"/>
      <c r="L909" s="178"/>
      <c r="M909" s="178"/>
      <c r="N909" s="178"/>
      <c r="O909" s="178"/>
      <c r="P909" s="143"/>
      <c r="Q909" s="233"/>
      <c r="R909" s="233"/>
      <c r="S909" s="233"/>
    </row>
    <row r="911" spans="1:19" ht="21" x14ac:dyDescent="0.25">
      <c r="A911" s="305"/>
      <c r="B911" s="644" t="s">
        <v>332</v>
      </c>
      <c r="C911" s="645"/>
      <c r="D911" s="645"/>
      <c r="E911" s="645"/>
      <c r="F911" s="645"/>
      <c r="G911" s="645"/>
      <c r="H911" s="645"/>
      <c r="I911" s="645"/>
      <c r="J911" s="645"/>
      <c r="K911" s="645"/>
      <c r="L911" s="645"/>
      <c r="M911" s="645"/>
      <c r="N911" s="645"/>
      <c r="O911" s="646"/>
      <c r="P911" s="144" t="s">
        <v>97</v>
      </c>
      <c r="Q911" s="678" t="s">
        <v>72</v>
      </c>
      <c r="R911" s="678"/>
      <c r="S911" s="678"/>
    </row>
    <row r="912" spans="1:19" ht="21" x14ac:dyDescent="0.25">
      <c r="A912" s="177" t="s">
        <v>285</v>
      </c>
      <c r="B912" s="647">
        <v>43945</v>
      </c>
      <c r="C912" s="648"/>
      <c r="D912" s="648"/>
      <c r="E912" s="648"/>
      <c r="F912" s="648"/>
      <c r="G912" s="648"/>
      <c r="H912" s="648"/>
      <c r="I912" s="648"/>
      <c r="J912" s="648"/>
      <c r="K912" s="648"/>
      <c r="L912" s="648"/>
      <c r="M912" s="648"/>
      <c r="N912" s="648"/>
      <c r="O912" s="649"/>
      <c r="P912" s="144"/>
      <c r="Q912" s="678"/>
      <c r="R912" s="678"/>
      <c r="S912" s="678"/>
    </row>
    <row r="913" spans="1:19" x14ac:dyDescent="0.25">
      <c r="A913" s="177"/>
      <c r="B913" s="650" t="s">
        <v>115</v>
      </c>
      <c r="C913" s="651"/>
      <c r="D913" s="651"/>
      <c r="E913" s="651"/>
      <c r="F913" s="651"/>
      <c r="G913" s="651"/>
      <c r="H913" s="651"/>
      <c r="I913" s="651"/>
      <c r="J913" s="651"/>
      <c r="K913" s="651"/>
      <c r="L913" s="651"/>
      <c r="M913" s="651"/>
      <c r="N913" s="651"/>
      <c r="O913" s="652"/>
      <c r="P913" s="144"/>
      <c r="Q913" s="678"/>
      <c r="R913" s="678"/>
      <c r="S913" s="678"/>
    </row>
    <row r="914" spans="1:19" x14ac:dyDescent="0.25">
      <c r="A914" s="177" t="s">
        <v>106</v>
      </c>
      <c r="B914" s="629">
        <v>10</v>
      </c>
      <c r="C914" s="630"/>
      <c r="D914" s="630"/>
      <c r="E914" s="631"/>
      <c r="F914" s="365" t="s">
        <v>174</v>
      </c>
      <c r="G914" s="471"/>
      <c r="H914" s="653">
        <v>0.8</v>
      </c>
      <c r="I914" s="654"/>
      <c r="J914" s="654"/>
      <c r="K914" s="654"/>
      <c r="L914" s="655"/>
      <c r="M914" s="656">
        <f>SUM(B914,H915)</f>
        <v>10</v>
      </c>
      <c r="N914" s="630"/>
      <c r="O914" s="631"/>
      <c r="P914" s="144"/>
      <c r="Q914" s="678"/>
      <c r="R914" s="678"/>
      <c r="S914" s="678"/>
    </row>
    <row r="915" spans="1:19" x14ac:dyDescent="0.25">
      <c r="A915" s="177" t="s">
        <v>112</v>
      </c>
      <c r="B915" s="626">
        <v>0.15</v>
      </c>
      <c r="C915" s="627"/>
      <c r="D915" s="627"/>
      <c r="E915" s="628"/>
      <c r="F915" s="290"/>
      <c r="G915" s="472"/>
      <c r="H915" s="626">
        <v>0</v>
      </c>
      <c r="I915" s="627"/>
      <c r="J915" s="627"/>
      <c r="K915" s="627"/>
      <c r="L915" s="628"/>
      <c r="M915" s="657">
        <f>B915</f>
        <v>0.15</v>
      </c>
      <c r="N915" s="627"/>
      <c r="O915" s="628"/>
      <c r="P915" s="144"/>
      <c r="Q915" s="678"/>
      <c r="R915" s="678"/>
      <c r="S915" s="678"/>
    </row>
    <row r="916" spans="1:19" ht="15.75" thickBot="1" x14ac:dyDescent="0.3">
      <c r="A916" s="177" t="s">
        <v>107</v>
      </c>
      <c r="B916" s="629">
        <f>B914*(1-B915)</f>
        <v>8.5</v>
      </c>
      <c r="C916" s="630"/>
      <c r="D916" s="630"/>
      <c r="E916" s="631"/>
      <c r="F916" s="290"/>
      <c r="G916" s="472"/>
      <c r="H916" s="629">
        <f>H914*(1-H915)</f>
        <v>0.8</v>
      </c>
      <c r="I916" s="630"/>
      <c r="J916" s="630"/>
      <c r="K916" s="630"/>
      <c r="L916" s="631"/>
      <c r="M916" s="656">
        <f>SUM(B916,H916)</f>
        <v>9.3000000000000007</v>
      </c>
      <c r="N916" s="630"/>
      <c r="O916" s="631"/>
      <c r="P916" s="144"/>
      <c r="Q916" s="261" t="s">
        <v>97</v>
      </c>
      <c r="R916" s="262"/>
      <c r="S916" s="263"/>
    </row>
    <row r="917" spans="1:19" x14ac:dyDescent="0.25">
      <c r="A917" s="177" t="s">
        <v>108</v>
      </c>
      <c r="B917" s="626">
        <f>B920/B916</f>
        <v>0.87004235294117649</v>
      </c>
      <c r="C917" s="627"/>
      <c r="D917" s="627"/>
      <c r="E917" s="627"/>
      <c r="F917" s="627"/>
      <c r="G917" s="627"/>
      <c r="H917" s="627"/>
      <c r="I917" s="627"/>
      <c r="J917" s="627"/>
      <c r="K917" s="627"/>
      <c r="L917" s="627"/>
      <c r="M917" s="627"/>
      <c r="N917" s="627"/>
      <c r="O917" s="628"/>
      <c r="P917" s="144"/>
      <c r="Q917" s="671" t="s">
        <v>139</v>
      </c>
      <c r="R917" s="235" t="s">
        <v>140</v>
      </c>
      <c r="S917" s="679" t="s">
        <v>142</v>
      </c>
    </row>
    <row r="918" spans="1:19" ht="15.75" thickBot="1" x14ac:dyDescent="0.3">
      <c r="A918" s="177" t="s">
        <v>113</v>
      </c>
      <c r="B918" s="629">
        <f>B922*(E926+E927)/1000</f>
        <v>23.856000000000002</v>
      </c>
      <c r="C918" s="630"/>
      <c r="D918" s="630"/>
      <c r="E918" s="630"/>
      <c r="F918" s="630"/>
      <c r="G918" s="630"/>
      <c r="H918" s="630"/>
      <c r="I918" s="630"/>
      <c r="J918" s="630"/>
      <c r="K918" s="630"/>
      <c r="L918" s="630"/>
      <c r="M918" s="630"/>
      <c r="N918" s="630"/>
      <c r="O918" s="631"/>
      <c r="P918" s="144"/>
      <c r="Q918" s="672"/>
      <c r="R918" s="183" t="s">
        <v>141</v>
      </c>
      <c r="S918" s="680"/>
    </row>
    <row r="919" spans="1:19" ht="15.75" thickBot="1" x14ac:dyDescent="0.3">
      <c r="A919" s="177" t="s">
        <v>109</v>
      </c>
      <c r="B919" s="626">
        <v>0.69</v>
      </c>
      <c r="C919" s="627"/>
      <c r="D919" s="627"/>
      <c r="E919" s="627"/>
      <c r="F919" s="627"/>
      <c r="G919" s="627"/>
      <c r="H919" s="627"/>
      <c r="I919" s="627"/>
      <c r="J919" s="627"/>
      <c r="K919" s="627"/>
      <c r="L919" s="627"/>
      <c r="M919" s="627"/>
      <c r="N919" s="627"/>
      <c r="O919" s="628"/>
      <c r="P919" s="144"/>
      <c r="Q919" s="238" t="s">
        <v>143</v>
      </c>
      <c r="R919" s="183">
        <v>6</v>
      </c>
      <c r="S919" s="181" t="s">
        <v>296</v>
      </c>
    </row>
    <row r="920" spans="1:19" ht="15.75" thickBot="1" x14ac:dyDescent="0.3">
      <c r="A920" s="177" t="s">
        <v>122</v>
      </c>
      <c r="B920" s="629">
        <f>B918-(B918*B919)</f>
        <v>7.3953600000000002</v>
      </c>
      <c r="C920" s="630"/>
      <c r="D920" s="630"/>
      <c r="E920" s="630"/>
      <c r="F920" s="630"/>
      <c r="G920" s="630"/>
      <c r="H920" s="630"/>
      <c r="I920" s="630"/>
      <c r="J920" s="630"/>
      <c r="K920" s="630"/>
      <c r="L920" s="630"/>
      <c r="M920" s="630"/>
      <c r="N920" s="630"/>
      <c r="O920" s="631"/>
      <c r="P920" s="144"/>
      <c r="Q920" s="238" t="s">
        <v>145</v>
      </c>
      <c r="R920" s="183">
        <v>6.5</v>
      </c>
      <c r="S920" s="184" t="s">
        <v>311</v>
      </c>
    </row>
    <row r="921" spans="1:19" ht="15.75" thickBot="1" x14ac:dyDescent="0.3">
      <c r="A921" s="177" t="s">
        <v>110</v>
      </c>
      <c r="B921" s="632">
        <v>121</v>
      </c>
      <c r="C921" s="633"/>
      <c r="D921" s="633"/>
      <c r="E921" s="633"/>
      <c r="F921" s="633"/>
      <c r="G921" s="633"/>
      <c r="H921" s="633"/>
      <c r="I921" s="633"/>
      <c r="J921" s="633"/>
      <c r="K921" s="633"/>
      <c r="L921" s="633"/>
      <c r="M921" s="633"/>
      <c r="N921" s="633"/>
      <c r="O921" s="634"/>
      <c r="P921" s="144"/>
      <c r="Q921" s="238" t="s">
        <v>147</v>
      </c>
      <c r="R921" s="183">
        <v>6</v>
      </c>
      <c r="S921" s="184" t="s">
        <v>148</v>
      </c>
    </row>
    <row r="922" spans="1:19" x14ac:dyDescent="0.25">
      <c r="A922" s="177" t="s">
        <v>111</v>
      </c>
      <c r="B922" s="635">
        <v>16</v>
      </c>
      <c r="C922" s="636"/>
      <c r="D922" s="636"/>
      <c r="E922" s="636"/>
      <c r="F922" s="636"/>
      <c r="G922" s="636"/>
      <c r="H922" s="636"/>
      <c r="I922" s="636"/>
      <c r="J922" s="636"/>
      <c r="K922" s="636"/>
      <c r="L922" s="636"/>
      <c r="M922" s="636"/>
      <c r="N922" s="636"/>
      <c r="O922" s="637"/>
      <c r="P922" s="144"/>
      <c r="Q922" s="239" t="s">
        <v>149</v>
      </c>
      <c r="R922" s="671">
        <v>8</v>
      </c>
      <c r="S922" s="673" t="s">
        <v>312</v>
      </c>
    </row>
    <row r="923" spans="1:19" ht="15.75" thickBot="1" x14ac:dyDescent="0.3">
      <c r="A923" s="177" t="s">
        <v>273</v>
      </c>
      <c r="B923" s="638" t="s">
        <v>397</v>
      </c>
      <c r="C923" s="638"/>
      <c r="D923" s="638"/>
      <c r="E923" s="638"/>
      <c r="F923" s="638"/>
      <c r="G923" s="638"/>
      <c r="H923" s="638"/>
      <c r="I923" s="638"/>
      <c r="J923" s="638"/>
      <c r="K923" s="638"/>
      <c r="L923" s="638"/>
      <c r="M923" s="638"/>
      <c r="N923" s="638"/>
      <c r="O923" s="639"/>
      <c r="P923" s="144"/>
      <c r="Q923" s="238" t="s">
        <v>150</v>
      </c>
      <c r="R923" s="672"/>
      <c r="S923" s="674"/>
    </row>
    <row r="924" spans="1:19" ht="15.75" thickBot="1" x14ac:dyDescent="0.3">
      <c r="A924" s="177" t="s">
        <v>351</v>
      </c>
      <c r="B924" s="431" t="s">
        <v>349</v>
      </c>
      <c r="C924" s="431"/>
      <c r="D924" s="431"/>
      <c r="E924" s="431"/>
      <c r="F924" s="431"/>
      <c r="G924" s="431"/>
      <c r="H924" s="431"/>
      <c r="I924" s="431"/>
      <c r="J924" s="431"/>
      <c r="K924" s="431"/>
      <c r="L924" s="431"/>
      <c r="M924" s="431"/>
      <c r="N924" s="431"/>
      <c r="O924" s="432"/>
      <c r="P924" s="144"/>
      <c r="Q924" s="238" t="s">
        <v>152</v>
      </c>
      <c r="R924" s="183">
        <v>8.5</v>
      </c>
      <c r="S924" s="184" t="s">
        <v>299</v>
      </c>
    </row>
    <row r="925" spans="1:19" ht="15.75" thickBot="1" x14ac:dyDescent="0.3">
      <c r="E925" s="307" t="s">
        <v>98</v>
      </c>
      <c r="F925" s="365" t="s">
        <v>102</v>
      </c>
      <c r="G925" s="365"/>
      <c r="H925" s="365" t="s">
        <v>92</v>
      </c>
      <c r="I925" s="365" t="s">
        <v>93</v>
      </c>
      <c r="J925" s="365" t="s">
        <v>94</v>
      </c>
      <c r="K925" s="359" t="s">
        <v>99</v>
      </c>
      <c r="L925" s="433"/>
      <c r="M925" s="433"/>
      <c r="N925" s="433"/>
      <c r="O925" s="434"/>
      <c r="P925" s="144"/>
      <c r="Q925" s="238" t="s">
        <v>154</v>
      </c>
      <c r="R925" s="183">
        <v>5</v>
      </c>
      <c r="S925" s="181" t="s">
        <v>348</v>
      </c>
    </row>
    <row r="926" spans="1:19" ht="15.75" thickBot="1" x14ac:dyDescent="0.3">
      <c r="E926" s="308">
        <v>1371</v>
      </c>
      <c r="F926" s="365" t="s">
        <v>95</v>
      </c>
      <c r="G926" s="365"/>
      <c r="H926" s="443">
        <v>344.7</v>
      </c>
      <c r="I926" s="435">
        <v>115.44</v>
      </c>
      <c r="J926" s="435">
        <v>25.3</v>
      </c>
      <c r="K926" s="359">
        <f>SUM(H926:J926)</f>
        <v>485.44</v>
      </c>
      <c r="L926" s="436"/>
      <c r="M926" s="436"/>
      <c r="N926" s="436"/>
      <c r="O926" s="437"/>
      <c r="P926" s="144"/>
      <c r="Q926" s="238" t="s">
        <v>156</v>
      </c>
      <c r="R926" s="183">
        <v>5</v>
      </c>
      <c r="S926" s="181" t="s">
        <v>84</v>
      </c>
    </row>
    <row r="927" spans="1:19" ht="15.75" thickBot="1" x14ac:dyDescent="0.3">
      <c r="E927" s="308">
        <v>120</v>
      </c>
      <c r="F927" s="365" t="s">
        <v>96</v>
      </c>
      <c r="G927" s="365"/>
      <c r="H927" s="441">
        <v>25</v>
      </c>
      <c r="I927" s="441">
        <v>26</v>
      </c>
      <c r="J927" s="435">
        <v>18.72</v>
      </c>
      <c r="K927" s="359">
        <f t="shared" ref="K927:K933" si="127">SUM(H927:J927)</f>
        <v>69.72</v>
      </c>
      <c r="L927" s="436"/>
      <c r="M927" s="436"/>
      <c r="N927" s="436"/>
      <c r="O927" s="437"/>
      <c r="P927" s="144"/>
      <c r="Q927" s="238" t="s">
        <v>158</v>
      </c>
      <c r="R927" s="183">
        <v>5</v>
      </c>
      <c r="S927" s="181"/>
    </row>
    <row r="928" spans="1:19" ht="15.75" thickBot="1" x14ac:dyDescent="0.3">
      <c r="E928" s="307" t="s">
        <v>100</v>
      </c>
      <c r="F928" s="365" t="s">
        <v>95</v>
      </c>
      <c r="G928" s="365"/>
      <c r="H928" s="444">
        <f t="shared" ref="H928:J929" si="128">H926/$E926</f>
        <v>0.2514223194748359</v>
      </c>
      <c r="I928" s="429">
        <f t="shared" si="128"/>
        <v>8.4201312910284459E-2</v>
      </c>
      <c r="J928" s="444">
        <f t="shared" si="128"/>
        <v>1.8453683442742525E-2</v>
      </c>
      <c r="K928" s="374">
        <f t="shared" si="127"/>
        <v>0.35407731582786289</v>
      </c>
      <c r="L928" s="436"/>
      <c r="M928" s="436"/>
      <c r="N928" s="436"/>
      <c r="O928" s="437"/>
      <c r="P928" s="144"/>
      <c r="Q928" s="185" t="s">
        <v>99</v>
      </c>
      <c r="R928" s="183" t="s">
        <v>320</v>
      </c>
      <c r="S928" s="265">
        <v>0.64</v>
      </c>
    </row>
    <row r="929" spans="1:19" x14ac:dyDescent="0.25">
      <c r="E929" s="307" t="s">
        <v>100</v>
      </c>
      <c r="F929" s="438" t="s">
        <v>96</v>
      </c>
      <c r="G929" s="438"/>
      <c r="H929" s="359">
        <f t="shared" si="128"/>
        <v>0.20833333333333334</v>
      </c>
      <c r="I929" s="359">
        <f t="shared" si="128"/>
        <v>0.21666666666666667</v>
      </c>
      <c r="J929" s="359">
        <f t="shared" si="128"/>
        <v>0.156</v>
      </c>
      <c r="K929" s="359">
        <f t="shared" si="127"/>
        <v>0.58100000000000007</v>
      </c>
      <c r="L929" s="436"/>
      <c r="M929" s="436"/>
      <c r="N929" s="436"/>
      <c r="O929" s="437"/>
      <c r="P929" s="144"/>
      <c r="Q929" s="262"/>
      <c r="R929" s="262"/>
      <c r="S929" s="262"/>
    </row>
    <row r="930" spans="1:19" x14ac:dyDescent="0.25">
      <c r="E930" s="307" t="s">
        <v>104</v>
      </c>
      <c r="F930" s="365" t="s">
        <v>95</v>
      </c>
      <c r="G930" s="365"/>
      <c r="H930" s="359">
        <f>H926/($E926/7.7)</f>
        <v>1.9359518599562364</v>
      </c>
      <c r="I930" s="359">
        <f>I926/($E926/7)</f>
        <v>0.58940919037199124</v>
      </c>
      <c r="J930" s="359">
        <f>J926/($E926/7)</f>
        <v>0.12917578409919767</v>
      </c>
      <c r="K930" s="359">
        <f t="shared" si="127"/>
        <v>2.6545368344274252</v>
      </c>
      <c r="L930" s="436"/>
      <c r="M930" s="436"/>
      <c r="N930" s="436"/>
      <c r="O930" s="437"/>
      <c r="P930" s="144"/>
      <c r="Q930" s="262"/>
      <c r="R930" s="262"/>
      <c r="S930" s="262"/>
    </row>
    <row r="931" spans="1:19" x14ac:dyDescent="0.25">
      <c r="E931" s="307" t="s">
        <v>104</v>
      </c>
      <c r="F931" s="438" t="s">
        <v>96</v>
      </c>
      <c r="G931" s="438"/>
      <c r="H931" s="359">
        <f>H927/($E927/7.7)</f>
        <v>1.6041666666666667</v>
      </c>
      <c r="I931" s="359">
        <f>I927/($E927/7.7)</f>
        <v>1.6683333333333334</v>
      </c>
      <c r="J931" s="359">
        <f>J927/($E927/7.7)</f>
        <v>1.2012</v>
      </c>
      <c r="K931" s="359">
        <f t="shared" si="127"/>
        <v>4.4737</v>
      </c>
      <c r="L931" s="436"/>
      <c r="M931" s="436"/>
      <c r="N931" s="436"/>
      <c r="O931" s="437"/>
      <c r="P931" s="144"/>
      <c r="Q931" s="262"/>
      <c r="R931" s="262"/>
      <c r="S931" s="262"/>
    </row>
    <row r="932" spans="1:19" x14ac:dyDescent="0.25">
      <c r="E932" s="307" t="s">
        <v>135</v>
      </c>
      <c r="F932" s="365" t="s">
        <v>95</v>
      </c>
      <c r="G932" s="365"/>
      <c r="H932" s="359">
        <f>H926/((($E926*$B922)*(1-$B919))/$B917)</f>
        <v>4.4102432745527088E-2</v>
      </c>
      <c r="I932" s="359">
        <f>I926/((($E926*$B922)*(1-$B919))/$B917)</f>
        <v>1.4769900888145192E-2</v>
      </c>
      <c r="J932" s="359">
        <f>J926/((($E926*$B922)*(1-$B919))/$B917)</f>
        <v>3.2369931780151886E-3</v>
      </c>
      <c r="K932" s="359">
        <f t="shared" si="127"/>
        <v>6.2109326811687467E-2</v>
      </c>
      <c r="L932" s="436"/>
      <c r="M932" s="436"/>
      <c r="N932" s="436"/>
      <c r="O932" s="437"/>
      <c r="P932" s="42"/>
      <c r="Q932" s="263"/>
      <c r="R932" s="262"/>
      <c r="S932" s="263"/>
    </row>
    <row r="933" spans="1:19" x14ac:dyDescent="0.25">
      <c r="E933" s="307" t="s">
        <v>135</v>
      </c>
      <c r="F933" s="438" t="s">
        <v>96</v>
      </c>
      <c r="G933" s="438"/>
      <c r="H933" s="359">
        <f>H927/((($E927*$B922)*(1-$B919))/$B917)</f>
        <v>3.6544117647058824E-2</v>
      </c>
      <c r="I933" s="359">
        <f>I927/((($E927*$B922)*(1-$B919))/$B917)</f>
        <v>3.8005882352941174E-2</v>
      </c>
      <c r="J933" s="359">
        <f>J927/((($E927*$B922)*(1-$B919))/$B917)</f>
        <v>2.7364235294117644E-2</v>
      </c>
      <c r="K933" s="359">
        <f t="shared" si="127"/>
        <v>0.10191423529411765</v>
      </c>
      <c r="L933" s="439"/>
      <c r="M933" s="439"/>
      <c r="N933" s="439"/>
      <c r="O933" s="440"/>
      <c r="P933" s="42"/>
      <c r="Q933" s="263"/>
      <c r="R933" s="262"/>
      <c r="S933" s="263"/>
    </row>
    <row r="934" spans="1:19" x14ac:dyDescent="0.25">
      <c r="A934" s="178"/>
      <c r="B934" s="178"/>
      <c r="C934" s="178"/>
      <c r="D934" s="178"/>
      <c r="E934" s="178"/>
      <c r="F934" s="178"/>
      <c r="G934" s="178"/>
      <c r="H934" s="178"/>
      <c r="I934" s="178"/>
      <c r="J934" s="178"/>
      <c r="K934" s="178"/>
      <c r="L934" s="178"/>
      <c r="M934" s="178"/>
      <c r="N934" s="178"/>
      <c r="O934" s="178"/>
      <c r="P934" s="146"/>
      <c r="Q934" s="233"/>
      <c r="R934" s="233"/>
      <c r="S934" s="233"/>
    </row>
    <row r="936" spans="1:19" ht="21" x14ac:dyDescent="0.25">
      <c r="A936" s="305"/>
      <c r="B936" s="644" t="s">
        <v>333</v>
      </c>
      <c r="C936" s="645"/>
      <c r="D936" s="645"/>
      <c r="E936" s="645"/>
      <c r="F936" s="645"/>
      <c r="G936" s="645"/>
      <c r="H936" s="645"/>
      <c r="I936" s="645"/>
      <c r="J936" s="645"/>
      <c r="K936" s="645"/>
      <c r="L936" s="645"/>
      <c r="M936" s="645"/>
      <c r="N936" s="645"/>
      <c r="O936" s="646"/>
      <c r="P936" s="145" t="s">
        <v>97</v>
      </c>
      <c r="Q936" s="678" t="s">
        <v>73</v>
      </c>
      <c r="R936" s="678"/>
      <c r="S936" s="678"/>
    </row>
    <row r="937" spans="1:19" ht="21" x14ac:dyDescent="0.25">
      <c r="A937" s="177" t="s">
        <v>285</v>
      </c>
      <c r="B937" s="647">
        <v>43952</v>
      </c>
      <c r="C937" s="648"/>
      <c r="D937" s="648"/>
      <c r="E937" s="648"/>
      <c r="F937" s="648"/>
      <c r="G937" s="648"/>
      <c r="H937" s="648"/>
      <c r="I937" s="648"/>
      <c r="J937" s="648"/>
      <c r="K937" s="648"/>
      <c r="L937" s="648"/>
      <c r="M937" s="648"/>
      <c r="N937" s="648"/>
      <c r="O937" s="649"/>
      <c r="P937" s="145"/>
      <c r="Q937" s="678"/>
      <c r="R937" s="678"/>
      <c r="S937" s="678"/>
    </row>
    <row r="938" spans="1:19" x14ac:dyDescent="0.25">
      <c r="A938" s="177"/>
      <c r="B938" s="650" t="s">
        <v>115</v>
      </c>
      <c r="C938" s="651"/>
      <c r="D938" s="651"/>
      <c r="E938" s="651"/>
      <c r="F938" s="651"/>
      <c r="G938" s="651"/>
      <c r="H938" s="651"/>
      <c r="I938" s="651"/>
      <c r="J938" s="651"/>
      <c r="K938" s="651"/>
      <c r="L938" s="651"/>
      <c r="M938" s="651"/>
      <c r="N938" s="651"/>
      <c r="O938" s="652"/>
      <c r="P938" s="145"/>
      <c r="Q938" s="678"/>
      <c r="R938" s="678"/>
      <c r="S938" s="678"/>
    </row>
    <row r="939" spans="1:19" x14ac:dyDescent="0.25">
      <c r="A939" s="177" t="s">
        <v>106</v>
      </c>
      <c r="B939" s="629">
        <v>10</v>
      </c>
      <c r="C939" s="630"/>
      <c r="D939" s="630"/>
      <c r="E939" s="631"/>
      <c r="F939" s="365" t="s">
        <v>174</v>
      </c>
      <c r="G939" s="471"/>
      <c r="H939" s="653">
        <v>0</v>
      </c>
      <c r="I939" s="654"/>
      <c r="J939" s="654"/>
      <c r="K939" s="654"/>
      <c r="L939" s="655"/>
      <c r="M939" s="656">
        <f>SUM(B939,H940)</f>
        <v>10</v>
      </c>
      <c r="N939" s="630"/>
      <c r="O939" s="631"/>
      <c r="P939" s="145"/>
      <c r="Q939" s="678"/>
      <c r="R939" s="678"/>
      <c r="S939" s="678"/>
    </row>
    <row r="940" spans="1:19" x14ac:dyDescent="0.25">
      <c r="A940" s="177" t="s">
        <v>112</v>
      </c>
      <c r="B940" s="626">
        <v>0.14000000000000001</v>
      </c>
      <c r="C940" s="627"/>
      <c r="D940" s="627"/>
      <c r="E940" s="628"/>
      <c r="F940" s="290"/>
      <c r="G940" s="472"/>
      <c r="H940" s="626">
        <v>0</v>
      </c>
      <c r="I940" s="627"/>
      <c r="J940" s="627"/>
      <c r="K940" s="627"/>
      <c r="L940" s="628"/>
      <c r="M940" s="657">
        <f>B940</f>
        <v>0.14000000000000001</v>
      </c>
      <c r="N940" s="627"/>
      <c r="O940" s="628"/>
      <c r="P940" s="145"/>
      <c r="Q940" s="678"/>
      <c r="R940" s="678"/>
      <c r="S940" s="678"/>
    </row>
    <row r="941" spans="1:19" ht="15.75" thickBot="1" x14ac:dyDescent="0.3">
      <c r="A941" s="177" t="s">
        <v>107</v>
      </c>
      <c r="B941" s="629">
        <f>B939*(1-B940)</f>
        <v>8.6</v>
      </c>
      <c r="C941" s="630"/>
      <c r="D941" s="630"/>
      <c r="E941" s="631"/>
      <c r="F941" s="290"/>
      <c r="G941" s="472"/>
      <c r="H941" s="629">
        <f>H939*(1-H940)</f>
        <v>0</v>
      </c>
      <c r="I941" s="630"/>
      <c r="J941" s="630"/>
      <c r="K941" s="630"/>
      <c r="L941" s="631"/>
      <c r="M941" s="656">
        <f>SUM(B941,H941)</f>
        <v>8.6</v>
      </c>
      <c r="N941" s="630"/>
      <c r="O941" s="631"/>
      <c r="P941" s="145"/>
      <c r="Q941" s="261" t="s">
        <v>97</v>
      </c>
      <c r="R941" s="262"/>
      <c r="S941" s="263"/>
    </row>
    <row r="942" spans="1:19" x14ac:dyDescent="0.25">
      <c r="A942" s="177" t="s">
        <v>108</v>
      </c>
      <c r="B942" s="626">
        <f>B945/B941</f>
        <v>0.88826046511627887</v>
      </c>
      <c r="C942" s="627"/>
      <c r="D942" s="627"/>
      <c r="E942" s="627"/>
      <c r="F942" s="627"/>
      <c r="G942" s="627"/>
      <c r="H942" s="627"/>
      <c r="I942" s="627"/>
      <c r="J942" s="627"/>
      <c r="K942" s="627"/>
      <c r="L942" s="627"/>
      <c r="M942" s="627"/>
      <c r="N942" s="627"/>
      <c r="O942" s="628"/>
      <c r="P942" s="145"/>
      <c r="Q942" s="671" t="s">
        <v>139</v>
      </c>
      <c r="R942" s="235" t="s">
        <v>140</v>
      </c>
      <c r="S942" s="679" t="s">
        <v>142</v>
      </c>
    </row>
    <row r="943" spans="1:19" ht="15.75" thickBot="1" x14ac:dyDescent="0.3">
      <c r="A943" s="177" t="s">
        <v>113</v>
      </c>
      <c r="B943" s="629">
        <f>B947*(E951+E952)/1000</f>
        <v>23.872</v>
      </c>
      <c r="C943" s="630"/>
      <c r="D943" s="630"/>
      <c r="E943" s="630"/>
      <c r="F943" s="630"/>
      <c r="G943" s="630"/>
      <c r="H943" s="630"/>
      <c r="I943" s="630"/>
      <c r="J943" s="630"/>
      <c r="K943" s="630"/>
      <c r="L943" s="630"/>
      <c r="M943" s="630"/>
      <c r="N943" s="630"/>
      <c r="O943" s="631"/>
      <c r="P943" s="145"/>
      <c r="Q943" s="672"/>
      <c r="R943" s="183" t="s">
        <v>141</v>
      </c>
      <c r="S943" s="680"/>
    </row>
    <row r="944" spans="1:19" ht="15.75" thickBot="1" x14ac:dyDescent="0.3">
      <c r="A944" s="177" t="s">
        <v>109</v>
      </c>
      <c r="B944" s="626">
        <v>0.68</v>
      </c>
      <c r="C944" s="627"/>
      <c r="D944" s="627"/>
      <c r="E944" s="627"/>
      <c r="F944" s="627"/>
      <c r="G944" s="627"/>
      <c r="H944" s="627"/>
      <c r="I944" s="627"/>
      <c r="J944" s="627"/>
      <c r="K944" s="627"/>
      <c r="L944" s="627"/>
      <c r="M944" s="627"/>
      <c r="N944" s="627"/>
      <c r="O944" s="628"/>
      <c r="P944" s="145"/>
      <c r="Q944" s="182" t="s">
        <v>143</v>
      </c>
      <c r="R944" s="183">
        <v>5</v>
      </c>
      <c r="S944" s="181" t="s">
        <v>355</v>
      </c>
    </row>
    <row r="945" spans="1:19" ht="15.75" thickBot="1" x14ac:dyDescent="0.3">
      <c r="A945" s="177" t="s">
        <v>122</v>
      </c>
      <c r="B945" s="629">
        <f>B943-(B943*B944)</f>
        <v>7.6390399999999978</v>
      </c>
      <c r="C945" s="630"/>
      <c r="D945" s="630"/>
      <c r="E945" s="630"/>
      <c r="F945" s="630"/>
      <c r="G945" s="630"/>
      <c r="H945" s="630"/>
      <c r="I945" s="630"/>
      <c r="J945" s="630"/>
      <c r="K945" s="630"/>
      <c r="L945" s="630"/>
      <c r="M945" s="630"/>
      <c r="N945" s="630"/>
      <c r="O945" s="631"/>
      <c r="P945" s="145"/>
      <c r="Q945" s="182" t="s">
        <v>145</v>
      </c>
      <c r="R945" s="183">
        <v>7</v>
      </c>
      <c r="S945" s="184" t="s">
        <v>356</v>
      </c>
    </row>
    <row r="946" spans="1:19" ht="29.25" thickBot="1" x14ac:dyDescent="0.3">
      <c r="A946" s="177" t="s">
        <v>110</v>
      </c>
      <c r="B946" s="632">
        <v>121</v>
      </c>
      <c r="C946" s="633"/>
      <c r="D946" s="633"/>
      <c r="E946" s="633"/>
      <c r="F946" s="633"/>
      <c r="G946" s="633"/>
      <c r="H946" s="633"/>
      <c r="I946" s="633"/>
      <c r="J946" s="633"/>
      <c r="K946" s="633"/>
      <c r="L946" s="633"/>
      <c r="M946" s="633"/>
      <c r="N946" s="633"/>
      <c r="O946" s="634"/>
      <c r="P946" s="145"/>
      <c r="Q946" s="182" t="s">
        <v>147</v>
      </c>
      <c r="R946" s="183">
        <v>7</v>
      </c>
      <c r="S946" s="181" t="s">
        <v>403</v>
      </c>
    </row>
    <row r="947" spans="1:19" ht="15.75" thickBot="1" x14ac:dyDescent="0.3">
      <c r="A947" s="177" t="s">
        <v>111</v>
      </c>
      <c r="B947" s="635">
        <v>16</v>
      </c>
      <c r="C947" s="636"/>
      <c r="D947" s="636"/>
      <c r="E947" s="636"/>
      <c r="F947" s="636"/>
      <c r="G947" s="636"/>
      <c r="H947" s="636"/>
      <c r="I947" s="636"/>
      <c r="J947" s="636"/>
      <c r="K947" s="636"/>
      <c r="L947" s="636"/>
      <c r="M947" s="636"/>
      <c r="N947" s="636"/>
      <c r="O947" s="637"/>
      <c r="P947" s="145"/>
      <c r="Q947" s="182" t="s">
        <v>82</v>
      </c>
      <c r="R947" s="183">
        <v>8</v>
      </c>
      <c r="S947" s="184" t="s">
        <v>345</v>
      </c>
    </row>
    <row r="948" spans="1:19" ht="15.75" thickBot="1" x14ac:dyDescent="0.3">
      <c r="A948" s="177" t="s">
        <v>273</v>
      </c>
      <c r="B948" s="638" t="s">
        <v>392</v>
      </c>
      <c r="C948" s="638"/>
      <c r="D948" s="638"/>
      <c r="E948" s="638"/>
      <c r="F948" s="638"/>
      <c r="G948" s="638"/>
      <c r="H948" s="638"/>
      <c r="I948" s="638"/>
      <c r="J948" s="638"/>
      <c r="K948" s="638"/>
      <c r="L948" s="638"/>
      <c r="M948" s="638"/>
      <c r="N948" s="638"/>
      <c r="O948" s="639"/>
      <c r="P948" s="145"/>
      <c r="Q948" s="182" t="s">
        <v>152</v>
      </c>
      <c r="R948" s="183">
        <v>5</v>
      </c>
      <c r="S948" s="184" t="s">
        <v>299</v>
      </c>
    </row>
    <row r="949" spans="1:19" ht="15.75" thickBot="1" x14ac:dyDescent="0.3">
      <c r="A949" s="177" t="s">
        <v>351</v>
      </c>
      <c r="B949" s="431" t="s">
        <v>349</v>
      </c>
      <c r="C949" s="431"/>
      <c r="D949" s="431"/>
      <c r="E949" s="431"/>
      <c r="F949" s="431"/>
      <c r="G949" s="431"/>
      <c r="H949" s="431"/>
      <c r="I949" s="431"/>
      <c r="J949" s="431"/>
      <c r="K949" s="431"/>
      <c r="L949" s="431"/>
      <c r="M949" s="431"/>
      <c r="N949" s="431"/>
      <c r="O949" s="432"/>
      <c r="P949" s="145"/>
      <c r="Q949" s="182" t="s">
        <v>154</v>
      </c>
      <c r="R949" s="183">
        <v>4</v>
      </c>
      <c r="S949" s="181" t="s">
        <v>267</v>
      </c>
    </row>
    <row r="950" spans="1:19" ht="15.75" thickBot="1" x14ac:dyDescent="0.3">
      <c r="E950" s="307" t="s">
        <v>98</v>
      </c>
      <c r="F950" s="365" t="s">
        <v>102</v>
      </c>
      <c r="G950" s="365"/>
      <c r="H950" s="365" t="s">
        <v>92</v>
      </c>
      <c r="I950" s="365" t="s">
        <v>93</v>
      </c>
      <c r="J950" s="365" t="s">
        <v>94</v>
      </c>
      <c r="K950" s="359" t="s">
        <v>99</v>
      </c>
      <c r="L950" s="433"/>
      <c r="M950" s="433"/>
      <c r="N950" s="433"/>
      <c r="O950" s="434"/>
      <c r="P950" s="145"/>
      <c r="Q950" s="182" t="s">
        <v>156</v>
      </c>
      <c r="R950" s="183">
        <v>4</v>
      </c>
      <c r="S950" s="181" t="s">
        <v>84</v>
      </c>
    </row>
    <row r="951" spans="1:19" ht="15.75" thickBot="1" x14ac:dyDescent="0.3">
      <c r="E951" s="308">
        <v>1402</v>
      </c>
      <c r="F951" s="365" t="s">
        <v>95</v>
      </c>
      <c r="G951" s="365"/>
      <c r="H951" s="435">
        <v>658.8</v>
      </c>
      <c r="I951" s="435">
        <v>289.38</v>
      </c>
      <c r="J951" s="435">
        <v>70.7</v>
      </c>
      <c r="K951" s="359">
        <f>SUM(H951:J951)</f>
        <v>1018.88</v>
      </c>
      <c r="L951" s="436"/>
      <c r="M951" s="436"/>
      <c r="N951" s="436"/>
      <c r="O951" s="437"/>
      <c r="P951" s="145"/>
      <c r="Q951" s="182" t="s">
        <v>158</v>
      </c>
      <c r="R951" s="183">
        <v>5</v>
      </c>
      <c r="S951" s="181"/>
    </row>
    <row r="952" spans="1:19" ht="15.75" thickBot="1" x14ac:dyDescent="0.3">
      <c r="E952" s="308">
        <v>90</v>
      </c>
      <c r="F952" s="365" t="s">
        <v>96</v>
      </c>
      <c r="G952" s="365"/>
      <c r="H952" s="435">
        <v>9.5</v>
      </c>
      <c r="I952" s="435">
        <v>20.8</v>
      </c>
      <c r="J952" s="435">
        <v>7.02</v>
      </c>
      <c r="K952" s="359">
        <f t="shared" ref="K952:K958" si="129">SUM(H952:J952)</f>
        <v>37.32</v>
      </c>
      <c r="L952" s="436"/>
      <c r="M952" s="436"/>
      <c r="N952" s="436"/>
      <c r="O952" s="437"/>
      <c r="P952" s="145"/>
      <c r="Q952" s="185" t="s">
        <v>99</v>
      </c>
      <c r="R952" s="183" t="s">
        <v>357</v>
      </c>
      <c r="S952" s="265">
        <v>0.56999999999999995</v>
      </c>
    </row>
    <row r="953" spans="1:19" x14ac:dyDescent="0.25">
      <c r="E953" s="307" t="s">
        <v>100</v>
      </c>
      <c r="F953" s="365" t="s">
        <v>95</v>
      </c>
      <c r="G953" s="365"/>
      <c r="H953" s="444">
        <f t="shared" ref="H953:J954" si="130">H951/$E951</f>
        <v>0.46990014265335234</v>
      </c>
      <c r="I953" s="429">
        <f t="shared" si="130"/>
        <v>0.20640513552068473</v>
      </c>
      <c r="J953" s="429">
        <f t="shared" si="130"/>
        <v>5.0427960057061343E-2</v>
      </c>
      <c r="K953" s="374">
        <f t="shared" si="129"/>
        <v>0.72673323823109837</v>
      </c>
      <c r="L953" s="436"/>
      <c r="M953" s="436"/>
      <c r="N953" s="436"/>
      <c r="O953" s="437"/>
      <c r="P953" s="145"/>
      <c r="Q953" s="262"/>
      <c r="R953" s="262"/>
      <c r="S953" s="262"/>
    </row>
    <row r="954" spans="1:19" x14ac:dyDescent="0.25">
      <c r="E954" s="307" t="s">
        <v>100</v>
      </c>
      <c r="F954" s="438" t="s">
        <v>96</v>
      </c>
      <c r="G954" s="438"/>
      <c r="H954" s="359">
        <f t="shared" si="130"/>
        <v>0.10555555555555556</v>
      </c>
      <c r="I954" s="359">
        <f t="shared" si="130"/>
        <v>0.23111111111111113</v>
      </c>
      <c r="J954" s="359">
        <f t="shared" si="130"/>
        <v>7.8E-2</v>
      </c>
      <c r="K954" s="359">
        <f t="shared" si="129"/>
        <v>0.41466666666666668</v>
      </c>
      <c r="L954" s="436"/>
      <c r="M954" s="436"/>
      <c r="N954" s="436"/>
      <c r="O954" s="437"/>
      <c r="P954" s="145"/>
      <c r="Q954" s="262"/>
      <c r="R954" s="262"/>
      <c r="S954" s="262"/>
    </row>
    <row r="955" spans="1:19" x14ac:dyDescent="0.25">
      <c r="E955" s="307" t="s">
        <v>104</v>
      </c>
      <c r="F955" s="365" t="s">
        <v>95</v>
      </c>
      <c r="G955" s="365"/>
      <c r="H955" s="359">
        <f>H951/($E951/7.7)</f>
        <v>3.618231098430813</v>
      </c>
      <c r="I955" s="359">
        <f>I951/($E951/7)</f>
        <v>1.4448359486447933</v>
      </c>
      <c r="J955" s="359">
        <f>J951/($E951/7)</f>
        <v>0.35299572039942939</v>
      </c>
      <c r="K955" s="359">
        <f t="shared" si="129"/>
        <v>5.4160627674750348</v>
      </c>
      <c r="L955" s="436"/>
      <c r="M955" s="436"/>
      <c r="N955" s="436"/>
      <c r="O955" s="437"/>
      <c r="P955" s="145"/>
      <c r="Q955" s="262"/>
      <c r="R955" s="262"/>
      <c r="S955" s="262"/>
    </row>
    <row r="956" spans="1:19" x14ac:dyDescent="0.25">
      <c r="E956" s="307" t="s">
        <v>104</v>
      </c>
      <c r="F956" s="438" t="s">
        <v>96</v>
      </c>
      <c r="G956" s="438"/>
      <c r="H956" s="359">
        <f>H952/($E952/7.7)</f>
        <v>0.81277777777777782</v>
      </c>
      <c r="I956" s="359">
        <f>I952/($E952/7.7)</f>
        <v>1.7795555555555558</v>
      </c>
      <c r="J956" s="359">
        <f>J952/($E952/7.7)</f>
        <v>0.60060000000000002</v>
      </c>
      <c r="K956" s="359">
        <f t="shared" si="129"/>
        <v>3.1929333333333334</v>
      </c>
      <c r="L956" s="436"/>
      <c r="M956" s="436"/>
      <c r="N956" s="436"/>
      <c r="O956" s="437"/>
      <c r="P956" s="145"/>
      <c r="Q956" s="262"/>
      <c r="R956" s="262"/>
      <c r="S956" s="262"/>
    </row>
    <row r="957" spans="1:19" x14ac:dyDescent="0.25">
      <c r="E957" s="307" t="s">
        <v>135</v>
      </c>
      <c r="F957" s="365" t="s">
        <v>95</v>
      </c>
      <c r="G957" s="365"/>
      <c r="H957" s="359">
        <f>H951/((($E951*$B947)*(1-$B944))/$B942)</f>
        <v>8.1522210795209479E-2</v>
      </c>
      <c r="I957" s="359">
        <f>I951/((($E951*$B947)*(1-$B944))/$B942)</f>
        <v>3.5808890953123437E-2</v>
      </c>
      <c r="J957" s="359">
        <f>J951/((($E951*$B947)*(1-$B944))/$B942)</f>
        <v>8.7486646982715723E-3</v>
      </c>
      <c r="K957" s="359">
        <f t="shared" si="129"/>
        <v>0.12607976644660449</v>
      </c>
      <c r="L957" s="436"/>
      <c r="M957" s="436"/>
      <c r="N957" s="436"/>
      <c r="O957" s="437"/>
      <c r="P957" s="42"/>
      <c r="Q957" s="263"/>
      <c r="R957" s="262"/>
      <c r="S957" s="263"/>
    </row>
    <row r="958" spans="1:19" x14ac:dyDescent="0.25">
      <c r="E958" s="307" t="s">
        <v>135</v>
      </c>
      <c r="F958" s="438" t="s">
        <v>96</v>
      </c>
      <c r="G958" s="438"/>
      <c r="H958" s="359">
        <f>H952/((($E952*$B947)*(1-$B944))/$B942)</f>
        <v>1.8312661498708006E-2</v>
      </c>
      <c r="I958" s="359">
        <f>I952/((($E952*$B947)*(1-$B944))/$B942)</f>
        <v>4.0095090439276483E-2</v>
      </c>
      <c r="J958" s="359">
        <f>J952/((($E952*$B947)*(1-$B944))/$B942)</f>
        <v>1.3532093023255811E-2</v>
      </c>
      <c r="K958" s="359">
        <f t="shared" si="129"/>
        <v>7.1939844961240298E-2</v>
      </c>
      <c r="L958" s="439"/>
      <c r="M958" s="439"/>
      <c r="N958" s="439"/>
      <c r="O958" s="440"/>
      <c r="P958" s="42"/>
      <c r="Q958" s="263"/>
      <c r="R958" s="262"/>
      <c r="S958" s="263"/>
    </row>
    <row r="959" spans="1:19" x14ac:dyDescent="0.25">
      <c r="A959" s="178"/>
      <c r="B959" s="178"/>
      <c r="C959" s="178"/>
      <c r="D959" s="178"/>
      <c r="E959" s="178"/>
      <c r="F959" s="178"/>
      <c r="G959" s="178"/>
      <c r="H959" s="178"/>
      <c r="I959" s="178"/>
      <c r="J959" s="178"/>
      <c r="K959" s="178"/>
      <c r="L959" s="178"/>
      <c r="M959" s="178"/>
      <c r="N959" s="178"/>
      <c r="O959" s="178"/>
      <c r="P959" s="146"/>
      <c r="Q959" s="233"/>
      <c r="R959" s="233"/>
      <c r="S959" s="233"/>
    </row>
    <row r="961" spans="1:19" ht="21" x14ac:dyDescent="0.25">
      <c r="A961" s="305"/>
      <c r="B961" s="644" t="s">
        <v>334</v>
      </c>
      <c r="C961" s="645"/>
      <c r="D961" s="645"/>
      <c r="E961" s="645"/>
      <c r="F961" s="645"/>
      <c r="G961" s="645"/>
      <c r="H961" s="645"/>
      <c r="I961" s="645"/>
      <c r="J961" s="645"/>
      <c r="K961" s="645"/>
      <c r="L961" s="645"/>
      <c r="M961" s="645"/>
      <c r="N961" s="645"/>
      <c r="O961" s="646"/>
      <c r="P961" s="145" t="s">
        <v>97</v>
      </c>
      <c r="Q961" s="678" t="s">
        <v>74</v>
      </c>
      <c r="R961" s="678"/>
      <c r="S961" s="678"/>
    </row>
    <row r="962" spans="1:19" ht="21" x14ac:dyDescent="0.25">
      <c r="A962" s="177" t="s">
        <v>285</v>
      </c>
      <c r="B962" s="647">
        <v>43959</v>
      </c>
      <c r="C962" s="648"/>
      <c r="D962" s="648"/>
      <c r="E962" s="648"/>
      <c r="F962" s="648"/>
      <c r="G962" s="648"/>
      <c r="H962" s="648"/>
      <c r="I962" s="648"/>
      <c r="J962" s="648"/>
      <c r="K962" s="648"/>
      <c r="L962" s="648"/>
      <c r="M962" s="648"/>
      <c r="N962" s="648"/>
      <c r="O962" s="649"/>
      <c r="P962" s="145"/>
      <c r="Q962" s="678"/>
      <c r="R962" s="678"/>
      <c r="S962" s="678"/>
    </row>
    <row r="963" spans="1:19" x14ac:dyDescent="0.25">
      <c r="A963" s="177"/>
      <c r="B963" s="650" t="s">
        <v>115</v>
      </c>
      <c r="C963" s="651"/>
      <c r="D963" s="651"/>
      <c r="E963" s="651"/>
      <c r="F963" s="651"/>
      <c r="G963" s="651"/>
      <c r="H963" s="651"/>
      <c r="I963" s="651"/>
      <c r="J963" s="651"/>
      <c r="K963" s="651"/>
      <c r="L963" s="651"/>
      <c r="M963" s="651"/>
      <c r="N963" s="651"/>
      <c r="O963" s="652"/>
      <c r="P963" s="145"/>
      <c r="Q963" s="678"/>
      <c r="R963" s="678"/>
      <c r="S963" s="678"/>
    </row>
    <row r="964" spans="1:19" x14ac:dyDescent="0.25">
      <c r="A964" s="177" t="s">
        <v>106</v>
      </c>
      <c r="B964" s="629">
        <v>10</v>
      </c>
      <c r="C964" s="630"/>
      <c r="D964" s="630"/>
      <c r="E964" s="631"/>
      <c r="F964" s="365" t="s">
        <v>174</v>
      </c>
      <c r="G964" s="471"/>
      <c r="H964" s="653">
        <v>0</v>
      </c>
      <c r="I964" s="654"/>
      <c r="J964" s="654"/>
      <c r="K964" s="654"/>
      <c r="L964" s="655"/>
      <c r="M964" s="656">
        <f>SUM(B964,H965)</f>
        <v>10</v>
      </c>
      <c r="N964" s="630"/>
      <c r="O964" s="631"/>
      <c r="P964" s="145"/>
      <c r="Q964" s="678"/>
      <c r="R964" s="678"/>
      <c r="S964" s="678"/>
    </row>
    <row r="965" spans="1:19" x14ac:dyDescent="0.25">
      <c r="A965" s="177" t="s">
        <v>112</v>
      </c>
      <c r="B965" s="626">
        <v>0.14000000000000001</v>
      </c>
      <c r="C965" s="627"/>
      <c r="D965" s="627"/>
      <c r="E965" s="628"/>
      <c r="F965" s="290"/>
      <c r="G965" s="472"/>
      <c r="H965" s="626">
        <v>0</v>
      </c>
      <c r="I965" s="627"/>
      <c r="J965" s="627"/>
      <c r="K965" s="627"/>
      <c r="L965" s="628"/>
      <c r="M965" s="657">
        <f>B965</f>
        <v>0.14000000000000001</v>
      </c>
      <c r="N965" s="627"/>
      <c r="O965" s="628"/>
      <c r="P965" s="145"/>
      <c r="Q965" s="678"/>
      <c r="R965" s="678"/>
      <c r="S965" s="678"/>
    </row>
    <row r="966" spans="1:19" ht="15.75" thickBot="1" x14ac:dyDescent="0.3">
      <c r="A966" s="177" t="s">
        <v>107</v>
      </c>
      <c r="B966" s="629">
        <f>B964*(1-B965)</f>
        <v>8.6</v>
      </c>
      <c r="C966" s="630"/>
      <c r="D966" s="630"/>
      <c r="E966" s="631"/>
      <c r="F966" s="290"/>
      <c r="G966" s="472"/>
      <c r="H966" s="629">
        <f>H964*(1-H965)</f>
        <v>0</v>
      </c>
      <c r="I966" s="630"/>
      <c r="J966" s="630"/>
      <c r="K966" s="630"/>
      <c r="L966" s="631"/>
      <c r="M966" s="656">
        <f>SUM(B966,H966)</f>
        <v>8.6</v>
      </c>
      <c r="N966" s="630"/>
      <c r="O966" s="631"/>
      <c r="P966" s="145"/>
      <c r="Q966" s="261" t="s">
        <v>97</v>
      </c>
      <c r="R966" s="262"/>
      <c r="S966" s="263"/>
    </row>
    <row r="967" spans="1:19" x14ac:dyDescent="0.25">
      <c r="A967" s="177" t="s">
        <v>108</v>
      </c>
      <c r="B967" s="626">
        <f>B970/B966</f>
        <v>0.77806395348837232</v>
      </c>
      <c r="C967" s="627"/>
      <c r="D967" s="627"/>
      <c r="E967" s="627"/>
      <c r="F967" s="627"/>
      <c r="G967" s="627"/>
      <c r="H967" s="627"/>
      <c r="I967" s="627"/>
      <c r="J967" s="627"/>
      <c r="K967" s="627"/>
      <c r="L967" s="627"/>
      <c r="M967" s="627"/>
      <c r="N967" s="627"/>
      <c r="O967" s="628"/>
      <c r="P967" s="145"/>
      <c r="Q967" s="671" t="s">
        <v>139</v>
      </c>
      <c r="R967" s="235" t="s">
        <v>140</v>
      </c>
      <c r="S967" s="679" t="s">
        <v>142</v>
      </c>
    </row>
    <row r="968" spans="1:19" ht="15.75" thickBot="1" x14ac:dyDescent="0.3">
      <c r="A968" s="177" t="s">
        <v>113</v>
      </c>
      <c r="B968" s="629">
        <f>B972*(E976+E977)/1000</f>
        <v>21.585000000000001</v>
      </c>
      <c r="C968" s="630"/>
      <c r="D968" s="630"/>
      <c r="E968" s="630"/>
      <c r="F968" s="630"/>
      <c r="G968" s="630"/>
      <c r="H968" s="630"/>
      <c r="I968" s="630"/>
      <c r="J968" s="630"/>
      <c r="K968" s="630"/>
      <c r="L968" s="630"/>
      <c r="M968" s="630"/>
      <c r="N968" s="630"/>
      <c r="O968" s="631"/>
      <c r="P968" s="145"/>
      <c r="Q968" s="672"/>
      <c r="R968" s="183" t="s">
        <v>141</v>
      </c>
      <c r="S968" s="680"/>
    </row>
    <row r="969" spans="1:19" ht="15.75" thickBot="1" x14ac:dyDescent="0.3">
      <c r="A969" s="177" t="s">
        <v>109</v>
      </c>
      <c r="B969" s="626">
        <v>0.69</v>
      </c>
      <c r="C969" s="627"/>
      <c r="D969" s="627"/>
      <c r="E969" s="627"/>
      <c r="F969" s="627"/>
      <c r="G969" s="627"/>
      <c r="H969" s="627"/>
      <c r="I969" s="627"/>
      <c r="J969" s="627"/>
      <c r="K969" s="627"/>
      <c r="L969" s="627"/>
      <c r="M969" s="627"/>
      <c r="N969" s="627"/>
      <c r="O969" s="628"/>
      <c r="P969" s="145"/>
      <c r="Q969" s="238" t="s">
        <v>143</v>
      </c>
      <c r="R969" s="183">
        <v>3</v>
      </c>
      <c r="S969" s="181" t="s">
        <v>296</v>
      </c>
    </row>
    <row r="970" spans="1:19" ht="15.75" thickBot="1" x14ac:dyDescent="0.3">
      <c r="A970" s="177" t="s">
        <v>122</v>
      </c>
      <c r="B970" s="629">
        <f>B968-(B968*B969)</f>
        <v>6.6913500000000017</v>
      </c>
      <c r="C970" s="630"/>
      <c r="D970" s="630"/>
      <c r="E970" s="630"/>
      <c r="F970" s="630"/>
      <c r="G970" s="630"/>
      <c r="H970" s="630"/>
      <c r="I970" s="630"/>
      <c r="J970" s="630"/>
      <c r="K970" s="630"/>
      <c r="L970" s="630"/>
      <c r="M970" s="630"/>
      <c r="N970" s="630"/>
      <c r="O970" s="631"/>
      <c r="P970" s="145"/>
      <c r="Q970" s="238" t="s">
        <v>145</v>
      </c>
      <c r="R970" s="183">
        <v>6</v>
      </c>
      <c r="S970" s="184" t="s">
        <v>311</v>
      </c>
    </row>
    <row r="971" spans="1:19" ht="29.25" thickBot="1" x14ac:dyDescent="0.3">
      <c r="A971" s="177" t="s">
        <v>110</v>
      </c>
      <c r="B971" s="632">
        <v>121</v>
      </c>
      <c r="C971" s="633"/>
      <c r="D971" s="633"/>
      <c r="E971" s="633"/>
      <c r="F971" s="633"/>
      <c r="G971" s="633"/>
      <c r="H971" s="633"/>
      <c r="I971" s="633"/>
      <c r="J971" s="633"/>
      <c r="K971" s="633"/>
      <c r="L971" s="633"/>
      <c r="M971" s="633"/>
      <c r="N971" s="633"/>
      <c r="O971" s="634"/>
      <c r="P971" s="145"/>
      <c r="Q971" s="238" t="s">
        <v>147</v>
      </c>
      <c r="R971" s="183">
        <v>6</v>
      </c>
      <c r="S971" s="184" t="s">
        <v>406</v>
      </c>
    </row>
    <row r="972" spans="1:19" x14ac:dyDescent="0.25">
      <c r="A972" s="177" t="s">
        <v>111</v>
      </c>
      <c r="B972" s="635">
        <v>15</v>
      </c>
      <c r="C972" s="636"/>
      <c r="D972" s="636"/>
      <c r="E972" s="636"/>
      <c r="F972" s="636"/>
      <c r="G972" s="636"/>
      <c r="H972" s="636"/>
      <c r="I972" s="636"/>
      <c r="J972" s="636"/>
      <c r="K972" s="636"/>
      <c r="L972" s="636"/>
      <c r="M972" s="636"/>
      <c r="N972" s="636"/>
      <c r="O972" s="637"/>
      <c r="P972" s="145"/>
      <c r="Q972" s="239" t="s">
        <v>149</v>
      </c>
      <c r="R972" s="671">
        <v>7</v>
      </c>
      <c r="S972" s="673" t="s">
        <v>312</v>
      </c>
    </row>
    <row r="973" spans="1:19" ht="15.75" thickBot="1" x14ac:dyDescent="0.3">
      <c r="A973" s="177" t="s">
        <v>273</v>
      </c>
      <c r="B973" s="638" t="s">
        <v>392</v>
      </c>
      <c r="C973" s="638"/>
      <c r="D973" s="638"/>
      <c r="E973" s="638"/>
      <c r="F973" s="638"/>
      <c r="G973" s="638"/>
      <c r="H973" s="638"/>
      <c r="I973" s="638"/>
      <c r="J973" s="638"/>
      <c r="K973" s="638"/>
      <c r="L973" s="638"/>
      <c r="M973" s="638"/>
      <c r="N973" s="638"/>
      <c r="O973" s="639"/>
      <c r="P973" s="145"/>
      <c r="Q973" s="238" t="s">
        <v>150</v>
      </c>
      <c r="R973" s="672"/>
      <c r="S973" s="674"/>
    </row>
    <row r="974" spans="1:19" ht="15.75" thickBot="1" x14ac:dyDescent="0.3">
      <c r="A974" s="177" t="s">
        <v>351</v>
      </c>
      <c r="B974" s="431" t="s">
        <v>349</v>
      </c>
      <c r="C974" s="431"/>
      <c r="D974" s="431"/>
      <c r="E974" s="431"/>
      <c r="F974" s="431"/>
      <c r="G974" s="431"/>
      <c r="H974" s="431"/>
      <c r="I974" s="431"/>
      <c r="J974" s="431"/>
      <c r="K974" s="431"/>
      <c r="L974" s="431"/>
      <c r="M974" s="431"/>
      <c r="N974" s="431"/>
      <c r="O974" s="432"/>
      <c r="P974" s="145"/>
      <c r="Q974" s="238" t="s">
        <v>152</v>
      </c>
      <c r="R974" s="183">
        <v>5.5</v>
      </c>
      <c r="S974" s="184" t="s">
        <v>358</v>
      </c>
    </row>
    <row r="975" spans="1:19" ht="15.75" thickBot="1" x14ac:dyDescent="0.3">
      <c r="E975" s="307" t="s">
        <v>98</v>
      </c>
      <c r="F975" s="365" t="s">
        <v>102</v>
      </c>
      <c r="G975" s="365"/>
      <c r="H975" s="365" t="s">
        <v>92</v>
      </c>
      <c r="I975" s="365" t="s">
        <v>93</v>
      </c>
      <c r="J975" s="365" t="s">
        <v>94</v>
      </c>
      <c r="K975" s="359" t="s">
        <v>99</v>
      </c>
      <c r="L975" s="433"/>
      <c r="M975" s="433"/>
      <c r="N975" s="433"/>
      <c r="O975" s="434"/>
      <c r="P975" s="145"/>
      <c r="Q975" s="238" t="s">
        <v>154</v>
      </c>
      <c r="R975" s="183">
        <v>5</v>
      </c>
      <c r="S975" s="181" t="s">
        <v>359</v>
      </c>
    </row>
    <row r="976" spans="1:19" ht="15.75" thickBot="1" x14ac:dyDescent="0.3">
      <c r="E976" s="308">
        <v>1439</v>
      </c>
      <c r="F976" s="365" t="s">
        <v>95</v>
      </c>
      <c r="G976" s="365"/>
      <c r="H976" s="435">
        <v>291.72000000000003</v>
      </c>
      <c r="I976" s="435">
        <v>164.78</v>
      </c>
      <c r="J976" s="435">
        <v>63.78</v>
      </c>
      <c r="K976" s="359">
        <f>SUM(H976:J976)</f>
        <v>520.28</v>
      </c>
      <c r="L976" s="436"/>
      <c r="M976" s="436"/>
      <c r="N976" s="436"/>
      <c r="O976" s="437"/>
      <c r="P976" s="145"/>
      <c r="Q976" s="238" t="s">
        <v>156</v>
      </c>
      <c r="R976" s="183">
        <v>4</v>
      </c>
      <c r="S976" s="181" t="s">
        <v>360</v>
      </c>
    </row>
    <row r="977" spans="1:19" ht="15.75" thickBot="1" x14ac:dyDescent="0.3">
      <c r="E977" s="308">
        <v>0</v>
      </c>
      <c r="F977" s="365" t="s">
        <v>96</v>
      </c>
      <c r="G977" s="365"/>
      <c r="H977" s="435">
        <v>0</v>
      </c>
      <c r="I977" s="435">
        <v>0</v>
      </c>
      <c r="J977" s="435">
        <v>0</v>
      </c>
      <c r="K977" s="359">
        <f t="shared" ref="K977:K983" si="131">SUM(H977:J977)</f>
        <v>0</v>
      </c>
      <c r="L977" s="436"/>
      <c r="M977" s="436"/>
      <c r="N977" s="436"/>
      <c r="O977" s="437"/>
      <c r="P977" s="145"/>
      <c r="Q977" s="238" t="s">
        <v>158</v>
      </c>
      <c r="R977" s="183">
        <v>5</v>
      </c>
      <c r="S977" s="181"/>
    </row>
    <row r="978" spans="1:19" ht="15.75" thickBot="1" x14ac:dyDescent="0.3">
      <c r="E978" s="307" t="s">
        <v>100</v>
      </c>
      <c r="F978" s="365" t="s">
        <v>95</v>
      </c>
      <c r="G978" s="365"/>
      <c r="H978" s="444">
        <f>H976/$E976</f>
        <v>0.20272411396803339</v>
      </c>
      <c r="I978" s="444">
        <f>I976/$E976</f>
        <v>0.1145100764419736</v>
      </c>
      <c r="J978" s="444">
        <f>J976/$E976</f>
        <v>4.4322446143154969E-2</v>
      </c>
      <c r="K978" s="374">
        <f t="shared" si="131"/>
        <v>0.36155663655316195</v>
      </c>
      <c r="L978" s="436"/>
      <c r="M978" s="436"/>
      <c r="N978" s="436"/>
      <c r="O978" s="437"/>
      <c r="P978" s="145"/>
      <c r="Q978" s="185" t="s">
        <v>99</v>
      </c>
      <c r="R978" s="183" t="s">
        <v>361</v>
      </c>
      <c r="S978" s="186">
        <v>0.52100000000000002</v>
      </c>
    </row>
    <row r="979" spans="1:19" x14ac:dyDescent="0.25">
      <c r="E979" s="307" t="s">
        <v>100</v>
      </c>
      <c r="F979" s="438" t="s">
        <v>96</v>
      </c>
      <c r="G979" s="438"/>
      <c r="H979" s="359" t="str">
        <f>IFERROR(H977/$E977,"na")</f>
        <v>na</v>
      </c>
      <c r="I979" s="359" t="str">
        <f>IFERROR(I977/$E977,"na")</f>
        <v>na</v>
      </c>
      <c r="J979" s="359" t="str">
        <f>IFERROR(J977/$E977,"na")</f>
        <v>na</v>
      </c>
      <c r="K979" s="359">
        <f>SUM(H979:J979)</f>
        <v>0</v>
      </c>
      <c r="L979" s="436"/>
      <c r="M979" s="436"/>
      <c r="N979" s="436"/>
      <c r="O979" s="437"/>
      <c r="P979" s="145"/>
      <c r="Q979" s="262"/>
      <c r="R979" s="262"/>
      <c r="S979" s="262"/>
    </row>
    <row r="980" spans="1:19" x14ac:dyDescent="0.25">
      <c r="E980" s="307" t="s">
        <v>104</v>
      </c>
      <c r="F980" s="365" t="s">
        <v>95</v>
      </c>
      <c r="G980" s="365"/>
      <c r="H980" s="359">
        <f>H976/($E976/7.7)</f>
        <v>1.560975677553857</v>
      </c>
      <c r="I980" s="359">
        <f>I976/($E976/7)</f>
        <v>0.80157053509381515</v>
      </c>
      <c r="J980" s="359">
        <f>J976/($E976/7)</f>
        <v>0.31025712300208474</v>
      </c>
      <c r="K980" s="359">
        <f t="shared" si="131"/>
        <v>2.6728033356497569</v>
      </c>
      <c r="L980" s="436"/>
      <c r="M980" s="436"/>
      <c r="N980" s="436"/>
      <c r="O980" s="437"/>
      <c r="P980" s="145"/>
      <c r="Q980" s="262"/>
      <c r="R980" s="262"/>
      <c r="S980" s="262"/>
    </row>
    <row r="981" spans="1:19" x14ac:dyDescent="0.25">
      <c r="E981" s="307" t="s">
        <v>104</v>
      </c>
      <c r="F981" s="438" t="s">
        <v>96</v>
      </c>
      <c r="G981" s="438"/>
      <c r="H981" s="359" t="str">
        <f>IFERROR(H977/($E977/7.7),"na")</f>
        <v>na</v>
      </c>
      <c r="I981" s="359" t="str">
        <f>IFERROR(I977/($E977/7.7),"na")</f>
        <v>na</v>
      </c>
      <c r="J981" s="359" t="str">
        <f>IFERROR(J977/($E977/7.7),"na")</f>
        <v>na</v>
      </c>
      <c r="K981" s="359">
        <f t="shared" si="131"/>
        <v>0</v>
      </c>
      <c r="L981" s="436"/>
      <c r="M981" s="436"/>
      <c r="N981" s="436"/>
      <c r="O981" s="437"/>
      <c r="P981" s="145"/>
      <c r="Q981" s="262"/>
      <c r="R981" s="262"/>
      <c r="S981" s="262"/>
    </row>
    <row r="982" spans="1:19" x14ac:dyDescent="0.25">
      <c r="E982" s="307" t="s">
        <v>135</v>
      </c>
      <c r="F982" s="365" t="s">
        <v>95</v>
      </c>
      <c r="G982" s="365"/>
      <c r="H982" s="359">
        <f>H976/((($E976*$B972)*(1-$B969))/$B967)</f>
        <v>3.3920930232558141E-2</v>
      </c>
      <c r="I982" s="359">
        <f>I976/((($E976*$B972)*(1-$B969))/$B967)</f>
        <v>1.9160465116279071E-2</v>
      </c>
      <c r="J982" s="359">
        <f>J976/((($E976*$B972)*(1-$B969))/$B967)</f>
        <v>7.4162790697674423E-3</v>
      </c>
      <c r="K982" s="359">
        <f t="shared" si="131"/>
        <v>6.0497674418604652E-2</v>
      </c>
      <c r="L982" s="436"/>
      <c r="M982" s="436"/>
      <c r="N982" s="436"/>
      <c r="O982" s="437"/>
      <c r="P982" s="42"/>
      <c r="Q982" s="263"/>
      <c r="R982" s="262"/>
      <c r="S982" s="263"/>
    </row>
    <row r="983" spans="1:19" x14ac:dyDescent="0.25">
      <c r="E983" s="307" t="s">
        <v>135</v>
      </c>
      <c r="F983" s="438" t="s">
        <v>96</v>
      </c>
      <c r="G983" s="438"/>
      <c r="H983" s="359" t="str">
        <f>IFERROR(H977/((($E977*$B972)*(1-$B969))/$B967),"na")</f>
        <v>na</v>
      </c>
      <c r="I983" s="359" t="str">
        <f>IFERROR(I977/((($E977*$B972)*(1-$B969))/$B967),"na")</f>
        <v>na</v>
      </c>
      <c r="J983" s="359" t="str">
        <f>IFERROR(J977/((($E977*$B972)*(1-$B969))/$B967),"na")</f>
        <v>na</v>
      </c>
      <c r="K983" s="359">
        <f t="shared" si="131"/>
        <v>0</v>
      </c>
      <c r="L983" s="439"/>
      <c r="M983" s="439"/>
      <c r="N983" s="439"/>
      <c r="O983" s="440"/>
      <c r="P983" s="42"/>
      <c r="Q983" s="263"/>
      <c r="R983" s="262"/>
      <c r="S983" s="263"/>
    </row>
    <row r="984" spans="1:19" x14ac:dyDescent="0.25">
      <c r="A984" s="178"/>
      <c r="B984" s="178"/>
      <c r="C984" s="178"/>
      <c r="D984" s="178"/>
      <c r="E984" s="178"/>
      <c r="F984" s="178"/>
      <c r="G984" s="178"/>
      <c r="H984" s="178"/>
      <c r="I984" s="178"/>
      <c r="J984" s="178"/>
      <c r="K984" s="178"/>
      <c r="L984" s="178"/>
      <c r="M984" s="178"/>
      <c r="N984" s="178"/>
      <c r="O984" s="178"/>
      <c r="P984" s="146"/>
      <c r="Q984" s="233"/>
      <c r="R984" s="233"/>
      <c r="S984" s="233"/>
    </row>
    <row r="986" spans="1:19" ht="21" x14ac:dyDescent="0.25">
      <c r="A986" s="305"/>
      <c r="B986" s="644" t="s">
        <v>335</v>
      </c>
      <c r="C986" s="645"/>
      <c r="D986" s="645"/>
      <c r="E986" s="645"/>
      <c r="F986" s="645"/>
      <c r="G986" s="645"/>
      <c r="H986" s="645"/>
      <c r="I986" s="645"/>
      <c r="J986" s="645"/>
      <c r="K986" s="645"/>
      <c r="L986" s="645"/>
      <c r="M986" s="645"/>
      <c r="N986" s="645"/>
      <c r="O986" s="646"/>
      <c r="P986" s="145" t="s">
        <v>97</v>
      </c>
      <c r="Q986" s="678" t="s">
        <v>173</v>
      </c>
      <c r="R986" s="678"/>
      <c r="S986" s="678"/>
    </row>
    <row r="987" spans="1:19" ht="21" x14ac:dyDescent="0.25">
      <c r="A987" s="177" t="s">
        <v>285</v>
      </c>
      <c r="B987" s="647">
        <f>B1012-7</f>
        <v>43966</v>
      </c>
      <c r="C987" s="648"/>
      <c r="D987" s="648"/>
      <c r="E987" s="648"/>
      <c r="F987" s="648"/>
      <c r="G987" s="648"/>
      <c r="H987" s="648"/>
      <c r="I987" s="648"/>
      <c r="J987" s="648"/>
      <c r="K987" s="648"/>
      <c r="L987" s="648"/>
      <c r="M987" s="648"/>
      <c r="N987" s="648"/>
      <c r="O987" s="649"/>
      <c r="P987" s="145"/>
      <c r="Q987" s="678"/>
      <c r="R987" s="678"/>
      <c r="S987" s="678"/>
    </row>
    <row r="988" spans="1:19" x14ac:dyDescent="0.25">
      <c r="A988" s="177"/>
      <c r="B988" s="650" t="s">
        <v>115</v>
      </c>
      <c r="C988" s="651"/>
      <c r="D988" s="651"/>
      <c r="E988" s="651"/>
      <c r="F988" s="651"/>
      <c r="G988" s="651"/>
      <c r="H988" s="651"/>
      <c r="I988" s="651"/>
      <c r="J988" s="651"/>
      <c r="K988" s="651"/>
      <c r="L988" s="651"/>
      <c r="M988" s="651"/>
      <c r="N988" s="651"/>
      <c r="O988" s="652"/>
      <c r="P988" s="145"/>
      <c r="Q988" s="678"/>
      <c r="R988" s="678"/>
      <c r="S988" s="678"/>
    </row>
    <row r="989" spans="1:19" x14ac:dyDescent="0.25">
      <c r="A989" s="177" t="s">
        <v>106</v>
      </c>
      <c r="B989" s="629">
        <v>10</v>
      </c>
      <c r="C989" s="630"/>
      <c r="D989" s="630"/>
      <c r="E989" s="631"/>
      <c r="F989" s="365" t="s">
        <v>174</v>
      </c>
      <c r="G989" s="471"/>
      <c r="H989" s="653">
        <v>0</v>
      </c>
      <c r="I989" s="654"/>
      <c r="J989" s="654"/>
      <c r="K989" s="654"/>
      <c r="L989" s="655"/>
      <c r="M989" s="656">
        <f>SUM(B989,H990)</f>
        <v>10</v>
      </c>
      <c r="N989" s="630"/>
      <c r="O989" s="631"/>
      <c r="P989" s="145"/>
      <c r="Q989" s="678"/>
      <c r="R989" s="678"/>
      <c r="S989" s="678"/>
    </row>
    <row r="990" spans="1:19" x14ac:dyDescent="0.25">
      <c r="A990" s="177" t="s">
        <v>112</v>
      </c>
      <c r="B990" s="626">
        <v>0.14000000000000001</v>
      </c>
      <c r="C990" s="627"/>
      <c r="D990" s="627"/>
      <c r="E990" s="628"/>
      <c r="F990" s="290"/>
      <c r="G990" s="472"/>
      <c r="H990" s="626">
        <v>0</v>
      </c>
      <c r="I990" s="627"/>
      <c r="J990" s="627"/>
      <c r="K990" s="627"/>
      <c r="L990" s="628"/>
      <c r="M990" s="657">
        <f>B990</f>
        <v>0.14000000000000001</v>
      </c>
      <c r="N990" s="627"/>
      <c r="O990" s="628"/>
      <c r="P990" s="145"/>
      <c r="Q990" s="678"/>
      <c r="R990" s="678"/>
      <c r="S990" s="678"/>
    </row>
    <row r="991" spans="1:19" ht="15.75" thickBot="1" x14ac:dyDescent="0.3">
      <c r="A991" s="177" t="s">
        <v>107</v>
      </c>
      <c r="B991" s="629">
        <f>B989*(1-B990)</f>
        <v>8.6</v>
      </c>
      <c r="C991" s="630"/>
      <c r="D991" s="630"/>
      <c r="E991" s="631"/>
      <c r="F991" s="290"/>
      <c r="G991" s="472"/>
      <c r="H991" s="629">
        <f>H989*(1-H990)</f>
        <v>0</v>
      </c>
      <c r="I991" s="630"/>
      <c r="J991" s="630"/>
      <c r="K991" s="630"/>
      <c r="L991" s="631"/>
      <c r="M991" s="656">
        <f>SUM(B991,H991)</f>
        <v>8.6</v>
      </c>
      <c r="N991" s="630"/>
      <c r="O991" s="631"/>
      <c r="P991" s="145"/>
      <c r="Q991" s="261" t="s">
        <v>97</v>
      </c>
      <c r="R991" s="262"/>
      <c r="S991" s="263"/>
    </row>
    <row r="992" spans="1:19" x14ac:dyDescent="0.25">
      <c r="A992" s="177" t="s">
        <v>108</v>
      </c>
      <c r="B992" s="626">
        <f>B995/B991</f>
        <v>0.75211046511627921</v>
      </c>
      <c r="C992" s="627"/>
      <c r="D992" s="627"/>
      <c r="E992" s="627"/>
      <c r="F992" s="627"/>
      <c r="G992" s="627"/>
      <c r="H992" s="627"/>
      <c r="I992" s="627"/>
      <c r="J992" s="627"/>
      <c r="K992" s="627"/>
      <c r="L992" s="627"/>
      <c r="M992" s="627"/>
      <c r="N992" s="627"/>
      <c r="O992" s="628"/>
      <c r="P992" s="145"/>
      <c r="Q992" s="671" t="s">
        <v>139</v>
      </c>
      <c r="R992" s="235" t="s">
        <v>140</v>
      </c>
      <c r="S992" s="679" t="s">
        <v>142</v>
      </c>
    </row>
    <row r="993" spans="1:19" ht="15.75" thickBot="1" x14ac:dyDescent="0.3">
      <c r="A993" s="177" t="s">
        <v>113</v>
      </c>
      <c r="B993" s="629">
        <f>B997*(E1001+E1002)/1000</f>
        <v>20.864999999999998</v>
      </c>
      <c r="C993" s="630"/>
      <c r="D993" s="630"/>
      <c r="E993" s="630"/>
      <c r="F993" s="630"/>
      <c r="G993" s="630"/>
      <c r="H993" s="630"/>
      <c r="I993" s="630"/>
      <c r="J993" s="630"/>
      <c r="K993" s="630"/>
      <c r="L993" s="630"/>
      <c r="M993" s="630"/>
      <c r="N993" s="630"/>
      <c r="O993" s="631"/>
      <c r="P993" s="145"/>
      <c r="Q993" s="672"/>
      <c r="R993" s="183" t="s">
        <v>141</v>
      </c>
      <c r="S993" s="680"/>
    </row>
    <row r="994" spans="1:19" ht="15.75" thickBot="1" x14ac:dyDescent="0.3">
      <c r="A994" s="177" t="s">
        <v>109</v>
      </c>
      <c r="B994" s="626">
        <v>0.69</v>
      </c>
      <c r="C994" s="627"/>
      <c r="D994" s="627"/>
      <c r="E994" s="627"/>
      <c r="F994" s="627"/>
      <c r="G994" s="627"/>
      <c r="H994" s="627"/>
      <c r="I994" s="627"/>
      <c r="J994" s="627"/>
      <c r="K994" s="627"/>
      <c r="L994" s="627"/>
      <c r="M994" s="627"/>
      <c r="N994" s="627"/>
      <c r="O994" s="628"/>
      <c r="P994" s="145"/>
      <c r="Q994" s="182" t="s">
        <v>143</v>
      </c>
      <c r="R994" s="183">
        <v>2</v>
      </c>
      <c r="S994" s="181" t="s">
        <v>296</v>
      </c>
    </row>
    <row r="995" spans="1:19" ht="15.75" thickBot="1" x14ac:dyDescent="0.3">
      <c r="A995" s="177" t="s">
        <v>122</v>
      </c>
      <c r="B995" s="629">
        <f>B993-(B993*B994)</f>
        <v>6.4681500000000014</v>
      </c>
      <c r="C995" s="630"/>
      <c r="D995" s="630"/>
      <c r="E995" s="630"/>
      <c r="F995" s="630"/>
      <c r="G995" s="630"/>
      <c r="H995" s="630"/>
      <c r="I995" s="630"/>
      <c r="J995" s="630"/>
      <c r="K995" s="630"/>
      <c r="L995" s="630"/>
      <c r="M995" s="630"/>
      <c r="N995" s="630"/>
      <c r="O995" s="631"/>
      <c r="P995" s="145"/>
      <c r="Q995" s="182" t="s">
        <v>145</v>
      </c>
      <c r="R995" s="183">
        <v>5</v>
      </c>
      <c r="S995" s="184" t="s">
        <v>362</v>
      </c>
    </row>
    <row r="996" spans="1:19" ht="29.25" thickBot="1" x14ac:dyDescent="0.3">
      <c r="A996" s="177" t="s">
        <v>110</v>
      </c>
      <c r="B996" s="632">
        <v>126</v>
      </c>
      <c r="C996" s="633"/>
      <c r="D996" s="633"/>
      <c r="E996" s="633"/>
      <c r="F996" s="633"/>
      <c r="G996" s="633"/>
      <c r="H996" s="633"/>
      <c r="I996" s="633"/>
      <c r="J996" s="633"/>
      <c r="K996" s="633"/>
      <c r="L996" s="633"/>
      <c r="M996" s="633"/>
      <c r="N996" s="633"/>
      <c r="O996" s="634"/>
      <c r="P996" s="145"/>
      <c r="Q996" s="182" t="s">
        <v>147</v>
      </c>
      <c r="R996" s="183">
        <v>6</v>
      </c>
      <c r="S996" s="181" t="s">
        <v>407</v>
      </c>
    </row>
    <row r="997" spans="1:19" ht="15.75" thickBot="1" x14ac:dyDescent="0.3">
      <c r="A997" s="177" t="s">
        <v>111</v>
      </c>
      <c r="B997" s="635">
        <v>15</v>
      </c>
      <c r="C997" s="636"/>
      <c r="D997" s="636"/>
      <c r="E997" s="636"/>
      <c r="F997" s="636"/>
      <c r="G997" s="636"/>
      <c r="H997" s="636"/>
      <c r="I997" s="636"/>
      <c r="J997" s="636"/>
      <c r="K997" s="636"/>
      <c r="L997" s="636"/>
      <c r="M997" s="636"/>
      <c r="N997" s="636"/>
      <c r="O997" s="637"/>
      <c r="P997" s="145"/>
      <c r="Q997" s="182" t="s">
        <v>82</v>
      </c>
      <c r="R997" s="183">
        <v>8</v>
      </c>
      <c r="S997" s="184" t="s">
        <v>363</v>
      </c>
    </row>
    <row r="998" spans="1:19" ht="15.75" thickBot="1" x14ac:dyDescent="0.3">
      <c r="A998" s="177" t="s">
        <v>273</v>
      </c>
      <c r="B998" s="638" t="s">
        <v>392</v>
      </c>
      <c r="C998" s="638"/>
      <c r="D998" s="638"/>
      <c r="E998" s="638"/>
      <c r="F998" s="638"/>
      <c r="G998" s="638"/>
      <c r="H998" s="638"/>
      <c r="I998" s="638"/>
      <c r="J998" s="638"/>
      <c r="K998" s="638"/>
      <c r="L998" s="638"/>
      <c r="M998" s="638"/>
      <c r="N998" s="638"/>
      <c r="O998" s="639"/>
      <c r="P998" s="145"/>
      <c r="Q998" s="182" t="s">
        <v>152</v>
      </c>
      <c r="R998" s="183">
        <v>6</v>
      </c>
      <c r="S998" s="184" t="s">
        <v>299</v>
      </c>
    </row>
    <row r="999" spans="1:19" ht="15.75" thickBot="1" x14ac:dyDescent="0.3">
      <c r="A999" s="177" t="s">
        <v>351</v>
      </c>
      <c r="B999" s="431" t="s">
        <v>349</v>
      </c>
      <c r="C999" s="431"/>
      <c r="D999" s="431"/>
      <c r="E999" s="431"/>
      <c r="F999" s="431"/>
      <c r="G999" s="431"/>
      <c r="H999" s="431"/>
      <c r="I999" s="431"/>
      <c r="J999" s="431"/>
      <c r="K999" s="431"/>
      <c r="L999" s="431"/>
      <c r="M999" s="431"/>
      <c r="N999" s="431"/>
      <c r="O999" s="432"/>
      <c r="P999" s="145"/>
      <c r="Q999" s="182" t="s">
        <v>154</v>
      </c>
      <c r="R999" s="183">
        <v>5</v>
      </c>
      <c r="S999" s="181" t="s">
        <v>389</v>
      </c>
    </row>
    <row r="1000" spans="1:19" ht="15.75" thickBot="1" x14ac:dyDescent="0.3">
      <c r="E1000" s="307" t="s">
        <v>98</v>
      </c>
      <c r="F1000" s="365" t="s">
        <v>102</v>
      </c>
      <c r="G1000" s="365"/>
      <c r="H1000" s="365" t="s">
        <v>92</v>
      </c>
      <c r="I1000" s="365" t="s">
        <v>93</v>
      </c>
      <c r="J1000" s="365" t="s">
        <v>94</v>
      </c>
      <c r="K1000" s="359" t="s">
        <v>99</v>
      </c>
      <c r="L1000" s="433"/>
      <c r="M1000" s="433"/>
      <c r="N1000" s="433"/>
      <c r="O1000" s="434"/>
      <c r="P1000" s="145"/>
      <c r="Q1000" s="182" t="s">
        <v>156</v>
      </c>
      <c r="R1000" s="183">
        <v>5</v>
      </c>
      <c r="S1000" s="181" t="s">
        <v>268</v>
      </c>
    </row>
    <row r="1001" spans="1:19" ht="15.75" thickBot="1" x14ac:dyDescent="0.3">
      <c r="E1001" s="308">
        <v>1391</v>
      </c>
      <c r="F1001" s="365" t="s">
        <v>95</v>
      </c>
      <c r="G1001" s="365"/>
      <c r="H1001" s="435">
        <v>869.44</v>
      </c>
      <c r="I1001" s="435">
        <v>518.96</v>
      </c>
      <c r="J1001" s="435">
        <v>125.84</v>
      </c>
      <c r="K1001" s="359">
        <f>SUM(H1001:J1001)</f>
        <v>1514.24</v>
      </c>
      <c r="L1001" s="436"/>
      <c r="M1001" s="436"/>
      <c r="N1001" s="436"/>
      <c r="O1001" s="437"/>
      <c r="P1001" s="145"/>
      <c r="Q1001" s="182" t="s">
        <v>158</v>
      </c>
      <c r="R1001" s="183"/>
      <c r="S1001" s="181"/>
    </row>
    <row r="1002" spans="1:19" ht="15.75" thickBot="1" x14ac:dyDescent="0.3">
      <c r="E1002" s="308">
        <v>0</v>
      </c>
      <c r="F1002" s="365" t="s">
        <v>96</v>
      </c>
      <c r="G1002" s="365"/>
      <c r="H1002" s="435">
        <v>0</v>
      </c>
      <c r="I1002" s="435">
        <v>0</v>
      </c>
      <c r="J1002" s="435">
        <v>0</v>
      </c>
      <c r="K1002" s="359">
        <f t="shared" ref="K1002:K1008" si="132">SUM(H1002:J1002)</f>
        <v>0</v>
      </c>
      <c r="L1002" s="436"/>
      <c r="M1002" s="436"/>
      <c r="N1002" s="436"/>
      <c r="O1002" s="437"/>
      <c r="P1002" s="145"/>
      <c r="Q1002" s="185" t="s">
        <v>99</v>
      </c>
      <c r="R1002" s="183" t="s">
        <v>390</v>
      </c>
      <c r="S1002" s="265">
        <v>0.54</v>
      </c>
    </row>
    <row r="1003" spans="1:19" x14ac:dyDescent="0.25">
      <c r="E1003" s="307" t="s">
        <v>100</v>
      </c>
      <c r="F1003" s="365" t="s">
        <v>95</v>
      </c>
      <c r="G1003" s="365"/>
      <c r="H1003" s="444">
        <f>H1001/$E1001</f>
        <v>0.62504672897196267</v>
      </c>
      <c r="I1003" s="429">
        <f>I1001/$E1001</f>
        <v>0.37308411214953274</v>
      </c>
      <c r="J1003" s="429">
        <f>J1001/$E1001</f>
        <v>9.046728971962617E-2</v>
      </c>
      <c r="K1003" s="374">
        <f t="shared" si="132"/>
        <v>1.0885981308411217</v>
      </c>
      <c r="L1003" s="436"/>
      <c r="M1003" s="436"/>
      <c r="N1003" s="436"/>
      <c r="O1003" s="437"/>
      <c r="P1003" s="145"/>
      <c r="Q1003" s="262"/>
      <c r="R1003" s="262"/>
      <c r="S1003" s="262"/>
    </row>
    <row r="1004" spans="1:19" x14ac:dyDescent="0.25">
      <c r="E1004" s="307" t="s">
        <v>100</v>
      </c>
      <c r="F1004" s="438" t="s">
        <v>96</v>
      </c>
      <c r="G1004" s="438"/>
      <c r="H1004" s="359" t="str">
        <f>IFERROR(H1002/$E1002,"na")</f>
        <v>na</v>
      </c>
      <c r="I1004" s="359" t="str">
        <f>IFERROR(I1002/$E1002,"na")</f>
        <v>na</v>
      </c>
      <c r="J1004" s="359" t="str">
        <f>IFERROR(J1002/$E1002,"na")</f>
        <v>na</v>
      </c>
      <c r="K1004" s="359">
        <f t="shared" si="132"/>
        <v>0</v>
      </c>
      <c r="L1004" s="436"/>
      <c r="M1004" s="436"/>
      <c r="N1004" s="436"/>
      <c r="O1004" s="437"/>
      <c r="P1004" s="145"/>
      <c r="Q1004" s="262"/>
      <c r="S1004" s="262"/>
    </row>
    <row r="1005" spans="1:19" x14ac:dyDescent="0.25">
      <c r="E1005" s="307" t="s">
        <v>104</v>
      </c>
      <c r="F1005" s="365" t="s">
        <v>95</v>
      </c>
      <c r="G1005" s="365"/>
      <c r="H1005" s="359">
        <f>H1001/($E1001/7.7)</f>
        <v>4.8128598130841125</v>
      </c>
      <c r="I1005" s="359">
        <f>I1001/($E1001/7)</f>
        <v>2.6115887850467292</v>
      </c>
      <c r="J1005" s="359">
        <f>J1001/($E1001/7)</f>
        <v>0.63327102803738322</v>
      </c>
      <c r="K1005" s="359">
        <f t="shared" si="132"/>
        <v>8.0577196261682253</v>
      </c>
      <c r="L1005" s="436"/>
      <c r="M1005" s="436"/>
      <c r="N1005" s="436"/>
      <c r="O1005" s="437"/>
      <c r="P1005" s="145"/>
      <c r="Q1005" s="262"/>
      <c r="S1005" s="262"/>
    </row>
    <row r="1006" spans="1:19" x14ac:dyDescent="0.25">
      <c r="E1006" s="307" t="s">
        <v>104</v>
      </c>
      <c r="F1006" s="438" t="s">
        <v>96</v>
      </c>
      <c r="G1006" s="438"/>
      <c r="H1006" s="359" t="str">
        <f>IFERROR(H1002/($E1002/7.7),"na")</f>
        <v>na</v>
      </c>
      <c r="I1006" s="359" t="str">
        <f>IFERROR(I1002/($E1002/7.7),"na")</f>
        <v>na</v>
      </c>
      <c r="J1006" s="359" t="str">
        <f>IFERROR(J1002/($E1002/7.7),"na")</f>
        <v>na</v>
      </c>
      <c r="K1006" s="359">
        <f t="shared" si="132"/>
        <v>0</v>
      </c>
      <c r="L1006" s="436"/>
      <c r="M1006" s="436"/>
      <c r="N1006" s="436"/>
      <c r="O1006" s="437"/>
      <c r="P1006" s="145"/>
      <c r="Q1006" s="262"/>
      <c r="R1006" s="262"/>
      <c r="S1006" s="262"/>
    </row>
    <row r="1007" spans="1:19" x14ac:dyDescent="0.25">
      <c r="E1007" s="307" t="s">
        <v>135</v>
      </c>
      <c r="F1007" s="365" t="s">
        <v>95</v>
      </c>
      <c r="G1007" s="365"/>
      <c r="H1007" s="359">
        <f>H1001/((($E1001*$B997)*(1-$B994))/$B992)</f>
        <v>0.10109767441860466</v>
      </c>
      <c r="I1007" s="359">
        <f>I1001/((($E1001*$B997)*(1-$B994))/$B992)</f>
        <v>6.0344186046511629E-2</v>
      </c>
      <c r="J1007" s="359">
        <f>J1001/((($E1001*$B997)*(1-$B994))/$B992)</f>
        <v>1.4632558139534884E-2</v>
      </c>
      <c r="K1007" s="359">
        <f t="shared" si="132"/>
        <v>0.17607441860465117</v>
      </c>
      <c r="L1007" s="436"/>
      <c r="M1007" s="436"/>
      <c r="N1007" s="436"/>
      <c r="O1007" s="437"/>
      <c r="P1007" s="42"/>
      <c r="Q1007" s="263"/>
      <c r="R1007" s="262"/>
      <c r="S1007" s="263"/>
    </row>
    <row r="1008" spans="1:19" x14ac:dyDescent="0.25">
      <c r="E1008" s="307" t="s">
        <v>135</v>
      </c>
      <c r="F1008" s="438" t="s">
        <v>96</v>
      </c>
      <c r="G1008" s="438"/>
      <c r="H1008" s="359" t="str">
        <f>IFERROR(H1002/((($E1002*$B997)*(1-$B994))/$B992),"na")</f>
        <v>na</v>
      </c>
      <c r="I1008" s="359" t="str">
        <f>IFERROR(I1002/((($E1002*$B997)*(1-$B994))/$B992),"na")</f>
        <v>na</v>
      </c>
      <c r="J1008" s="359" t="str">
        <f>IFERROR(J1002/((($E1002*$B997)*(1-$B994))/$B992),"na")</f>
        <v>na</v>
      </c>
      <c r="K1008" s="359">
        <f t="shared" si="132"/>
        <v>0</v>
      </c>
      <c r="L1008" s="439"/>
      <c r="M1008" s="439"/>
      <c r="N1008" s="439"/>
      <c r="O1008" s="440"/>
      <c r="P1008" s="42"/>
      <c r="Q1008" s="263"/>
      <c r="R1008" s="262"/>
      <c r="S1008" s="263"/>
    </row>
    <row r="1009" spans="1:19" x14ac:dyDescent="0.25">
      <c r="A1009" s="178"/>
      <c r="B1009" s="178"/>
      <c r="C1009" s="178"/>
      <c r="D1009" s="178"/>
      <c r="E1009" s="178"/>
      <c r="F1009" s="178"/>
      <c r="G1009" s="178"/>
      <c r="H1009" s="178"/>
      <c r="I1009" s="178"/>
      <c r="J1009" s="178"/>
      <c r="K1009" s="178"/>
      <c r="L1009" s="178"/>
      <c r="M1009" s="178"/>
      <c r="N1009" s="178"/>
      <c r="O1009" s="178"/>
      <c r="P1009" s="146"/>
      <c r="Q1009" s="233"/>
      <c r="R1009" s="233"/>
      <c r="S1009" s="233"/>
    </row>
    <row r="1011" spans="1:19" ht="21" x14ac:dyDescent="0.25">
      <c r="A1011" s="305"/>
      <c r="B1011" s="644" t="s">
        <v>336</v>
      </c>
      <c r="C1011" s="645"/>
      <c r="D1011" s="645"/>
      <c r="E1011" s="645"/>
      <c r="F1011" s="645"/>
      <c r="G1011" s="645"/>
      <c r="H1011" s="645"/>
      <c r="I1011" s="645"/>
      <c r="J1011" s="645"/>
      <c r="K1011" s="645"/>
      <c r="L1011" s="645"/>
      <c r="M1011" s="645"/>
      <c r="N1011" s="645"/>
      <c r="O1011" s="646"/>
      <c r="P1011" s="145" t="s">
        <v>97</v>
      </c>
      <c r="Q1011" s="678" t="s">
        <v>181</v>
      </c>
      <c r="R1011" s="678"/>
      <c r="S1011" s="678"/>
    </row>
    <row r="1012" spans="1:19" ht="21" x14ac:dyDescent="0.25">
      <c r="A1012" s="177" t="s">
        <v>285</v>
      </c>
      <c r="B1012" s="647">
        <v>43973</v>
      </c>
      <c r="C1012" s="648"/>
      <c r="D1012" s="648"/>
      <c r="E1012" s="648"/>
      <c r="F1012" s="648"/>
      <c r="G1012" s="648"/>
      <c r="H1012" s="648"/>
      <c r="I1012" s="648"/>
      <c r="J1012" s="648"/>
      <c r="K1012" s="648"/>
      <c r="L1012" s="648"/>
      <c r="M1012" s="648"/>
      <c r="N1012" s="648"/>
      <c r="O1012" s="649"/>
      <c r="P1012" s="145"/>
      <c r="Q1012" s="678"/>
      <c r="R1012" s="678"/>
      <c r="S1012" s="678"/>
    </row>
    <row r="1013" spans="1:19" x14ac:dyDescent="0.25">
      <c r="A1013" s="177"/>
      <c r="B1013" s="650" t="s">
        <v>115</v>
      </c>
      <c r="C1013" s="651"/>
      <c r="D1013" s="651"/>
      <c r="E1013" s="651"/>
      <c r="F1013" s="651"/>
      <c r="G1013" s="651"/>
      <c r="H1013" s="651"/>
      <c r="I1013" s="651"/>
      <c r="J1013" s="651"/>
      <c r="K1013" s="651"/>
      <c r="L1013" s="651"/>
      <c r="M1013" s="651"/>
      <c r="N1013" s="651"/>
      <c r="O1013" s="652"/>
      <c r="P1013" s="145"/>
      <c r="Q1013" s="678"/>
      <c r="R1013" s="678"/>
      <c r="S1013" s="678"/>
    </row>
    <row r="1014" spans="1:19" x14ac:dyDescent="0.25">
      <c r="A1014" s="177" t="s">
        <v>106</v>
      </c>
      <c r="B1014" s="629">
        <v>7.5</v>
      </c>
      <c r="C1014" s="630"/>
      <c r="D1014" s="630"/>
      <c r="E1014" s="631"/>
      <c r="F1014" s="365" t="s">
        <v>174</v>
      </c>
      <c r="G1014" s="471"/>
      <c r="H1014" s="653">
        <v>0</v>
      </c>
      <c r="I1014" s="654"/>
      <c r="J1014" s="654"/>
      <c r="K1014" s="654"/>
      <c r="L1014" s="655"/>
      <c r="M1014" s="656">
        <f>SUM(B1014,H1015)</f>
        <v>14.4</v>
      </c>
      <c r="N1014" s="630"/>
      <c r="O1014" s="631"/>
      <c r="P1014" s="145"/>
      <c r="Q1014" s="678"/>
      <c r="R1014" s="678"/>
      <c r="S1014" s="678"/>
    </row>
    <row r="1015" spans="1:19" x14ac:dyDescent="0.25">
      <c r="A1015" s="177" t="s">
        <v>112</v>
      </c>
      <c r="B1015" s="626">
        <v>0.12</v>
      </c>
      <c r="C1015" s="627"/>
      <c r="D1015" s="627"/>
      <c r="E1015" s="628"/>
      <c r="F1015" s="290"/>
      <c r="G1015" s="472"/>
      <c r="H1015" s="626">
        <v>6.9</v>
      </c>
      <c r="I1015" s="627"/>
      <c r="J1015" s="627"/>
      <c r="K1015" s="627"/>
      <c r="L1015" s="628"/>
      <c r="M1015" s="657">
        <f>B1015</f>
        <v>0.12</v>
      </c>
      <c r="N1015" s="627"/>
      <c r="O1015" s="628"/>
      <c r="P1015" s="145"/>
      <c r="Q1015" s="678"/>
      <c r="R1015" s="678"/>
      <c r="S1015" s="678"/>
    </row>
    <row r="1016" spans="1:19" ht="15.75" thickBot="1" x14ac:dyDescent="0.3">
      <c r="A1016" s="177" t="s">
        <v>107</v>
      </c>
      <c r="B1016" s="629">
        <f>B1014*(1-B1015)</f>
        <v>6.6</v>
      </c>
      <c r="C1016" s="630"/>
      <c r="D1016" s="630"/>
      <c r="E1016" s="631"/>
      <c r="F1016" s="290"/>
      <c r="G1016" s="472"/>
      <c r="H1016" s="629">
        <f>H1014*(1-H1015)</f>
        <v>0</v>
      </c>
      <c r="I1016" s="630"/>
      <c r="J1016" s="630"/>
      <c r="K1016" s="630"/>
      <c r="L1016" s="631"/>
      <c r="M1016" s="656">
        <f>SUM(B1016,H1016)</f>
        <v>6.6</v>
      </c>
      <c r="N1016" s="630"/>
      <c r="O1016" s="631"/>
      <c r="P1016" s="145"/>
      <c r="Q1016" s="261" t="s">
        <v>97</v>
      </c>
      <c r="R1016" s="262"/>
      <c r="S1016" s="263"/>
    </row>
    <row r="1017" spans="1:19" x14ac:dyDescent="0.25">
      <c r="A1017" s="177" t="s">
        <v>108</v>
      </c>
      <c r="B1017" s="626">
        <f>B1020/B1016</f>
        <v>0.85879393939393966</v>
      </c>
      <c r="C1017" s="627"/>
      <c r="D1017" s="627"/>
      <c r="E1017" s="627"/>
      <c r="F1017" s="627"/>
      <c r="G1017" s="627"/>
      <c r="H1017" s="627"/>
      <c r="I1017" s="627"/>
      <c r="J1017" s="627"/>
      <c r="K1017" s="627"/>
      <c r="L1017" s="627"/>
      <c r="M1017" s="627"/>
      <c r="N1017" s="627"/>
      <c r="O1017" s="628"/>
      <c r="P1017" s="145"/>
      <c r="Q1017" s="671" t="s">
        <v>139</v>
      </c>
      <c r="R1017" s="235" t="s">
        <v>140</v>
      </c>
      <c r="S1017" s="679" t="s">
        <v>142</v>
      </c>
    </row>
    <row r="1018" spans="1:19" ht="15.75" thickBot="1" x14ac:dyDescent="0.3">
      <c r="A1018" s="177" t="s">
        <v>113</v>
      </c>
      <c r="B1018" s="629">
        <f>B1022*(E1026+E1027)/1000</f>
        <v>18.283999999999999</v>
      </c>
      <c r="C1018" s="630"/>
      <c r="D1018" s="630"/>
      <c r="E1018" s="630"/>
      <c r="F1018" s="630"/>
      <c r="G1018" s="630"/>
      <c r="H1018" s="630"/>
      <c r="I1018" s="630"/>
      <c r="J1018" s="630"/>
      <c r="K1018" s="630"/>
      <c r="L1018" s="630"/>
      <c r="M1018" s="630"/>
      <c r="N1018" s="630"/>
      <c r="O1018" s="631"/>
      <c r="P1018" s="145"/>
      <c r="Q1018" s="672"/>
      <c r="R1018" s="183" t="s">
        <v>141</v>
      </c>
      <c r="S1018" s="680"/>
    </row>
    <row r="1019" spans="1:19" ht="15.75" thickBot="1" x14ac:dyDescent="0.3">
      <c r="A1019" s="177" t="s">
        <v>109</v>
      </c>
      <c r="B1019" s="626">
        <v>0.69</v>
      </c>
      <c r="C1019" s="627"/>
      <c r="D1019" s="627"/>
      <c r="E1019" s="627"/>
      <c r="F1019" s="627"/>
      <c r="G1019" s="627"/>
      <c r="H1019" s="627"/>
      <c r="I1019" s="627"/>
      <c r="J1019" s="627"/>
      <c r="K1019" s="627"/>
      <c r="L1019" s="627"/>
      <c r="M1019" s="627"/>
      <c r="N1019" s="627"/>
      <c r="O1019" s="628"/>
      <c r="P1019" s="145"/>
      <c r="Q1019" s="238" t="s">
        <v>143</v>
      </c>
      <c r="R1019" s="256">
        <v>2</v>
      </c>
      <c r="S1019" s="258" t="s">
        <v>296</v>
      </c>
    </row>
    <row r="1020" spans="1:19" ht="15.75" thickBot="1" x14ac:dyDescent="0.3">
      <c r="A1020" s="177" t="s">
        <v>122</v>
      </c>
      <c r="B1020" s="629">
        <f>B1018-(B1018*B1019)</f>
        <v>5.6680400000000013</v>
      </c>
      <c r="C1020" s="630"/>
      <c r="D1020" s="630"/>
      <c r="E1020" s="630"/>
      <c r="F1020" s="630"/>
      <c r="G1020" s="630"/>
      <c r="H1020" s="630"/>
      <c r="I1020" s="630"/>
      <c r="J1020" s="630"/>
      <c r="K1020" s="630"/>
      <c r="L1020" s="630"/>
      <c r="M1020" s="630"/>
      <c r="N1020" s="630"/>
      <c r="O1020" s="631"/>
      <c r="P1020" s="145"/>
      <c r="Q1020" s="238" t="s">
        <v>145</v>
      </c>
      <c r="R1020" s="185">
        <v>6</v>
      </c>
      <c r="S1020" s="184" t="s">
        <v>362</v>
      </c>
    </row>
    <row r="1021" spans="1:19" ht="18.75" customHeight="1" thickBot="1" x14ac:dyDescent="0.3">
      <c r="A1021" s="177" t="s">
        <v>110</v>
      </c>
      <c r="B1021" s="632">
        <v>127</v>
      </c>
      <c r="C1021" s="633"/>
      <c r="D1021" s="633"/>
      <c r="E1021" s="633"/>
      <c r="F1021" s="633"/>
      <c r="G1021" s="633"/>
      <c r="H1021" s="633"/>
      <c r="I1021" s="633"/>
      <c r="J1021" s="633"/>
      <c r="K1021" s="633"/>
      <c r="L1021" s="633"/>
      <c r="M1021" s="633"/>
      <c r="N1021" s="633"/>
      <c r="O1021" s="634"/>
      <c r="P1021" s="145"/>
      <c r="Q1021" s="238" t="s">
        <v>147</v>
      </c>
      <c r="R1021" s="185">
        <v>5</v>
      </c>
      <c r="S1021" s="181" t="s">
        <v>408</v>
      </c>
    </row>
    <row r="1022" spans="1:19" ht="15.75" thickBot="1" x14ac:dyDescent="0.3">
      <c r="A1022" s="177" t="s">
        <v>111</v>
      </c>
      <c r="B1022" s="635">
        <v>14</v>
      </c>
      <c r="C1022" s="636"/>
      <c r="D1022" s="636"/>
      <c r="E1022" s="636"/>
      <c r="F1022" s="636"/>
      <c r="G1022" s="636"/>
      <c r="H1022" s="636"/>
      <c r="I1022" s="636"/>
      <c r="J1022" s="636"/>
      <c r="K1022" s="636"/>
      <c r="L1022" s="636"/>
      <c r="M1022" s="636"/>
      <c r="N1022" s="636"/>
      <c r="O1022" s="637"/>
      <c r="P1022" s="145"/>
      <c r="Q1022" s="239" t="s">
        <v>149</v>
      </c>
      <c r="R1022" s="185">
        <v>6</v>
      </c>
      <c r="S1022" s="184" t="s">
        <v>363</v>
      </c>
    </row>
    <row r="1023" spans="1:19" ht="15.75" thickBot="1" x14ac:dyDescent="0.3">
      <c r="A1023" s="177" t="s">
        <v>273</v>
      </c>
      <c r="B1023" s="638" t="s">
        <v>392</v>
      </c>
      <c r="C1023" s="638"/>
      <c r="D1023" s="638"/>
      <c r="E1023" s="638"/>
      <c r="F1023" s="638"/>
      <c r="G1023" s="638"/>
      <c r="H1023" s="638"/>
      <c r="I1023" s="638"/>
      <c r="J1023" s="638"/>
      <c r="K1023" s="638"/>
      <c r="L1023" s="638"/>
      <c r="M1023" s="638"/>
      <c r="N1023" s="638"/>
      <c r="O1023" s="639"/>
      <c r="P1023" s="145"/>
      <c r="Q1023" s="238" t="s">
        <v>150</v>
      </c>
      <c r="R1023" s="185">
        <v>5</v>
      </c>
      <c r="S1023" s="184" t="s">
        <v>299</v>
      </c>
    </row>
    <row r="1024" spans="1:19" ht="15.75" thickBot="1" x14ac:dyDescent="0.3">
      <c r="A1024" s="177" t="s">
        <v>351</v>
      </c>
      <c r="B1024" s="431" t="s">
        <v>349</v>
      </c>
      <c r="C1024" s="431"/>
      <c r="D1024" s="431"/>
      <c r="E1024" s="431"/>
      <c r="F1024" s="431"/>
      <c r="G1024" s="431"/>
      <c r="H1024" s="431"/>
      <c r="I1024" s="431"/>
      <c r="J1024" s="431"/>
      <c r="K1024" s="431"/>
      <c r="L1024" s="431"/>
      <c r="M1024" s="431"/>
      <c r="N1024" s="431"/>
      <c r="O1024" s="432"/>
      <c r="P1024" s="145"/>
      <c r="Q1024" s="238" t="s">
        <v>152</v>
      </c>
      <c r="R1024" s="185">
        <v>6</v>
      </c>
      <c r="S1024" s="181" t="s">
        <v>267</v>
      </c>
    </row>
    <row r="1025" spans="1:19" ht="15.75" thickBot="1" x14ac:dyDescent="0.3">
      <c r="E1025" s="307" t="s">
        <v>98</v>
      </c>
      <c r="F1025" s="365" t="s">
        <v>102</v>
      </c>
      <c r="G1025" s="365"/>
      <c r="H1025" s="365" t="s">
        <v>92</v>
      </c>
      <c r="I1025" s="365" t="s">
        <v>93</v>
      </c>
      <c r="J1025" s="365" t="s">
        <v>94</v>
      </c>
      <c r="K1025" s="359" t="s">
        <v>99</v>
      </c>
      <c r="L1025" s="433"/>
      <c r="M1025" s="433"/>
      <c r="N1025" s="433"/>
      <c r="O1025" s="434"/>
      <c r="P1025" s="145"/>
      <c r="Q1025" s="238" t="s">
        <v>154</v>
      </c>
    </row>
    <row r="1026" spans="1:19" ht="15.75" thickBot="1" x14ac:dyDescent="0.3">
      <c r="E1026" s="308">
        <v>1306</v>
      </c>
      <c r="F1026" s="365" t="s">
        <v>95</v>
      </c>
      <c r="G1026" s="365"/>
      <c r="H1026" s="441">
        <v>504.92</v>
      </c>
      <c r="I1026" s="435">
        <v>199.68</v>
      </c>
      <c r="J1026" s="435">
        <v>126.1</v>
      </c>
      <c r="K1026" s="359">
        <f>SUM(H1026:J1026)</f>
        <v>830.7</v>
      </c>
      <c r="L1026" s="436"/>
      <c r="M1026" s="436"/>
      <c r="N1026" s="436"/>
      <c r="O1026" s="437"/>
      <c r="P1026" s="145"/>
      <c r="Q1026" s="238" t="s">
        <v>156</v>
      </c>
      <c r="R1026" s="185">
        <v>6</v>
      </c>
      <c r="S1026" s="181" t="s">
        <v>268</v>
      </c>
    </row>
    <row r="1027" spans="1:19" ht="15.75" thickBot="1" x14ac:dyDescent="0.3">
      <c r="E1027" s="308">
        <v>0</v>
      </c>
      <c r="F1027" s="365" t="s">
        <v>96</v>
      </c>
      <c r="G1027" s="365"/>
      <c r="H1027" s="441">
        <v>0</v>
      </c>
      <c r="I1027" s="435">
        <v>0</v>
      </c>
      <c r="J1027" s="435"/>
      <c r="K1027" s="359">
        <f t="shared" ref="K1027:K1033" si="133">SUM(H1027:J1027)</f>
        <v>0</v>
      </c>
      <c r="L1027" s="436"/>
      <c r="M1027" s="436"/>
      <c r="N1027" s="436"/>
      <c r="O1027" s="437"/>
      <c r="P1027" s="145"/>
      <c r="Q1027" s="238" t="s">
        <v>158</v>
      </c>
    </row>
    <row r="1028" spans="1:19" ht="15.75" thickBot="1" x14ac:dyDescent="0.3">
      <c r="E1028" s="307" t="s">
        <v>100</v>
      </c>
      <c r="F1028" s="365" t="s">
        <v>95</v>
      </c>
      <c r="G1028" s="365"/>
      <c r="H1028" s="444">
        <f>H1026/$E1026</f>
        <v>0.38661562021439511</v>
      </c>
      <c r="I1028" s="429">
        <f>I1026/$E1026</f>
        <v>0.15289433384379786</v>
      </c>
      <c r="J1028" s="429">
        <f>J1026/$E1026</f>
        <v>9.6554364471669221E-2</v>
      </c>
      <c r="K1028" s="374">
        <f t="shared" si="133"/>
        <v>0.63606431852986212</v>
      </c>
      <c r="L1028" s="436"/>
      <c r="M1028" s="436"/>
      <c r="N1028" s="436"/>
      <c r="O1028" s="437"/>
      <c r="P1028" s="145"/>
      <c r="Q1028" s="185" t="s">
        <v>99</v>
      </c>
      <c r="R1028" s="185" t="s">
        <v>396</v>
      </c>
      <c r="S1028" s="265">
        <v>0.51</v>
      </c>
    </row>
    <row r="1029" spans="1:19" x14ac:dyDescent="0.25">
      <c r="E1029" s="307" t="s">
        <v>100</v>
      </c>
      <c r="F1029" s="438" t="s">
        <v>96</v>
      </c>
      <c r="G1029" s="438"/>
      <c r="H1029" s="359" t="str">
        <f>IFERROR(H1027/$E1027,"na")</f>
        <v>na</v>
      </c>
      <c r="I1029" s="359" t="str">
        <f>IFERROR(I1027/$E1027,"na")</f>
        <v>na</v>
      </c>
      <c r="J1029" s="359" t="str">
        <f>IFERROR(J1027/$E1027,"na")</f>
        <v>na</v>
      </c>
      <c r="K1029" s="359">
        <f t="shared" si="133"/>
        <v>0</v>
      </c>
      <c r="L1029" s="436"/>
      <c r="M1029" s="436"/>
      <c r="N1029" s="436"/>
      <c r="O1029" s="437"/>
      <c r="P1029" s="145"/>
      <c r="Q1029" s="262"/>
      <c r="R1029" s="262"/>
      <c r="S1029" s="262"/>
    </row>
    <row r="1030" spans="1:19" x14ac:dyDescent="0.25">
      <c r="E1030" s="307" t="s">
        <v>104</v>
      </c>
      <c r="F1030" s="365" t="s">
        <v>95</v>
      </c>
      <c r="G1030" s="365"/>
      <c r="H1030" s="359">
        <f>H1026/($E1026/7.7)</f>
        <v>2.9769402756508425</v>
      </c>
      <c r="I1030" s="359">
        <f>I1026/($E1026/7)</f>
        <v>1.0702603369065851</v>
      </c>
      <c r="J1030" s="359">
        <f>J1026/($E1026/7)</f>
        <v>0.67588055130168445</v>
      </c>
      <c r="K1030" s="359">
        <f t="shared" si="133"/>
        <v>4.7230811638591117</v>
      </c>
      <c r="L1030" s="436"/>
      <c r="M1030" s="436"/>
      <c r="N1030" s="436"/>
      <c r="O1030" s="437"/>
      <c r="P1030" s="145"/>
      <c r="Q1030" s="262"/>
      <c r="R1030" s="262"/>
      <c r="S1030" s="262"/>
    </row>
    <row r="1031" spans="1:19" x14ac:dyDescent="0.25">
      <c r="E1031" s="307" t="s">
        <v>104</v>
      </c>
      <c r="F1031" s="438" t="s">
        <v>96</v>
      </c>
      <c r="G1031" s="438"/>
      <c r="H1031" s="359" t="str">
        <f>IFERROR(H1027/($E1027/7.7),"na")</f>
        <v>na</v>
      </c>
      <c r="I1031" s="359" t="str">
        <f>IFERROR(I1027/($E1027/7.7),"na")</f>
        <v>na</v>
      </c>
      <c r="J1031" s="359" t="str">
        <f>IFERROR(J1027/($E1027/7.7),"na")</f>
        <v>na</v>
      </c>
      <c r="K1031" s="359">
        <f t="shared" si="133"/>
        <v>0</v>
      </c>
      <c r="L1031" s="436"/>
      <c r="M1031" s="436"/>
      <c r="N1031" s="436"/>
      <c r="O1031" s="437"/>
      <c r="P1031" s="145"/>
      <c r="Q1031" s="262"/>
      <c r="R1031" s="262"/>
      <c r="S1031" s="262"/>
    </row>
    <row r="1032" spans="1:19" x14ac:dyDescent="0.25">
      <c r="E1032" s="307" t="s">
        <v>135</v>
      </c>
      <c r="F1032" s="365" t="s">
        <v>95</v>
      </c>
      <c r="G1032" s="365"/>
      <c r="H1032" s="359">
        <f>H1026/((($E1026*$B1022)*(1-$B1019))/$B1017)</f>
        <v>7.6503030303030323E-2</v>
      </c>
      <c r="I1032" s="359">
        <f>I1026/((($E1026*$B1022)*(1-$B1019))/$B1017)</f>
        <v>3.0254545454545461E-2</v>
      </c>
      <c r="J1032" s="359">
        <f>J1026/((($E1026*$B1022)*(1-$B1019))/$B1017)</f>
        <v>1.9106060606060609E-2</v>
      </c>
      <c r="K1032" s="359">
        <f t="shared" si="133"/>
        <v>0.1258636363636364</v>
      </c>
      <c r="L1032" s="436"/>
      <c r="M1032" s="436"/>
      <c r="N1032" s="436"/>
      <c r="O1032" s="437"/>
      <c r="P1032" s="42"/>
      <c r="Q1032" s="263"/>
      <c r="R1032" s="262"/>
      <c r="S1032" s="263"/>
    </row>
    <row r="1033" spans="1:19" x14ac:dyDescent="0.25">
      <c r="E1033" s="307" t="s">
        <v>135</v>
      </c>
      <c r="F1033" s="438" t="s">
        <v>96</v>
      </c>
      <c r="G1033" s="438"/>
      <c r="H1033" s="359" t="str">
        <f>IFERROR(H1027/((($E1027*$B1022)*(1-$B1019))/$B1017),"na")</f>
        <v>na</v>
      </c>
      <c r="I1033" s="359" t="str">
        <f>IFERROR(I1027/((($E1027*$B1022)*(1-$B1019))/$B1017),"na")</f>
        <v>na</v>
      </c>
      <c r="J1033" s="359" t="str">
        <f>IFERROR(J1027/((($E1027*$B1022)*(1-$B1019))/$B1017),"na")</f>
        <v>na</v>
      </c>
      <c r="K1033" s="359">
        <f t="shared" si="133"/>
        <v>0</v>
      </c>
      <c r="L1033" s="439"/>
      <c r="M1033" s="439"/>
      <c r="N1033" s="439"/>
      <c r="O1033" s="440"/>
      <c r="P1033" s="42"/>
      <c r="Q1033" s="263"/>
      <c r="R1033" s="262"/>
      <c r="S1033" s="263"/>
    </row>
    <row r="1034" spans="1:19" x14ac:dyDescent="0.25">
      <c r="A1034" s="178"/>
      <c r="B1034" s="178"/>
      <c r="C1034" s="178"/>
      <c r="D1034" s="178"/>
      <c r="E1034" s="178"/>
      <c r="F1034" s="178"/>
      <c r="G1034" s="178"/>
      <c r="H1034" s="178"/>
      <c r="I1034" s="178"/>
      <c r="J1034" s="178"/>
      <c r="K1034" s="178"/>
      <c r="L1034" s="178"/>
      <c r="M1034" s="178"/>
      <c r="N1034" s="178"/>
      <c r="O1034" s="178"/>
      <c r="P1034" s="146"/>
      <c r="Q1034" s="233"/>
      <c r="R1034" s="233"/>
      <c r="S1034" s="233"/>
    </row>
    <row r="1036" spans="1:19" ht="21" x14ac:dyDescent="0.25">
      <c r="A1036" s="305"/>
      <c r="B1036" s="644" t="s">
        <v>337</v>
      </c>
      <c r="C1036" s="645"/>
      <c r="D1036" s="645"/>
      <c r="E1036" s="645"/>
      <c r="F1036" s="645"/>
      <c r="G1036" s="645"/>
      <c r="H1036" s="645"/>
      <c r="I1036" s="645"/>
      <c r="J1036" s="645"/>
      <c r="K1036" s="645"/>
      <c r="L1036" s="645"/>
      <c r="M1036" s="645"/>
      <c r="N1036" s="645"/>
      <c r="O1036" s="646"/>
      <c r="P1036" s="145" t="s">
        <v>97</v>
      </c>
      <c r="Q1036" s="678" t="s">
        <v>183</v>
      </c>
      <c r="R1036" s="678"/>
      <c r="S1036" s="678"/>
    </row>
    <row r="1037" spans="1:19" ht="21" x14ac:dyDescent="0.25">
      <c r="A1037" s="177" t="s">
        <v>285</v>
      </c>
      <c r="B1037" s="647">
        <f>B1012+7</f>
        <v>43980</v>
      </c>
      <c r="C1037" s="648"/>
      <c r="D1037" s="648"/>
      <c r="E1037" s="648"/>
      <c r="F1037" s="648"/>
      <c r="G1037" s="648"/>
      <c r="H1037" s="648"/>
      <c r="I1037" s="648"/>
      <c r="J1037" s="648"/>
      <c r="K1037" s="648"/>
      <c r="L1037" s="648"/>
      <c r="M1037" s="648"/>
      <c r="N1037" s="648"/>
      <c r="O1037" s="649"/>
      <c r="P1037" s="145"/>
      <c r="Q1037" s="678"/>
      <c r="R1037" s="678"/>
      <c r="S1037" s="678"/>
    </row>
    <row r="1038" spans="1:19" x14ac:dyDescent="0.25">
      <c r="A1038" s="177"/>
      <c r="B1038" s="650" t="s">
        <v>115</v>
      </c>
      <c r="C1038" s="651"/>
      <c r="D1038" s="651"/>
      <c r="E1038" s="651"/>
      <c r="F1038" s="651"/>
      <c r="G1038" s="651"/>
      <c r="H1038" s="651"/>
      <c r="I1038" s="651"/>
      <c r="J1038" s="651"/>
      <c r="K1038" s="651"/>
      <c r="L1038" s="651"/>
      <c r="M1038" s="651"/>
      <c r="N1038" s="651"/>
      <c r="O1038" s="652"/>
      <c r="P1038" s="145"/>
      <c r="Q1038" s="678"/>
      <c r="R1038" s="678"/>
      <c r="S1038" s="678"/>
    </row>
    <row r="1039" spans="1:19" x14ac:dyDescent="0.25">
      <c r="A1039" s="177" t="s">
        <v>106</v>
      </c>
      <c r="B1039" s="629">
        <v>7.5</v>
      </c>
      <c r="C1039" s="630"/>
      <c r="D1039" s="630"/>
      <c r="E1039" s="631"/>
      <c r="F1039" s="365" t="s">
        <v>174</v>
      </c>
      <c r="G1039" s="471"/>
      <c r="H1039" s="653">
        <v>0</v>
      </c>
      <c r="I1039" s="654"/>
      <c r="J1039" s="654"/>
      <c r="K1039" s="654"/>
      <c r="L1039" s="655"/>
      <c r="M1039" s="656">
        <f>SUM(B1039,H1040)</f>
        <v>7.5</v>
      </c>
      <c r="N1039" s="630"/>
      <c r="O1039" s="631"/>
      <c r="P1039" s="145"/>
      <c r="Q1039" s="678"/>
      <c r="R1039" s="678"/>
      <c r="S1039" s="678"/>
    </row>
    <row r="1040" spans="1:19" x14ac:dyDescent="0.25">
      <c r="A1040" s="177" t="s">
        <v>112</v>
      </c>
      <c r="B1040" s="626">
        <v>0.08</v>
      </c>
      <c r="C1040" s="627"/>
      <c r="D1040" s="627"/>
      <c r="E1040" s="628"/>
      <c r="F1040" s="290"/>
      <c r="G1040" s="472"/>
      <c r="H1040" s="626">
        <v>0</v>
      </c>
      <c r="I1040" s="627"/>
      <c r="J1040" s="627"/>
      <c r="K1040" s="627"/>
      <c r="L1040" s="628"/>
      <c r="M1040" s="657">
        <f>B1040</f>
        <v>0.08</v>
      </c>
      <c r="N1040" s="627"/>
      <c r="O1040" s="628"/>
      <c r="P1040" s="145"/>
      <c r="Q1040" s="678"/>
      <c r="R1040" s="678"/>
      <c r="S1040" s="678"/>
    </row>
    <row r="1041" spans="1:19" ht="15.75" thickBot="1" x14ac:dyDescent="0.3">
      <c r="A1041" s="177" t="s">
        <v>107</v>
      </c>
      <c r="B1041" s="629">
        <f>B1039*(1-B1040)</f>
        <v>6.9</v>
      </c>
      <c r="C1041" s="630"/>
      <c r="D1041" s="630"/>
      <c r="E1041" s="631"/>
      <c r="F1041" s="290"/>
      <c r="G1041" s="472"/>
      <c r="H1041" s="629">
        <f>H1039*(1-H1040)</f>
        <v>0</v>
      </c>
      <c r="I1041" s="630"/>
      <c r="J1041" s="630"/>
      <c r="K1041" s="630"/>
      <c r="L1041" s="631"/>
      <c r="M1041" s="656">
        <f>SUM(B1041,H1041)</f>
        <v>6.9</v>
      </c>
      <c r="N1041" s="630"/>
      <c r="O1041" s="631"/>
      <c r="P1041" s="145"/>
      <c r="Q1041" s="261" t="s">
        <v>97</v>
      </c>
      <c r="R1041" s="262"/>
      <c r="S1041" s="263"/>
    </row>
    <row r="1042" spans="1:19" x14ac:dyDescent="0.25">
      <c r="A1042" s="177" t="s">
        <v>108</v>
      </c>
      <c r="B1042" s="626">
        <f>B1045/B1041</f>
        <v>0.87177391304347829</v>
      </c>
      <c r="C1042" s="627"/>
      <c r="D1042" s="627"/>
      <c r="E1042" s="627"/>
      <c r="F1042" s="627"/>
      <c r="G1042" s="627"/>
      <c r="H1042" s="627"/>
      <c r="I1042" s="627"/>
      <c r="J1042" s="627"/>
      <c r="K1042" s="627"/>
      <c r="L1042" s="627"/>
      <c r="M1042" s="627"/>
      <c r="N1042" s="627"/>
      <c r="O1042" s="628"/>
      <c r="P1042" s="145"/>
      <c r="Q1042" s="671" t="s">
        <v>139</v>
      </c>
      <c r="R1042" s="235" t="s">
        <v>140</v>
      </c>
      <c r="S1042" s="679" t="s">
        <v>142</v>
      </c>
    </row>
    <row r="1043" spans="1:19" ht="15.75" thickBot="1" x14ac:dyDescent="0.3">
      <c r="A1043" s="177" t="s">
        <v>113</v>
      </c>
      <c r="B1043" s="629">
        <f>B1047*(E1051+E1052)/1000</f>
        <v>19.404</v>
      </c>
      <c r="C1043" s="630"/>
      <c r="D1043" s="630"/>
      <c r="E1043" s="630"/>
      <c r="F1043" s="630"/>
      <c r="G1043" s="630"/>
      <c r="H1043" s="630"/>
      <c r="I1043" s="630"/>
      <c r="J1043" s="630"/>
      <c r="K1043" s="630"/>
      <c r="L1043" s="630"/>
      <c r="M1043" s="630"/>
      <c r="N1043" s="630"/>
      <c r="O1043" s="631"/>
      <c r="P1043" s="145"/>
      <c r="Q1043" s="672"/>
      <c r="R1043" s="183" t="s">
        <v>141</v>
      </c>
      <c r="S1043" s="680"/>
    </row>
    <row r="1044" spans="1:19" ht="15.75" thickBot="1" x14ac:dyDescent="0.3">
      <c r="A1044" s="177" t="s">
        <v>109</v>
      </c>
      <c r="B1044" s="626">
        <v>0.69</v>
      </c>
      <c r="C1044" s="627"/>
      <c r="D1044" s="627"/>
      <c r="E1044" s="627"/>
      <c r="F1044" s="627"/>
      <c r="G1044" s="627"/>
      <c r="H1044" s="627"/>
      <c r="I1044" s="627"/>
      <c r="J1044" s="627"/>
      <c r="K1044" s="627"/>
      <c r="L1044" s="627"/>
      <c r="M1044" s="627"/>
      <c r="N1044" s="627"/>
      <c r="O1044" s="628"/>
      <c r="P1044" s="145"/>
      <c r="Q1044" s="269" t="s">
        <v>143</v>
      </c>
      <c r="R1044" s="257">
        <v>2</v>
      </c>
      <c r="S1044" s="258" t="s">
        <v>296</v>
      </c>
    </row>
    <row r="1045" spans="1:19" ht="15.75" thickBot="1" x14ac:dyDescent="0.3">
      <c r="A1045" s="177" t="s">
        <v>122</v>
      </c>
      <c r="B1045" s="629">
        <f>B1043-(B1043*B1044)</f>
        <v>6.0152400000000004</v>
      </c>
      <c r="C1045" s="630"/>
      <c r="D1045" s="630"/>
      <c r="E1045" s="630"/>
      <c r="F1045" s="630"/>
      <c r="G1045" s="630"/>
      <c r="H1045" s="630"/>
      <c r="I1045" s="630"/>
      <c r="J1045" s="630"/>
      <c r="K1045" s="630"/>
      <c r="L1045" s="630"/>
      <c r="M1045" s="630"/>
      <c r="N1045" s="630"/>
      <c r="O1045" s="631"/>
      <c r="P1045" s="145"/>
      <c r="Q1045" s="182" t="s">
        <v>145</v>
      </c>
      <c r="R1045" s="183">
        <v>6</v>
      </c>
      <c r="S1045" s="184" t="s">
        <v>398</v>
      </c>
    </row>
    <row r="1046" spans="1:19" ht="29.25" thickBot="1" x14ac:dyDescent="0.3">
      <c r="A1046" s="177" t="s">
        <v>110</v>
      </c>
      <c r="B1046" s="632">
        <v>126</v>
      </c>
      <c r="C1046" s="633"/>
      <c r="D1046" s="633"/>
      <c r="E1046" s="633"/>
      <c r="F1046" s="633"/>
      <c r="G1046" s="633"/>
      <c r="H1046" s="633"/>
      <c r="I1046" s="633"/>
      <c r="J1046" s="633"/>
      <c r="K1046" s="633"/>
      <c r="L1046" s="633"/>
      <c r="M1046" s="633"/>
      <c r="N1046" s="633"/>
      <c r="O1046" s="634"/>
      <c r="P1046" s="145"/>
      <c r="Q1046" s="182" t="s">
        <v>147</v>
      </c>
      <c r="R1046" s="183">
        <v>5</v>
      </c>
      <c r="S1046" s="181" t="s">
        <v>409</v>
      </c>
    </row>
    <row r="1047" spans="1:19" ht="29.25" thickBot="1" x14ac:dyDescent="0.3">
      <c r="A1047" s="177" t="s">
        <v>111</v>
      </c>
      <c r="B1047" s="635">
        <v>14</v>
      </c>
      <c r="C1047" s="636"/>
      <c r="D1047" s="636"/>
      <c r="E1047" s="636"/>
      <c r="F1047" s="636"/>
      <c r="G1047" s="636"/>
      <c r="H1047" s="636"/>
      <c r="I1047" s="636"/>
      <c r="J1047" s="636"/>
      <c r="K1047" s="636"/>
      <c r="L1047" s="636"/>
      <c r="M1047" s="636"/>
      <c r="N1047" s="636"/>
      <c r="O1047" s="637"/>
      <c r="P1047" s="145"/>
      <c r="Q1047" s="182" t="s">
        <v>82</v>
      </c>
      <c r="R1047" s="183">
        <v>7</v>
      </c>
      <c r="S1047" s="184" t="s">
        <v>599</v>
      </c>
    </row>
    <row r="1048" spans="1:19" ht="15.75" thickBot="1" x14ac:dyDescent="0.3">
      <c r="A1048" s="177" t="s">
        <v>273</v>
      </c>
      <c r="B1048" s="638"/>
      <c r="C1048" s="638"/>
      <c r="D1048" s="638"/>
      <c r="E1048" s="638"/>
      <c r="F1048" s="638"/>
      <c r="G1048" s="638"/>
      <c r="H1048" s="638"/>
      <c r="I1048" s="638"/>
      <c r="J1048" s="638"/>
      <c r="K1048" s="638"/>
      <c r="L1048" s="638"/>
      <c r="M1048" s="638"/>
      <c r="N1048" s="638"/>
      <c r="O1048" s="639"/>
      <c r="P1048" s="145"/>
      <c r="Q1048" s="182" t="s">
        <v>152</v>
      </c>
      <c r="R1048" s="183">
        <v>3</v>
      </c>
      <c r="S1048" s="184" t="s">
        <v>399</v>
      </c>
    </row>
    <row r="1049" spans="1:19" ht="15.75" thickBot="1" x14ac:dyDescent="0.3">
      <c r="A1049" s="177" t="s">
        <v>351</v>
      </c>
      <c r="B1049" s="431" t="s">
        <v>349</v>
      </c>
      <c r="C1049" s="431"/>
      <c r="D1049" s="431"/>
      <c r="E1049" s="431"/>
      <c r="F1049" s="431"/>
      <c r="G1049" s="431"/>
      <c r="H1049" s="431"/>
      <c r="I1049" s="431"/>
      <c r="J1049" s="431"/>
      <c r="K1049" s="431"/>
      <c r="L1049" s="431"/>
      <c r="M1049" s="431"/>
      <c r="N1049" s="431"/>
      <c r="O1049" s="432"/>
      <c r="P1049" s="145"/>
      <c r="Q1049" s="182" t="s">
        <v>154</v>
      </c>
      <c r="R1049" s="183">
        <v>6</v>
      </c>
      <c r="S1049" s="181" t="s">
        <v>267</v>
      </c>
    </row>
    <row r="1050" spans="1:19" ht="15.75" thickBot="1" x14ac:dyDescent="0.3">
      <c r="E1050" s="307" t="s">
        <v>98</v>
      </c>
      <c r="F1050" s="365" t="s">
        <v>102</v>
      </c>
      <c r="G1050" s="365"/>
      <c r="H1050" s="365" t="s">
        <v>92</v>
      </c>
      <c r="I1050" s="365" t="s">
        <v>93</v>
      </c>
      <c r="J1050" s="365" t="s">
        <v>94</v>
      </c>
      <c r="K1050" s="359" t="s">
        <v>99</v>
      </c>
      <c r="L1050" s="433"/>
      <c r="M1050" s="433"/>
      <c r="N1050" s="433"/>
      <c r="O1050" s="434"/>
      <c r="P1050" s="145"/>
      <c r="Q1050" s="182" t="s">
        <v>156</v>
      </c>
      <c r="R1050" s="183">
        <v>6</v>
      </c>
      <c r="S1050" s="181" t="s">
        <v>84</v>
      </c>
    </row>
    <row r="1051" spans="1:19" ht="15.75" thickBot="1" x14ac:dyDescent="0.3">
      <c r="E1051" s="308">
        <v>1386</v>
      </c>
      <c r="F1051" s="365" t="s">
        <v>95</v>
      </c>
      <c r="G1051" s="365"/>
      <c r="H1051" s="435">
        <v>228.24</v>
      </c>
      <c r="I1051" s="435">
        <v>66.56</v>
      </c>
      <c r="J1051" s="435">
        <v>8.32</v>
      </c>
      <c r="K1051" s="359">
        <f>SUM(H1051:J1051)</f>
        <v>303.12</v>
      </c>
      <c r="L1051" s="436"/>
      <c r="M1051" s="436"/>
      <c r="N1051" s="436"/>
      <c r="O1051" s="437"/>
      <c r="P1051" s="145"/>
      <c r="Q1051" s="182" t="s">
        <v>158</v>
      </c>
      <c r="R1051" s="183"/>
      <c r="S1051" s="181"/>
    </row>
    <row r="1052" spans="1:19" ht="15.75" thickBot="1" x14ac:dyDescent="0.3">
      <c r="E1052" s="308">
        <v>0</v>
      </c>
      <c r="F1052" s="365" t="s">
        <v>96</v>
      </c>
      <c r="G1052" s="365"/>
      <c r="H1052" s="435"/>
      <c r="I1052" s="435"/>
      <c r="J1052" s="435"/>
      <c r="K1052" s="359">
        <f t="shared" ref="K1052:K1058" si="134">SUM(H1052:J1052)</f>
        <v>0</v>
      </c>
      <c r="L1052" s="436"/>
      <c r="M1052" s="436"/>
      <c r="N1052" s="436"/>
      <c r="O1052" s="437"/>
      <c r="P1052" s="145"/>
      <c r="Q1052" s="185" t="s">
        <v>99</v>
      </c>
      <c r="R1052" s="183" t="s">
        <v>400</v>
      </c>
      <c r="S1052" s="265">
        <v>0.5</v>
      </c>
    </row>
    <row r="1053" spans="1:19" x14ac:dyDescent="0.25">
      <c r="E1053" s="307" t="s">
        <v>100</v>
      </c>
      <c r="F1053" s="365" t="s">
        <v>95</v>
      </c>
      <c r="G1053" s="365"/>
      <c r="H1053" s="444">
        <f>H1051/$E1051</f>
        <v>0.16467532467532467</v>
      </c>
      <c r="I1053" s="429">
        <f>I1051/$E1051</f>
        <v>4.8023088023088023E-2</v>
      </c>
      <c r="J1053" s="429">
        <f>J1051/$E1051</f>
        <v>6.0028860028860029E-3</v>
      </c>
      <c r="K1053" s="374">
        <f t="shared" si="134"/>
        <v>0.2187012987012987</v>
      </c>
      <c r="L1053" s="436"/>
      <c r="M1053" s="436"/>
      <c r="N1053" s="436"/>
      <c r="O1053" s="437"/>
      <c r="P1053" s="145"/>
    </row>
    <row r="1054" spans="1:19" x14ac:dyDescent="0.25">
      <c r="E1054" s="307" t="s">
        <v>100</v>
      </c>
      <c r="F1054" s="438" t="s">
        <v>96</v>
      </c>
      <c r="G1054" s="438"/>
      <c r="H1054" s="359" t="str">
        <f>IFERROR(H1052/$E1052,"na")</f>
        <v>na</v>
      </c>
      <c r="I1054" s="359" t="str">
        <f>IFERROR(I1052/$E1052,"na")</f>
        <v>na</v>
      </c>
      <c r="J1054" s="359" t="str">
        <f>IFERROR(J1052/$E1052,"na")</f>
        <v>na</v>
      </c>
      <c r="K1054" s="359">
        <f t="shared" si="134"/>
        <v>0</v>
      </c>
      <c r="L1054" s="436"/>
      <c r="M1054" s="436"/>
      <c r="N1054" s="436"/>
      <c r="O1054" s="437"/>
      <c r="P1054" s="145"/>
      <c r="Q1054" s="262"/>
      <c r="R1054" s="262"/>
      <c r="S1054" s="262"/>
    </row>
    <row r="1055" spans="1:19" x14ac:dyDescent="0.25">
      <c r="E1055" s="307" t="s">
        <v>104</v>
      </c>
      <c r="F1055" s="365" t="s">
        <v>95</v>
      </c>
      <c r="G1055" s="365"/>
      <c r="H1055" s="359">
        <f>H1051/($E1051/7.7)</f>
        <v>1.268</v>
      </c>
      <c r="I1055" s="359">
        <f>I1051/($E1051/7)</f>
        <v>0.33616161616161616</v>
      </c>
      <c r="J1055" s="359">
        <f>J1051/($E1051/7)</f>
        <v>4.202020202020202E-2</v>
      </c>
      <c r="K1055" s="359">
        <f t="shared" si="134"/>
        <v>1.6461818181818182</v>
      </c>
      <c r="L1055" s="436"/>
      <c r="M1055" s="436"/>
      <c r="N1055" s="436"/>
      <c r="O1055" s="437"/>
      <c r="P1055" s="145"/>
      <c r="Q1055" s="262"/>
      <c r="R1055" s="262"/>
      <c r="S1055" s="262"/>
    </row>
    <row r="1056" spans="1:19" x14ac:dyDescent="0.25">
      <c r="E1056" s="307" t="s">
        <v>104</v>
      </c>
      <c r="F1056" s="438" t="s">
        <v>96</v>
      </c>
      <c r="G1056" s="438"/>
      <c r="H1056" s="359" t="str">
        <f>IFERROR(H1052/($E1052/7.7),"na")</f>
        <v>na</v>
      </c>
      <c r="I1056" s="359" t="str">
        <f>IFERROR(I1052/($E1052/7.7),"na")</f>
        <v>na</v>
      </c>
      <c r="J1056" s="359" t="str">
        <f>IFERROR(J1052/($E1052/7.7),"na")</f>
        <v>na</v>
      </c>
      <c r="K1056" s="359">
        <f t="shared" si="134"/>
        <v>0</v>
      </c>
      <c r="L1056" s="436"/>
      <c r="M1056" s="436"/>
      <c r="N1056" s="436"/>
      <c r="O1056" s="437"/>
      <c r="P1056" s="145"/>
      <c r="Q1056" s="262"/>
      <c r="R1056" s="262"/>
      <c r="S1056" s="262"/>
    </row>
    <row r="1057" spans="1:19" x14ac:dyDescent="0.25">
      <c r="E1057" s="307" t="s">
        <v>135</v>
      </c>
      <c r="F1057" s="365" t="s">
        <v>95</v>
      </c>
      <c r="G1057" s="365"/>
      <c r="H1057" s="359">
        <f>H1051/((($E1051*$B1047)*(1-$B1044))/$B1042)</f>
        <v>3.3078260869565217E-2</v>
      </c>
      <c r="I1057" s="359">
        <f>I1051/((($E1051*$B1047)*(1-$B1044))/$B1042)</f>
        <v>9.6463768115942015E-3</v>
      </c>
      <c r="J1057" s="359">
        <f>J1051/((($E1051*$B1047)*(1-$B1044))/$B1042)</f>
        <v>1.2057971014492752E-3</v>
      </c>
      <c r="K1057" s="359">
        <f t="shared" si="134"/>
        <v>4.3930434782608691E-2</v>
      </c>
      <c r="L1057" s="436"/>
      <c r="M1057" s="436"/>
      <c r="N1057" s="436"/>
      <c r="O1057" s="437"/>
      <c r="P1057" s="42"/>
      <c r="Q1057" s="263"/>
      <c r="R1057" s="262"/>
      <c r="S1057" s="263"/>
    </row>
    <row r="1058" spans="1:19" x14ac:dyDescent="0.25">
      <c r="E1058" s="307" t="s">
        <v>135</v>
      </c>
      <c r="F1058" s="438" t="s">
        <v>96</v>
      </c>
      <c r="G1058" s="438"/>
      <c r="H1058" s="359" t="str">
        <f>IFERROR(H1052/((($E1052*$B1047)*(1-$B1044))/$B1042),"na")</f>
        <v>na</v>
      </c>
      <c r="I1058" s="359" t="str">
        <f>IFERROR(I1052/((($E1052*$B1047)*(1-$B1044))/$B1042),"na")</f>
        <v>na</v>
      </c>
      <c r="J1058" s="359" t="str">
        <f>IFERROR(J1052/((($E1052*$B1047)*(1-$B1044))/$B1042),"na")</f>
        <v>na</v>
      </c>
      <c r="K1058" s="359">
        <f t="shared" si="134"/>
        <v>0</v>
      </c>
      <c r="L1058" s="439"/>
      <c r="M1058" s="439"/>
      <c r="N1058" s="439"/>
      <c r="O1058" s="440"/>
      <c r="P1058" s="42"/>
      <c r="Q1058" s="263"/>
      <c r="R1058" s="262"/>
      <c r="S1058" s="263"/>
    </row>
    <row r="1059" spans="1:19" x14ac:dyDescent="0.25">
      <c r="A1059" s="178"/>
      <c r="B1059" s="178"/>
      <c r="C1059" s="178"/>
      <c r="D1059" s="178"/>
      <c r="E1059" s="178"/>
      <c r="F1059" s="178"/>
      <c r="G1059" s="178"/>
      <c r="H1059" s="178"/>
      <c r="I1059" s="178"/>
      <c r="J1059" s="178"/>
      <c r="K1059" s="178"/>
      <c r="L1059" s="178"/>
      <c r="M1059" s="178"/>
      <c r="N1059" s="178"/>
      <c r="O1059" s="178"/>
      <c r="P1059" s="146"/>
      <c r="Q1059" s="233"/>
      <c r="R1059" s="233"/>
      <c r="S1059" s="233"/>
    </row>
    <row r="1061" spans="1:19" ht="21" x14ac:dyDescent="0.25">
      <c r="A1061" s="305"/>
      <c r="B1061" s="644" t="s">
        <v>338</v>
      </c>
      <c r="C1061" s="645"/>
      <c r="D1061" s="645"/>
      <c r="E1061" s="645"/>
      <c r="F1061" s="645"/>
      <c r="G1061" s="645"/>
      <c r="H1061" s="645"/>
      <c r="I1061" s="645"/>
      <c r="J1061" s="645"/>
      <c r="K1061" s="645"/>
      <c r="L1061" s="645"/>
      <c r="M1061" s="645"/>
      <c r="N1061" s="645"/>
      <c r="O1061" s="646"/>
      <c r="P1061" s="145" t="s">
        <v>97</v>
      </c>
      <c r="Q1061" s="678" t="s">
        <v>185</v>
      </c>
      <c r="R1061" s="678"/>
      <c r="S1061" s="678"/>
    </row>
    <row r="1062" spans="1:19" ht="21" x14ac:dyDescent="0.25">
      <c r="A1062" s="177" t="s">
        <v>285</v>
      </c>
      <c r="B1062" s="647">
        <f>B1037+7</f>
        <v>43987</v>
      </c>
      <c r="C1062" s="648"/>
      <c r="D1062" s="648"/>
      <c r="E1062" s="648"/>
      <c r="F1062" s="648"/>
      <c r="G1062" s="648"/>
      <c r="H1062" s="648"/>
      <c r="I1062" s="648"/>
      <c r="J1062" s="648"/>
      <c r="K1062" s="648"/>
      <c r="L1062" s="648"/>
      <c r="M1062" s="648"/>
      <c r="N1062" s="648"/>
      <c r="O1062" s="649"/>
      <c r="P1062" s="145"/>
      <c r="Q1062" s="678"/>
      <c r="R1062" s="678"/>
      <c r="S1062" s="678"/>
    </row>
    <row r="1063" spans="1:19" x14ac:dyDescent="0.25">
      <c r="A1063" s="177"/>
      <c r="B1063" s="650" t="s">
        <v>115</v>
      </c>
      <c r="C1063" s="651"/>
      <c r="D1063" s="651"/>
      <c r="E1063" s="651"/>
      <c r="F1063" s="651"/>
      <c r="G1063" s="651"/>
      <c r="H1063" s="651"/>
      <c r="I1063" s="651"/>
      <c r="J1063" s="651"/>
      <c r="K1063" s="651"/>
      <c r="L1063" s="651"/>
      <c r="M1063" s="651"/>
      <c r="N1063" s="651"/>
      <c r="O1063" s="652"/>
      <c r="P1063" s="145"/>
      <c r="Q1063" s="678"/>
      <c r="R1063" s="678"/>
      <c r="S1063" s="678"/>
    </row>
    <row r="1064" spans="1:19" x14ac:dyDescent="0.25">
      <c r="A1064" s="177" t="s">
        <v>106</v>
      </c>
      <c r="B1064" s="629">
        <v>7.2</v>
      </c>
      <c r="C1064" s="630"/>
      <c r="D1064" s="630"/>
      <c r="E1064" s="631"/>
      <c r="F1064" s="365" t="s">
        <v>174</v>
      </c>
      <c r="G1064" s="471"/>
      <c r="H1064" s="653">
        <v>0</v>
      </c>
      <c r="I1064" s="654"/>
      <c r="J1064" s="654"/>
      <c r="K1064" s="654"/>
      <c r="L1064" s="655"/>
      <c r="M1064" s="656">
        <f>SUM(B1064,H1065)</f>
        <v>7.2</v>
      </c>
      <c r="N1064" s="630"/>
      <c r="O1064" s="631"/>
      <c r="P1064" s="145"/>
      <c r="Q1064" s="678"/>
      <c r="R1064" s="678"/>
      <c r="S1064" s="678"/>
    </row>
    <row r="1065" spans="1:19" x14ac:dyDescent="0.25">
      <c r="A1065" s="177" t="s">
        <v>112</v>
      </c>
      <c r="B1065" s="626">
        <v>0.08</v>
      </c>
      <c r="C1065" s="627"/>
      <c r="D1065" s="627"/>
      <c r="E1065" s="628"/>
      <c r="F1065" s="290"/>
      <c r="G1065" s="472"/>
      <c r="H1065" s="626">
        <v>0</v>
      </c>
      <c r="I1065" s="627"/>
      <c r="J1065" s="627"/>
      <c r="K1065" s="627"/>
      <c r="L1065" s="628"/>
      <c r="M1065" s="657">
        <f>B1065</f>
        <v>0.08</v>
      </c>
      <c r="N1065" s="627"/>
      <c r="O1065" s="628"/>
      <c r="P1065" s="145"/>
      <c r="Q1065" s="678"/>
      <c r="R1065" s="678"/>
      <c r="S1065" s="678"/>
    </row>
    <row r="1066" spans="1:19" ht="15.75" thickBot="1" x14ac:dyDescent="0.3">
      <c r="A1066" s="177" t="s">
        <v>107</v>
      </c>
      <c r="B1066" s="629">
        <f>B1064*(1-B1065)</f>
        <v>6.6240000000000006</v>
      </c>
      <c r="C1066" s="630"/>
      <c r="D1066" s="630"/>
      <c r="E1066" s="631"/>
      <c r="F1066" s="290"/>
      <c r="G1066" s="472"/>
      <c r="H1066" s="629">
        <f>H1064*(1-H1065)</f>
        <v>0</v>
      </c>
      <c r="I1066" s="630"/>
      <c r="J1066" s="630"/>
      <c r="K1066" s="630"/>
      <c r="L1066" s="631"/>
      <c r="M1066" s="656">
        <f>SUM(B1066,H1066)</f>
        <v>6.6240000000000006</v>
      </c>
      <c r="N1066" s="630"/>
      <c r="O1066" s="631"/>
      <c r="P1066" s="145"/>
      <c r="Q1066" s="261" t="s">
        <v>97</v>
      </c>
      <c r="R1066" s="262"/>
      <c r="S1066" s="263"/>
    </row>
    <row r="1067" spans="1:19" x14ac:dyDescent="0.25">
      <c r="A1067" s="177" t="s">
        <v>108</v>
      </c>
      <c r="B1067" s="626">
        <f>B1070/B1066</f>
        <v>0.87635869565217406</v>
      </c>
      <c r="C1067" s="627"/>
      <c r="D1067" s="627"/>
      <c r="E1067" s="627"/>
      <c r="F1067" s="627"/>
      <c r="G1067" s="627"/>
      <c r="H1067" s="627"/>
      <c r="I1067" s="627"/>
      <c r="J1067" s="627"/>
      <c r="K1067" s="627"/>
      <c r="L1067" s="627"/>
      <c r="M1067" s="627"/>
      <c r="N1067" s="627"/>
      <c r="O1067" s="628"/>
      <c r="P1067" s="145"/>
      <c r="Q1067" s="671" t="s">
        <v>139</v>
      </c>
      <c r="R1067" s="235" t="s">
        <v>140</v>
      </c>
      <c r="S1067" s="679" t="s">
        <v>142</v>
      </c>
    </row>
    <row r="1068" spans="1:19" ht="15.75" thickBot="1" x14ac:dyDescent="0.3">
      <c r="A1068" s="177" t="s">
        <v>113</v>
      </c>
      <c r="B1068" s="629">
        <f>B1072*(E1076+E1077)/1000</f>
        <v>19.350000000000001</v>
      </c>
      <c r="C1068" s="630"/>
      <c r="D1068" s="630"/>
      <c r="E1068" s="630"/>
      <c r="F1068" s="630"/>
      <c r="G1068" s="630"/>
      <c r="H1068" s="630"/>
      <c r="I1068" s="630"/>
      <c r="J1068" s="630"/>
      <c r="K1068" s="630"/>
      <c r="L1068" s="630"/>
      <c r="M1068" s="630"/>
      <c r="N1068" s="630"/>
      <c r="O1068" s="631"/>
      <c r="P1068" s="145"/>
      <c r="Q1068" s="672"/>
      <c r="R1068" s="183" t="s">
        <v>141</v>
      </c>
      <c r="S1068" s="680"/>
    </row>
    <row r="1069" spans="1:19" ht="15.75" thickBot="1" x14ac:dyDescent="0.3">
      <c r="A1069" s="177" t="s">
        <v>109</v>
      </c>
      <c r="B1069" s="626">
        <v>0.7</v>
      </c>
      <c r="C1069" s="627"/>
      <c r="D1069" s="627"/>
      <c r="E1069" s="627"/>
      <c r="F1069" s="627"/>
      <c r="G1069" s="627"/>
      <c r="H1069" s="627"/>
      <c r="I1069" s="627"/>
      <c r="J1069" s="627"/>
      <c r="K1069" s="627"/>
      <c r="L1069" s="627"/>
      <c r="M1069" s="627"/>
      <c r="N1069" s="627"/>
      <c r="O1069" s="628"/>
      <c r="P1069" s="145"/>
      <c r="Q1069" s="182" t="s">
        <v>143</v>
      </c>
      <c r="R1069" s="183">
        <v>2</v>
      </c>
      <c r="S1069" s="181" t="s">
        <v>296</v>
      </c>
    </row>
    <row r="1070" spans="1:19" ht="15.75" thickBot="1" x14ac:dyDescent="0.3">
      <c r="A1070" s="177" t="s">
        <v>122</v>
      </c>
      <c r="B1070" s="629">
        <f>B1068-(B1068*B1069)</f>
        <v>5.8050000000000015</v>
      </c>
      <c r="C1070" s="630"/>
      <c r="D1070" s="630"/>
      <c r="E1070" s="630"/>
      <c r="F1070" s="630"/>
      <c r="G1070" s="630"/>
      <c r="H1070" s="630"/>
      <c r="I1070" s="630"/>
      <c r="J1070" s="630"/>
      <c r="K1070" s="630"/>
      <c r="L1070" s="630"/>
      <c r="M1070" s="630"/>
      <c r="N1070" s="630"/>
      <c r="O1070" s="631"/>
      <c r="P1070" s="145"/>
      <c r="Q1070" s="182" t="s">
        <v>145</v>
      </c>
      <c r="R1070" s="183">
        <v>6</v>
      </c>
      <c r="S1070" s="184" t="s">
        <v>398</v>
      </c>
    </row>
    <row r="1071" spans="1:19" ht="15.75" thickBot="1" x14ac:dyDescent="0.3">
      <c r="A1071" s="177" t="s">
        <v>110</v>
      </c>
      <c r="B1071" s="632">
        <v>143</v>
      </c>
      <c r="C1071" s="633"/>
      <c r="D1071" s="633"/>
      <c r="E1071" s="633"/>
      <c r="F1071" s="633"/>
      <c r="G1071" s="633"/>
      <c r="H1071" s="633"/>
      <c r="I1071" s="633"/>
      <c r="J1071" s="633"/>
      <c r="K1071" s="633"/>
      <c r="L1071" s="633"/>
      <c r="M1071" s="633"/>
      <c r="N1071" s="633"/>
      <c r="O1071" s="634"/>
      <c r="P1071" s="145"/>
      <c r="Q1071" s="182" t="s">
        <v>147</v>
      </c>
      <c r="R1071" s="183">
        <v>5</v>
      </c>
      <c r="S1071" s="181" t="s">
        <v>411</v>
      </c>
    </row>
    <row r="1072" spans="1:19" ht="29.25" thickBot="1" x14ac:dyDescent="0.3">
      <c r="A1072" s="177" t="s">
        <v>111</v>
      </c>
      <c r="B1072" s="635">
        <v>15</v>
      </c>
      <c r="C1072" s="636"/>
      <c r="D1072" s="636"/>
      <c r="E1072" s="636"/>
      <c r="F1072" s="636"/>
      <c r="G1072" s="636"/>
      <c r="H1072" s="636"/>
      <c r="I1072" s="636"/>
      <c r="J1072" s="636"/>
      <c r="K1072" s="636"/>
      <c r="L1072" s="636"/>
      <c r="M1072" s="636"/>
      <c r="N1072" s="636"/>
      <c r="O1072" s="637"/>
      <c r="P1072" s="145"/>
      <c r="Q1072" s="182" t="s">
        <v>82</v>
      </c>
      <c r="R1072" s="183">
        <v>7</v>
      </c>
      <c r="S1072" s="184" t="s">
        <v>412</v>
      </c>
    </row>
    <row r="1073" spans="1:19" ht="15.75" thickBot="1" x14ac:dyDescent="0.3">
      <c r="A1073" s="177" t="s">
        <v>273</v>
      </c>
      <c r="B1073" s="638"/>
      <c r="C1073" s="638"/>
      <c r="D1073" s="638"/>
      <c r="E1073" s="638"/>
      <c r="F1073" s="638"/>
      <c r="G1073" s="638"/>
      <c r="H1073" s="638"/>
      <c r="I1073" s="638"/>
      <c r="J1073" s="638"/>
      <c r="K1073" s="638"/>
      <c r="L1073" s="638"/>
      <c r="M1073" s="638"/>
      <c r="N1073" s="638"/>
      <c r="O1073" s="639"/>
      <c r="P1073" s="145"/>
      <c r="Q1073" s="182" t="s">
        <v>152</v>
      </c>
      <c r="R1073" s="183">
        <v>4</v>
      </c>
      <c r="S1073" s="184" t="s">
        <v>399</v>
      </c>
    </row>
    <row r="1074" spans="1:19" ht="15.75" thickBot="1" x14ac:dyDescent="0.3">
      <c r="A1074" s="177" t="s">
        <v>351</v>
      </c>
      <c r="B1074" s="431" t="s">
        <v>350</v>
      </c>
      <c r="C1074" s="431"/>
      <c r="D1074" s="431"/>
      <c r="E1074" s="431"/>
      <c r="F1074" s="431"/>
      <c r="G1074" s="431"/>
      <c r="H1074" s="431"/>
      <c r="I1074" s="431"/>
      <c r="J1074" s="431"/>
      <c r="K1074" s="431"/>
      <c r="L1074" s="431"/>
      <c r="M1074" s="431"/>
      <c r="N1074" s="431"/>
      <c r="O1074" s="432"/>
      <c r="P1074" s="145"/>
      <c r="Q1074" s="182" t="s">
        <v>154</v>
      </c>
      <c r="R1074" s="183">
        <v>6</v>
      </c>
      <c r="S1074" s="181" t="s">
        <v>267</v>
      </c>
    </row>
    <row r="1075" spans="1:19" ht="15.75" thickBot="1" x14ac:dyDescent="0.3">
      <c r="E1075" s="307" t="s">
        <v>98</v>
      </c>
      <c r="F1075" s="365" t="s">
        <v>102</v>
      </c>
      <c r="G1075" s="365"/>
      <c r="H1075" s="365" t="s">
        <v>92</v>
      </c>
      <c r="I1075" s="365" t="s">
        <v>93</v>
      </c>
      <c r="J1075" s="365" t="s">
        <v>94</v>
      </c>
      <c r="K1075" s="359" t="s">
        <v>99</v>
      </c>
      <c r="L1075" s="433"/>
      <c r="M1075" s="433"/>
      <c r="N1075" s="433"/>
      <c r="O1075" s="434"/>
      <c r="P1075" s="145"/>
      <c r="Q1075" s="182" t="s">
        <v>156</v>
      </c>
      <c r="R1075" s="183">
        <v>6</v>
      </c>
      <c r="S1075" s="181" t="s">
        <v>84</v>
      </c>
    </row>
    <row r="1076" spans="1:19" ht="15.75" thickBot="1" x14ac:dyDescent="0.3">
      <c r="E1076" s="308">
        <v>1290</v>
      </c>
      <c r="F1076" s="365" t="s">
        <v>95</v>
      </c>
      <c r="G1076" s="365"/>
      <c r="H1076" s="435">
        <v>41.6</v>
      </c>
      <c r="I1076" s="435">
        <v>16.64</v>
      </c>
      <c r="J1076" s="441">
        <v>0</v>
      </c>
      <c r="K1076" s="359">
        <f>SUM(H1076:J1076)</f>
        <v>58.24</v>
      </c>
      <c r="L1076" s="436"/>
      <c r="M1076" s="436"/>
      <c r="N1076" s="436"/>
      <c r="O1076" s="437"/>
      <c r="P1076" s="145"/>
      <c r="Q1076" s="182" t="s">
        <v>158</v>
      </c>
      <c r="R1076" s="183"/>
      <c r="S1076" s="181"/>
    </row>
    <row r="1077" spans="1:19" ht="15.75" thickBot="1" x14ac:dyDescent="0.3">
      <c r="E1077" s="308">
        <v>0</v>
      </c>
      <c r="F1077" s="365" t="s">
        <v>96</v>
      </c>
      <c r="G1077" s="365"/>
      <c r="H1077" s="435">
        <v>0</v>
      </c>
      <c r="I1077" s="435">
        <v>0</v>
      </c>
      <c r="J1077" s="441">
        <v>0</v>
      </c>
      <c r="K1077" s="359">
        <f t="shared" ref="K1077:K1083" si="135">SUM(H1077:J1077)</f>
        <v>0</v>
      </c>
      <c r="L1077" s="436"/>
      <c r="M1077" s="436"/>
      <c r="N1077" s="436"/>
      <c r="O1077" s="437"/>
      <c r="P1077" s="145"/>
      <c r="Q1077" s="185" t="s">
        <v>99</v>
      </c>
      <c r="R1077" s="183" t="s">
        <v>396</v>
      </c>
      <c r="S1077" s="186">
        <v>0.51400000000000001</v>
      </c>
    </row>
    <row r="1078" spans="1:19" x14ac:dyDescent="0.25">
      <c r="E1078" s="307" t="s">
        <v>100</v>
      </c>
      <c r="F1078" s="365" t="s">
        <v>95</v>
      </c>
      <c r="G1078" s="365"/>
      <c r="H1078" s="444">
        <f>H1076/$E1076</f>
        <v>3.2248062015503877E-2</v>
      </c>
      <c r="I1078" s="429">
        <f>I1076/$E1076</f>
        <v>1.2899224806201551E-2</v>
      </c>
      <c r="J1078" s="429">
        <f>J1076/$E1076</f>
        <v>0</v>
      </c>
      <c r="K1078" s="446">
        <f t="shared" si="135"/>
        <v>4.5147286821705428E-2</v>
      </c>
      <c r="L1078" s="436"/>
      <c r="M1078" s="436"/>
      <c r="N1078" s="436"/>
      <c r="O1078" s="437"/>
      <c r="P1078" s="145"/>
      <c r="Q1078" s="262"/>
      <c r="R1078" s="262"/>
      <c r="S1078" s="262"/>
    </row>
    <row r="1079" spans="1:19" x14ac:dyDescent="0.25">
      <c r="E1079" s="307" t="s">
        <v>100</v>
      </c>
      <c r="F1079" s="438" t="s">
        <v>96</v>
      </c>
      <c r="G1079" s="438"/>
      <c r="H1079" s="359" t="str">
        <f>IFERROR(H1077/$E1077,"na")</f>
        <v>na</v>
      </c>
      <c r="I1079" s="359" t="str">
        <f>IFERROR(I1077/$E1077,"na")</f>
        <v>na</v>
      </c>
      <c r="J1079" s="359" t="str">
        <f>IFERROR(J1077/$E1077,"na")</f>
        <v>na</v>
      </c>
      <c r="K1079" s="359">
        <f t="shared" si="135"/>
        <v>0</v>
      </c>
      <c r="L1079" s="436"/>
      <c r="M1079" s="436"/>
      <c r="N1079" s="436"/>
      <c r="O1079" s="437"/>
      <c r="P1079" s="145"/>
      <c r="Q1079" s="262"/>
      <c r="R1079" s="262"/>
      <c r="S1079" s="262"/>
    </row>
    <row r="1080" spans="1:19" x14ac:dyDescent="0.25">
      <c r="E1080" s="307" t="s">
        <v>104</v>
      </c>
      <c r="F1080" s="365" t="s">
        <v>95</v>
      </c>
      <c r="G1080" s="365"/>
      <c r="H1080" s="359">
        <f>H1076/($E1076/7.7)</f>
        <v>0.24831007751937986</v>
      </c>
      <c r="I1080" s="359">
        <f>I1076/($E1076/7)</f>
        <v>9.0294573643410855E-2</v>
      </c>
      <c r="J1080" s="359">
        <f>J1076/($E1076/7)</f>
        <v>0</v>
      </c>
      <c r="K1080" s="359">
        <f t="shared" si="135"/>
        <v>0.3386046511627907</v>
      </c>
      <c r="L1080" s="436"/>
      <c r="M1080" s="436"/>
      <c r="N1080" s="436"/>
      <c r="O1080" s="437"/>
      <c r="P1080" s="145"/>
      <c r="Q1080" s="262"/>
      <c r="R1080" s="262"/>
      <c r="S1080" s="262"/>
    </row>
    <row r="1081" spans="1:19" x14ac:dyDescent="0.25">
      <c r="E1081" s="307" t="s">
        <v>104</v>
      </c>
      <c r="F1081" s="438" t="s">
        <v>96</v>
      </c>
      <c r="G1081" s="438"/>
      <c r="H1081" s="359" t="str">
        <f>IFERROR(H1077/($E1077/7.7),"na")</f>
        <v>na</v>
      </c>
      <c r="I1081" s="359" t="str">
        <f>IFERROR(I1077/($E1077/7.7),"na")</f>
        <v>na</v>
      </c>
      <c r="J1081" s="359" t="str">
        <f>IFERROR(J1077/($E1077/7.7),"na")</f>
        <v>na</v>
      </c>
      <c r="K1081" s="359">
        <f t="shared" si="135"/>
        <v>0</v>
      </c>
      <c r="L1081" s="436"/>
      <c r="M1081" s="436"/>
      <c r="N1081" s="436"/>
      <c r="O1081" s="437"/>
      <c r="P1081" s="145"/>
      <c r="Q1081" s="262"/>
      <c r="R1081" s="262"/>
      <c r="S1081" s="262"/>
    </row>
    <row r="1082" spans="1:19" x14ac:dyDescent="0.25">
      <c r="E1082" s="307" t="s">
        <v>135</v>
      </c>
      <c r="F1082" s="365" t="s">
        <v>95</v>
      </c>
      <c r="G1082" s="365"/>
      <c r="H1082" s="359">
        <f>H1076/((($E1076*$B1072)*(1-$B1069))/$B1067)</f>
        <v>6.2801932367149756E-3</v>
      </c>
      <c r="I1082" s="359">
        <f>I1076/((($E1076*$B1072)*(1-$B1069))/$B1067)</f>
        <v>2.5120772946859906E-3</v>
      </c>
      <c r="J1082" s="359">
        <f>J1076/((($E1076*$B1072)*(1-$B1069))/$B1067)</f>
        <v>0</v>
      </c>
      <c r="K1082" s="359">
        <f t="shared" si="135"/>
        <v>8.7922705314009662E-3</v>
      </c>
      <c r="L1082" s="436"/>
      <c r="M1082" s="436"/>
      <c r="N1082" s="436"/>
      <c r="O1082" s="437"/>
      <c r="P1082" s="42"/>
      <c r="Q1082" s="263"/>
      <c r="R1082" s="262"/>
      <c r="S1082" s="263"/>
    </row>
    <row r="1083" spans="1:19" x14ac:dyDescent="0.25">
      <c r="E1083" s="307" t="s">
        <v>135</v>
      </c>
      <c r="F1083" s="438" t="s">
        <v>96</v>
      </c>
      <c r="G1083" s="438"/>
      <c r="H1083" s="359" t="str">
        <f>IFERROR(H1077/((($E1077*$B1072)*(1-$B1069))/$B1067),"na")</f>
        <v>na</v>
      </c>
      <c r="I1083" s="359" t="str">
        <f>IFERROR(I1077/((($E1077*$B1072)*(1-$B1069))/$B1067),"na")</f>
        <v>na</v>
      </c>
      <c r="J1083" s="359" t="str">
        <f>IFERROR(J1077/((($E1077*$B1072)*(1-$B1069))/$B1067),"na")</f>
        <v>na</v>
      </c>
      <c r="K1083" s="359">
        <f t="shared" si="135"/>
        <v>0</v>
      </c>
      <c r="L1083" s="439"/>
      <c r="M1083" s="439"/>
      <c r="N1083" s="439"/>
      <c r="O1083" s="440"/>
      <c r="P1083" s="42"/>
      <c r="Q1083" s="263"/>
      <c r="R1083" s="262"/>
      <c r="S1083" s="263"/>
    </row>
    <row r="1084" spans="1:19" x14ac:dyDescent="0.25">
      <c r="A1084" s="178"/>
      <c r="B1084" s="178"/>
      <c r="C1084" s="178"/>
      <c r="D1084" s="178"/>
      <c r="E1084" s="178"/>
      <c r="F1084" s="178"/>
      <c r="G1084" s="178"/>
      <c r="H1084" s="178"/>
      <c r="I1084" s="178"/>
      <c r="J1084" s="178"/>
      <c r="K1084" s="178"/>
      <c r="L1084" s="178"/>
      <c r="M1084" s="178"/>
      <c r="N1084" s="178"/>
      <c r="O1084" s="178"/>
      <c r="P1084" s="146"/>
      <c r="Q1084" s="233"/>
      <c r="R1084" s="233"/>
      <c r="S1084" s="233"/>
    </row>
    <row r="1086" spans="1:19" ht="21" x14ac:dyDescent="0.25">
      <c r="A1086" s="305"/>
      <c r="B1086" s="644" t="s">
        <v>339</v>
      </c>
      <c r="C1086" s="645"/>
      <c r="D1086" s="645"/>
      <c r="E1086" s="645"/>
      <c r="F1086" s="645"/>
      <c r="G1086" s="645"/>
      <c r="H1086" s="645"/>
      <c r="I1086" s="645"/>
      <c r="J1086" s="645"/>
      <c r="K1086" s="645"/>
      <c r="L1086" s="645"/>
      <c r="M1086" s="645"/>
      <c r="N1086" s="645"/>
      <c r="O1086" s="646"/>
      <c r="P1086" s="145" t="s">
        <v>97</v>
      </c>
      <c r="Q1086" s="678" t="s">
        <v>187</v>
      </c>
      <c r="R1086" s="678"/>
      <c r="S1086" s="678"/>
    </row>
    <row r="1087" spans="1:19" ht="21" x14ac:dyDescent="0.25">
      <c r="A1087" s="177" t="s">
        <v>285</v>
      </c>
      <c r="B1087" s="647">
        <f>B1062+7</f>
        <v>43994</v>
      </c>
      <c r="C1087" s="648"/>
      <c r="D1087" s="648"/>
      <c r="E1087" s="648"/>
      <c r="F1087" s="648"/>
      <c r="G1087" s="648"/>
      <c r="H1087" s="648"/>
      <c r="I1087" s="648"/>
      <c r="J1087" s="648"/>
      <c r="K1087" s="648"/>
      <c r="L1087" s="648"/>
      <c r="M1087" s="648"/>
      <c r="N1087" s="648"/>
      <c r="O1087" s="649"/>
      <c r="P1087" s="145"/>
      <c r="Q1087" s="678"/>
      <c r="R1087" s="678"/>
      <c r="S1087" s="678"/>
    </row>
    <row r="1088" spans="1:19" x14ac:dyDescent="0.25">
      <c r="A1088" s="177"/>
      <c r="B1088" s="650" t="s">
        <v>115</v>
      </c>
      <c r="C1088" s="651"/>
      <c r="D1088" s="651"/>
      <c r="E1088" s="651"/>
      <c r="F1088" s="651"/>
      <c r="G1088" s="651"/>
      <c r="H1088" s="651"/>
      <c r="I1088" s="651"/>
      <c r="J1088" s="651"/>
      <c r="K1088" s="651"/>
      <c r="L1088" s="651"/>
      <c r="M1088" s="651"/>
      <c r="N1088" s="651"/>
      <c r="O1088" s="652"/>
      <c r="P1088" s="145"/>
      <c r="Q1088" s="678"/>
      <c r="R1088" s="678"/>
      <c r="S1088" s="678"/>
    </row>
    <row r="1089" spans="1:19" x14ac:dyDescent="0.25">
      <c r="A1089" s="177" t="s">
        <v>106</v>
      </c>
      <c r="B1089" s="629">
        <v>7.2</v>
      </c>
      <c r="C1089" s="630"/>
      <c r="D1089" s="630"/>
      <c r="E1089" s="631"/>
      <c r="F1089" s="365" t="s">
        <v>174</v>
      </c>
      <c r="G1089" s="471"/>
      <c r="H1089" s="653">
        <v>0</v>
      </c>
      <c r="I1089" s="654"/>
      <c r="J1089" s="654"/>
      <c r="K1089" s="654"/>
      <c r="L1089" s="655"/>
      <c r="M1089" s="656">
        <f>SUM(B1089,H1090)</f>
        <v>7.2</v>
      </c>
      <c r="N1089" s="630"/>
      <c r="O1089" s="631"/>
      <c r="P1089" s="145"/>
      <c r="Q1089" s="678"/>
      <c r="R1089" s="678"/>
      <c r="S1089" s="678"/>
    </row>
    <row r="1090" spans="1:19" x14ac:dyDescent="0.25">
      <c r="A1090" s="177" t="s">
        <v>112</v>
      </c>
      <c r="B1090" s="626">
        <v>7.0000000000000007E-2</v>
      </c>
      <c r="C1090" s="627"/>
      <c r="D1090" s="627"/>
      <c r="E1090" s="628"/>
      <c r="F1090" s="290"/>
      <c r="G1090" s="472"/>
      <c r="H1090" s="626">
        <v>0</v>
      </c>
      <c r="I1090" s="627"/>
      <c r="J1090" s="627"/>
      <c r="K1090" s="627"/>
      <c r="L1090" s="628"/>
      <c r="M1090" s="657">
        <f>B1090</f>
        <v>7.0000000000000007E-2</v>
      </c>
      <c r="N1090" s="627"/>
      <c r="O1090" s="628"/>
      <c r="P1090" s="145"/>
      <c r="Q1090" s="678"/>
      <c r="R1090" s="678"/>
      <c r="S1090" s="678"/>
    </row>
    <row r="1091" spans="1:19" ht="15.75" thickBot="1" x14ac:dyDescent="0.3">
      <c r="A1091" s="177" t="s">
        <v>107</v>
      </c>
      <c r="B1091" s="629">
        <f>B1089*(1-B1090)</f>
        <v>6.6959999999999997</v>
      </c>
      <c r="C1091" s="630"/>
      <c r="D1091" s="630"/>
      <c r="E1091" s="631"/>
      <c r="F1091" s="290"/>
      <c r="G1091" s="472"/>
      <c r="H1091" s="629">
        <f>H1089*(1-H1090)</f>
        <v>0</v>
      </c>
      <c r="I1091" s="630"/>
      <c r="J1091" s="630"/>
      <c r="K1091" s="630"/>
      <c r="L1091" s="631"/>
      <c r="M1091" s="656">
        <f>SUM(B1091,H1091)</f>
        <v>6.6959999999999997</v>
      </c>
      <c r="N1091" s="630"/>
      <c r="O1091" s="631"/>
      <c r="P1091" s="145"/>
      <c r="Q1091" s="261" t="s">
        <v>97</v>
      </c>
      <c r="R1091" s="262"/>
      <c r="S1091" s="263"/>
    </row>
    <row r="1092" spans="1:19" x14ac:dyDescent="0.25">
      <c r="A1092" s="177" t="s">
        <v>108</v>
      </c>
      <c r="B1092" s="626">
        <f>B1095/B1091</f>
        <v>0.88680555555555562</v>
      </c>
      <c r="C1092" s="627"/>
      <c r="D1092" s="627"/>
      <c r="E1092" s="627"/>
      <c r="F1092" s="627"/>
      <c r="G1092" s="627"/>
      <c r="H1092" s="627"/>
      <c r="I1092" s="627"/>
      <c r="J1092" s="627"/>
      <c r="K1092" s="627"/>
      <c r="L1092" s="627"/>
      <c r="M1092" s="627"/>
      <c r="N1092" s="627"/>
      <c r="O1092" s="628"/>
      <c r="P1092" s="145"/>
      <c r="Q1092" s="671" t="s">
        <v>139</v>
      </c>
      <c r="R1092" s="235" t="s">
        <v>140</v>
      </c>
      <c r="S1092" s="679" t="s">
        <v>142</v>
      </c>
    </row>
    <row r="1093" spans="1:19" ht="15.75" thickBot="1" x14ac:dyDescent="0.3">
      <c r="A1093" s="177" t="s">
        <v>113</v>
      </c>
      <c r="B1093" s="629">
        <f>B1097*(E1101+E1102)/1000</f>
        <v>19.155000000000001</v>
      </c>
      <c r="C1093" s="630"/>
      <c r="D1093" s="630"/>
      <c r="E1093" s="630"/>
      <c r="F1093" s="630"/>
      <c r="G1093" s="630"/>
      <c r="H1093" s="630"/>
      <c r="I1093" s="630"/>
      <c r="J1093" s="630"/>
      <c r="K1093" s="630"/>
      <c r="L1093" s="630"/>
      <c r="M1093" s="630"/>
      <c r="N1093" s="630"/>
      <c r="O1093" s="631"/>
      <c r="P1093" s="145"/>
      <c r="Q1093" s="672"/>
      <c r="R1093" s="183" t="s">
        <v>141</v>
      </c>
      <c r="S1093" s="680"/>
    </row>
    <row r="1094" spans="1:19" ht="15.75" thickBot="1" x14ac:dyDescent="0.3">
      <c r="A1094" s="177" t="s">
        <v>109</v>
      </c>
      <c r="B1094" s="626">
        <v>0.69</v>
      </c>
      <c r="C1094" s="627"/>
      <c r="D1094" s="627"/>
      <c r="E1094" s="627"/>
      <c r="F1094" s="627"/>
      <c r="G1094" s="627"/>
      <c r="H1094" s="627"/>
      <c r="I1094" s="627"/>
      <c r="J1094" s="627"/>
      <c r="K1094" s="627"/>
      <c r="L1094" s="627"/>
      <c r="M1094" s="627"/>
      <c r="N1094" s="627"/>
      <c r="O1094" s="628"/>
      <c r="P1094" s="145"/>
      <c r="Q1094" s="182" t="s">
        <v>143</v>
      </c>
      <c r="R1094" s="183">
        <v>3</v>
      </c>
      <c r="S1094" s="181" t="s">
        <v>415</v>
      </c>
    </row>
    <row r="1095" spans="1:19" ht="15.75" thickBot="1" x14ac:dyDescent="0.3">
      <c r="A1095" s="177" t="s">
        <v>122</v>
      </c>
      <c r="B1095" s="629">
        <f>B1093-(B1093*B1094)</f>
        <v>5.9380500000000005</v>
      </c>
      <c r="C1095" s="630"/>
      <c r="D1095" s="630"/>
      <c r="E1095" s="630"/>
      <c r="F1095" s="630"/>
      <c r="G1095" s="630"/>
      <c r="H1095" s="630"/>
      <c r="I1095" s="630"/>
      <c r="J1095" s="630"/>
      <c r="K1095" s="630"/>
      <c r="L1095" s="630"/>
      <c r="M1095" s="630"/>
      <c r="N1095" s="630"/>
      <c r="O1095" s="631"/>
      <c r="P1095" s="145"/>
      <c r="Q1095" s="182" t="s">
        <v>145</v>
      </c>
      <c r="R1095" s="183">
        <v>6</v>
      </c>
      <c r="S1095" s="184" t="s">
        <v>398</v>
      </c>
    </row>
    <row r="1096" spans="1:19" ht="15.75" thickBot="1" x14ac:dyDescent="0.3">
      <c r="A1096" s="177" t="s">
        <v>110</v>
      </c>
      <c r="B1096" s="632">
        <v>163</v>
      </c>
      <c r="C1096" s="633"/>
      <c r="D1096" s="633"/>
      <c r="E1096" s="633"/>
      <c r="F1096" s="633"/>
      <c r="G1096" s="633"/>
      <c r="H1096" s="633"/>
      <c r="I1096" s="633"/>
      <c r="J1096" s="633"/>
      <c r="K1096" s="633"/>
      <c r="L1096" s="633"/>
      <c r="M1096" s="633"/>
      <c r="N1096" s="633"/>
      <c r="O1096" s="634"/>
      <c r="P1096" s="145"/>
      <c r="Q1096" s="182" t="s">
        <v>147</v>
      </c>
      <c r="R1096" s="183">
        <v>6</v>
      </c>
      <c r="S1096" s="181" t="s">
        <v>411</v>
      </c>
    </row>
    <row r="1097" spans="1:19" ht="15.75" thickBot="1" x14ac:dyDescent="0.3">
      <c r="A1097" s="177" t="s">
        <v>111</v>
      </c>
      <c r="B1097" s="635">
        <v>15</v>
      </c>
      <c r="C1097" s="636"/>
      <c r="D1097" s="636"/>
      <c r="E1097" s="636"/>
      <c r="F1097" s="636"/>
      <c r="G1097" s="636"/>
      <c r="H1097" s="636"/>
      <c r="I1097" s="636"/>
      <c r="J1097" s="636"/>
      <c r="K1097" s="636"/>
      <c r="L1097" s="636"/>
      <c r="M1097" s="636"/>
      <c r="N1097" s="636"/>
      <c r="O1097" s="637"/>
      <c r="P1097" s="145"/>
      <c r="Q1097" s="182" t="s">
        <v>82</v>
      </c>
      <c r="R1097" s="183">
        <v>8</v>
      </c>
      <c r="S1097" s="184" t="s">
        <v>416</v>
      </c>
    </row>
    <row r="1098" spans="1:19" ht="15.75" thickBot="1" x14ac:dyDescent="0.3">
      <c r="A1098" s="177" t="s">
        <v>273</v>
      </c>
      <c r="B1098" s="638" t="s">
        <v>425</v>
      </c>
      <c r="C1098" s="638"/>
      <c r="D1098" s="638"/>
      <c r="E1098" s="638"/>
      <c r="F1098" s="638"/>
      <c r="G1098" s="638"/>
      <c r="H1098" s="638"/>
      <c r="I1098" s="638"/>
      <c r="J1098" s="638"/>
      <c r="K1098" s="638"/>
      <c r="L1098" s="638"/>
      <c r="M1098" s="638"/>
      <c r="N1098" s="638"/>
      <c r="O1098" s="639"/>
      <c r="P1098" s="145"/>
      <c r="Q1098" s="182" t="s">
        <v>152</v>
      </c>
      <c r="R1098" s="183">
        <v>4</v>
      </c>
      <c r="S1098" s="184" t="s">
        <v>399</v>
      </c>
    </row>
    <row r="1099" spans="1:19" ht="15.75" thickBot="1" x14ac:dyDescent="0.3">
      <c r="A1099" s="177" t="s">
        <v>351</v>
      </c>
      <c r="B1099" s="431" t="s">
        <v>349</v>
      </c>
      <c r="C1099" s="431"/>
      <c r="D1099" s="431"/>
      <c r="E1099" s="431"/>
      <c r="F1099" s="431"/>
      <c r="G1099" s="431"/>
      <c r="H1099" s="431"/>
      <c r="I1099" s="431"/>
      <c r="J1099" s="431"/>
      <c r="K1099" s="431"/>
      <c r="L1099" s="431"/>
      <c r="M1099" s="431"/>
      <c r="N1099" s="431"/>
      <c r="O1099" s="432"/>
      <c r="P1099" s="145"/>
      <c r="Q1099" s="182" t="s">
        <v>154</v>
      </c>
      <c r="R1099" s="183">
        <v>6</v>
      </c>
      <c r="S1099" s="181" t="s">
        <v>267</v>
      </c>
    </row>
    <row r="1100" spans="1:19" ht="15.75" thickBot="1" x14ac:dyDescent="0.3">
      <c r="E1100" s="307" t="s">
        <v>98</v>
      </c>
      <c r="F1100" s="365" t="s">
        <v>102</v>
      </c>
      <c r="G1100" s="365"/>
      <c r="H1100" s="365" t="s">
        <v>92</v>
      </c>
      <c r="I1100" s="365" t="s">
        <v>93</v>
      </c>
      <c r="J1100" s="365" t="s">
        <v>94</v>
      </c>
      <c r="K1100" s="359" t="s">
        <v>99</v>
      </c>
      <c r="L1100" s="433"/>
      <c r="M1100" s="433"/>
      <c r="N1100" s="433"/>
      <c r="O1100" s="434"/>
      <c r="P1100" s="145"/>
      <c r="Q1100" s="182" t="s">
        <v>156</v>
      </c>
      <c r="R1100" s="183">
        <v>5</v>
      </c>
      <c r="S1100" s="181" t="s">
        <v>268</v>
      </c>
    </row>
    <row r="1101" spans="1:19" ht="15.75" thickBot="1" x14ac:dyDescent="0.3">
      <c r="E1101" s="308">
        <v>1277</v>
      </c>
      <c r="F1101" s="365" t="s">
        <v>95</v>
      </c>
      <c r="G1101" s="365"/>
      <c r="H1101" s="441">
        <v>417.56</v>
      </c>
      <c r="I1101" s="441">
        <v>210.54</v>
      </c>
      <c r="J1101" s="441">
        <v>104.15</v>
      </c>
      <c r="K1101" s="359">
        <f>SUM(H1101:J1101)</f>
        <v>732.25</v>
      </c>
      <c r="L1101" s="436"/>
      <c r="M1101" s="436"/>
      <c r="N1101" s="436"/>
      <c r="O1101" s="437"/>
      <c r="P1101" s="145"/>
      <c r="Q1101" s="182" t="s">
        <v>158</v>
      </c>
      <c r="R1101" s="183"/>
      <c r="S1101" s="181"/>
    </row>
    <row r="1102" spans="1:19" ht="15.75" thickBot="1" x14ac:dyDescent="0.3">
      <c r="E1102" s="308">
        <v>0</v>
      </c>
      <c r="F1102" s="365" t="s">
        <v>96</v>
      </c>
      <c r="G1102" s="365"/>
      <c r="H1102" s="441"/>
      <c r="I1102" s="441"/>
      <c r="J1102" s="441"/>
      <c r="K1102" s="359">
        <f t="shared" ref="K1102:K1108" si="136">SUM(H1102:J1102)</f>
        <v>0</v>
      </c>
      <c r="L1102" s="436"/>
      <c r="M1102" s="436"/>
      <c r="N1102" s="436"/>
      <c r="O1102" s="437"/>
      <c r="P1102" s="145"/>
      <c r="Q1102" s="185" t="s">
        <v>99</v>
      </c>
      <c r="R1102" s="183" t="s">
        <v>417</v>
      </c>
      <c r="S1102" s="186">
        <v>0.54200000000000004</v>
      </c>
    </row>
    <row r="1103" spans="1:19" ht="15.75" thickBot="1" x14ac:dyDescent="0.3">
      <c r="E1103" s="307" t="s">
        <v>100</v>
      </c>
      <c r="F1103" s="365" t="s">
        <v>95</v>
      </c>
      <c r="G1103" s="365"/>
      <c r="H1103" s="444">
        <f>H1101/$E1101</f>
        <v>0.32698512137823021</v>
      </c>
      <c r="I1103" s="429">
        <f>I1101/$E1101</f>
        <v>0.16487079091620985</v>
      </c>
      <c r="J1103" s="429">
        <f>J1101/$E1101</f>
        <v>8.1558339859044635E-2</v>
      </c>
      <c r="K1103" s="374">
        <f t="shared" si="136"/>
        <v>0.57341425215348463</v>
      </c>
      <c r="L1103" s="436"/>
      <c r="M1103" s="436"/>
      <c r="N1103" s="436"/>
      <c r="O1103" s="437"/>
      <c r="P1103" s="145"/>
      <c r="Q1103" s="185"/>
      <c r="R1103" s="183"/>
      <c r="S1103" s="186"/>
    </row>
    <row r="1104" spans="1:19" x14ac:dyDescent="0.25">
      <c r="E1104" s="307" t="s">
        <v>100</v>
      </c>
      <c r="F1104" s="438" t="s">
        <v>96</v>
      </c>
      <c r="G1104" s="438"/>
      <c r="H1104" s="359" t="str">
        <f>IFERROR(H1102/$E1102,"na")</f>
        <v>na</v>
      </c>
      <c r="I1104" s="359" t="str">
        <f>IFERROR(I1102/$E1102,"na")</f>
        <v>na</v>
      </c>
      <c r="J1104" s="359" t="str">
        <f>IFERROR(J1102/$E1102,"na")</f>
        <v>na</v>
      </c>
      <c r="K1104" s="359">
        <f t="shared" si="136"/>
        <v>0</v>
      </c>
      <c r="L1104" s="436"/>
      <c r="M1104" s="436"/>
      <c r="N1104" s="436"/>
      <c r="O1104" s="437"/>
      <c r="P1104" s="145"/>
      <c r="Q1104" s="262"/>
      <c r="R1104" s="262"/>
      <c r="S1104" s="262"/>
    </row>
    <row r="1105" spans="1:19" x14ac:dyDescent="0.25">
      <c r="E1105" s="307" t="s">
        <v>104</v>
      </c>
      <c r="F1105" s="365" t="s">
        <v>95</v>
      </c>
      <c r="G1105" s="365"/>
      <c r="H1105" s="359">
        <f>H1101/($E1101/7.7)</f>
        <v>2.5177854346123727</v>
      </c>
      <c r="I1105" s="359">
        <f>I1101/($E1101/7)</f>
        <v>1.1540955364134691</v>
      </c>
      <c r="J1105" s="359">
        <f>J1101/($E1101/7)</f>
        <v>0.57090837901331248</v>
      </c>
      <c r="K1105" s="359">
        <f t="shared" si="136"/>
        <v>4.2427893500391543</v>
      </c>
      <c r="L1105" s="436"/>
      <c r="M1105" s="436"/>
      <c r="N1105" s="436"/>
      <c r="O1105" s="437"/>
      <c r="P1105" s="145"/>
      <c r="Q1105" s="262"/>
      <c r="R1105" s="262"/>
      <c r="S1105" s="262"/>
    </row>
    <row r="1106" spans="1:19" x14ac:dyDescent="0.25">
      <c r="E1106" s="307" t="s">
        <v>104</v>
      </c>
      <c r="F1106" s="438" t="s">
        <v>96</v>
      </c>
      <c r="G1106" s="438"/>
      <c r="H1106" s="359" t="str">
        <f>IFERROR(H1102/($E1102/7.7),"na")</f>
        <v>na</v>
      </c>
      <c r="I1106" s="359" t="str">
        <f>IFERROR(I1102/($E1102/7.7),"na")</f>
        <v>na</v>
      </c>
      <c r="J1106" s="359" t="str">
        <f>IFERROR(J1102/($E1102/7.7),"na")</f>
        <v>na</v>
      </c>
      <c r="K1106" s="359">
        <f t="shared" si="136"/>
        <v>0</v>
      </c>
      <c r="L1106" s="436"/>
      <c r="M1106" s="436"/>
      <c r="N1106" s="436"/>
      <c r="O1106" s="437"/>
      <c r="P1106" s="145"/>
      <c r="Q1106" s="262"/>
      <c r="R1106" s="262"/>
      <c r="S1106" s="262"/>
    </row>
    <row r="1107" spans="1:19" x14ac:dyDescent="0.25">
      <c r="E1107" s="307" t="s">
        <v>135</v>
      </c>
      <c r="F1107" s="365" t="s">
        <v>95</v>
      </c>
      <c r="G1107" s="365"/>
      <c r="H1107" s="359">
        <f>H1101/((($E1101*$B1097)*(1-$B1094))/$B1092)</f>
        <v>6.2359617682198318E-2</v>
      </c>
      <c r="I1107" s="359">
        <f>I1101/((($E1101*$B1097)*(1-$B1094))/$B1092)</f>
        <v>3.1442652329749098E-2</v>
      </c>
      <c r="J1107" s="359">
        <f>J1101/((($E1101*$B1097)*(1-$B1094))/$B1092)</f>
        <v>1.5554062126642771E-2</v>
      </c>
      <c r="K1107" s="359">
        <f t="shared" si="136"/>
        <v>0.10935633213859018</v>
      </c>
      <c r="L1107" s="436"/>
      <c r="M1107" s="436"/>
      <c r="N1107" s="436"/>
      <c r="O1107" s="437"/>
      <c r="P1107" s="42"/>
      <c r="Q1107" s="263"/>
      <c r="R1107" s="262"/>
      <c r="S1107" s="263"/>
    </row>
    <row r="1108" spans="1:19" x14ac:dyDescent="0.25">
      <c r="E1108" s="307" t="s">
        <v>135</v>
      </c>
      <c r="F1108" s="438" t="s">
        <v>96</v>
      </c>
      <c r="G1108" s="438"/>
      <c r="H1108" s="359" t="str">
        <f>IFERROR(H1102/((($E1102*$B1097)*(1-$B1094))/$B1092),"na")</f>
        <v>na</v>
      </c>
      <c r="I1108" s="359" t="str">
        <f>IFERROR(I1102/((($E1102*$B1097)*(1-$B1094))/$B1092),"na")</f>
        <v>na</v>
      </c>
      <c r="J1108" s="359" t="str">
        <f>IFERROR(J1102/((($E1102*$B1097)*(1-$B1094))/$B1092),"na")</f>
        <v>na</v>
      </c>
      <c r="K1108" s="359">
        <f t="shared" si="136"/>
        <v>0</v>
      </c>
      <c r="L1108" s="439"/>
      <c r="M1108" s="439"/>
      <c r="N1108" s="439"/>
      <c r="O1108" s="440"/>
      <c r="P1108" s="42"/>
      <c r="Q1108" s="263"/>
      <c r="R1108" s="262"/>
      <c r="S1108" s="263"/>
    </row>
    <row r="1109" spans="1:19" x14ac:dyDescent="0.25">
      <c r="A1109" s="178"/>
      <c r="B1109" s="178"/>
      <c r="C1109" s="178"/>
      <c r="D1109" s="178"/>
      <c r="E1109" s="178"/>
      <c r="F1109" s="178"/>
      <c r="G1109" s="178"/>
      <c r="H1109" s="178"/>
      <c r="I1109" s="178"/>
      <c r="J1109" s="178"/>
      <c r="K1109" s="178"/>
      <c r="L1109" s="178"/>
      <c r="M1109" s="178"/>
      <c r="N1109" s="178"/>
      <c r="O1109" s="178"/>
      <c r="P1109" s="146"/>
      <c r="Q1109" s="233"/>
      <c r="R1109" s="233"/>
      <c r="S1109" s="233"/>
    </row>
    <row r="1110" spans="1:19" ht="21" x14ac:dyDescent="0.25">
      <c r="A1110" s="305"/>
      <c r="B1110" s="644" t="s">
        <v>473</v>
      </c>
      <c r="C1110" s="645"/>
      <c r="D1110" s="645"/>
      <c r="E1110" s="645"/>
      <c r="F1110" s="645"/>
      <c r="G1110" s="645"/>
      <c r="H1110" s="645"/>
      <c r="I1110" s="645"/>
      <c r="J1110" s="645"/>
      <c r="K1110" s="645"/>
      <c r="L1110" s="645"/>
      <c r="M1110" s="645"/>
      <c r="N1110" s="645"/>
      <c r="O1110" s="646"/>
      <c r="P1110" s="145" t="s">
        <v>97</v>
      </c>
      <c r="Q1110" s="678" t="s">
        <v>189</v>
      </c>
      <c r="R1110" s="678"/>
      <c r="S1110" s="678"/>
    </row>
    <row r="1111" spans="1:19" ht="21" x14ac:dyDescent="0.25">
      <c r="A1111" s="177" t="s">
        <v>285</v>
      </c>
      <c r="B1111" s="647">
        <v>44005</v>
      </c>
      <c r="C1111" s="648"/>
      <c r="D1111" s="648"/>
      <c r="E1111" s="648"/>
      <c r="F1111" s="648"/>
      <c r="G1111" s="648"/>
      <c r="H1111" s="648"/>
      <c r="I1111" s="648"/>
      <c r="J1111" s="648"/>
      <c r="K1111" s="648"/>
      <c r="L1111" s="648"/>
      <c r="M1111" s="648"/>
      <c r="N1111" s="648"/>
      <c r="O1111" s="649"/>
      <c r="P1111" s="145"/>
      <c r="Q1111" s="678"/>
      <c r="R1111" s="678"/>
      <c r="S1111" s="678"/>
    </row>
    <row r="1112" spans="1:19" x14ac:dyDescent="0.25">
      <c r="A1112" s="177"/>
      <c r="B1112" s="650" t="s">
        <v>115</v>
      </c>
      <c r="C1112" s="651"/>
      <c r="D1112" s="651"/>
      <c r="E1112" s="651"/>
      <c r="F1112" s="651"/>
      <c r="G1112" s="651"/>
      <c r="H1112" s="651"/>
      <c r="I1112" s="651"/>
      <c r="J1112" s="651"/>
      <c r="K1112" s="651"/>
      <c r="L1112" s="651"/>
      <c r="M1112" s="651"/>
      <c r="N1112" s="651"/>
      <c r="O1112" s="652"/>
      <c r="P1112" s="145"/>
      <c r="Q1112" s="678"/>
      <c r="R1112" s="678"/>
      <c r="S1112" s="678"/>
    </row>
    <row r="1113" spans="1:19" x14ac:dyDescent="0.25">
      <c r="A1113" s="177" t="s">
        <v>106</v>
      </c>
      <c r="B1113" s="781">
        <v>7.2</v>
      </c>
      <c r="C1113" s="782"/>
      <c r="D1113" s="782"/>
      <c r="E1113" s="783"/>
      <c r="F1113" s="365" t="s">
        <v>174</v>
      </c>
      <c r="G1113" s="471"/>
      <c r="H1113" s="653">
        <v>0</v>
      </c>
      <c r="I1113" s="654"/>
      <c r="J1113" s="654"/>
      <c r="K1113" s="654"/>
      <c r="L1113" s="655"/>
      <c r="M1113" s="656">
        <f>SUM(B1113,H1114)</f>
        <v>7.2</v>
      </c>
      <c r="N1113" s="630"/>
      <c r="O1113" s="631"/>
      <c r="P1113" s="145"/>
      <c r="Q1113" s="678"/>
      <c r="R1113" s="678"/>
      <c r="S1113" s="678"/>
    </row>
    <row r="1114" spans="1:19" x14ac:dyDescent="0.25">
      <c r="A1114" s="177" t="s">
        <v>112</v>
      </c>
      <c r="B1114" s="626">
        <v>0</v>
      </c>
      <c r="C1114" s="627"/>
      <c r="D1114" s="627"/>
      <c r="E1114" s="628"/>
      <c r="F1114" s="290"/>
      <c r="G1114" s="472"/>
      <c r="H1114" s="626">
        <v>0</v>
      </c>
      <c r="I1114" s="627"/>
      <c r="J1114" s="627"/>
      <c r="K1114" s="627"/>
      <c r="L1114" s="628"/>
      <c r="M1114" s="657">
        <f>B1114</f>
        <v>0</v>
      </c>
      <c r="N1114" s="627"/>
      <c r="O1114" s="628"/>
      <c r="P1114" s="145"/>
      <c r="Q1114" s="678"/>
      <c r="R1114" s="678"/>
      <c r="S1114" s="678"/>
    </row>
    <row r="1115" spans="1:19" ht="15.75" thickBot="1" x14ac:dyDescent="0.3">
      <c r="A1115" s="177" t="s">
        <v>107</v>
      </c>
      <c r="B1115" s="629">
        <f>B1113*(1-B1114)</f>
        <v>7.2</v>
      </c>
      <c r="C1115" s="630"/>
      <c r="D1115" s="630"/>
      <c r="E1115" s="631"/>
      <c r="F1115" s="290"/>
      <c r="G1115" s="472"/>
      <c r="H1115" s="629">
        <f>H1113*(1-H1114)</f>
        <v>0</v>
      </c>
      <c r="I1115" s="630"/>
      <c r="J1115" s="630"/>
      <c r="K1115" s="630"/>
      <c r="L1115" s="631"/>
      <c r="M1115" s="656">
        <f>SUM(B1115,H1115)</f>
        <v>7.2</v>
      </c>
      <c r="N1115" s="630"/>
      <c r="O1115" s="631"/>
      <c r="P1115" s="145"/>
      <c r="Q1115" s="261" t="s">
        <v>97</v>
      </c>
      <c r="R1115" s="262"/>
      <c r="S1115" s="263"/>
    </row>
    <row r="1116" spans="1:19" x14ac:dyDescent="0.25">
      <c r="A1116" s="177" t="s">
        <v>108</v>
      </c>
      <c r="B1116" s="626">
        <f>B1119/B1115</f>
        <v>0.78597916666666667</v>
      </c>
      <c r="C1116" s="627"/>
      <c r="D1116" s="627"/>
      <c r="E1116" s="627"/>
      <c r="F1116" s="627"/>
      <c r="G1116" s="627"/>
      <c r="H1116" s="627"/>
      <c r="I1116" s="627"/>
      <c r="J1116" s="627"/>
      <c r="K1116" s="627"/>
      <c r="L1116" s="627"/>
      <c r="M1116" s="627"/>
      <c r="N1116" s="627"/>
      <c r="O1116" s="628"/>
      <c r="P1116" s="145"/>
      <c r="Q1116" s="671" t="s">
        <v>139</v>
      </c>
      <c r="R1116" s="235" t="s">
        <v>140</v>
      </c>
      <c r="S1116" s="679" t="s">
        <v>142</v>
      </c>
    </row>
    <row r="1117" spans="1:19" ht="15.75" thickBot="1" x14ac:dyDescent="0.3">
      <c r="A1117" s="177" t="s">
        <v>113</v>
      </c>
      <c r="B1117" s="629">
        <f>B1121*(E1125+E1126)/1000</f>
        <v>18.254999999999999</v>
      </c>
      <c r="C1117" s="630"/>
      <c r="D1117" s="630"/>
      <c r="E1117" s="630"/>
      <c r="F1117" s="630"/>
      <c r="G1117" s="630"/>
      <c r="H1117" s="630"/>
      <c r="I1117" s="630"/>
      <c r="J1117" s="630"/>
      <c r="K1117" s="630"/>
      <c r="L1117" s="630"/>
      <c r="M1117" s="630"/>
      <c r="N1117" s="630"/>
      <c r="O1117" s="631"/>
      <c r="P1117" s="145"/>
      <c r="Q1117" s="672"/>
      <c r="R1117" s="183" t="s">
        <v>141</v>
      </c>
      <c r="S1117" s="680"/>
    </row>
    <row r="1118" spans="1:19" ht="15.75" thickBot="1" x14ac:dyDescent="0.3">
      <c r="A1118" s="177" t="s">
        <v>109</v>
      </c>
      <c r="B1118" s="626">
        <v>0.69</v>
      </c>
      <c r="C1118" s="627"/>
      <c r="D1118" s="627"/>
      <c r="E1118" s="627"/>
      <c r="F1118" s="627"/>
      <c r="G1118" s="627"/>
      <c r="H1118" s="627"/>
      <c r="I1118" s="627"/>
      <c r="J1118" s="627"/>
      <c r="K1118" s="627"/>
      <c r="L1118" s="627"/>
      <c r="M1118" s="627"/>
      <c r="N1118" s="627"/>
      <c r="O1118" s="628"/>
      <c r="P1118" s="145"/>
      <c r="Q1118" s="269" t="s">
        <v>143</v>
      </c>
      <c r="R1118" s="257">
        <v>2</v>
      </c>
      <c r="S1118" s="258" t="s">
        <v>415</v>
      </c>
    </row>
    <row r="1119" spans="1:19" ht="15.75" thickBot="1" x14ac:dyDescent="0.3">
      <c r="A1119" s="177" t="s">
        <v>122</v>
      </c>
      <c r="B1119" s="629">
        <f>B1117-(B1117*B1118)</f>
        <v>5.6590500000000006</v>
      </c>
      <c r="C1119" s="630"/>
      <c r="D1119" s="630"/>
      <c r="E1119" s="630"/>
      <c r="F1119" s="630"/>
      <c r="G1119" s="630"/>
      <c r="H1119" s="630"/>
      <c r="I1119" s="630"/>
      <c r="J1119" s="630"/>
      <c r="K1119" s="630"/>
      <c r="L1119" s="630"/>
      <c r="M1119" s="630"/>
      <c r="N1119" s="630"/>
      <c r="O1119" s="631"/>
      <c r="P1119" s="145"/>
      <c r="Q1119" s="182" t="s">
        <v>145</v>
      </c>
      <c r="R1119" s="183">
        <v>6</v>
      </c>
      <c r="S1119" s="184" t="s">
        <v>418</v>
      </c>
    </row>
    <row r="1120" spans="1:19" ht="15.75" thickBot="1" x14ac:dyDescent="0.3">
      <c r="A1120" s="177" t="s">
        <v>110</v>
      </c>
      <c r="B1120" s="632">
        <v>121</v>
      </c>
      <c r="C1120" s="633"/>
      <c r="D1120" s="633"/>
      <c r="E1120" s="633"/>
      <c r="F1120" s="633"/>
      <c r="G1120" s="633"/>
      <c r="H1120" s="633"/>
      <c r="I1120" s="633"/>
      <c r="J1120" s="633"/>
      <c r="K1120" s="633"/>
      <c r="L1120" s="633"/>
      <c r="M1120" s="633"/>
      <c r="N1120" s="633"/>
      <c r="O1120" s="634"/>
      <c r="P1120" s="145"/>
      <c r="Q1120" s="182" t="s">
        <v>147</v>
      </c>
      <c r="R1120" s="183">
        <v>7</v>
      </c>
      <c r="S1120" s="181" t="s">
        <v>411</v>
      </c>
    </row>
    <row r="1121" spans="1:19" ht="15.75" thickBot="1" x14ac:dyDescent="0.3">
      <c r="A1121" s="177" t="s">
        <v>111</v>
      </c>
      <c r="B1121" s="635">
        <v>15</v>
      </c>
      <c r="C1121" s="636"/>
      <c r="D1121" s="636"/>
      <c r="E1121" s="636"/>
      <c r="F1121" s="636"/>
      <c r="G1121" s="636"/>
      <c r="H1121" s="636"/>
      <c r="I1121" s="636"/>
      <c r="J1121" s="636"/>
      <c r="K1121" s="636"/>
      <c r="L1121" s="636"/>
      <c r="M1121" s="636"/>
      <c r="N1121" s="636"/>
      <c r="O1121" s="637"/>
      <c r="P1121" s="145"/>
      <c r="Q1121" s="182" t="s">
        <v>82</v>
      </c>
      <c r="R1121" s="183">
        <v>8</v>
      </c>
      <c r="S1121" s="184" t="s">
        <v>416</v>
      </c>
    </row>
    <row r="1122" spans="1:19" ht="15.75" thickBot="1" x14ac:dyDescent="0.3">
      <c r="A1122" s="177" t="s">
        <v>273</v>
      </c>
      <c r="B1122" s="638" t="s">
        <v>435</v>
      </c>
      <c r="C1122" s="638"/>
      <c r="D1122" s="638"/>
      <c r="E1122" s="638"/>
      <c r="F1122" s="638"/>
      <c r="G1122" s="638"/>
      <c r="H1122" s="638"/>
      <c r="I1122" s="638"/>
      <c r="J1122" s="638"/>
      <c r="K1122" s="638"/>
      <c r="L1122" s="638"/>
      <c r="M1122" s="638"/>
      <c r="N1122" s="638"/>
      <c r="O1122" s="639"/>
      <c r="P1122" s="145"/>
      <c r="Q1122" s="182" t="s">
        <v>152</v>
      </c>
      <c r="R1122" s="183">
        <v>7</v>
      </c>
      <c r="S1122" s="184" t="s">
        <v>399</v>
      </c>
    </row>
    <row r="1123" spans="1:19" ht="15.75" thickBot="1" x14ac:dyDescent="0.3">
      <c r="A1123" s="177" t="s">
        <v>351</v>
      </c>
      <c r="B1123" s="447" t="s">
        <v>413</v>
      </c>
      <c r="C1123" s="447"/>
      <c r="D1123" s="447"/>
      <c r="E1123" s="447"/>
      <c r="F1123" s="447"/>
      <c r="G1123" s="447"/>
      <c r="H1123" s="447"/>
      <c r="I1123" s="431"/>
      <c r="J1123" s="431"/>
      <c r="K1123" s="431"/>
      <c r="L1123" s="431"/>
      <c r="M1123" s="431"/>
      <c r="N1123" s="431"/>
      <c r="O1123" s="432"/>
      <c r="P1123" s="145"/>
      <c r="Q1123" s="182" t="s">
        <v>154</v>
      </c>
      <c r="R1123" s="183">
        <v>5</v>
      </c>
      <c r="S1123" s="181" t="s">
        <v>419</v>
      </c>
    </row>
    <row r="1124" spans="1:19" ht="15.75" thickBot="1" x14ac:dyDescent="0.3">
      <c r="B1124" s="179" t="s">
        <v>97</v>
      </c>
      <c r="E1124" s="307" t="s">
        <v>98</v>
      </c>
      <c r="F1124" s="365" t="s">
        <v>102</v>
      </c>
      <c r="G1124" s="365"/>
      <c r="H1124" s="365" t="s">
        <v>92</v>
      </c>
      <c r="I1124" s="365" t="s">
        <v>93</v>
      </c>
      <c r="J1124" s="365" t="s">
        <v>94</v>
      </c>
      <c r="K1124" s="359" t="s">
        <v>99</v>
      </c>
      <c r="L1124" s="433"/>
      <c r="M1124" s="433"/>
      <c r="N1124" s="433"/>
      <c r="O1124" s="434"/>
      <c r="P1124" s="145"/>
      <c r="Q1124" s="182" t="s">
        <v>156</v>
      </c>
      <c r="R1124" s="183">
        <v>3</v>
      </c>
      <c r="S1124" s="181" t="s">
        <v>420</v>
      </c>
    </row>
    <row r="1125" spans="1:19" ht="15.75" thickBot="1" x14ac:dyDescent="0.3">
      <c r="E1125" s="308">
        <v>1097</v>
      </c>
      <c r="F1125" s="365" t="s">
        <v>95</v>
      </c>
      <c r="G1125" s="365"/>
      <c r="H1125" s="441">
        <v>0</v>
      </c>
      <c r="I1125" s="441">
        <v>0</v>
      </c>
      <c r="J1125" s="441"/>
      <c r="K1125" s="359">
        <f>SUM(H1125:J1125)</f>
        <v>0</v>
      </c>
      <c r="L1125" s="436"/>
      <c r="M1125" s="436"/>
      <c r="N1125" s="436"/>
      <c r="O1125" s="437"/>
      <c r="P1125" s="145"/>
      <c r="Q1125" s="182" t="s">
        <v>158</v>
      </c>
      <c r="R1125" s="183"/>
      <c r="S1125" s="181"/>
    </row>
    <row r="1126" spans="1:19" ht="15.75" thickBot="1" x14ac:dyDescent="0.3">
      <c r="E1126" s="308">
        <v>120</v>
      </c>
      <c r="F1126" s="365" t="s">
        <v>96</v>
      </c>
      <c r="G1126" s="365"/>
      <c r="H1126" s="441"/>
      <c r="I1126" s="441"/>
      <c r="J1126" s="441"/>
      <c r="K1126" s="359">
        <f t="shared" ref="K1126:K1132" si="137">SUM(H1126:J1126)</f>
        <v>0</v>
      </c>
      <c r="L1126" s="436"/>
      <c r="M1126" s="436"/>
      <c r="N1126" s="436"/>
      <c r="O1126" s="437"/>
      <c r="P1126" s="145"/>
      <c r="Q1126" s="185" t="s">
        <v>99</v>
      </c>
      <c r="R1126" s="183" t="s">
        <v>417</v>
      </c>
      <c r="S1126" s="186">
        <v>0.54200000000000004</v>
      </c>
    </row>
    <row r="1127" spans="1:19" ht="15.75" thickBot="1" x14ac:dyDescent="0.3">
      <c r="E1127" s="307" t="s">
        <v>100</v>
      </c>
      <c r="F1127" s="365" t="s">
        <v>95</v>
      </c>
      <c r="G1127" s="365"/>
      <c r="H1127" s="444">
        <f t="shared" ref="H1127:J1128" si="138">H1125/$E1125</f>
        <v>0</v>
      </c>
      <c r="I1127" s="429">
        <f t="shared" si="138"/>
        <v>0</v>
      </c>
      <c r="J1127" s="429">
        <f t="shared" si="138"/>
        <v>0</v>
      </c>
      <c r="K1127" s="374">
        <f t="shared" si="137"/>
        <v>0</v>
      </c>
      <c r="L1127" s="436"/>
      <c r="M1127" s="436"/>
      <c r="N1127" s="436"/>
      <c r="O1127" s="437"/>
      <c r="P1127" s="145"/>
      <c r="Q1127" s="185"/>
      <c r="R1127" s="183"/>
      <c r="S1127" s="186"/>
    </row>
    <row r="1128" spans="1:19" x14ac:dyDescent="0.25">
      <c r="E1128" s="307" t="s">
        <v>100</v>
      </c>
      <c r="F1128" s="438" t="s">
        <v>96</v>
      </c>
      <c r="G1128" s="438"/>
      <c r="H1128" s="359">
        <f t="shared" si="138"/>
        <v>0</v>
      </c>
      <c r="I1128" s="359">
        <f t="shared" si="138"/>
        <v>0</v>
      </c>
      <c r="J1128" s="359">
        <f t="shared" si="138"/>
        <v>0</v>
      </c>
      <c r="K1128" s="359">
        <f t="shared" si="137"/>
        <v>0</v>
      </c>
      <c r="L1128" s="436"/>
      <c r="M1128" s="436"/>
      <c r="N1128" s="436"/>
      <c r="O1128" s="437"/>
      <c r="P1128" s="145"/>
      <c r="Q1128" s="262"/>
      <c r="R1128" s="262"/>
      <c r="S1128" s="262"/>
    </row>
    <row r="1129" spans="1:19" x14ac:dyDescent="0.25">
      <c r="E1129" s="307" t="s">
        <v>104</v>
      </c>
      <c r="F1129" s="365" t="s">
        <v>95</v>
      </c>
      <c r="G1129" s="365"/>
      <c r="H1129" s="359">
        <f>H1125/($E1125/7.7)</f>
        <v>0</v>
      </c>
      <c r="I1129" s="359">
        <f>I1125/($E1125/7)</f>
        <v>0</v>
      </c>
      <c r="J1129" s="359">
        <f>J1125/($E1125/7)</f>
        <v>0</v>
      </c>
      <c r="K1129" s="359">
        <f t="shared" si="137"/>
        <v>0</v>
      </c>
      <c r="L1129" s="436"/>
      <c r="M1129" s="436"/>
      <c r="N1129" s="436"/>
      <c r="O1129" s="437"/>
      <c r="P1129" s="145"/>
      <c r="Q1129" s="262"/>
      <c r="R1129" s="262"/>
      <c r="S1129" s="262"/>
    </row>
    <row r="1130" spans="1:19" x14ac:dyDescent="0.25">
      <c r="E1130" s="307" t="s">
        <v>104</v>
      </c>
      <c r="F1130" s="438" t="s">
        <v>96</v>
      </c>
      <c r="G1130" s="438"/>
      <c r="H1130" s="359">
        <f>H1126/($E1126/7.7)</f>
        <v>0</v>
      </c>
      <c r="I1130" s="359">
        <f>I1126/($E1126/7.7)</f>
        <v>0</v>
      </c>
      <c r="J1130" s="359">
        <f>J1126/($E1126/7.7)</f>
        <v>0</v>
      </c>
      <c r="K1130" s="359">
        <f t="shared" si="137"/>
        <v>0</v>
      </c>
      <c r="L1130" s="436"/>
      <c r="M1130" s="436"/>
      <c r="N1130" s="436"/>
      <c r="O1130" s="437"/>
      <c r="P1130" s="145"/>
      <c r="Q1130" s="262"/>
      <c r="R1130" s="262"/>
      <c r="S1130" s="262"/>
    </row>
    <row r="1131" spans="1:19" x14ac:dyDescent="0.25">
      <c r="E1131" s="307" t="s">
        <v>135</v>
      </c>
      <c r="F1131" s="365" t="s">
        <v>95</v>
      </c>
      <c r="G1131" s="365"/>
      <c r="H1131" s="359">
        <f>H1125/((($E1125*$B1121)*(1-$B1118))/$B1116)</f>
        <v>0</v>
      </c>
      <c r="I1131" s="359">
        <f>I1125/((($E1125*$B1121)*(1-$B1118))/$B1116)</f>
        <v>0</v>
      </c>
      <c r="J1131" s="359">
        <f>J1125/((($E1125*$B1121)*(1-$B1118))/$B1116)</f>
        <v>0</v>
      </c>
      <c r="K1131" s="359">
        <f t="shared" si="137"/>
        <v>0</v>
      </c>
      <c r="L1131" s="436"/>
      <c r="M1131" s="436"/>
      <c r="N1131" s="436"/>
      <c r="O1131" s="437"/>
      <c r="P1131" s="42"/>
      <c r="Q1131" s="263"/>
      <c r="R1131" s="262"/>
      <c r="S1131" s="263"/>
    </row>
    <row r="1132" spans="1:19" x14ac:dyDescent="0.25">
      <c r="E1132" s="307" t="s">
        <v>135</v>
      </c>
      <c r="F1132" s="438" t="s">
        <v>96</v>
      </c>
      <c r="G1132" s="438"/>
      <c r="H1132" s="359">
        <f>H1126/((($E1126*$B1121)*(1-$B1118))/$B1116)</f>
        <v>0</v>
      </c>
      <c r="I1132" s="359">
        <f>I1126/((($E1126*$B1121)*(1-$B1118))/$B1116)</f>
        <v>0</v>
      </c>
      <c r="J1132" s="359">
        <f>J1126/((($E1126*$B1121)*(1-$B1118))/$B1116)</f>
        <v>0</v>
      </c>
      <c r="K1132" s="359">
        <f t="shared" si="137"/>
        <v>0</v>
      </c>
      <c r="L1132" s="439"/>
      <c r="M1132" s="439"/>
      <c r="N1132" s="439"/>
      <c r="O1132" s="440"/>
      <c r="P1132" s="42"/>
      <c r="Q1132" s="263"/>
      <c r="R1132" s="262"/>
      <c r="S1132" s="263"/>
    </row>
    <row r="1133" spans="1:19" x14ac:dyDescent="0.25">
      <c r="A1133" s="178"/>
      <c r="B1133" s="178"/>
      <c r="C1133" s="178"/>
      <c r="D1133" s="178"/>
      <c r="E1133" s="178"/>
      <c r="F1133" s="178"/>
      <c r="G1133" s="178"/>
      <c r="H1133" s="178"/>
      <c r="I1133" s="178"/>
      <c r="J1133" s="178"/>
      <c r="K1133" s="178"/>
      <c r="L1133" s="178"/>
      <c r="M1133" s="178"/>
      <c r="N1133" s="178"/>
      <c r="O1133" s="178"/>
      <c r="P1133" s="150"/>
      <c r="Q1133" s="233"/>
      <c r="R1133" s="233"/>
      <c r="S1133" s="233"/>
    </row>
    <row r="1134" spans="1:19" ht="21" x14ac:dyDescent="0.25">
      <c r="A1134" s="305"/>
      <c r="B1134" s="644" t="s">
        <v>391</v>
      </c>
      <c r="C1134" s="645"/>
      <c r="D1134" s="645"/>
      <c r="E1134" s="645"/>
      <c r="F1134" s="645"/>
      <c r="G1134" s="645"/>
      <c r="H1134" s="645"/>
      <c r="I1134" s="645"/>
      <c r="J1134" s="645"/>
      <c r="K1134" s="645"/>
      <c r="L1134" s="645"/>
      <c r="M1134" s="645"/>
      <c r="N1134" s="645"/>
      <c r="O1134" s="646"/>
      <c r="P1134" s="149" t="s">
        <v>97</v>
      </c>
      <c r="Q1134" s="678" t="s">
        <v>191</v>
      </c>
      <c r="R1134" s="678"/>
      <c r="S1134" s="678"/>
    </row>
    <row r="1135" spans="1:19" ht="21" x14ac:dyDescent="0.25">
      <c r="A1135" s="177" t="s">
        <v>285</v>
      </c>
      <c r="B1135" s="647">
        <v>44013</v>
      </c>
      <c r="C1135" s="648"/>
      <c r="D1135" s="648"/>
      <c r="E1135" s="648"/>
      <c r="F1135" s="648"/>
      <c r="G1135" s="648"/>
      <c r="H1135" s="648"/>
      <c r="I1135" s="648"/>
      <c r="J1135" s="648"/>
      <c r="K1135" s="648"/>
      <c r="L1135" s="648"/>
      <c r="M1135" s="648"/>
      <c r="N1135" s="648"/>
      <c r="O1135" s="649"/>
      <c r="P1135" s="149"/>
      <c r="Q1135" s="678"/>
      <c r="R1135" s="678"/>
      <c r="S1135" s="678"/>
    </row>
    <row r="1136" spans="1:19" x14ac:dyDescent="0.25">
      <c r="A1136" s="177"/>
      <c r="B1136" s="650" t="s">
        <v>115</v>
      </c>
      <c r="C1136" s="651"/>
      <c r="D1136" s="651"/>
      <c r="E1136" s="651"/>
      <c r="F1136" s="651"/>
      <c r="G1136" s="651"/>
      <c r="H1136" s="651"/>
      <c r="I1136" s="651"/>
      <c r="J1136" s="651"/>
      <c r="K1136" s="651"/>
      <c r="L1136" s="651"/>
      <c r="M1136" s="651"/>
      <c r="N1136" s="651"/>
      <c r="O1136" s="652"/>
      <c r="P1136" s="149"/>
      <c r="Q1136" s="678"/>
      <c r="R1136" s="678"/>
      <c r="S1136" s="678"/>
    </row>
    <row r="1137" spans="1:19" x14ac:dyDescent="0.25">
      <c r="A1137" s="177" t="s">
        <v>106</v>
      </c>
      <c r="B1137" s="629">
        <v>7.5</v>
      </c>
      <c r="C1137" s="630"/>
      <c r="D1137" s="630"/>
      <c r="E1137" s="631"/>
      <c r="F1137" s="365" t="s">
        <v>174</v>
      </c>
      <c r="G1137" s="471"/>
      <c r="H1137" s="653">
        <v>0</v>
      </c>
      <c r="I1137" s="654"/>
      <c r="J1137" s="654"/>
      <c r="K1137" s="654"/>
      <c r="L1137" s="655"/>
      <c r="M1137" s="656">
        <f>SUM(B1137,H1138)</f>
        <v>7.5</v>
      </c>
      <c r="N1137" s="630"/>
      <c r="O1137" s="631"/>
      <c r="P1137" s="149"/>
      <c r="Q1137" s="678"/>
      <c r="R1137" s="678"/>
      <c r="S1137" s="678"/>
    </row>
    <row r="1138" spans="1:19" x14ac:dyDescent="0.25">
      <c r="A1138" s="177" t="s">
        <v>112</v>
      </c>
      <c r="B1138" s="626">
        <v>0.12</v>
      </c>
      <c r="C1138" s="627"/>
      <c r="D1138" s="627"/>
      <c r="E1138" s="628"/>
      <c r="F1138" s="290"/>
      <c r="G1138" s="472"/>
      <c r="H1138" s="626">
        <v>0</v>
      </c>
      <c r="I1138" s="627"/>
      <c r="J1138" s="627"/>
      <c r="K1138" s="627"/>
      <c r="L1138" s="628"/>
      <c r="M1138" s="657">
        <f>B1138</f>
        <v>0.12</v>
      </c>
      <c r="N1138" s="627"/>
      <c r="O1138" s="628"/>
      <c r="P1138" s="149"/>
      <c r="Q1138" s="678"/>
      <c r="R1138" s="678"/>
      <c r="S1138" s="678"/>
    </row>
    <row r="1139" spans="1:19" ht="15.75" thickBot="1" x14ac:dyDescent="0.3">
      <c r="A1139" s="177" t="s">
        <v>107</v>
      </c>
      <c r="B1139" s="629">
        <f>B1137*(1-B1138)</f>
        <v>6.6</v>
      </c>
      <c r="C1139" s="630"/>
      <c r="D1139" s="630"/>
      <c r="E1139" s="631"/>
      <c r="F1139" s="290"/>
      <c r="G1139" s="472"/>
      <c r="H1139" s="629">
        <f>H1137*(1-H1138)</f>
        <v>0</v>
      </c>
      <c r="I1139" s="630"/>
      <c r="J1139" s="630"/>
      <c r="K1139" s="630"/>
      <c r="L1139" s="631"/>
      <c r="M1139" s="656">
        <f>SUM(B1139,H1139)</f>
        <v>6.6</v>
      </c>
      <c r="N1139" s="630"/>
      <c r="O1139" s="631"/>
      <c r="P1139" s="149"/>
      <c r="Q1139" s="261" t="s">
        <v>97</v>
      </c>
      <c r="R1139" s="262"/>
      <c r="S1139" s="263"/>
    </row>
    <row r="1140" spans="1:19" x14ac:dyDescent="0.25">
      <c r="A1140" s="177" t="s">
        <v>108</v>
      </c>
      <c r="B1140" s="626">
        <f>B1143/B1139</f>
        <v>0.80670454545454562</v>
      </c>
      <c r="C1140" s="627"/>
      <c r="D1140" s="627"/>
      <c r="E1140" s="627"/>
      <c r="F1140" s="627"/>
      <c r="G1140" s="627"/>
      <c r="H1140" s="627"/>
      <c r="I1140" s="627"/>
      <c r="J1140" s="627"/>
      <c r="K1140" s="627"/>
      <c r="L1140" s="627"/>
      <c r="M1140" s="627"/>
      <c r="N1140" s="627"/>
      <c r="O1140" s="628"/>
      <c r="P1140" s="149"/>
      <c r="Q1140" s="671" t="s">
        <v>139</v>
      </c>
      <c r="R1140" s="235" t="s">
        <v>140</v>
      </c>
      <c r="S1140" s="679" t="s">
        <v>142</v>
      </c>
    </row>
    <row r="1141" spans="1:19" ht="15.75" thickBot="1" x14ac:dyDescent="0.3">
      <c r="A1141" s="177" t="s">
        <v>113</v>
      </c>
      <c r="B1141" s="629">
        <f>B1145*(E1149+E1150)/1000</f>
        <v>17.175000000000001</v>
      </c>
      <c r="C1141" s="630"/>
      <c r="D1141" s="630"/>
      <c r="E1141" s="630"/>
      <c r="F1141" s="630"/>
      <c r="G1141" s="630"/>
      <c r="H1141" s="630"/>
      <c r="I1141" s="630"/>
      <c r="J1141" s="630"/>
      <c r="K1141" s="630"/>
      <c r="L1141" s="630"/>
      <c r="M1141" s="630"/>
      <c r="N1141" s="630"/>
      <c r="O1141" s="631"/>
      <c r="P1141" s="149"/>
      <c r="Q1141" s="672"/>
      <c r="R1141" s="183" t="s">
        <v>141</v>
      </c>
      <c r="S1141" s="680"/>
    </row>
    <row r="1142" spans="1:19" ht="15.75" thickBot="1" x14ac:dyDescent="0.3">
      <c r="A1142" s="177" t="s">
        <v>109</v>
      </c>
      <c r="B1142" s="626">
        <v>0.69</v>
      </c>
      <c r="C1142" s="627"/>
      <c r="D1142" s="627"/>
      <c r="E1142" s="627"/>
      <c r="F1142" s="627"/>
      <c r="G1142" s="627"/>
      <c r="H1142" s="627"/>
      <c r="I1142" s="627"/>
      <c r="J1142" s="627"/>
      <c r="K1142" s="627"/>
      <c r="L1142" s="627"/>
      <c r="M1142" s="627"/>
      <c r="N1142" s="627"/>
      <c r="O1142" s="628"/>
      <c r="P1142" s="149"/>
      <c r="Q1142" s="182" t="s">
        <v>143</v>
      </c>
      <c r="R1142" s="183">
        <v>1</v>
      </c>
      <c r="S1142" s="181" t="s">
        <v>421</v>
      </c>
    </row>
    <row r="1143" spans="1:19" ht="15.75" thickBot="1" x14ac:dyDescent="0.3">
      <c r="A1143" s="177" t="s">
        <v>122</v>
      </c>
      <c r="B1143" s="629">
        <f>B1141-(B1141*B1142)</f>
        <v>5.324250000000001</v>
      </c>
      <c r="C1143" s="630"/>
      <c r="D1143" s="630"/>
      <c r="E1143" s="630"/>
      <c r="F1143" s="630"/>
      <c r="G1143" s="630"/>
      <c r="H1143" s="630"/>
      <c r="I1143" s="630"/>
      <c r="J1143" s="630"/>
      <c r="K1143" s="630"/>
      <c r="L1143" s="630"/>
      <c r="M1143" s="630"/>
      <c r="N1143" s="630"/>
      <c r="O1143" s="631"/>
      <c r="P1143" s="149"/>
      <c r="Q1143" s="182" t="s">
        <v>145</v>
      </c>
      <c r="R1143" s="183">
        <v>7</v>
      </c>
      <c r="S1143" s="184" t="s">
        <v>418</v>
      </c>
    </row>
    <row r="1144" spans="1:19" ht="15.75" thickBot="1" x14ac:dyDescent="0.3">
      <c r="A1144" s="177" t="s">
        <v>110</v>
      </c>
      <c r="B1144" s="632">
        <v>145</v>
      </c>
      <c r="C1144" s="633"/>
      <c r="D1144" s="633"/>
      <c r="E1144" s="633"/>
      <c r="F1144" s="633"/>
      <c r="G1144" s="633"/>
      <c r="H1144" s="633"/>
      <c r="I1144" s="633"/>
      <c r="J1144" s="633"/>
      <c r="K1144" s="633"/>
      <c r="L1144" s="633"/>
      <c r="M1144" s="633"/>
      <c r="N1144" s="633"/>
      <c r="O1144" s="634"/>
      <c r="P1144" s="149"/>
      <c r="Q1144" s="182" t="s">
        <v>147</v>
      </c>
      <c r="R1144" s="183">
        <v>6.5</v>
      </c>
      <c r="S1144" s="181" t="s">
        <v>411</v>
      </c>
    </row>
    <row r="1145" spans="1:19" ht="15.75" thickBot="1" x14ac:dyDescent="0.3">
      <c r="A1145" s="177" t="s">
        <v>111</v>
      </c>
      <c r="B1145" s="635">
        <v>15</v>
      </c>
      <c r="C1145" s="636"/>
      <c r="D1145" s="636"/>
      <c r="E1145" s="636"/>
      <c r="F1145" s="636"/>
      <c r="G1145" s="636"/>
      <c r="H1145" s="636"/>
      <c r="I1145" s="636"/>
      <c r="J1145" s="636"/>
      <c r="K1145" s="636"/>
      <c r="L1145" s="636"/>
      <c r="M1145" s="636"/>
      <c r="N1145" s="636"/>
      <c r="O1145" s="637"/>
      <c r="P1145" s="149"/>
      <c r="Q1145" s="182" t="s">
        <v>82</v>
      </c>
      <c r="R1145" s="183">
        <v>7</v>
      </c>
      <c r="S1145" s="184" t="s">
        <v>416</v>
      </c>
    </row>
    <row r="1146" spans="1:19" ht="15.75" thickBot="1" x14ac:dyDescent="0.3">
      <c r="A1146" s="177" t="s">
        <v>273</v>
      </c>
      <c r="B1146" s="638" t="s">
        <v>526</v>
      </c>
      <c r="C1146" s="638"/>
      <c r="D1146" s="638"/>
      <c r="E1146" s="638"/>
      <c r="F1146" s="638"/>
      <c r="G1146" s="638"/>
      <c r="H1146" s="638"/>
      <c r="I1146" s="638"/>
      <c r="J1146" s="638"/>
      <c r="K1146" s="638"/>
      <c r="L1146" s="638"/>
      <c r="M1146" s="638"/>
      <c r="N1146" s="638"/>
      <c r="O1146" s="639"/>
      <c r="P1146" s="149"/>
      <c r="Q1146" s="182" t="s">
        <v>152</v>
      </c>
      <c r="R1146" s="183">
        <v>7</v>
      </c>
      <c r="S1146" s="184" t="s">
        <v>399</v>
      </c>
    </row>
    <row r="1147" spans="1:19" ht="15.75" thickBot="1" x14ac:dyDescent="0.3">
      <c r="A1147" s="177" t="s">
        <v>351</v>
      </c>
      <c r="B1147" s="431"/>
      <c r="C1147" s="431"/>
      <c r="D1147" s="431"/>
      <c r="E1147" s="431"/>
      <c r="F1147" s="431"/>
      <c r="G1147" s="431"/>
      <c r="H1147" s="431"/>
      <c r="I1147" s="431"/>
      <c r="J1147" s="431"/>
      <c r="K1147" s="431"/>
      <c r="L1147" s="431"/>
      <c r="M1147" s="431"/>
      <c r="N1147" s="431"/>
      <c r="O1147" s="432"/>
      <c r="P1147" s="149"/>
      <c r="Q1147" s="182" t="s">
        <v>154</v>
      </c>
      <c r="R1147" s="183">
        <v>5</v>
      </c>
      <c r="S1147" s="181" t="s">
        <v>419</v>
      </c>
    </row>
    <row r="1148" spans="1:19" ht="15.75" thickBot="1" x14ac:dyDescent="0.3">
      <c r="E1148" s="307" t="s">
        <v>98</v>
      </c>
      <c r="F1148" s="365" t="s">
        <v>102</v>
      </c>
      <c r="G1148" s="365"/>
      <c r="H1148" s="365" t="s">
        <v>92</v>
      </c>
      <c r="I1148" s="365" t="s">
        <v>93</v>
      </c>
      <c r="J1148" s="365" t="s">
        <v>94</v>
      </c>
      <c r="K1148" s="359" t="s">
        <v>99</v>
      </c>
      <c r="L1148" s="433"/>
      <c r="M1148" s="433"/>
      <c r="N1148" s="433"/>
      <c r="O1148" s="434"/>
      <c r="P1148" s="149"/>
      <c r="Q1148" s="270" t="s">
        <v>156</v>
      </c>
      <c r="R1148" s="271">
        <v>2</v>
      </c>
      <c r="S1148" s="272" t="s">
        <v>422</v>
      </c>
    </row>
    <row r="1149" spans="1:19" ht="15.75" thickBot="1" x14ac:dyDescent="0.3">
      <c r="E1149" s="308">
        <v>1129</v>
      </c>
      <c r="F1149" s="365" t="s">
        <v>95</v>
      </c>
      <c r="G1149" s="365"/>
      <c r="H1149" s="441">
        <v>0</v>
      </c>
      <c r="I1149" s="441">
        <v>0</v>
      </c>
      <c r="J1149" s="441">
        <v>0</v>
      </c>
      <c r="K1149" s="359">
        <f>SUM(H1149:J1149)</f>
        <v>0</v>
      </c>
      <c r="L1149" s="436"/>
      <c r="M1149" s="436"/>
      <c r="N1149" s="436"/>
      <c r="O1149" s="437"/>
      <c r="P1149" s="149"/>
      <c r="Q1149" s="182" t="s">
        <v>158</v>
      </c>
      <c r="R1149" s="183"/>
      <c r="S1149" s="181"/>
    </row>
    <row r="1150" spans="1:19" ht="15.75" thickBot="1" x14ac:dyDescent="0.3">
      <c r="E1150" s="308">
        <v>16</v>
      </c>
      <c r="F1150" s="365" t="s">
        <v>96</v>
      </c>
      <c r="G1150" s="365"/>
      <c r="H1150" s="441"/>
      <c r="I1150" s="441"/>
      <c r="J1150" s="441"/>
      <c r="K1150" s="359">
        <f t="shared" ref="K1150:K1156" si="139">SUM(H1150:J1150)</f>
        <v>0</v>
      </c>
      <c r="L1150" s="436"/>
      <c r="M1150" s="436"/>
      <c r="N1150" s="436"/>
      <c r="O1150" s="437"/>
      <c r="P1150" s="149"/>
      <c r="Q1150" s="185" t="s">
        <v>99</v>
      </c>
      <c r="R1150" s="183" t="s">
        <v>424</v>
      </c>
      <c r="S1150" s="265">
        <v>0.51</v>
      </c>
    </row>
    <row r="1151" spans="1:19" ht="15.75" thickBot="1" x14ac:dyDescent="0.3">
      <c r="E1151" s="307" t="s">
        <v>100</v>
      </c>
      <c r="F1151" s="365" t="s">
        <v>95</v>
      </c>
      <c r="G1151" s="365"/>
      <c r="H1151" s="444">
        <f t="shared" ref="H1151:J1152" si="140">H1149/$E1149</f>
        <v>0</v>
      </c>
      <c r="I1151" s="429">
        <f t="shared" si="140"/>
        <v>0</v>
      </c>
      <c r="J1151" s="429">
        <f t="shared" si="140"/>
        <v>0</v>
      </c>
      <c r="K1151" s="374">
        <f t="shared" si="139"/>
        <v>0</v>
      </c>
      <c r="L1151" s="436"/>
      <c r="M1151" s="436"/>
      <c r="N1151" s="436"/>
      <c r="O1151" s="437"/>
      <c r="P1151" s="149"/>
      <c r="Q1151" s="185"/>
      <c r="R1151" s="183"/>
      <c r="S1151" s="186"/>
    </row>
    <row r="1152" spans="1:19" x14ac:dyDescent="0.25">
      <c r="E1152" s="307" t="s">
        <v>100</v>
      </c>
      <c r="F1152" s="438" t="s">
        <v>96</v>
      </c>
      <c r="G1152" s="438"/>
      <c r="H1152" s="359">
        <f t="shared" si="140"/>
        <v>0</v>
      </c>
      <c r="I1152" s="359">
        <f t="shared" si="140"/>
        <v>0</v>
      </c>
      <c r="J1152" s="359">
        <f t="shared" si="140"/>
        <v>0</v>
      </c>
      <c r="K1152" s="359">
        <f t="shared" si="139"/>
        <v>0</v>
      </c>
      <c r="L1152" s="436"/>
      <c r="M1152" s="436"/>
      <c r="N1152" s="436"/>
      <c r="O1152" s="437"/>
      <c r="P1152" s="149"/>
      <c r="Q1152" s="262"/>
      <c r="R1152" s="262"/>
      <c r="S1152" s="262"/>
    </row>
    <row r="1153" spans="1:19" x14ac:dyDescent="0.25">
      <c r="E1153" s="307" t="s">
        <v>104</v>
      </c>
      <c r="F1153" s="365" t="s">
        <v>95</v>
      </c>
      <c r="G1153" s="365"/>
      <c r="H1153" s="359">
        <f>H1149/($E1149/7.7)</f>
        <v>0</v>
      </c>
      <c r="I1153" s="359">
        <f>I1149/($E1149/7)</f>
        <v>0</v>
      </c>
      <c r="J1153" s="359">
        <f>J1149/($E1149/7)</f>
        <v>0</v>
      </c>
      <c r="K1153" s="359">
        <f t="shared" si="139"/>
        <v>0</v>
      </c>
      <c r="L1153" s="436"/>
      <c r="M1153" s="436"/>
      <c r="N1153" s="436"/>
      <c r="O1153" s="437"/>
      <c r="P1153" s="149"/>
      <c r="Q1153" s="262"/>
      <c r="R1153" s="262"/>
      <c r="S1153" s="262"/>
    </row>
    <row r="1154" spans="1:19" x14ac:dyDescent="0.25">
      <c r="E1154" s="307" t="s">
        <v>104</v>
      </c>
      <c r="F1154" s="438" t="s">
        <v>96</v>
      </c>
      <c r="G1154" s="438"/>
      <c r="H1154" s="359">
        <f>H1150/($E1150/7.7)</f>
        <v>0</v>
      </c>
      <c r="I1154" s="359">
        <f>I1150/($E1150/7.7)</f>
        <v>0</v>
      </c>
      <c r="J1154" s="359">
        <f>J1150/($E1150/7.7)</f>
        <v>0</v>
      </c>
      <c r="K1154" s="359">
        <f t="shared" si="139"/>
        <v>0</v>
      </c>
      <c r="L1154" s="436"/>
      <c r="M1154" s="436"/>
      <c r="N1154" s="436"/>
      <c r="O1154" s="437"/>
      <c r="P1154" s="149"/>
      <c r="Q1154" s="262"/>
      <c r="R1154" s="262"/>
      <c r="S1154" s="262"/>
    </row>
    <row r="1155" spans="1:19" x14ac:dyDescent="0.25">
      <c r="E1155" s="307" t="s">
        <v>135</v>
      </c>
      <c r="F1155" s="365" t="s">
        <v>95</v>
      </c>
      <c r="G1155" s="365"/>
      <c r="H1155" s="359">
        <f>H1149/((($E1149*$B1145)*(1-$B1142))/$B1140)</f>
        <v>0</v>
      </c>
      <c r="I1155" s="359">
        <f>I1149/((($E1149*$B1145)*(1-$B1142))/$B1140)</f>
        <v>0</v>
      </c>
      <c r="J1155" s="359">
        <f>J1149/((($E1149*$B1145)*(1-$B1142))/$B1140)</f>
        <v>0</v>
      </c>
      <c r="K1155" s="359">
        <f t="shared" si="139"/>
        <v>0</v>
      </c>
      <c r="L1155" s="436"/>
      <c r="M1155" s="436"/>
      <c r="N1155" s="436"/>
      <c r="O1155" s="437"/>
      <c r="P1155" s="42"/>
      <c r="Q1155" s="263"/>
      <c r="R1155" s="262"/>
      <c r="S1155" s="263"/>
    </row>
    <row r="1156" spans="1:19" x14ac:dyDescent="0.25">
      <c r="E1156" s="307" t="s">
        <v>135</v>
      </c>
      <c r="F1156" s="438" t="s">
        <v>96</v>
      </c>
      <c r="G1156" s="438"/>
      <c r="H1156" s="359">
        <f>H1150/((($E1150*$B1145)*(1-$B1142))/$B1140)</f>
        <v>0</v>
      </c>
      <c r="I1156" s="359">
        <f>I1150/((($E1150*$B1145)*(1-$B1142))/$B1140)</f>
        <v>0</v>
      </c>
      <c r="J1156" s="359">
        <f>J1150/((($E1150*$B1145)*(1-$B1142))/$B1140)</f>
        <v>0</v>
      </c>
      <c r="K1156" s="359">
        <f t="shared" si="139"/>
        <v>0</v>
      </c>
      <c r="L1156" s="439"/>
      <c r="M1156" s="439"/>
      <c r="N1156" s="439"/>
      <c r="O1156" s="440"/>
      <c r="P1156" s="42"/>
      <c r="Q1156" s="263"/>
      <c r="R1156" s="262"/>
      <c r="S1156" s="263"/>
    </row>
    <row r="1157" spans="1:19" x14ac:dyDescent="0.25">
      <c r="A1157" s="178"/>
      <c r="B1157" s="178"/>
      <c r="C1157" s="178"/>
      <c r="D1157" s="178"/>
      <c r="E1157" s="178"/>
      <c r="F1157" s="178"/>
      <c r="G1157" s="178"/>
      <c r="H1157" s="178"/>
      <c r="I1157" s="178"/>
      <c r="J1157" s="178"/>
      <c r="K1157" s="178"/>
      <c r="L1157" s="178"/>
      <c r="M1157" s="178"/>
      <c r="N1157" s="178"/>
      <c r="O1157" s="178"/>
      <c r="P1157" s="155"/>
      <c r="Q1157" s="233"/>
      <c r="R1157" s="233"/>
      <c r="S1157" s="233"/>
    </row>
    <row r="1158" spans="1:19" ht="21" x14ac:dyDescent="0.25">
      <c r="A1158" s="305"/>
      <c r="B1158" s="644" t="s">
        <v>405</v>
      </c>
      <c r="C1158" s="645"/>
      <c r="D1158" s="645"/>
      <c r="E1158" s="645"/>
      <c r="F1158" s="645"/>
      <c r="G1158" s="645"/>
      <c r="H1158" s="645"/>
      <c r="I1158" s="645"/>
      <c r="J1158" s="645"/>
      <c r="K1158" s="645"/>
      <c r="L1158" s="645"/>
      <c r="M1158" s="645"/>
      <c r="N1158" s="645"/>
      <c r="O1158" s="646"/>
      <c r="P1158" s="154" t="s">
        <v>97</v>
      </c>
      <c r="Q1158" s="678" t="s">
        <v>193</v>
      </c>
      <c r="R1158" s="678"/>
      <c r="S1158" s="678"/>
    </row>
    <row r="1159" spans="1:19" ht="21" x14ac:dyDescent="0.25">
      <c r="A1159" s="177" t="s">
        <v>285</v>
      </c>
      <c r="B1159" s="647">
        <v>44020</v>
      </c>
      <c r="C1159" s="648"/>
      <c r="D1159" s="648"/>
      <c r="E1159" s="648"/>
      <c r="F1159" s="648"/>
      <c r="G1159" s="648"/>
      <c r="H1159" s="648"/>
      <c r="I1159" s="648"/>
      <c r="J1159" s="648"/>
      <c r="K1159" s="648"/>
      <c r="L1159" s="648"/>
      <c r="M1159" s="648"/>
      <c r="N1159" s="648"/>
      <c r="O1159" s="649"/>
      <c r="P1159" s="154"/>
      <c r="Q1159" s="678"/>
      <c r="R1159" s="678"/>
      <c r="S1159" s="678"/>
    </row>
    <row r="1160" spans="1:19" x14ac:dyDescent="0.25">
      <c r="A1160" s="177"/>
      <c r="B1160" s="650" t="s">
        <v>115</v>
      </c>
      <c r="C1160" s="651"/>
      <c r="D1160" s="651"/>
      <c r="E1160" s="651"/>
      <c r="F1160" s="651"/>
      <c r="G1160" s="651"/>
      <c r="H1160" s="651"/>
      <c r="I1160" s="651"/>
      <c r="J1160" s="651"/>
      <c r="K1160" s="651"/>
      <c r="L1160" s="651"/>
      <c r="M1160" s="651"/>
      <c r="N1160" s="651"/>
      <c r="O1160" s="652"/>
      <c r="P1160" s="154"/>
      <c r="Q1160" s="678"/>
      <c r="R1160" s="678"/>
      <c r="S1160" s="678"/>
    </row>
    <row r="1161" spans="1:19" x14ac:dyDescent="0.25">
      <c r="A1161" s="177" t="s">
        <v>106</v>
      </c>
      <c r="B1161" s="629">
        <v>7.5</v>
      </c>
      <c r="C1161" s="630"/>
      <c r="D1161" s="630"/>
      <c r="E1161" s="631"/>
      <c r="F1161" s="365" t="s">
        <v>174</v>
      </c>
      <c r="G1161" s="471"/>
      <c r="H1161" s="653">
        <v>0</v>
      </c>
      <c r="I1161" s="654"/>
      <c r="J1161" s="654"/>
      <c r="K1161" s="654"/>
      <c r="L1161" s="655"/>
      <c r="M1161" s="656">
        <f>SUM(B1161,H1162)</f>
        <v>7.5</v>
      </c>
      <c r="N1161" s="630"/>
      <c r="O1161" s="631"/>
      <c r="P1161" s="154"/>
      <c r="Q1161" s="678"/>
      <c r="R1161" s="678"/>
      <c r="S1161" s="678"/>
    </row>
    <row r="1162" spans="1:19" x14ac:dyDescent="0.25">
      <c r="A1162" s="177" t="s">
        <v>112</v>
      </c>
      <c r="B1162" s="626">
        <v>0.12</v>
      </c>
      <c r="C1162" s="627"/>
      <c r="D1162" s="627"/>
      <c r="E1162" s="628"/>
      <c r="F1162" s="290"/>
      <c r="G1162" s="472"/>
      <c r="H1162" s="626">
        <v>0</v>
      </c>
      <c r="I1162" s="627"/>
      <c r="J1162" s="627"/>
      <c r="K1162" s="627"/>
      <c r="L1162" s="628"/>
      <c r="M1162" s="657">
        <f>B1162</f>
        <v>0.12</v>
      </c>
      <c r="N1162" s="627"/>
      <c r="O1162" s="628"/>
      <c r="P1162" s="154"/>
      <c r="Q1162" s="678"/>
      <c r="R1162" s="678"/>
      <c r="S1162" s="678"/>
    </row>
    <row r="1163" spans="1:19" ht="15.75" thickBot="1" x14ac:dyDescent="0.3">
      <c r="A1163" s="177" t="s">
        <v>107</v>
      </c>
      <c r="B1163" s="629">
        <f>B1161*(1-B1162)</f>
        <v>6.6</v>
      </c>
      <c r="C1163" s="630"/>
      <c r="D1163" s="630"/>
      <c r="E1163" s="631"/>
      <c r="F1163" s="290"/>
      <c r="G1163" s="472"/>
      <c r="H1163" s="629">
        <f>H1161*(1-H1162)</f>
        <v>0</v>
      </c>
      <c r="I1163" s="630"/>
      <c r="J1163" s="630"/>
      <c r="K1163" s="630"/>
      <c r="L1163" s="631"/>
      <c r="M1163" s="656">
        <f>SUM(B1163,H1163)</f>
        <v>6.6</v>
      </c>
      <c r="N1163" s="630"/>
      <c r="O1163" s="631"/>
      <c r="P1163" s="154"/>
      <c r="Q1163" s="261" t="s">
        <v>97</v>
      </c>
      <c r="R1163" s="262"/>
      <c r="S1163" s="263"/>
    </row>
    <row r="1164" spans="1:19" x14ac:dyDescent="0.25">
      <c r="A1164" s="177" t="s">
        <v>108</v>
      </c>
      <c r="B1164" s="626">
        <f>B1167/B1163</f>
        <v>0.88209090909090937</v>
      </c>
      <c r="C1164" s="627"/>
      <c r="D1164" s="627"/>
      <c r="E1164" s="627"/>
      <c r="F1164" s="627"/>
      <c r="G1164" s="627"/>
      <c r="H1164" s="627"/>
      <c r="I1164" s="627"/>
      <c r="J1164" s="627"/>
      <c r="K1164" s="627"/>
      <c r="L1164" s="627"/>
      <c r="M1164" s="627"/>
      <c r="N1164" s="627"/>
      <c r="O1164" s="628"/>
      <c r="P1164" s="154"/>
      <c r="Q1164" s="671" t="s">
        <v>139</v>
      </c>
      <c r="R1164" s="235" t="s">
        <v>140</v>
      </c>
      <c r="S1164" s="679" t="s">
        <v>142</v>
      </c>
    </row>
    <row r="1165" spans="1:19" ht="15.75" thickBot="1" x14ac:dyDescent="0.3">
      <c r="A1165" s="177" t="s">
        <v>113</v>
      </c>
      <c r="B1165" s="629">
        <f>B1169*(E1173+E1174)/1000</f>
        <v>18.78</v>
      </c>
      <c r="C1165" s="630"/>
      <c r="D1165" s="630"/>
      <c r="E1165" s="630"/>
      <c r="F1165" s="630"/>
      <c r="G1165" s="630"/>
      <c r="H1165" s="630"/>
      <c r="I1165" s="630"/>
      <c r="J1165" s="630"/>
      <c r="K1165" s="630"/>
      <c r="L1165" s="630"/>
      <c r="M1165" s="630"/>
      <c r="N1165" s="630"/>
      <c r="O1165" s="631"/>
      <c r="P1165" s="154"/>
      <c r="Q1165" s="672"/>
      <c r="R1165" s="183" t="s">
        <v>141</v>
      </c>
      <c r="S1165" s="680"/>
    </row>
    <row r="1166" spans="1:19" ht="15.75" thickBot="1" x14ac:dyDescent="0.3">
      <c r="A1166" s="177" t="s">
        <v>109</v>
      </c>
      <c r="B1166" s="626">
        <v>0.69</v>
      </c>
      <c r="C1166" s="627"/>
      <c r="D1166" s="627"/>
      <c r="E1166" s="627"/>
      <c r="F1166" s="627"/>
      <c r="G1166" s="627"/>
      <c r="H1166" s="627"/>
      <c r="I1166" s="627"/>
      <c r="J1166" s="627"/>
      <c r="K1166" s="627"/>
      <c r="L1166" s="627"/>
      <c r="M1166" s="627"/>
      <c r="N1166" s="627"/>
      <c r="O1166" s="628"/>
      <c r="P1166" s="154"/>
      <c r="Q1166" s="182" t="s">
        <v>143</v>
      </c>
      <c r="R1166" s="183">
        <v>2.5</v>
      </c>
      <c r="S1166" s="181" t="s">
        <v>421</v>
      </c>
    </row>
    <row r="1167" spans="1:19" ht="15.75" thickBot="1" x14ac:dyDescent="0.3">
      <c r="A1167" s="177" t="s">
        <v>122</v>
      </c>
      <c r="B1167" s="629">
        <f>B1165-(B1165*B1166)</f>
        <v>5.8218000000000014</v>
      </c>
      <c r="C1167" s="630"/>
      <c r="D1167" s="630"/>
      <c r="E1167" s="630"/>
      <c r="F1167" s="630"/>
      <c r="G1167" s="630"/>
      <c r="H1167" s="630"/>
      <c r="I1167" s="630"/>
      <c r="J1167" s="630"/>
      <c r="K1167" s="630"/>
      <c r="L1167" s="630"/>
      <c r="M1167" s="630"/>
      <c r="N1167" s="630"/>
      <c r="O1167" s="631"/>
      <c r="P1167" s="154"/>
      <c r="Q1167" s="182" t="s">
        <v>145</v>
      </c>
      <c r="R1167" s="183">
        <v>7</v>
      </c>
      <c r="S1167" s="184" t="s">
        <v>418</v>
      </c>
    </row>
    <row r="1168" spans="1:19" ht="15.75" thickBot="1" x14ac:dyDescent="0.3">
      <c r="A1168" s="177" t="s">
        <v>110</v>
      </c>
      <c r="B1168" s="632">
        <v>125</v>
      </c>
      <c r="C1168" s="633"/>
      <c r="D1168" s="633"/>
      <c r="E1168" s="633"/>
      <c r="F1168" s="633"/>
      <c r="G1168" s="633"/>
      <c r="H1168" s="633"/>
      <c r="I1168" s="633"/>
      <c r="J1168" s="633"/>
      <c r="K1168" s="633"/>
      <c r="L1168" s="633"/>
      <c r="M1168" s="633"/>
      <c r="N1168" s="633"/>
      <c r="O1168" s="634"/>
      <c r="P1168" s="154"/>
      <c r="Q1168" s="182" t="s">
        <v>147</v>
      </c>
      <c r="R1168" s="183">
        <v>7</v>
      </c>
      <c r="S1168" s="181" t="s">
        <v>411</v>
      </c>
    </row>
    <row r="1169" spans="1:19" ht="29.25" thickBot="1" x14ac:dyDescent="0.3">
      <c r="A1169" s="177" t="s">
        <v>111</v>
      </c>
      <c r="B1169" s="635">
        <v>15</v>
      </c>
      <c r="C1169" s="636"/>
      <c r="D1169" s="636"/>
      <c r="E1169" s="636"/>
      <c r="F1169" s="636"/>
      <c r="G1169" s="636"/>
      <c r="H1169" s="636"/>
      <c r="I1169" s="636"/>
      <c r="J1169" s="636"/>
      <c r="K1169" s="636"/>
      <c r="L1169" s="636"/>
      <c r="M1169" s="636"/>
      <c r="N1169" s="636"/>
      <c r="O1169" s="637"/>
      <c r="P1169" s="154"/>
      <c r="Q1169" s="182" t="s">
        <v>82</v>
      </c>
      <c r="R1169" s="183">
        <v>8</v>
      </c>
      <c r="S1169" s="184" t="s">
        <v>426</v>
      </c>
    </row>
    <row r="1170" spans="1:19" ht="15.75" thickBot="1" x14ac:dyDescent="0.3">
      <c r="A1170" s="177" t="s">
        <v>273</v>
      </c>
      <c r="B1170" s="638" t="s">
        <v>423</v>
      </c>
      <c r="C1170" s="638"/>
      <c r="D1170" s="638"/>
      <c r="E1170" s="638"/>
      <c r="F1170" s="638"/>
      <c r="G1170" s="638"/>
      <c r="H1170" s="638"/>
      <c r="I1170" s="638"/>
      <c r="J1170" s="638"/>
      <c r="K1170" s="638"/>
      <c r="L1170" s="638"/>
      <c r="M1170" s="638"/>
      <c r="N1170" s="638"/>
      <c r="O1170" s="639"/>
      <c r="P1170" s="154"/>
      <c r="Q1170" s="182" t="s">
        <v>152</v>
      </c>
      <c r="R1170" s="183">
        <v>4.5</v>
      </c>
      <c r="S1170" s="184" t="s">
        <v>399</v>
      </c>
    </row>
    <row r="1171" spans="1:19" ht="15.75" thickBot="1" x14ac:dyDescent="0.3">
      <c r="A1171" s="177" t="s">
        <v>351</v>
      </c>
      <c r="B1171" s="431"/>
      <c r="C1171" s="431"/>
      <c r="D1171" s="431"/>
      <c r="E1171" s="431"/>
      <c r="F1171" s="431"/>
      <c r="G1171" s="431"/>
      <c r="H1171" s="431"/>
      <c r="I1171" s="431"/>
      <c r="J1171" s="431"/>
      <c r="K1171" s="431"/>
      <c r="L1171" s="431"/>
      <c r="M1171" s="431"/>
      <c r="N1171" s="431"/>
      <c r="O1171" s="432"/>
      <c r="P1171" s="154"/>
      <c r="Q1171" s="182" t="s">
        <v>154</v>
      </c>
      <c r="R1171" s="183">
        <v>2.5</v>
      </c>
      <c r="S1171" s="181" t="s">
        <v>419</v>
      </c>
    </row>
    <row r="1172" spans="1:19" ht="15.75" thickBot="1" x14ac:dyDescent="0.3">
      <c r="E1172" s="307" t="s">
        <v>98</v>
      </c>
      <c r="F1172" s="365" t="s">
        <v>102</v>
      </c>
      <c r="G1172" s="365"/>
      <c r="H1172" s="365" t="s">
        <v>92</v>
      </c>
      <c r="I1172" s="365" t="s">
        <v>93</v>
      </c>
      <c r="J1172" s="365" t="s">
        <v>94</v>
      </c>
      <c r="K1172" s="359" t="s">
        <v>99</v>
      </c>
      <c r="L1172" s="433"/>
      <c r="M1172" s="433"/>
      <c r="N1172" s="433"/>
      <c r="O1172" s="434"/>
      <c r="P1172" s="154"/>
      <c r="Q1172" s="182" t="s">
        <v>156</v>
      </c>
      <c r="R1172" s="183">
        <v>2</v>
      </c>
      <c r="S1172" s="181" t="s">
        <v>420</v>
      </c>
    </row>
    <row r="1173" spans="1:19" ht="15.75" thickBot="1" x14ac:dyDescent="0.3">
      <c r="E1173" s="308">
        <v>1180</v>
      </c>
      <c r="F1173" s="365" t="s">
        <v>95</v>
      </c>
      <c r="G1173" s="365"/>
      <c r="H1173" s="435">
        <v>102.44</v>
      </c>
      <c r="I1173" s="435">
        <v>257.92</v>
      </c>
      <c r="J1173" s="441">
        <v>111.41</v>
      </c>
      <c r="K1173" s="359">
        <f>SUM(H1173:J1173)</f>
        <v>471.77</v>
      </c>
      <c r="L1173" s="436"/>
      <c r="M1173" s="436"/>
      <c r="N1173" s="436"/>
      <c r="O1173" s="437"/>
      <c r="P1173" s="154"/>
      <c r="Q1173" s="182" t="s">
        <v>158</v>
      </c>
      <c r="R1173" s="183"/>
      <c r="S1173" s="181"/>
    </row>
    <row r="1174" spans="1:19" ht="15.75" thickBot="1" x14ac:dyDescent="0.3">
      <c r="E1174" s="308">
        <v>72</v>
      </c>
      <c r="F1174" s="365" t="s">
        <v>96</v>
      </c>
      <c r="G1174" s="365"/>
      <c r="H1174" s="435">
        <v>13</v>
      </c>
      <c r="I1174" s="435">
        <v>16.64</v>
      </c>
      <c r="J1174" s="441">
        <v>0</v>
      </c>
      <c r="K1174" s="359">
        <f t="shared" ref="K1174:K1180" si="141">SUM(H1174:J1174)</f>
        <v>29.64</v>
      </c>
      <c r="L1174" s="436"/>
      <c r="M1174" s="436"/>
      <c r="N1174" s="436"/>
      <c r="O1174" s="437"/>
      <c r="P1174" s="154"/>
      <c r="Q1174" s="185" t="s">
        <v>99</v>
      </c>
      <c r="R1174" s="183" t="s">
        <v>427</v>
      </c>
      <c r="S1174" s="265">
        <v>0.48</v>
      </c>
    </row>
    <row r="1175" spans="1:19" ht="15.75" thickBot="1" x14ac:dyDescent="0.3">
      <c r="E1175" s="307" t="s">
        <v>100</v>
      </c>
      <c r="F1175" s="365" t="s">
        <v>95</v>
      </c>
      <c r="G1175" s="365"/>
      <c r="H1175" s="444">
        <f t="shared" ref="H1175:J1176" si="142">H1173/$E1173</f>
        <v>8.6813559322033898E-2</v>
      </c>
      <c r="I1175" s="429">
        <f t="shared" si="142"/>
        <v>0.21857627118644068</v>
      </c>
      <c r="J1175" s="429">
        <f t="shared" si="142"/>
        <v>9.4415254237288138E-2</v>
      </c>
      <c r="K1175" s="374">
        <f t="shared" si="141"/>
        <v>0.39980508474576271</v>
      </c>
      <c r="L1175" s="436"/>
      <c r="M1175" s="436"/>
      <c r="N1175" s="436"/>
      <c r="O1175" s="437"/>
      <c r="P1175" s="154"/>
      <c r="Q1175" s="185"/>
      <c r="R1175" s="183"/>
      <c r="S1175" s="186"/>
    </row>
    <row r="1176" spans="1:19" x14ac:dyDescent="0.25">
      <c r="E1176" s="307" t="s">
        <v>100</v>
      </c>
      <c r="F1176" s="438" t="s">
        <v>96</v>
      </c>
      <c r="G1176" s="438"/>
      <c r="H1176" s="359">
        <f t="shared" si="142"/>
        <v>0.18055555555555555</v>
      </c>
      <c r="I1176" s="359">
        <f t="shared" si="142"/>
        <v>0.23111111111111113</v>
      </c>
      <c r="J1176" s="359">
        <f t="shared" si="142"/>
        <v>0</v>
      </c>
      <c r="K1176" s="359">
        <f t="shared" si="141"/>
        <v>0.41166666666666668</v>
      </c>
      <c r="L1176" s="436"/>
      <c r="M1176" s="436"/>
      <c r="N1176" s="436"/>
      <c r="O1176" s="437"/>
      <c r="P1176" s="154"/>
      <c r="Q1176" s="262"/>
      <c r="R1176" s="262"/>
      <c r="S1176" s="262"/>
    </row>
    <row r="1177" spans="1:19" x14ac:dyDescent="0.25">
      <c r="E1177" s="307" t="s">
        <v>104</v>
      </c>
      <c r="F1177" s="365" t="s">
        <v>95</v>
      </c>
      <c r="G1177" s="365"/>
      <c r="H1177" s="359">
        <f>H1173/($E1173/7.7)</f>
        <v>0.66846440677966112</v>
      </c>
      <c r="I1177" s="359">
        <f>I1173/($E1173/7)</f>
        <v>1.5300338983050847</v>
      </c>
      <c r="J1177" s="359">
        <f>J1173/($E1173/7)</f>
        <v>0.66090677966101685</v>
      </c>
      <c r="K1177" s="359">
        <f t="shared" si="141"/>
        <v>2.8594050847457626</v>
      </c>
      <c r="L1177" s="436"/>
      <c r="M1177" s="436"/>
      <c r="N1177" s="436"/>
      <c r="O1177" s="437"/>
      <c r="P1177" s="154"/>
      <c r="Q1177" s="262"/>
      <c r="R1177" s="262"/>
      <c r="S1177" s="262"/>
    </row>
    <row r="1178" spans="1:19" x14ac:dyDescent="0.25">
      <c r="E1178" s="307" t="s">
        <v>104</v>
      </c>
      <c r="F1178" s="438" t="s">
        <v>96</v>
      </c>
      <c r="G1178" s="438"/>
      <c r="H1178" s="359">
        <f>H1174/($E1174/7.7)</f>
        <v>1.3902777777777779</v>
      </c>
      <c r="I1178" s="359">
        <f>I1174/($E1174/7.7)</f>
        <v>1.7795555555555558</v>
      </c>
      <c r="J1178" s="359">
        <f>J1174/($E1174/7.7)</f>
        <v>0</v>
      </c>
      <c r="K1178" s="359">
        <f t="shared" si="141"/>
        <v>3.1698333333333339</v>
      </c>
      <c r="L1178" s="436"/>
      <c r="M1178" s="436"/>
      <c r="N1178" s="436"/>
      <c r="O1178" s="437"/>
      <c r="P1178" s="154"/>
      <c r="Q1178" s="262"/>
      <c r="R1178" s="262"/>
      <c r="S1178" s="262"/>
    </row>
    <row r="1179" spans="1:19" x14ac:dyDescent="0.25">
      <c r="E1179" s="307" t="s">
        <v>135</v>
      </c>
      <c r="F1179" s="365" t="s">
        <v>95</v>
      </c>
      <c r="G1179" s="365"/>
      <c r="H1179" s="359">
        <f>H1173/((($E1173*$B1169)*(1-$B1166))/$B1164)</f>
        <v>1.6468269131997948E-2</v>
      </c>
      <c r="I1179" s="359">
        <f>I1173/((($E1173*$B1169)*(1-$B1166))/$B1164)</f>
        <v>4.1463256291730879E-2</v>
      </c>
      <c r="J1179" s="359">
        <f>J1173/((($E1173*$B1169)*(1-$B1166))/$B1164)</f>
        <v>1.7910287621982539E-2</v>
      </c>
      <c r="K1179" s="359">
        <f t="shared" si="141"/>
        <v>7.5841813045711359E-2</v>
      </c>
      <c r="L1179" s="436"/>
      <c r="M1179" s="436"/>
      <c r="N1179" s="436"/>
      <c r="O1179" s="437"/>
      <c r="P1179" s="42"/>
      <c r="Q1179" s="263"/>
      <c r="R1179" s="262"/>
      <c r="S1179" s="263"/>
    </row>
    <row r="1180" spans="1:19" x14ac:dyDescent="0.25">
      <c r="E1180" s="307" t="s">
        <v>135</v>
      </c>
      <c r="F1180" s="438" t="s">
        <v>96</v>
      </c>
      <c r="G1180" s="438"/>
      <c r="H1180" s="359">
        <f>H1174/((($E1174*$B1169)*(1-$B1166))/$B1164)</f>
        <v>3.4250841750841754E-2</v>
      </c>
      <c r="I1180" s="359">
        <f>I1174/((($E1174*$B1169)*(1-$B1166))/$B1164)</f>
        <v>4.3841077441077451E-2</v>
      </c>
      <c r="J1180" s="359">
        <f>J1174/((($E1174*$B1169)*(1-$B1166))/$B1164)</f>
        <v>0</v>
      </c>
      <c r="K1180" s="359">
        <f t="shared" si="141"/>
        <v>7.8091919191919212E-2</v>
      </c>
      <c r="L1180" s="439"/>
      <c r="M1180" s="439"/>
      <c r="N1180" s="439"/>
      <c r="O1180" s="440"/>
      <c r="P1180" s="42"/>
      <c r="Q1180" s="263"/>
      <c r="R1180" s="262"/>
      <c r="S1180" s="263"/>
    </row>
    <row r="1181" spans="1:19" x14ac:dyDescent="0.25">
      <c r="A1181" s="178"/>
      <c r="B1181" s="178"/>
      <c r="C1181" s="178"/>
      <c r="D1181" s="178"/>
      <c r="E1181" s="178"/>
      <c r="F1181" s="178"/>
      <c r="G1181" s="178"/>
      <c r="H1181" s="178"/>
      <c r="I1181" s="178"/>
      <c r="J1181" s="178"/>
      <c r="K1181" s="178"/>
      <c r="L1181" s="178"/>
      <c r="M1181" s="178"/>
      <c r="N1181" s="178"/>
      <c r="O1181" s="178"/>
      <c r="P1181" s="155"/>
      <c r="Q1181" s="233"/>
      <c r="R1181" s="233"/>
      <c r="S1181" s="233"/>
    </row>
    <row r="1182" spans="1:19" ht="21" x14ac:dyDescent="0.25">
      <c r="A1182" s="305"/>
      <c r="B1182" s="644" t="s">
        <v>404</v>
      </c>
      <c r="C1182" s="645"/>
      <c r="D1182" s="645"/>
      <c r="E1182" s="645"/>
      <c r="F1182" s="645"/>
      <c r="G1182" s="645"/>
      <c r="H1182" s="645"/>
      <c r="I1182" s="645"/>
      <c r="J1182" s="645"/>
      <c r="K1182" s="645"/>
      <c r="L1182" s="645"/>
      <c r="M1182" s="645"/>
      <c r="N1182" s="645"/>
      <c r="O1182" s="646"/>
      <c r="P1182" s="154" t="s">
        <v>97</v>
      </c>
      <c r="Q1182" s="678" t="s">
        <v>195</v>
      </c>
      <c r="R1182" s="678"/>
      <c r="S1182" s="678"/>
    </row>
    <row r="1183" spans="1:19" ht="21" x14ac:dyDescent="0.25">
      <c r="A1183" s="177" t="s">
        <v>285</v>
      </c>
      <c r="B1183" s="647">
        <v>44030</v>
      </c>
      <c r="C1183" s="648"/>
      <c r="D1183" s="648"/>
      <c r="E1183" s="648"/>
      <c r="F1183" s="648"/>
      <c r="G1183" s="648"/>
      <c r="H1183" s="648"/>
      <c r="I1183" s="648"/>
      <c r="J1183" s="648"/>
      <c r="K1183" s="648"/>
      <c r="L1183" s="648"/>
      <c r="M1183" s="648"/>
      <c r="N1183" s="648"/>
      <c r="O1183" s="649"/>
      <c r="P1183" s="154"/>
      <c r="Q1183" s="678"/>
      <c r="R1183" s="678"/>
      <c r="S1183" s="678"/>
    </row>
    <row r="1184" spans="1:19" x14ac:dyDescent="0.25">
      <c r="A1184" s="177"/>
      <c r="B1184" s="650" t="s">
        <v>115</v>
      </c>
      <c r="C1184" s="651"/>
      <c r="D1184" s="651"/>
      <c r="E1184" s="651"/>
      <c r="F1184" s="651"/>
      <c r="G1184" s="651"/>
      <c r="H1184" s="651"/>
      <c r="I1184" s="651"/>
      <c r="J1184" s="651"/>
      <c r="K1184" s="651"/>
      <c r="L1184" s="651"/>
      <c r="M1184" s="651"/>
      <c r="N1184" s="651"/>
      <c r="O1184" s="652"/>
      <c r="P1184" s="154"/>
      <c r="Q1184" s="678"/>
      <c r="R1184" s="678"/>
      <c r="S1184" s="678"/>
    </row>
    <row r="1185" spans="1:19" x14ac:dyDescent="0.25">
      <c r="A1185" s="177" t="s">
        <v>106</v>
      </c>
      <c r="B1185" s="629">
        <v>7.5</v>
      </c>
      <c r="C1185" s="630"/>
      <c r="D1185" s="630"/>
      <c r="E1185" s="631"/>
      <c r="F1185" s="365" t="s">
        <v>174</v>
      </c>
      <c r="G1185" s="471"/>
      <c r="H1185" s="653">
        <v>0</v>
      </c>
      <c r="I1185" s="654"/>
      <c r="J1185" s="654"/>
      <c r="K1185" s="654"/>
      <c r="L1185" s="655"/>
      <c r="M1185" s="656">
        <f>SUM(B1185,H1186)</f>
        <v>7.5</v>
      </c>
      <c r="N1185" s="630"/>
      <c r="O1185" s="631"/>
      <c r="P1185" s="154"/>
      <c r="Q1185" s="678"/>
      <c r="R1185" s="678"/>
      <c r="S1185" s="678"/>
    </row>
    <row r="1186" spans="1:19" x14ac:dyDescent="0.25">
      <c r="A1186" s="177" t="s">
        <v>112</v>
      </c>
      <c r="B1186" s="626">
        <v>0.12</v>
      </c>
      <c r="C1186" s="627"/>
      <c r="D1186" s="627"/>
      <c r="E1186" s="628"/>
      <c r="F1186" s="290"/>
      <c r="G1186" s="472"/>
      <c r="H1186" s="626">
        <v>0</v>
      </c>
      <c r="I1186" s="627"/>
      <c r="J1186" s="627"/>
      <c r="K1186" s="627"/>
      <c r="L1186" s="628"/>
      <c r="M1186" s="657">
        <f>B1186</f>
        <v>0.12</v>
      </c>
      <c r="N1186" s="627"/>
      <c r="O1186" s="628"/>
      <c r="P1186" s="154"/>
      <c r="Q1186" s="678"/>
      <c r="R1186" s="678"/>
      <c r="S1186" s="678"/>
    </row>
    <row r="1187" spans="1:19" ht="15.75" thickBot="1" x14ac:dyDescent="0.3">
      <c r="A1187" s="177" t="s">
        <v>107</v>
      </c>
      <c r="B1187" s="629">
        <f>B1185*(1-B1186)</f>
        <v>6.6</v>
      </c>
      <c r="C1187" s="630"/>
      <c r="D1187" s="630"/>
      <c r="E1187" s="631"/>
      <c r="F1187" s="290"/>
      <c r="G1187" s="472"/>
      <c r="H1187" s="629">
        <f>H1185*(1-H1186)</f>
        <v>0</v>
      </c>
      <c r="I1187" s="630"/>
      <c r="J1187" s="630"/>
      <c r="K1187" s="630"/>
      <c r="L1187" s="631"/>
      <c r="M1187" s="656">
        <f>SUM(B1187,H1187)</f>
        <v>6.6</v>
      </c>
      <c r="N1187" s="630"/>
      <c r="O1187" s="631"/>
      <c r="P1187" s="154"/>
      <c r="Q1187" s="261" t="s">
        <v>97</v>
      </c>
      <c r="R1187" s="262"/>
      <c r="S1187" s="263"/>
    </row>
    <row r="1188" spans="1:19" x14ac:dyDescent="0.25">
      <c r="A1188" s="177" t="s">
        <v>108</v>
      </c>
      <c r="B1188" s="626">
        <f>B1191/B1187</f>
        <v>0.88575454545454568</v>
      </c>
      <c r="C1188" s="627"/>
      <c r="D1188" s="627"/>
      <c r="E1188" s="627"/>
      <c r="F1188" s="627"/>
      <c r="G1188" s="627"/>
      <c r="H1188" s="627"/>
      <c r="I1188" s="627"/>
      <c r="J1188" s="627"/>
      <c r="K1188" s="627"/>
      <c r="L1188" s="627"/>
      <c r="M1188" s="627"/>
      <c r="N1188" s="627"/>
      <c r="O1188" s="628"/>
      <c r="P1188" s="154"/>
      <c r="Q1188" s="671" t="s">
        <v>430</v>
      </c>
      <c r="R1188" s="235" t="s">
        <v>140</v>
      </c>
      <c r="S1188" s="679" t="s">
        <v>142</v>
      </c>
    </row>
    <row r="1189" spans="1:19" ht="15.75" thickBot="1" x14ac:dyDescent="0.3">
      <c r="A1189" s="177" t="s">
        <v>113</v>
      </c>
      <c r="B1189" s="629">
        <f>B1193*(E1197+E1198)/1000</f>
        <v>18.858000000000001</v>
      </c>
      <c r="C1189" s="630"/>
      <c r="D1189" s="630"/>
      <c r="E1189" s="630"/>
      <c r="F1189" s="630"/>
      <c r="G1189" s="630"/>
      <c r="H1189" s="630"/>
      <c r="I1189" s="630"/>
      <c r="J1189" s="630"/>
      <c r="K1189" s="630"/>
      <c r="L1189" s="630"/>
      <c r="M1189" s="630"/>
      <c r="N1189" s="630"/>
      <c r="O1189" s="631"/>
      <c r="P1189" s="154"/>
      <c r="Q1189" s="672"/>
      <c r="R1189" s="183" t="s">
        <v>141</v>
      </c>
      <c r="S1189" s="680"/>
    </row>
    <row r="1190" spans="1:19" ht="15.75" thickBot="1" x14ac:dyDescent="0.3">
      <c r="A1190" s="177" t="s">
        <v>109</v>
      </c>
      <c r="B1190" s="626">
        <v>0.69</v>
      </c>
      <c r="C1190" s="627"/>
      <c r="D1190" s="627"/>
      <c r="E1190" s="627"/>
      <c r="F1190" s="627"/>
      <c r="G1190" s="627"/>
      <c r="H1190" s="627"/>
      <c r="I1190" s="627"/>
      <c r="J1190" s="627"/>
      <c r="K1190" s="627"/>
      <c r="L1190" s="627"/>
      <c r="M1190" s="627"/>
      <c r="N1190" s="627"/>
      <c r="O1190" s="628"/>
      <c r="P1190" s="154"/>
      <c r="Q1190" s="182" t="s">
        <v>143</v>
      </c>
      <c r="R1190" s="183">
        <v>1</v>
      </c>
      <c r="S1190" s="181" t="s">
        <v>421</v>
      </c>
    </row>
    <row r="1191" spans="1:19" ht="15.75" thickBot="1" x14ac:dyDescent="0.3">
      <c r="A1191" s="177" t="s">
        <v>122</v>
      </c>
      <c r="B1191" s="629">
        <f>B1189-(B1189*B1190)</f>
        <v>5.8459800000000008</v>
      </c>
      <c r="C1191" s="630"/>
      <c r="D1191" s="630"/>
      <c r="E1191" s="630"/>
      <c r="F1191" s="630"/>
      <c r="G1191" s="630"/>
      <c r="H1191" s="630"/>
      <c r="I1191" s="630"/>
      <c r="J1191" s="630"/>
      <c r="K1191" s="630"/>
      <c r="L1191" s="630"/>
      <c r="M1191" s="630"/>
      <c r="N1191" s="630"/>
      <c r="O1191" s="631"/>
      <c r="P1191" s="154"/>
      <c r="Q1191" s="182" t="s">
        <v>145</v>
      </c>
      <c r="R1191" s="183">
        <v>7</v>
      </c>
      <c r="S1191" s="184" t="s">
        <v>418</v>
      </c>
    </row>
    <row r="1192" spans="1:19" ht="15.75" thickBot="1" x14ac:dyDescent="0.3">
      <c r="A1192" s="177" t="s">
        <v>110</v>
      </c>
      <c r="B1192" s="632">
        <v>136</v>
      </c>
      <c r="C1192" s="633"/>
      <c r="D1192" s="633"/>
      <c r="E1192" s="633"/>
      <c r="F1192" s="633"/>
      <c r="G1192" s="633"/>
      <c r="H1192" s="633"/>
      <c r="I1192" s="633"/>
      <c r="J1192" s="633"/>
      <c r="K1192" s="633"/>
      <c r="L1192" s="633"/>
      <c r="M1192" s="633"/>
      <c r="N1192" s="633"/>
      <c r="O1192" s="634"/>
      <c r="P1192" s="154"/>
      <c r="Q1192" s="182" t="s">
        <v>147</v>
      </c>
      <c r="R1192" s="183">
        <v>5</v>
      </c>
      <c r="S1192" s="181" t="s">
        <v>411</v>
      </c>
    </row>
    <row r="1193" spans="1:19" ht="15.75" thickBot="1" x14ac:dyDescent="0.3">
      <c r="A1193" s="177" t="s">
        <v>111</v>
      </c>
      <c r="B1193" s="635">
        <v>14</v>
      </c>
      <c r="C1193" s="636"/>
      <c r="D1193" s="636"/>
      <c r="E1193" s="636"/>
      <c r="F1193" s="636"/>
      <c r="G1193" s="636"/>
      <c r="H1193" s="636"/>
      <c r="I1193" s="636"/>
      <c r="J1193" s="636"/>
      <c r="K1193" s="636"/>
      <c r="L1193" s="636"/>
      <c r="M1193" s="636"/>
      <c r="N1193" s="636"/>
      <c r="O1193" s="637"/>
      <c r="P1193" s="154"/>
      <c r="Q1193" s="182" t="s">
        <v>82</v>
      </c>
      <c r="R1193" s="183">
        <v>8</v>
      </c>
      <c r="S1193" s="184" t="s">
        <v>416</v>
      </c>
    </row>
    <row r="1194" spans="1:19" ht="15.75" thickBot="1" x14ac:dyDescent="0.3">
      <c r="A1194" s="177" t="s">
        <v>273</v>
      </c>
      <c r="B1194" s="681" t="s">
        <v>431</v>
      </c>
      <c r="C1194" s="681"/>
      <c r="D1194" s="681"/>
      <c r="E1194" s="681"/>
      <c r="F1194" s="681"/>
      <c r="G1194" s="681"/>
      <c r="H1194" s="681"/>
      <c r="I1194" s="681"/>
      <c r="J1194" s="681"/>
      <c r="K1194" s="681"/>
      <c r="L1194" s="681"/>
      <c r="M1194" s="681"/>
      <c r="N1194" s="681"/>
      <c r="O1194" s="682"/>
      <c r="P1194" s="154"/>
      <c r="Q1194" s="182" t="s">
        <v>152</v>
      </c>
      <c r="R1194" s="183">
        <v>7</v>
      </c>
      <c r="S1194" s="184" t="s">
        <v>428</v>
      </c>
    </row>
    <row r="1195" spans="1:19" ht="15.75" thickBot="1" x14ac:dyDescent="0.3">
      <c r="A1195" s="177" t="s">
        <v>351</v>
      </c>
      <c r="B1195" s="431"/>
      <c r="C1195" s="431"/>
      <c r="D1195" s="431"/>
      <c r="E1195" s="431"/>
      <c r="F1195" s="431"/>
      <c r="G1195" s="431"/>
      <c r="H1195" s="431"/>
      <c r="I1195" s="431"/>
      <c r="J1195" s="431"/>
      <c r="K1195" s="431"/>
      <c r="L1195" s="431"/>
      <c r="M1195" s="431"/>
      <c r="N1195" s="431"/>
      <c r="O1195" s="432"/>
      <c r="P1195" s="154"/>
      <c r="Q1195" s="182" t="s">
        <v>154</v>
      </c>
      <c r="R1195" s="183">
        <v>8</v>
      </c>
      <c r="S1195" s="181" t="s">
        <v>429</v>
      </c>
    </row>
    <row r="1196" spans="1:19" ht="15.75" thickBot="1" x14ac:dyDescent="0.3">
      <c r="E1196" s="307" t="s">
        <v>98</v>
      </c>
      <c r="F1196" s="365" t="s">
        <v>102</v>
      </c>
      <c r="G1196" s="365"/>
      <c r="H1196" s="365" t="s">
        <v>92</v>
      </c>
      <c r="I1196" s="365" t="s">
        <v>93</v>
      </c>
      <c r="J1196" s="365" t="s">
        <v>94</v>
      </c>
      <c r="K1196" s="359" t="s">
        <v>99</v>
      </c>
      <c r="L1196" s="433"/>
      <c r="M1196" s="433"/>
      <c r="N1196" s="433"/>
      <c r="O1196" s="434"/>
      <c r="P1196" s="154"/>
      <c r="Q1196" s="182" t="s">
        <v>156</v>
      </c>
      <c r="R1196" s="183">
        <v>8</v>
      </c>
      <c r="S1196" s="181" t="s">
        <v>84</v>
      </c>
    </row>
    <row r="1197" spans="1:19" ht="15.75" thickBot="1" x14ac:dyDescent="0.3">
      <c r="E1197" s="308">
        <v>931</v>
      </c>
      <c r="F1197" s="365" t="s">
        <v>95</v>
      </c>
      <c r="G1197" s="365"/>
      <c r="H1197" s="435">
        <v>348.06</v>
      </c>
      <c r="I1197" s="435">
        <v>465.88</v>
      </c>
      <c r="J1197" s="441">
        <v>400.87</v>
      </c>
      <c r="K1197" s="359">
        <f>SUM(H1197:J1197)</f>
        <v>1214.81</v>
      </c>
      <c r="L1197" s="436"/>
      <c r="M1197" s="436"/>
      <c r="N1197" s="436"/>
      <c r="O1197" s="437"/>
      <c r="P1197" s="154"/>
      <c r="Q1197" s="182" t="s">
        <v>158</v>
      </c>
      <c r="R1197" s="183"/>
      <c r="S1197" s="181"/>
    </row>
    <row r="1198" spans="1:19" ht="15.75" thickBot="1" x14ac:dyDescent="0.3">
      <c r="A1198" s="313"/>
      <c r="B1198" s="8"/>
      <c r="E1198" s="308">
        <v>416</v>
      </c>
      <c r="F1198" s="365" t="s">
        <v>96</v>
      </c>
      <c r="G1198" s="365"/>
      <c r="H1198" s="435">
        <v>67.599999999999994</v>
      </c>
      <c r="I1198" s="435">
        <v>87.2</v>
      </c>
      <c r="J1198" s="441">
        <v>143.61000000000001</v>
      </c>
      <c r="K1198" s="359">
        <f t="shared" ref="K1198:K1204" si="143">SUM(H1198:J1198)</f>
        <v>298.41000000000003</v>
      </c>
      <c r="L1198" s="436"/>
      <c r="M1198" s="436"/>
      <c r="N1198" s="436"/>
      <c r="O1198" s="437"/>
      <c r="P1198" s="154"/>
      <c r="Q1198" s="185" t="s">
        <v>99</v>
      </c>
      <c r="R1198" s="183" t="s">
        <v>383</v>
      </c>
      <c r="S1198" s="265">
        <v>0.62</v>
      </c>
    </row>
    <row r="1199" spans="1:19" ht="15.75" thickBot="1" x14ac:dyDescent="0.3">
      <c r="A1199" s="313"/>
      <c r="B1199" s="175"/>
      <c r="E1199" s="307" t="s">
        <v>100</v>
      </c>
      <c r="F1199" s="365" t="s">
        <v>95</v>
      </c>
      <c r="G1199" s="365"/>
      <c r="H1199" s="444">
        <f t="shared" ref="H1199:J1200" si="144">H1197/$E1197</f>
        <v>0.37385606874328681</v>
      </c>
      <c r="I1199" s="429">
        <f t="shared" si="144"/>
        <v>0.50040816326530613</v>
      </c>
      <c r="J1199" s="429">
        <f t="shared" si="144"/>
        <v>0.43058002148227714</v>
      </c>
      <c r="K1199" s="446">
        <f t="shared" si="143"/>
        <v>1.3048442534908702</v>
      </c>
      <c r="L1199" s="436"/>
      <c r="M1199" s="436"/>
      <c r="N1199" s="436"/>
      <c r="O1199" s="437"/>
      <c r="P1199" s="154"/>
      <c r="Q1199" s="185"/>
      <c r="R1199" s="183"/>
      <c r="S1199" s="186"/>
    </row>
    <row r="1200" spans="1:19" x14ac:dyDescent="0.25">
      <c r="A1200" s="313"/>
      <c r="B1200" s="8"/>
      <c r="E1200" s="307" t="s">
        <v>100</v>
      </c>
      <c r="F1200" s="438" t="s">
        <v>96</v>
      </c>
      <c r="G1200" s="438"/>
      <c r="H1200" s="359">
        <f t="shared" si="144"/>
        <v>0.16249999999999998</v>
      </c>
      <c r="I1200" s="359">
        <f t="shared" si="144"/>
        <v>0.20961538461538462</v>
      </c>
      <c r="J1200" s="359">
        <f t="shared" si="144"/>
        <v>0.34521634615384617</v>
      </c>
      <c r="K1200" s="359">
        <f t="shared" si="143"/>
        <v>0.71733173076923085</v>
      </c>
      <c r="L1200" s="436"/>
      <c r="M1200" s="436"/>
      <c r="N1200" s="436"/>
      <c r="O1200" s="437"/>
      <c r="P1200" s="154"/>
      <c r="Q1200" s="262"/>
      <c r="R1200" s="262"/>
      <c r="S1200" s="262"/>
    </row>
    <row r="1201" spans="1:19" x14ac:dyDescent="0.25">
      <c r="A1201" s="313"/>
      <c r="B1201" s="8"/>
      <c r="E1201" s="307" t="s">
        <v>104</v>
      </c>
      <c r="F1201" s="365" t="s">
        <v>95</v>
      </c>
      <c r="G1201" s="365"/>
      <c r="H1201" s="359">
        <f>H1197/($E1197/7.7)</f>
        <v>2.8786917293233083</v>
      </c>
      <c r="I1201" s="359">
        <f>I1197/($E1197/7)</f>
        <v>3.5028571428571427</v>
      </c>
      <c r="J1201" s="359">
        <f>J1197/($E1197/7)</f>
        <v>3.0140601503759399</v>
      </c>
      <c r="K1201" s="359">
        <f t="shared" si="143"/>
        <v>9.3956090225563909</v>
      </c>
      <c r="L1201" s="436"/>
      <c r="M1201" s="436"/>
      <c r="N1201" s="436"/>
      <c r="O1201" s="437"/>
      <c r="P1201" s="154"/>
      <c r="Q1201" s="262"/>
      <c r="R1201" s="262"/>
      <c r="S1201" s="262"/>
    </row>
    <row r="1202" spans="1:19" x14ac:dyDescent="0.25">
      <c r="E1202" s="307" t="s">
        <v>104</v>
      </c>
      <c r="F1202" s="438" t="s">
        <v>96</v>
      </c>
      <c r="G1202" s="438"/>
      <c r="H1202" s="359">
        <f>H1198/($E1198/7.7)</f>
        <v>1.25125</v>
      </c>
      <c r="I1202" s="359">
        <f>I1198/($E1198/7.7)</f>
        <v>1.6140384615384618</v>
      </c>
      <c r="J1202" s="359">
        <f>J1198/($E1198/7.7)</f>
        <v>2.6581658653846159</v>
      </c>
      <c r="K1202" s="359">
        <f t="shared" si="143"/>
        <v>5.523454326923078</v>
      </c>
      <c r="L1202" s="436"/>
      <c r="M1202" s="436"/>
      <c r="N1202" s="436"/>
      <c r="O1202" s="437"/>
      <c r="P1202" s="154"/>
      <c r="Q1202" s="262"/>
      <c r="R1202" s="262"/>
      <c r="S1202" s="262"/>
    </row>
    <row r="1203" spans="1:19" x14ac:dyDescent="0.25">
      <c r="E1203" s="307" t="s">
        <v>135</v>
      </c>
      <c r="F1203" s="365" t="s">
        <v>95</v>
      </c>
      <c r="G1203" s="365"/>
      <c r="H1203" s="359">
        <f>H1197/((($E1197*$B1193)*(1-$B1190))/$B1188)</f>
        <v>7.6300624938970801E-2</v>
      </c>
      <c r="I1203" s="359">
        <f>I1197/((($E1197*$B1193)*(1-$B1190))/$B1188)</f>
        <v>0.10212875695732838</v>
      </c>
      <c r="J1203" s="359">
        <f>J1197/((($E1197*$B1193)*(1-$B1190))/$B1188)</f>
        <v>8.7877468020701108E-2</v>
      </c>
      <c r="K1203" s="359">
        <f t="shared" si="143"/>
        <v>0.26630684991700032</v>
      </c>
      <c r="L1203" s="436"/>
      <c r="M1203" s="436"/>
      <c r="N1203" s="436"/>
      <c r="O1203" s="437"/>
      <c r="P1203" s="42"/>
      <c r="Q1203" s="263"/>
      <c r="R1203" s="262"/>
      <c r="S1203" s="263"/>
    </row>
    <row r="1204" spans="1:19" x14ac:dyDescent="0.25">
      <c r="E1204" s="307" t="s">
        <v>135</v>
      </c>
      <c r="F1204" s="438" t="s">
        <v>96</v>
      </c>
      <c r="G1204" s="438"/>
      <c r="H1204" s="359">
        <f>H1198/((($E1198*$B1193)*(1-$B1190))/$B1188)</f>
        <v>3.316477272727273E-2</v>
      </c>
      <c r="I1204" s="359">
        <f>I1198/((($E1198*$B1193)*(1-$B1190))/$B1188)</f>
        <v>4.278059440559441E-2</v>
      </c>
      <c r="J1204" s="359">
        <f>J1198/((($E1198*$B1193)*(1-$B1190))/$B1188)</f>
        <v>7.0455517919580435E-2</v>
      </c>
      <c r="K1204" s="359">
        <f t="shared" si="143"/>
        <v>0.14640088505244758</v>
      </c>
      <c r="L1204" s="439"/>
      <c r="M1204" s="439"/>
      <c r="N1204" s="439"/>
      <c r="O1204" s="440"/>
      <c r="P1204" s="42"/>
      <c r="Q1204" s="263"/>
      <c r="R1204" s="262"/>
      <c r="S1204" s="263"/>
    </row>
    <row r="1205" spans="1:19" x14ac:dyDescent="0.25">
      <c r="A1205" s="178"/>
      <c r="B1205" s="178"/>
      <c r="C1205" s="178"/>
      <c r="D1205" s="178"/>
      <c r="E1205" s="178"/>
      <c r="F1205" s="178"/>
      <c r="G1205" s="178"/>
      <c r="H1205" s="178"/>
      <c r="I1205" s="178"/>
      <c r="J1205" s="178"/>
      <c r="K1205" s="178"/>
      <c r="L1205" s="178"/>
      <c r="M1205" s="178"/>
      <c r="N1205" s="178"/>
      <c r="O1205" s="178"/>
      <c r="P1205" s="156"/>
      <c r="Q1205" s="233"/>
      <c r="R1205" s="233"/>
      <c r="S1205" s="233"/>
    </row>
    <row r="1206" spans="1:19" ht="21" x14ac:dyDescent="0.25">
      <c r="A1206" s="305"/>
      <c r="B1206" s="644" t="s">
        <v>474</v>
      </c>
      <c r="C1206" s="645"/>
      <c r="D1206" s="645"/>
      <c r="E1206" s="645"/>
      <c r="F1206" s="645"/>
      <c r="G1206" s="645"/>
      <c r="H1206" s="645"/>
      <c r="I1206" s="645"/>
      <c r="J1206" s="645"/>
      <c r="K1206" s="645"/>
      <c r="L1206" s="645"/>
      <c r="M1206" s="645"/>
      <c r="N1206" s="645"/>
      <c r="O1206" s="646"/>
      <c r="P1206" s="157" t="s">
        <v>97</v>
      </c>
      <c r="Q1206" s="678" t="s">
        <v>197</v>
      </c>
      <c r="R1206" s="678"/>
      <c r="S1206" s="678"/>
    </row>
    <row r="1207" spans="1:19" ht="21" x14ac:dyDescent="0.25">
      <c r="A1207" s="177" t="s">
        <v>285</v>
      </c>
      <c r="B1207" s="647">
        <v>44041</v>
      </c>
      <c r="C1207" s="648"/>
      <c r="D1207" s="648"/>
      <c r="E1207" s="648"/>
      <c r="F1207" s="648"/>
      <c r="G1207" s="648"/>
      <c r="H1207" s="648"/>
      <c r="I1207" s="648"/>
      <c r="J1207" s="648"/>
      <c r="K1207" s="648"/>
      <c r="L1207" s="648"/>
      <c r="M1207" s="648"/>
      <c r="N1207" s="648"/>
      <c r="O1207" s="649"/>
      <c r="P1207" s="157"/>
      <c r="Q1207" s="678"/>
      <c r="R1207" s="678"/>
      <c r="S1207" s="678"/>
    </row>
    <row r="1208" spans="1:19" x14ac:dyDescent="0.25">
      <c r="A1208" s="177"/>
      <c r="B1208" s="650" t="s">
        <v>115</v>
      </c>
      <c r="C1208" s="651"/>
      <c r="D1208" s="651"/>
      <c r="E1208" s="651"/>
      <c r="F1208" s="651"/>
      <c r="G1208" s="651"/>
      <c r="H1208" s="651"/>
      <c r="I1208" s="651"/>
      <c r="J1208" s="651"/>
      <c r="K1208" s="651"/>
      <c r="L1208" s="651"/>
      <c r="M1208" s="651"/>
      <c r="N1208" s="651"/>
      <c r="O1208" s="652"/>
      <c r="P1208" s="157"/>
      <c r="Q1208" s="678"/>
      <c r="R1208" s="678"/>
      <c r="S1208" s="678"/>
    </row>
    <row r="1209" spans="1:19" x14ac:dyDescent="0.25">
      <c r="A1209" s="177" t="s">
        <v>106</v>
      </c>
      <c r="B1209" s="629">
        <v>7.5</v>
      </c>
      <c r="C1209" s="630"/>
      <c r="D1209" s="630"/>
      <c r="E1209" s="631"/>
      <c r="F1209" s="365" t="s">
        <v>174</v>
      </c>
      <c r="G1209" s="471"/>
      <c r="H1209" s="653">
        <v>0</v>
      </c>
      <c r="I1209" s="654"/>
      <c r="J1209" s="654"/>
      <c r="K1209" s="654"/>
      <c r="L1209" s="655"/>
      <c r="M1209" s="656">
        <f>SUM(B1209,H1210)</f>
        <v>7.5</v>
      </c>
      <c r="N1209" s="630"/>
      <c r="O1209" s="631"/>
      <c r="P1209" s="157"/>
      <c r="Q1209" s="678"/>
      <c r="R1209" s="678"/>
      <c r="S1209" s="678"/>
    </row>
    <row r="1210" spans="1:19" x14ac:dyDescent="0.25">
      <c r="A1210" s="177" t="s">
        <v>112</v>
      </c>
      <c r="B1210" s="626">
        <v>0.12</v>
      </c>
      <c r="C1210" s="627"/>
      <c r="D1210" s="627"/>
      <c r="E1210" s="628"/>
      <c r="F1210" s="290"/>
      <c r="G1210" s="472"/>
      <c r="H1210" s="626">
        <v>0</v>
      </c>
      <c r="I1210" s="627"/>
      <c r="J1210" s="627"/>
      <c r="K1210" s="627"/>
      <c r="L1210" s="628"/>
      <c r="M1210" s="657">
        <f>B1210</f>
        <v>0.12</v>
      </c>
      <c r="N1210" s="627"/>
      <c r="O1210" s="628"/>
      <c r="P1210" s="157"/>
      <c r="Q1210" s="678"/>
      <c r="R1210" s="678"/>
      <c r="S1210" s="678"/>
    </row>
    <row r="1211" spans="1:19" ht="15.75" thickBot="1" x14ac:dyDescent="0.3">
      <c r="A1211" s="177" t="s">
        <v>107</v>
      </c>
      <c r="B1211" s="629">
        <f>B1209*(1-B1210)</f>
        <v>6.6</v>
      </c>
      <c r="C1211" s="630"/>
      <c r="D1211" s="630"/>
      <c r="E1211" s="631"/>
      <c r="F1211" s="290"/>
      <c r="G1211" s="472"/>
      <c r="H1211" s="629">
        <f>H1209*(1-H1210)</f>
        <v>0</v>
      </c>
      <c r="I1211" s="630"/>
      <c r="J1211" s="630"/>
      <c r="K1211" s="630"/>
      <c r="L1211" s="631"/>
      <c r="M1211" s="656">
        <f>SUM(B1211,H1211)</f>
        <v>6.6</v>
      </c>
      <c r="N1211" s="630"/>
      <c r="O1211" s="631"/>
      <c r="P1211" s="157"/>
      <c r="Q1211" s="261" t="s">
        <v>97</v>
      </c>
      <c r="R1211" s="262"/>
      <c r="S1211" s="263"/>
    </row>
    <row r="1212" spans="1:19" x14ac:dyDescent="0.25">
      <c r="A1212" s="177" t="s">
        <v>108</v>
      </c>
      <c r="B1212" s="626">
        <f>B1215/B1211</f>
        <v>0.77070000000000005</v>
      </c>
      <c r="C1212" s="627"/>
      <c r="D1212" s="627"/>
      <c r="E1212" s="627"/>
      <c r="F1212" s="627"/>
      <c r="G1212" s="627"/>
      <c r="H1212" s="627"/>
      <c r="I1212" s="627"/>
      <c r="J1212" s="627"/>
      <c r="K1212" s="627"/>
      <c r="L1212" s="627"/>
      <c r="M1212" s="627"/>
      <c r="N1212" s="627"/>
      <c r="O1212" s="628"/>
      <c r="P1212" s="157"/>
      <c r="Q1212" s="671" t="s">
        <v>139</v>
      </c>
      <c r="R1212" s="235" t="s">
        <v>140</v>
      </c>
      <c r="S1212" s="679" t="s">
        <v>142</v>
      </c>
    </row>
    <row r="1213" spans="1:19" ht="15.75" thickBot="1" x14ac:dyDescent="0.3">
      <c r="A1213" s="177" t="s">
        <v>113</v>
      </c>
      <c r="B1213" s="629">
        <f>B1217*(E1221)/1000</f>
        <v>15.414</v>
      </c>
      <c r="C1213" s="630"/>
      <c r="D1213" s="630"/>
      <c r="E1213" s="630"/>
      <c r="F1213" s="630"/>
      <c r="G1213" s="630"/>
      <c r="H1213" s="630"/>
      <c r="I1213" s="630"/>
      <c r="J1213" s="630"/>
      <c r="K1213" s="630"/>
      <c r="L1213" s="630"/>
      <c r="M1213" s="630"/>
      <c r="N1213" s="630"/>
      <c r="O1213" s="631"/>
      <c r="P1213" s="157"/>
      <c r="Q1213" s="672"/>
      <c r="R1213" s="183" t="s">
        <v>141</v>
      </c>
      <c r="S1213" s="680"/>
    </row>
    <row r="1214" spans="1:19" ht="15.75" thickBot="1" x14ac:dyDescent="0.3">
      <c r="A1214" s="177" t="s">
        <v>109</v>
      </c>
      <c r="B1214" s="626">
        <v>0.67</v>
      </c>
      <c r="C1214" s="627"/>
      <c r="D1214" s="627"/>
      <c r="E1214" s="627"/>
      <c r="F1214" s="627"/>
      <c r="G1214" s="627"/>
      <c r="H1214" s="627"/>
      <c r="I1214" s="627"/>
      <c r="J1214" s="627"/>
      <c r="K1214" s="627"/>
      <c r="L1214" s="627"/>
      <c r="M1214" s="627"/>
      <c r="N1214" s="627"/>
      <c r="O1214" s="628"/>
      <c r="P1214" s="157"/>
      <c r="Q1214" s="269" t="s">
        <v>143</v>
      </c>
      <c r="R1214" s="257">
        <v>8</v>
      </c>
      <c r="S1214" s="258" t="s">
        <v>436</v>
      </c>
    </row>
    <row r="1215" spans="1:19" ht="15.75" thickBot="1" x14ac:dyDescent="0.3">
      <c r="A1215" s="177" t="s">
        <v>122</v>
      </c>
      <c r="B1215" s="629">
        <f>B1213-(B1213*B1214)</f>
        <v>5.0866199999999999</v>
      </c>
      <c r="C1215" s="630"/>
      <c r="D1215" s="630"/>
      <c r="E1215" s="630"/>
      <c r="F1215" s="630"/>
      <c r="G1215" s="630"/>
      <c r="H1215" s="630"/>
      <c r="I1215" s="630"/>
      <c r="J1215" s="630"/>
      <c r="K1215" s="630"/>
      <c r="L1215" s="630"/>
      <c r="M1215" s="630"/>
      <c r="N1215" s="630"/>
      <c r="O1215" s="631"/>
      <c r="P1215" s="157"/>
      <c r="Q1215" s="182" t="s">
        <v>145</v>
      </c>
      <c r="R1215" s="183">
        <v>4</v>
      </c>
      <c r="S1215" s="184" t="s">
        <v>437</v>
      </c>
    </row>
    <row r="1216" spans="1:19" ht="15.75" thickBot="1" x14ac:dyDescent="0.3">
      <c r="A1216" s="177" t="s">
        <v>110</v>
      </c>
      <c r="B1216" s="632">
        <v>121</v>
      </c>
      <c r="C1216" s="633"/>
      <c r="D1216" s="633"/>
      <c r="E1216" s="633"/>
      <c r="F1216" s="633"/>
      <c r="G1216" s="633"/>
      <c r="H1216" s="633"/>
      <c r="I1216" s="633"/>
      <c r="J1216" s="633"/>
      <c r="K1216" s="633"/>
      <c r="L1216" s="633"/>
      <c r="M1216" s="633"/>
      <c r="N1216" s="633"/>
      <c r="O1216" s="634"/>
      <c r="P1216" s="157"/>
      <c r="Q1216" s="182" t="s">
        <v>147</v>
      </c>
      <c r="R1216" s="183">
        <v>7</v>
      </c>
      <c r="S1216" s="181" t="s">
        <v>411</v>
      </c>
    </row>
    <row r="1217" spans="1:19" ht="29.25" thickBot="1" x14ac:dyDescent="0.3">
      <c r="A1217" s="177" t="s">
        <v>111</v>
      </c>
      <c r="B1217" s="635">
        <v>14</v>
      </c>
      <c r="C1217" s="636"/>
      <c r="D1217" s="636"/>
      <c r="E1217" s="636"/>
      <c r="F1217" s="636"/>
      <c r="G1217" s="636"/>
      <c r="H1217" s="636"/>
      <c r="I1217" s="636"/>
      <c r="J1217" s="636"/>
      <c r="K1217" s="636"/>
      <c r="L1217" s="636"/>
      <c r="M1217" s="636"/>
      <c r="N1217" s="636"/>
      <c r="O1217" s="637"/>
      <c r="P1217" s="157"/>
      <c r="Q1217" s="182" t="s">
        <v>438</v>
      </c>
      <c r="R1217" s="183">
        <v>4</v>
      </c>
      <c r="S1217" s="184" t="s">
        <v>439</v>
      </c>
    </row>
    <row r="1218" spans="1:19" ht="15.75" thickBot="1" x14ac:dyDescent="0.3">
      <c r="A1218" s="177" t="s">
        <v>273</v>
      </c>
      <c r="B1218" s="681" t="s">
        <v>476</v>
      </c>
      <c r="C1218" s="681"/>
      <c r="D1218" s="681"/>
      <c r="E1218" s="681"/>
      <c r="F1218" s="681"/>
      <c r="G1218" s="681"/>
      <c r="H1218" s="681"/>
      <c r="I1218" s="681"/>
      <c r="J1218" s="681"/>
      <c r="K1218" s="681"/>
      <c r="L1218" s="681"/>
      <c r="M1218" s="681"/>
      <c r="N1218" s="681"/>
      <c r="O1218" s="682"/>
      <c r="P1218" s="157"/>
      <c r="Q1218" s="182" t="s">
        <v>152</v>
      </c>
      <c r="R1218" s="183">
        <v>5.5</v>
      </c>
      <c r="S1218" s="184" t="s">
        <v>428</v>
      </c>
    </row>
    <row r="1219" spans="1:19" ht="15.75" thickBot="1" x14ac:dyDescent="0.3">
      <c r="A1219" s="177" t="s">
        <v>351</v>
      </c>
      <c r="B1219" s="431"/>
      <c r="C1219" s="431"/>
      <c r="D1219" s="431"/>
      <c r="E1219" s="431"/>
      <c r="F1219" s="431"/>
      <c r="G1219" s="431"/>
      <c r="H1219" s="431"/>
      <c r="I1219" s="431"/>
      <c r="J1219" s="431"/>
      <c r="K1219" s="431"/>
      <c r="L1219" s="431"/>
      <c r="M1219" s="431"/>
      <c r="N1219" s="431"/>
      <c r="O1219" s="432"/>
      <c r="P1219" s="157"/>
      <c r="Q1219" s="182" t="s">
        <v>154</v>
      </c>
      <c r="R1219" s="183">
        <v>6</v>
      </c>
      <c r="S1219" s="181" t="s">
        <v>429</v>
      </c>
    </row>
    <row r="1220" spans="1:19" ht="15.75" thickBot="1" x14ac:dyDescent="0.3">
      <c r="E1220" s="307" t="s">
        <v>98</v>
      </c>
      <c r="F1220" s="365" t="s">
        <v>102</v>
      </c>
      <c r="G1220" s="365"/>
      <c r="H1220" s="365" t="s">
        <v>92</v>
      </c>
      <c r="I1220" s="365" t="s">
        <v>93</v>
      </c>
      <c r="J1220" s="365" t="s">
        <v>94</v>
      </c>
      <c r="K1220" s="359" t="s">
        <v>99</v>
      </c>
      <c r="L1220" s="433"/>
      <c r="M1220" s="433"/>
      <c r="N1220" s="433"/>
      <c r="O1220" s="434"/>
      <c r="P1220" s="157"/>
      <c r="Q1220" s="182" t="s">
        <v>156</v>
      </c>
      <c r="R1220" s="183">
        <v>8</v>
      </c>
      <c r="S1220" s="181" t="s">
        <v>84</v>
      </c>
    </row>
    <row r="1221" spans="1:19" ht="15.75" thickBot="1" x14ac:dyDescent="0.3">
      <c r="E1221" s="308">
        <v>1101</v>
      </c>
      <c r="F1221" s="365" t="s">
        <v>95</v>
      </c>
      <c r="G1221" s="365"/>
      <c r="H1221" s="441">
        <v>0</v>
      </c>
      <c r="I1221" s="441">
        <v>0</v>
      </c>
      <c r="J1221" s="441">
        <v>0</v>
      </c>
      <c r="K1221" s="359">
        <f>SUM(H1221:J1221)</f>
        <v>0</v>
      </c>
      <c r="L1221" s="436"/>
      <c r="M1221" s="436"/>
      <c r="N1221" s="436"/>
      <c r="O1221" s="437"/>
      <c r="P1221" s="157"/>
      <c r="Q1221" s="182" t="s">
        <v>158</v>
      </c>
      <c r="R1221" s="183"/>
      <c r="S1221" s="181"/>
    </row>
    <row r="1222" spans="1:19" ht="15.75" thickBot="1" x14ac:dyDescent="0.3">
      <c r="E1222" s="308">
        <v>0</v>
      </c>
      <c r="F1222" s="365" t="s">
        <v>96</v>
      </c>
      <c r="G1222" s="365"/>
      <c r="H1222" s="441">
        <v>0</v>
      </c>
      <c r="I1222" s="441">
        <v>0</v>
      </c>
      <c r="J1222" s="441">
        <v>0</v>
      </c>
      <c r="K1222" s="359">
        <f t="shared" ref="K1222:K1228" si="145">SUM(H1222:J1222)</f>
        <v>0</v>
      </c>
      <c r="L1222" s="436"/>
      <c r="M1222" s="436"/>
      <c r="N1222" s="436"/>
      <c r="O1222" s="437"/>
      <c r="P1222" s="157"/>
      <c r="Q1222" s="185" t="s">
        <v>99</v>
      </c>
      <c r="R1222" s="183" t="s">
        <v>440</v>
      </c>
      <c r="S1222" s="265">
        <v>0.6</v>
      </c>
    </row>
    <row r="1223" spans="1:19" ht="15.75" thickBot="1" x14ac:dyDescent="0.3">
      <c r="E1223" s="307" t="s">
        <v>100</v>
      </c>
      <c r="F1223" s="365" t="s">
        <v>95</v>
      </c>
      <c r="G1223" s="365"/>
      <c r="H1223" s="444">
        <f>H1221/$E1221</f>
        <v>0</v>
      </c>
      <c r="I1223" s="429">
        <f>I1221/$E1221</f>
        <v>0</v>
      </c>
      <c r="J1223" s="429">
        <f>J1221/$E1221</f>
        <v>0</v>
      </c>
      <c r="K1223" s="374">
        <f t="shared" si="145"/>
        <v>0</v>
      </c>
      <c r="L1223" s="436"/>
      <c r="M1223" s="436"/>
      <c r="N1223" s="436"/>
      <c r="O1223" s="437"/>
      <c r="P1223" s="157"/>
      <c r="Q1223" s="185"/>
      <c r="R1223" s="183"/>
      <c r="S1223" s="186"/>
    </row>
    <row r="1224" spans="1:19" x14ac:dyDescent="0.25">
      <c r="E1224" s="307" t="s">
        <v>100</v>
      </c>
      <c r="F1224" s="438" t="s">
        <v>96</v>
      </c>
      <c r="G1224" s="438"/>
      <c r="H1224" s="359" t="str">
        <f>IFERROR(H1222/$E1222,"na")</f>
        <v>na</v>
      </c>
      <c r="I1224" s="359" t="str">
        <f>IFERROR(I1222/$E1222,"na")</f>
        <v>na</v>
      </c>
      <c r="J1224" s="359" t="str">
        <f>IFERROR(J1222/$E1222,"na")</f>
        <v>na</v>
      </c>
      <c r="K1224" s="359">
        <f t="shared" si="145"/>
        <v>0</v>
      </c>
      <c r="L1224" s="436"/>
      <c r="M1224" s="436"/>
      <c r="N1224" s="436"/>
      <c r="O1224" s="437"/>
      <c r="P1224" s="157"/>
      <c r="Q1224" s="262"/>
      <c r="R1224" s="262"/>
      <c r="S1224" s="262"/>
    </row>
    <row r="1225" spans="1:19" x14ac:dyDescent="0.25">
      <c r="E1225" s="307" t="s">
        <v>104</v>
      </c>
      <c r="F1225" s="365" t="s">
        <v>95</v>
      </c>
      <c r="G1225" s="365"/>
      <c r="H1225" s="359">
        <f>H1221/($E1221/7.7)</f>
        <v>0</v>
      </c>
      <c r="I1225" s="359">
        <f>I1221/($E1221/7)</f>
        <v>0</v>
      </c>
      <c r="J1225" s="359">
        <f>J1221/($E1221/7)</f>
        <v>0</v>
      </c>
      <c r="K1225" s="359">
        <f t="shared" si="145"/>
        <v>0</v>
      </c>
      <c r="L1225" s="436"/>
      <c r="M1225" s="436"/>
      <c r="N1225" s="436"/>
      <c r="O1225" s="437"/>
      <c r="P1225" s="157"/>
      <c r="Q1225" s="262"/>
      <c r="R1225" s="262"/>
      <c r="S1225" s="262"/>
    </row>
    <row r="1226" spans="1:19" x14ac:dyDescent="0.25">
      <c r="E1226" s="307" t="s">
        <v>104</v>
      </c>
      <c r="F1226" s="438" t="s">
        <v>96</v>
      </c>
      <c r="G1226" s="438"/>
      <c r="H1226" s="359" t="str">
        <f>IFERROR(H1222/($E1222/7.7),"na")</f>
        <v>na</v>
      </c>
      <c r="I1226" s="359" t="str">
        <f>IFERROR(I1222/($E1222/7.7),"na")</f>
        <v>na</v>
      </c>
      <c r="J1226" s="359" t="str">
        <f>IFERROR(J1222/($E1222/7.7),"na")</f>
        <v>na</v>
      </c>
      <c r="K1226" s="359">
        <f t="shared" si="145"/>
        <v>0</v>
      </c>
      <c r="L1226" s="436"/>
      <c r="M1226" s="436"/>
      <c r="N1226" s="436"/>
      <c r="O1226" s="437"/>
      <c r="P1226" s="157"/>
      <c r="Q1226" s="262"/>
      <c r="R1226" s="262"/>
      <c r="S1226" s="262"/>
    </row>
    <row r="1227" spans="1:19" x14ac:dyDescent="0.25">
      <c r="E1227" s="307" t="s">
        <v>135</v>
      </c>
      <c r="F1227" s="365" t="s">
        <v>95</v>
      </c>
      <c r="G1227" s="365"/>
      <c r="H1227" s="359">
        <f>H1221/((($E1221*$B1217)*(1-$B1214))/$B1212)</f>
        <v>0</v>
      </c>
      <c r="I1227" s="359">
        <f>I1221/((($E1221*$B1217)*(1-$B1214))/$B1212)</f>
        <v>0</v>
      </c>
      <c r="J1227" s="359">
        <f>J1221/((($E1221*$B1217)*(1-$B1214))/$B1212)</f>
        <v>0</v>
      </c>
      <c r="K1227" s="359">
        <f t="shared" si="145"/>
        <v>0</v>
      </c>
      <c r="L1227" s="436"/>
      <c r="M1227" s="436"/>
      <c r="N1227" s="436"/>
      <c r="O1227" s="437"/>
      <c r="P1227" s="42"/>
      <c r="Q1227" s="263"/>
      <c r="R1227" s="262"/>
      <c r="S1227" s="263"/>
    </row>
    <row r="1228" spans="1:19" x14ac:dyDescent="0.25">
      <c r="E1228" s="307" t="s">
        <v>135</v>
      </c>
      <c r="F1228" s="438" t="s">
        <v>96</v>
      </c>
      <c r="G1228" s="438"/>
      <c r="H1228" s="359" t="str">
        <f>IFERROR(H1222/((($E1222*$B1217)*(1-$B1214))/$B1212),"na")</f>
        <v>na</v>
      </c>
      <c r="I1228" s="359" t="str">
        <f>IFERROR(I1222/((($E1222*$B1217)*(1-$B1214))/$B1212),"na")</f>
        <v>na</v>
      </c>
      <c r="J1228" s="359" t="str">
        <f>IFERROR(J1222/((($E1222*$B1217)*(1-$B1214))/$B1212),"na")</f>
        <v>na</v>
      </c>
      <c r="K1228" s="359">
        <f t="shared" si="145"/>
        <v>0</v>
      </c>
      <c r="L1228" s="439"/>
      <c r="M1228" s="439"/>
      <c r="N1228" s="439"/>
      <c r="O1228" s="440"/>
      <c r="P1228" s="42"/>
      <c r="Q1228" s="263"/>
      <c r="R1228" s="262"/>
      <c r="S1228" s="263"/>
    </row>
    <row r="1229" spans="1:19" x14ac:dyDescent="0.25">
      <c r="A1229" s="178"/>
      <c r="B1229" s="178"/>
      <c r="C1229" s="178"/>
      <c r="D1229" s="178"/>
      <c r="E1229" s="178"/>
      <c r="F1229" s="178"/>
      <c r="G1229" s="178"/>
      <c r="H1229" s="178"/>
      <c r="I1229" s="178"/>
      <c r="J1229" s="178"/>
      <c r="K1229" s="178"/>
      <c r="L1229" s="178"/>
      <c r="M1229" s="178"/>
      <c r="N1229" s="178"/>
      <c r="O1229" s="178"/>
      <c r="P1229" s="156"/>
      <c r="Q1229" s="233"/>
      <c r="R1229" s="233"/>
      <c r="S1229" s="233"/>
    </row>
    <row r="1230" spans="1:19" ht="21" x14ac:dyDescent="0.25">
      <c r="A1230" s="305"/>
      <c r="B1230" s="644" t="s">
        <v>410</v>
      </c>
      <c r="C1230" s="645"/>
      <c r="D1230" s="645"/>
      <c r="E1230" s="645"/>
      <c r="F1230" s="645"/>
      <c r="G1230" s="645"/>
      <c r="H1230" s="645"/>
      <c r="I1230" s="645"/>
      <c r="J1230" s="645"/>
      <c r="K1230" s="645"/>
      <c r="L1230" s="645"/>
      <c r="M1230" s="645"/>
      <c r="N1230" s="645"/>
      <c r="O1230" s="646"/>
      <c r="P1230" s="157" t="s">
        <v>97</v>
      </c>
      <c r="Q1230" s="678" t="s">
        <v>199</v>
      </c>
      <c r="R1230" s="678"/>
      <c r="S1230" s="678"/>
    </row>
    <row r="1231" spans="1:19" ht="21" x14ac:dyDescent="0.25">
      <c r="A1231" s="177" t="s">
        <v>285</v>
      </c>
      <c r="B1231" s="647">
        <v>44050</v>
      </c>
      <c r="C1231" s="648"/>
      <c r="D1231" s="648"/>
      <c r="E1231" s="648"/>
      <c r="F1231" s="648"/>
      <c r="G1231" s="648"/>
      <c r="H1231" s="648"/>
      <c r="I1231" s="648"/>
      <c r="J1231" s="648"/>
      <c r="K1231" s="648"/>
      <c r="L1231" s="648"/>
      <c r="M1231" s="648"/>
      <c r="N1231" s="648"/>
      <c r="O1231" s="649"/>
      <c r="P1231" s="157"/>
      <c r="Q1231" s="678"/>
      <c r="R1231" s="678"/>
      <c r="S1231" s="678"/>
    </row>
    <row r="1232" spans="1:19" x14ac:dyDescent="0.25">
      <c r="A1232" s="177"/>
      <c r="B1232" s="650" t="s">
        <v>115</v>
      </c>
      <c r="C1232" s="651"/>
      <c r="D1232" s="651"/>
      <c r="E1232" s="651"/>
      <c r="F1232" s="651"/>
      <c r="G1232" s="651"/>
      <c r="H1232" s="651"/>
      <c r="I1232" s="651"/>
      <c r="J1232" s="651"/>
      <c r="K1232" s="651"/>
      <c r="L1232" s="651"/>
      <c r="M1232" s="651"/>
      <c r="N1232" s="651"/>
      <c r="O1232" s="652"/>
      <c r="P1232" s="157"/>
      <c r="Q1232" s="678"/>
      <c r="R1232" s="678"/>
      <c r="S1232" s="678"/>
    </row>
    <row r="1233" spans="1:19" x14ac:dyDescent="0.25">
      <c r="A1233" s="177" t="s">
        <v>106</v>
      </c>
      <c r="B1233" s="629">
        <v>8.75</v>
      </c>
      <c r="C1233" s="630"/>
      <c r="D1233" s="630"/>
      <c r="E1233" s="631"/>
      <c r="F1233" s="365" t="s">
        <v>174</v>
      </c>
      <c r="G1233" s="471"/>
      <c r="H1233" s="653">
        <v>0</v>
      </c>
      <c r="I1233" s="654"/>
      <c r="J1233" s="654"/>
      <c r="K1233" s="654"/>
      <c r="L1233" s="655"/>
      <c r="M1233" s="656">
        <f>SUM(B1233,H1234)</f>
        <v>8.75</v>
      </c>
      <c r="N1233" s="630"/>
      <c r="O1233" s="631"/>
      <c r="P1233" s="157"/>
      <c r="Q1233" s="678"/>
      <c r="R1233" s="678"/>
      <c r="S1233" s="678"/>
    </row>
    <row r="1234" spans="1:19" x14ac:dyDescent="0.25">
      <c r="A1234" s="177" t="s">
        <v>112</v>
      </c>
      <c r="B1234" s="626">
        <v>0.12</v>
      </c>
      <c r="C1234" s="627"/>
      <c r="D1234" s="627"/>
      <c r="E1234" s="628"/>
      <c r="F1234" s="290"/>
      <c r="G1234" s="472"/>
      <c r="H1234" s="626">
        <v>0</v>
      </c>
      <c r="I1234" s="627"/>
      <c r="J1234" s="627"/>
      <c r="K1234" s="627"/>
      <c r="L1234" s="628"/>
      <c r="M1234" s="657">
        <f>B1234</f>
        <v>0.12</v>
      </c>
      <c r="N1234" s="627"/>
      <c r="O1234" s="628"/>
      <c r="P1234" s="157"/>
      <c r="Q1234" s="678"/>
      <c r="R1234" s="678"/>
      <c r="S1234" s="678"/>
    </row>
    <row r="1235" spans="1:19" ht="15.75" thickBot="1" x14ac:dyDescent="0.3">
      <c r="A1235" s="177" t="s">
        <v>107</v>
      </c>
      <c r="B1235" s="629">
        <f>B1233*(1-B1234)</f>
        <v>7.7</v>
      </c>
      <c r="C1235" s="630"/>
      <c r="D1235" s="630"/>
      <c r="E1235" s="631"/>
      <c r="F1235" s="290"/>
      <c r="G1235" s="472"/>
      <c r="H1235" s="629">
        <f>H1233*(1-H1234)</f>
        <v>0</v>
      </c>
      <c r="I1235" s="630"/>
      <c r="J1235" s="630"/>
      <c r="K1235" s="630"/>
      <c r="L1235" s="631"/>
      <c r="M1235" s="656">
        <f>SUM(B1235,H1235)</f>
        <v>7.7</v>
      </c>
      <c r="N1235" s="630"/>
      <c r="O1235" s="631"/>
      <c r="P1235" s="157"/>
      <c r="Q1235" s="261" t="s">
        <v>97</v>
      </c>
      <c r="R1235" s="262"/>
      <c r="S1235" s="263"/>
    </row>
    <row r="1236" spans="1:19" x14ac:dyDescent="0.25">
      <c r="A1236" s="177" t="s">
        <v>108</v>
      </c>
      <c r="B1236" s="626">
        <f>B1239/B1235</f>
        <v>0.7592727272727271</v>
      </c>
      <c r="C1236" s="627"/>
      <c r="D1236" s="627"/>
      <c r="E1236" s="627"/>
      <c r="F1236" s="627"/>
      <c r="G1236" s="627"/>
      <c r="H1236" s="627"/>
      <c r="I1236" s="627"/>
      <c r="J1236" s="627"/>
      <c r="K1236" s="627"/>
      <c r="L1236" s="627"/>
      <c r="M1236" s="627"/>
      <c r="N1236" s="627"/>
      <c r="O1236" s="628"/>
      <c r="P1236" s="157"/>
      <c r="Q1236" s="671" t="s">
        <v>139</v>
      </c>
      <c r="R1236" s="235" t="s">
        <v>140</v>
      </c>
      <c r="S1236" s="679" t="s">
        <v>142</v>
      </c>
    </row>
    <row r="1237" spans="1:19" ht="15.75" thickBot="1" x14ac:dyDescent="0.3">
      <c r="A1237" s="177" t="s">
        <v>113</v>
      </c>
      <c r="B1237" s="629">
        <f>B1241*(E1245)/1000</f>
        <v>18.27</v>
      </c>
      <c r="C1237" s="630"/>
      <c r="D1237" s="630"/>
      <c r="E1237" s="630"/>
      <c r="F1237" s="630"/>
      <c r="G1237" s="630"/>
      <c r="H1237" s="630"/>
      <c r="I1237" s="630"/>
      <c r="J1237" s="630"/>
      <c r="K1237" s="630"/>
      <c r="L1237" s="630"/>
      <c r="M1237" s="630"/>
      <c r="N1237" s="630"/>
      <c r="O1237" s="631"/>
      <c r="P1237" s="157"/>
      <c r="Q1237" s="672"/>
      <c r="R1237" s="183" t="s">
        <v>141</v>
      </c>
      <c r="S1237" s="680"/>
    </row>
    <row r="1238" spans="1:19" ht="15.75" thickBot="1" x14ac:dyDescent="0.3">
      <c r="A1238" s="177" t="s">
        <v>109</v>
      </c>
      <c r="B1238" s="626">
        <v>0.68</v>
      </c>
      <c r="C1238" s="627"/>
      <c r="D1238" s="627"/>
      <c r="E1238" s="627"/>
      <c r="F1238" s="627"/>
      <c r="G1238" s="627"/>
      <c r="H1238" s="627"/>
      <c r="I1238" s="627"/>
      <c r="J1238" s="627"/>
      <c r="K1238" s="627"/>
      <c r="L1238" s="627"/>
      <c r="M1238" s="627"/>
      <c r="N1238" s="627"/>
      <c r="O1238" s="628"/>
      <c r="P1238" s="157"/>
      <c r="Q1238" s="269" t="s">
        <v>143</v>
      </c>
      <c r="R1238" s="257">
        <v>5</v>
      </c>
      <c r="S1238" s="258" t="s">
        <v>436</v>
      </c>
    </row>
    <row r="1239" spans="1:19" ht="15.75" thickBot="1" x14ac:dyDescent="0.3">
      <c r="A1239" s="177" t="s">
        <v>122</v>
      </c>
      <c r="B1239" s="629">
        <f>B1237-(B1237*B1238)</f>
        <v>5.8463999999999992</v>
      </c>
      <c r="C1239" s="630"/>
      <c r="D1239" s="630"/>
      <c r="E1239" s="630"/>
      <c r="F1239" s="630"/>
      <c r="G1239" s="630"/>
      <c r="H1239" s="630"/>
      <c r="I1239" s="630"/>
      <c r="J1239" s="630"/>
      <c r="K1239" s="630"/>
      <c r="L1239" s="630"/>
      <c r="M1239" s="630"/>
      <c r="N1239" s="630"/>
      <c r="O1239" s="631"/>
      <c r="P1239" s="157"/>
      <c r="Q1239" s="182" t="s">
        <v>145</v>
      </c>
      <c r="R1239" s="183">
        <v>5</v>
      </c>
      <c r="S1239" s="184" t="s">
        <v>398</v>
      </c>
    </row>
    <row r="1240" spans="1:19" ht="15.75" thickBot="1" x14ac:dyDescent="0.3">
      <c r="A1240" s="177" t="s">
        <v>110</v>
      </c>
      <c r="B1240" s="632">
        <v>140</v>
      </c>
      <c r="C1240" s="633"/>
      <c r="D1240" s="633"/>
      <c r="E1240" s="633"/>
      <c r="F1240" s="633"/>
      <c r="G1240" s="633"/>
      <c r="H1240" s="633"/>
      <c r="I1240" s="633"/>
      <c r="J1240" s="633"/>
      <c r="K1240" s="633"/>
      <c r="L1240" s="633"/>
      <c r="M1240" s="633"/>
      <c r="N1240" s="633"/>
      <c r="O1240" s="634"/>
      <c r="P1240" s="157"/>
      <c r="Q1240" s="182" t="s">
        <v>147</v>
      </c>
      <c r="R1240" s="183">
        <v>6</v>
      </c>
      <c r="S1240" s="181" t="s">
        <v>411</v>
      </c>
    </row>
    <row r="1241" spans="1:19" ht="29.25" thickBot="1" x14ac:dyDescent="0.3">
      <c r="A1241" s="177" t="s">
        <v>111</v>
      </c>
      <c r="B1241" s="635">
        <v>14.5</v>
      </c>
      <c r="C1241" s="636"/>
      <c r="D1241" s="636"/>
      <c r="E1241" s="636"/>
      <c r="F1241" s="636"/>
      <c r="G1241" s="636"/>
      <c r="H1241" s="636"/>
      <c r="I1241" s="636"/>
      <c r="J1241" s="636"/>
      <c r="K1241" s="636"/>
      <c r="L1241" s="636"/>
      <c r="M1241" s="636"/>
      <c r="N1241" s="636"/>
      <c r="O1241" s="637"/>
      <c r="P1241" s="157"/>
      <c r="Q1241" s="182" t="s">
        <v>82</v>
      </c>
      <c r="R1241" s="183">
        <v>7</v>
      </c>
      <c r="S1241" s="184" t="s">
        <v>441</v>
      </c>
    </row>
    <row r="1242" spans="1:19" ht="15.75" thickBot="1" x14ac:dyDescent="0.3">
      <c r="A1242" s="177" t="s">
        <v>273</v>
      </c>
      <c r="B1242" s="448" t="s">
        <v>475</v>
      </c>
      <c r="C1242" s="448"/>
      <c r="D1242" s="448"/>
      <c r="E1242" s="448"/>
      <c r="F1242" s="448"/>
      <c r="G1242" s="448"/>
      <c r="H1242" s="448"/>
      <c r="I1242" s="448"/>
      <c r="J1242" s="448"/>
      <c r="K1242" s="448"/>
      <c r="L1242" s="448"/>
      <c r="M1242" s="448"/>
      <c r="N1242" s="448"/>
      <c r="O1242" s="449"/>
      <c r="P1242" s="157"/>
      <c r="Q1242" s="182" t="s">
        <v>152</v>
      </c>
      <c r="R1242" s="183">
        <v>6</v>
      </c>
      <c r="S1242" s="184" t="s">
        <v>442</v>
      </c>
    </row>
    <row r="1243" spans="1:19" ht="15.75" thickBot="1" x14ac:dyDescent="0.3">
      <c r="A1243" s="177" t="s">
        <v>351</v>
      </c>
      <c r="B1243" s="431" t="s">
        <v>352</v>
      </c>
      <c r="C1243" s="431"/>
      <c r="D1243" s="431"/>
      <c r="E1243" s="431"/>
      <c r="F1243" s="431"/>
      <c r="G1243" s="431"/>
      <c r="H1243" s="431"/>
      <c r="I1243" s="431"/>
      <c r="J1243" s="431"/>
      <c r="K1243" s="431"/>
      <c r="L1243" s="431"/>
      <c r="M1243" s="431"/>
      <c r="N1243" s="431"/>
      <c r="O1243" s="432"/>
      <c r="P1243" s="157"/>
      <c r="Q1243" s="182" t="s">
        <v>154</v>
      </c>
      <c r="R1243" s="183">
        <v>3</v>
      </c>
      <c r="S1243" s="181" t="s">
        <v>443</v>
      </c>
    </row>
    <row r="1244" spans="1:19" ht="15.75" thickBot="1" x14ac:dyDescent="0.3">
      <c r="E1244" s="307" t="s">
        <v>98</v>
      </c>
      <c r="F1244" s="365" t="s">
        <v>102</v>
      </c>
      <c r="G1244" s="365"/>
      <c r="H1244" s="365" t="s">
        <v>92</v>
      </c>
      <c r="I1244" s="365" t="s">
        <v>93</v>
      </c>
      <c r="J1244" s="365" t="s">
        <v>94</v>
      </c>
      <c r="K1244" s="359" t="s">
        <v>99</v>
      </c>
      <c r="L1244" s="433"/>
      <c r="M1244" s="433"/>
      <c r="N1244" s="433"/>
      <c r="O1244" s="434"/>
      <c r="P1244" s="157"/>
      <c r="Q1244" s="182" t="s">
        <v>156</v>
      </c>
      <c r="R1244" s="183">
        <v>5</v>
      </c>
      <c r="S1244" s="181" t="s">
        <v>31</v>
      </c>
    </row>
    <row r="1245" spans="1:19" ht="15.75" thickBot="1" x14ac:dyDescent="0.3">
      <c r="A1245" s="313"/>
      <c r="E1245" s="308">
        <v>1260</v>
      </c>
      <c r="F1245" s="365" t="s">
        <v>95</v>
      </c>
      <c r="G1245" s="365"/>
      <c r="H1245" s="442">
        <v>153.35</v>
      </c>
      <c r="I1245" s="441">
        <v>138.41999999999999</v>
      </c>
      <c r="J1245" s="441">
        <v>128.34</v>
      </c>
      <c r="K1245" s="359">
        <f>SUM(H1245:J1245)</f>
        <v>420.11</v>
      </c>
      <c r="L1245" s="436"/>
      <c r="M1245" s="436"/>
      <c r="N1245" s="436"/>
      <c r="O1245" s="437"/>
      <c r="P1245" s="157"/>
      <c r="Q1245" s="182" t="s">
        <v>158</v>
      </c>
      <c r="R1245" s="183"/>
      <c r="S1245" s="181"/>
    </row>
    <row r="1246" spans="1:19" ht="15.75" thickBot="1" x14ac:dyDescent="0.3">
      <c r="A1246" s="313"/>
      <c r="E1246" s="308">
        <v>0</v>
      </c>
      <c r="F1246" s="365" t="s">
        <v>96</v>
      </c>
      <c r="G1246" s="365"/>
      <c r="H1246" s="441">
        <v>0</v>
      </c>
      <c r="I1246" s="441">
        <v>0</v>
      </c>
      <c r="J1246" s="441">
        <v>0</v>
      </c>
      <c r="K1246" s="359">
        <f t="shared" ref="K1246:K1252" si="146">SUM(H1246:J1246)</f>
        <v>0</v>
      </c>
      <c r="L1246" s="436"/>
      <c r="M1246" s="436"/>
      <c r="N1246" s="436"/>
      <c r="O1246" s="437"/>
      <c r="P1246" s="157"/>
      <c r="Q1246" s="185" t="s">
        <v>99</v>
      </c>
      <c r="R1246" s="183" t="s">
        <v>444</v>
      </c>
      <c r="S1246" s="265">
        <v>0.53</v>
      </c>
    </row>
    <row r="1247" spans="1:19" ht="15.75" thickBot="1" x14ac:dyDescent="0.3">
      <c r="A1247" s="313"/>
      <c r="E1247" s="307" t="s">
        <v>100</v>
      </c>
      <c r="F1247" s="365" t="s">
        <v>95</v>
      </c>
      <c r="G1247" s="365"/>
      <c r="H1247" s="444">
        <f>H1245/$E1245</f>
        <v>0.12170634920634921</v>
      </c>
      <c r="I1247" s="429">
        <f>I1245/$E1245</f>
        <v>0.10985714285714285</v>
      </c>
      <c r="J1247" s="429">
        <f>J1245/$E1245</f>
        <v>0.10185714285714285</v>
      </c>
      <c r="K1247" s="374">
        <f t="shared" si="146"/>
        <v>0.3334206349206349</v>
      </c>
      <c r="L1247" s="436"/>
      <c r="M1247" s="436"/>
      <c r="N1247" s="436"/>
      <c r="O1247" s="437"/>
      <c r="P1247" s="157"/>
      <c r="Q1247" s="185"/>
      <c r="R1247" s="183"/>
      <c r="S1247" s="186"/>
    </row>
    <row r="1248" spans="1:19" x14ac:dyDescent="0.25">
      <c r="E1248" s="307" t="s">
        <v>100</v>
      </c>
      <c r="F1248" s="438" t="s">
        <v>96</v>
      </c>
      <c r="G1248" s="438"/>
      <c r="H1248" s="359" t="str">
        <f>IFERROR(H1246/$E1246,"na")</f>
        <v>na</v>
      </c>
      <c r="I1248" s="359" t="str">
        <f>IFERROR(I1246/$E1246,"na")</f>
        <v>na</v>
      </c>
      <c r="J1248" s="359" t="str">
        <f>IFERROR(J1246/$E1246,"na")</f>
        <v>na</v>
      </c>
      <c r="K1248" s="359">
        <f t="shared" si="146"/>
        <v>0</v>
      </c>
      <c r="L1248" s="436"/>
      <c r="M1248" s="436"/>
      <c r="N1248" s="436"/>
      <c r="O1248" s="437"/>
      <c r="P1248" s="157"/>
      <c r="Q1248" s="262"/>
      <c r="R1248" s="262"/>
      <c r="S1248" s="262"/>
    </row>
    <row r="1249" spans="1:19" x14ac:dyDescent="0.25">
      <c r="E1249" s="307" t="s">
        <v>104</v>
      </c>
      <c r="F1249" s="365" t="s">
        <v>95</v>
      </c>
      <c r="G1249" s="365"/>
      <c r="H1249" s="359">
        <f>H1245/($E1245/7.7)</f>
        <v>0.93713888888888897</v>
      </c>
      <c r="I1249" s="359">
        <f>I1245/($E1245/7)</f>
        <v>0.76899999999999991</v>
      </c>
      <c r="J1249" s="359">
        <f>J1245/($E1245/7)</f>
        <v>0.71299999999999997</v>
      </c>
      <c r="K1249" s="359">
        <f t="shared" si="146"/>
        <v>2.4191388888888889</v>
      </c>
      <c r="L1249" s="436"/>
      <c r="M1249" s="436"/>
      <c r="N1249" s="436"/>
      <c r="O1249" s="437"/>
      <c r="P1249" s="157"/>
      <c r="Q1249" s="262"/>
      <c r="R1249" s="262"/>
      <c r="S1249" s="262"/>
    </row>
    <row r="1250" spans="1:19" x14ac:dyDescent="0.25">
      <c r="E1250" s="307" t="s">
        <v>104</v>
      </c>
      <c r="F1250" s="438" t="s">
        <v>96</v>
      </c>
      <c r="G1250" s="438"/>
      <c r="H1250" s="359" t="str">
        <f>IFERROR(H1246/($E1246/7.7),"na")</f>
        <v>na</v>
      </c>
      <c r="I1250" s="359" t="str">
        <f>IFERROR(I1246/($E1246/7.7),"na")</f>
        <v>na</v>
      </c>
      <c r="J1250" s="359" t="str">
        <f>IFERROR(J1246/($E1246/7.7),"na")</f>
        <v>na</v>
      </c>
      <c r="K1250" s="359">
        <f t="shared" si="146"/>
        <v>0</v>
      </c>
      <c r="L1250" s="436"/>
      <c r="M1250" s="436"/>
      <c r="N1250" s="436"/>
      <c r="O1250" s="437"/>
      <c r="P1250" s="157"/>
      <c r="Q1250" s="262"/>
      <c r="R1250" s="262"/>
      <c r="S1250" s="262"/>
    </row>
    <row r="1251" spans="1:19" x14ac:dyDescent="0.25">
      <c r="E1251" s="307" t="s">
        <v>135</v>
      </c>
      <c r="F1251" s="365" t="s">
        <v>95</v>
      </c>
      <c r="G1251" s="365"/>
      <c r="H1251" s="359">
        <f>H1245/((($E1245*$B1241)*(1-$B1238))/$B1236)</f>
        <v>1.9915584415584414E-2</v>
      </c>
      <c r="I1251" s="359">
        <f>I1245/((($E1245*$B1241)*(1-$B1238))/$B1236)</f>
        <v>1.7976623376623375E-2</v>
      </c>
      <c r="J1251" s="359">
        <f>J1245/((($E1245*$B1241)*(1-$B1238))/$B1236)</f>
        <v>1.6667532467532466E-2</v>
      </c>
      <c r="K1251" s="359">
        <f t="shared" si="146"/>
        <v>5.4559740259740253E-2</v>
      </c>
      <c r="L1251" s="436"/>
      <c r="M1251" s="436"/>
      <c r="N1251" s="436"/>
      <c r="O1251" s="437"/>
      <c r="P1251" s="42"/>
      <c r="Q1251" s="263"/>
      <c r="R1251" s="262"/>
      <c r="S1251" s="263"/>
    </row>
    <row r="1252" spans="1:19" x14ac:dyDescent="0.25">
      <c r="E1252" s="307" t="s">
        <v>135</v>
      </c>
      <c r="F1252" s="438" t="s">
        <v>96</v>
      </c>
      <c r="G1252" s="438"/>
      <c r="H1252" s="359" t="str">
        <f>IFERROR(H1246/((($E1246*$B1241)*(1-$B1238))/$B1236),"na")</f>
        <v>na</v>
      </c>
      <c r="I1252" s="359" t="str">
        <f>IFERROR(I1246/((($E1246*$B1241)*(1-$B1238))/$B1236),"na")</f>
        <v>na</v>
      </c>
      <c r="J1252" s="359" t="str">
        <f>IFERROR(J1246/((($E1246*$B1241)*(1-$B1238))/$B1236),"na")</f>
        <v>na</v>
      </c>
      <c r="K1252" s="359">
        <f t="shared" si="146"/>
        <v>0</v>
      </c>
      <c r="L1252" s="439"/>
      <c r="M1252" s="439"/>
      <c r="N1252" s="439"/>
      <c r="O1252" s="440"/>
      <c r="P1252" s="42"/>
      <c r="Q1252" s="263"/>
      <c r="R1252" s="262"/>
      <c r="S1252" s="263"/>
    </row>
    <row r="1253" spans="1:19" x14ac:dyDescent="0.25">
      <c r="A1253" s="178"/>
      <c r="B1253" s="178"/>
      <c r="C1253" s="178"/>
      <c r="D1253" s="178"/>
      <c r="E1253" s="178"/>
      <c r="F1253" s="178"/>
      <c r="G1253" s="178"/>
      <c r="H1253" s="178"/>
      <c r="I1253" s="178"/>
      <c r="J1253" s="178"/>
      <c r="K1253" s="178"/>
      <c r="L1253" s="178"/>
      <c r="M1253" s="178"/>
      <c r="N1253" s="178"/>
      <c r="O1253" s="178"/>
      <c r="P1253" s="161"/>
      <c r="Q1253" s="233"/>
      <c r="R1253" s="233"/>
      <c r="S1253" s="233"/>
    </row>
    <row r="1254" spans="1:19" ht="21" x14ac:dyDescent="0.25">
      <c r="A1254" s="305"/>
      <c r="B1254" s="644" t="s">
        <v>414</v>
      </c>
      <c r="C1254" s="645"/>
      <c r="D1254" s="645"/>
      <c r="E1254" s="645"/>
      <c r="F1254" s="645"/>
      <c r="G1254" s="645"/>
      <c r="H1254" s="645"/>
      <c r="I1254" s="645"/>
      <c r="J1254" s="645"/>
      <c r="K1254" s="645"/>
      <c r="L1254" s="645"/>
      <c r="M1254" s="645"/>
      <c r="N1254" s="645"/>
      <c r="O1254" s="646"/>
      <c r="P1254" s="160" t="s">
        <v>97</v>
      </c>
      <c r="Q1254" s="678" t="s">
        <v>201</v>
      </c>
      <c r="R1254" s="678"/>
      <c r="S1254" s="678"/>
    </row>
    <row r="1255" spans="1:19" ht="21" x14ac:dyDescent="0.25">
      <c r="A1255" s="177" t="s">
        <v>285</v>
      </c>
      <c r="B1255" s="647">
        <v>44062</v>
      </c>
      <c r="C1255" s="648"/>
      <c r="D1255" s="648"/>
      <c r="E1255" s="648"/>
      <c r="F1255" s="648"/>
      <c r="G1255" s="648"/>
      <c r="H1255" s="648"/>
      <c r="I1255" s="648"/>
      <c r="J1255" s="648"/>
      <c r="K1255" s="648"/>
      <c r="L1255" s="648"/>
      <c r="M1255" s="648"/>
      <c r="N1255" s="648"/>
      <c r="O1255" s="649"/>
      <c r="P1255" s="160"/>
      <c r="Q1255" s="678"/>
      <c r="R1255" s="678"/>
      <c r="S1255" s="678"/>
    </row>
    <row r="1256" spans="1:19" x14ac:dyDescent="0.25">
      <c r="A1256" s="177"/>
      <c r="B1256" s="650" t="s">
        <v>115</v>
      </c>
      <c r="C1256" s="651"/>
      <c r="D1256" s="651"/>
      <c r="E1256" s="651"/>
      <c r="F1256" s="651"/>
      <c r="G1256" s="651"/>
      <c r="H1256" s="651"/>
      <c r="I1256" s="651"/>
      <c r="J1256" s="651"/>
      <c r="K1256" s="651"/>
      <c r="L1256" s="651"/>
      <c r="M1256" s="651"/>
      <c r="N1256" s="651"/>
      <c r="O1256" s="652"/>
      <c r="P1256" s="160"/>
      <c r="Q1256" s="678"/>
      <c r="R1256" s="678"/>
      <c r="S1256" s="678"/>
    </row>
    <row r="1257" spans="1:19" x14ac:dyDescent="0.25">
      <c r="A1257" s="177" t="s">
        <v>106</v>
      </c>
      <c r="B1257" s="629">
        <v>8.75</v>
      </c>
      <c r="C1257" s="630"/>
      <c r="D1257" s="630"/>
      <c r="E1257" s="631"/>
      <c r="F1257" s="365" t="s">
        <v>174</v>
      </c>
      <c r="G1257" s="471"/>
      <c r="H1257" s="653">
        <v>0</v>
      </c>
      <c r="I1257" s="654"/>
      <c r="J1257" s="654"/>
      <c r="K1257" s="654"/>
      <c r="L1257" s="655"/>
      <c r="M1257" s="656">
        <f>SUM(B1257,H1258)</f>
        <v>8.75</v>
      </c>
      <c r="N1257" s="630"/>
      <c r="O1257" s="631"/>
      <c r="P1257" s="160"/>
      <c r="Q1257" s="678"/>
      <c r="R1257" s="678"/>
      <c r="S1257" s="678"/>
    </row>
    <row r="1258" spans="1:19" x14ac:dyDescent="0.25">
      <c r="A1258" s="177" t="s">
        <v>112</v>
      </c>
      <c r="B1258" s="626">
        <v>0.12</v>
      </c>
      <c r="C1258" s="627"/>
      <c r="D1258" s="627"/>
      <c r="E1258" s="628"/>
      <c r="F1258" s="290"/>
      <c r="G1258" s="472"/>
      <c r="H1258" s="626">
        <v>0</v>
      </c>
      <c r="I1258" s="627"/>
      <c r="J1258" s="627"/>
      <c r="K1258" s="627"/>
      <c r="L1258" s="628"/>
      <c r="M1258" s="657">
        <f>B1258</f>
        <v>0.12</v>
      </c>
      <c r="N1258" s="627"/>
      <c r="O1258" s="628"/>
      <c r="P1258" s="160"/>
      <c r="Q1258" s="678"/>
      <c r="R1258" s="678"/>
      <c r="S1258" s="678"/>
    </row>
    <row r="1259" spans="1:19" ht="15.75" thickBot="1" x14ac:dyDescent="0.3">
      <c r="A1259" s="177" t="s">
        <v>107</v>
      </c>
      <c r="B1259" s="629">
        <f>B1257*(1-B1258)</f>
        <v>7.7</v>
      </c>
      <c r="C1259" s="630"/>
      <c r="D1259" s="630"/>
      <c r="E1259" s="631"/>
      <c r="F1259" s="290"/>
      <c r="G1259" s="472"/>
      <c r="H1259" s="629">
        <f>H1257*(1-H1258)</f>
        <v>0</v>
      </c>
      <c r="I1259" s="630"/>
      <c r="J1259" s="630"/>
      <c r="K1259" s="630"/>
      <c r="L1259" s="631"/>
      <c r="M1259" s="656">
        <f>SUM(B1259,H1259)</f>
        <v>7.7</v>
      </c>
      <c r="N1259" s="630"/>
      <c r="O1259" s="631"/>
      <c r="P1259" s="160"/>
      <c r="Q1259" s="261" t="s">
        <v>97</v>
      </c>
      <c r="R1259" s="262"/>
      <c r="S1259" s="263"/>
    </row>
    <row r="1260" spans="1:19" x14ac:dyDescent="0.25">
      <c r="A1260" s="177" t="s">
        <v>108</v>
      </c>
      <c r="B1260" s="626">
        <f>B1263/B1259</f>
        <v>0.63479999999999992</v>
      </c>
      <c r="C1260" s="627"/>
      <c r="D1260" s="627"/>
      <c r="E1260" s="627"/>
      <c r="F1260" s="627"/>
      <c r="G1260" s="627"/>
      <c r="H1260" s="627"/>
      <c r="I1260" s="627"/>
      <c r="J1260" s="627"/>
      <c r="K1260" s="627"/>
      <c r="L1260" s="627"/>
      <c r="M1260" s="627"/>
      <c r="N1260" s="627"/>
      <c r="O1260" s="628"/>
      <c r="P1260" s="160"/>
      <c r="Q1260" s="671" t="s">
        <v>139</v>
      </c>
      <c r="R1260" s="235" t="s">
        <v>140</v>
      </c>
      <c r="S1260" s="679" t="s">
        <v>142</v>
      </c>
    </row>
    <row r="1261" spans="1:19" ht="15.75" thickBot="1" x14ac:dyDescent="0.3">
      <c r="A1261" s="177" t="s">
        <v>113</v>
      </c>
      <c r="B1261" s="629">
        <f>B1265*(E1269)/1000</f>
        <v>14.811999999999999</v>
      </c>
      <c r="C1261" s="630"/>
      <c r="D1261" s="630"/>
      <c r="E1261" s="630"/>
      <c r="F1261" s="630"/>
      <c r="G1261" s="630"/>
      <c r="H1261" s="630"/>
      <c r="I1261" s="630"/>
      <c r="J1261" s="630"/>
      <c r="K1261" s="630"/>
      <c r="L1261" s="630"/>
      <c r="M1261" s="630"/>
      <c r="N1261" s="630"/>
      <c r="O1261" s="631"/>
      <c r="P1261" s="160"/>
      <c r="Q1261" s="672"/>
      <c r="R1261" s="183" t="s">
        <v>141</v>
      </c>
      <c r="S1261" s="680"/>
    </row>
    <row r="1262" spans="1:19" ht="15.75" thickBot="1" x14ac:dyDescent="0.3">
      <c r="A1262" s="177" t="s">
        <v>109</v>
      </c>
      <c r="B1262" s="626">
        <v>0.67</v>
      </c>
      <c r="C1262" s="627"/>
      <c r="D1262" s="627"/>
      <c r="E1262" s="627"/>
      <c r="F1262" s="627"/>
      <c r="G1262" s="627"/>
      <c r="H1262" s="627"/>
      <c r="I1262" s="627"/>
      <c r="J1262" s="627"/>
      <c r="K1262" s="627"/>
      <c r="L1262" s="627"/>
      <c r="M1262" s="627"/>
      <c r="N1262" s="627"/>
      <c r="O1262" s="628"/>
      <c r="P1262" s="160"/>
      <c r="Q1262" s="269" t="s">
        <v>143</v>
      </c>
      <c r="R1262" s="257">
        <v>9</v>
      </c>
      <c r="S1262" s="258" t="s">
        <v>436</v>
      </c>
    </row>
    <row r="1263" spans="1:19" ht="15.75" thickBot="1" x14ac:dyDescent="0.3">
      <c r="A1263" s="177" t="s">
        <v>122</v>
      </c>
      <c r="B1263" s="629">
        <f>B1261-(B1261*B1262)</f>
        <v>4.8879599999999996</v>
      </c>
      <c r="C1263" s="630"/>
      <c r="D1263" s="630"/>
      <c r="E1263" s="630"/>
      <c r="F1263" s="630"/>
      <c r="G1263" s="630"/>
      <c r="H1263" s="630"/>
      <c r="I1263" s="630"/>
      <c r="J1263" s="630"/>
      <c r="K1263" s="630"/>
      <c r="L1263" s="630"/>
      <c r="M1263" s="630"/>
      <c r="N1263" s="630"/>
      <c r="O1263" s="631"/>
      <c r="P1263" s="160"/>
      <c r="Q1263" s="182" t="s">
        <v>145</v>
      </c>
      <c r="R1263" s="183">
        <v>4</v>
      </c>
      <c r="S1263" s="184" t="s">
        <v>398</v>
      </c>
    </row>
    <row r="1264" spans="1:19" ht="15.75" thickBot="1" x14ac:dyDescent="0.3">
      <c r="A1264" s="177" t="s">
        <v>110</v>
      </c>
      <c r="B1264" s="632">
        <v>153</v>
      </c>
      <c r="C1264" s="633"/>
      <c r="D1264" s="633"/>
      <c r="E1264" s="633"/>
      <c r="F1264" s="633"/>
      <c r="G1264" s="633"/>
      <c r="H1264" s="633"/>
      <c r="I1264" s="633"/>
      <c r="J1264" s="633"/>
      <c r="K1264" s="633"/>
      <c r="L1264" s="633"/>
      <c r="M1264" s="633"/>
      <c r="N1264" s="633"/>
      <c r="O1264" s="634"/>
      <c r="P1264" s="160"/>
      <c r="Q1264" s="182" t="s">
        <v>147</v>
      </c>
      <c r="R1264" s="183">
        <v>8</v>
      </c>
      <c r="S1264" s="181" t="s">
        <v>411</v>
      </c>
    </row>
    <row r="1265" spans="1:19" ht="29.25" thickBot="1" x14ac:dyDescent="0.3">
      <c r="A1265" s="177" t="s">
        <v>111</v>
      </c>
      <c r="B1265" s="635">
        <v>14</v>
      </c>
      <c r="C1265" s="636"/>
      <c r="D1265" s="636"/>
      <c r="E1265" s="636"/>
      <c r="F1265" s="636"/>
      <c r="G1265" s="636"/>
      <c r="H1265" s="636"/>
      <c r="I1265" s="636"/>
      <c r="J1265" s="636"/>
      <c r="K1265" s="636"/>
      <c r="L1265" s="636"/>
      <c r="M1265" s="636"/>
      <c r="N1265" s="636"/>
      <c r="O1265" s="637"/>
      <c r="P1265" s="160"/>
      <c r="Q1265" s="182" t="s">
        <v>82</v>
      </c>
      <c r="R1265" s="183">
        <v>4</v>
      </c>
      <c r="S1265" s="184" t="s">
        <v>439</v>
      </c>
    </row>
    <row r="1266" spans="1:19" ht="15.75" thickBot="1" x14ac:dyDescent="0.3">
      <c r="A1266" s="177" t="s">
        <v>273</v>
      </c>
      <c r="B1266" s="638" t="s">
        <v>475</v>
      </c>
      <c r="C1266" s="638"/>
      <c r="D1266" s="638"/>
      <c r="E1266" s="638"/>
      <c r="F1266" s="638"/>
      <c r="G1266" s="638"/>
      <c r="H1266" s="638"/>
      <c r="I1266" s="638"/>
      <c r="J1266" s="638"/>
      <c r="K1266" s="638"/>
      <c r="L1266" s="638"/>
      <c r="M1266" s="638"/>
      <c r="N1266" s="638"/>
      <c r="O1266" s="639"/>
      <c r="P1266" s="160"/>
      <c r="Q1266" s="182" t="s">
        <v>152</v>
      </c>
      <c r="R1266" s="183">
        <v>5.5</v>
      </c>
      <c r="S1266" s="184" t="s">
        <v>442</v>
      </c>
    </row>
    <row r="1267" spans="1:19" ht="15.75" thickBot="1" x14ac:dyDescent="0.3">
      <c r="A1267" s="177" t="s">
        <v>351</v>
      </c>
      <c r="B1267" s="431" t="s">
        <v>352</v>
      </c>
      <c r="C1267" s="431"/>
      <c r="D1267" s="431"/>
      <c r="E1267" s="431"/>
      <c r="F1267" s="431"/>
      <c r="G1267" s="431"/>
      <c r="H1267" s="431"/>
      <c r="I1267" s="431"/>
      <c r="J1267" s="431"/>
      <c r="K1267" s="431"/>
      <c r="L1267" s="431"/>
      <c r="M1267" s="431"/>
      <c r="N1267" s="431"/>
      <c r="O1267" s="432"/>
      <c r="P1267" s="160"/>
      <c r="Q1267" s="182" t="s">
        <v>154</v>
      </c>
      <c r="R1267" s="183">
        <v>5</v>
      </c>
      <c r="S1267" s="181" t="s">
        <v>443</v>
      </c>
    </row>
    <row r="1268" spans="1:19" ht="15.75" thickBot="1" x14ac:dyDescent="0.3">
      <c r="E1268" s="307" t="s">
        <v>98</v>
      </c>
      <c r="F1268" s="365" t="s">
        <v>102</v>
      </c>
      <c r="G1268" s="365"/>
      <c r="H1268" s="365" t="s">
        <v>92</v>
      </c>
      <c r="I1268" s="365" t="s">
        <v>93</v>
      </c>
      <c r="J1268" s="365" t="s">
        <v>94</v>
      </c>
      <c r="K1268" s="359" t="s">
        <v>99</v>
      </c>
      <c r="L1268" s="433"/>
      <c r="M1268" s="433"/>
      <c r="N1268" s="433"/>
      <c r="O1268" s="434"/>
      <c r="P1268" s="160"/>
      <c r="Q1268" s="182" t="s">
        <v>156</v>
      </c>
      <c r="R1268" s="183">
        <v>7</v>
      </c>
      <c r="S1268" s="181" t="s">
        <v>31</v>
      </c>
    </row>
    <row r="1269" spans="1:19" ht="15.75" thickBot="1" x14ac:dyDescent="0.3">
      <c r="E1269" s="308">
        <v>1058</v>
      </c>
      <c r="F1269" s="365" t="s">
        <v>95</v>
      </c>
      <c r="G1269" s="365"/>
      <c r="H1269" s="442">
        <v>158.6</v>
      </c>
      <c r="I1269" s="441">
        <v>380.76</v>
      </c>
      <c r="J1269" s="441">
        <v>202.26</v>
      </c>
      <c r="K1269" s="359">
        <f>SUM(H1269:J1269)</f>
        <v>741.62</v>
      </c>
      <c r="L1269" s="436"/>
      <c r="M1269" s="436"/>
      <c r="N1269" s="436"/>
      <c r="O1269" s="437"/>
      <c r="P1269" s="160"/>
      <c r="Q1269" s="182" t="s">
        <v>158</v>
      </c>
      <c r="R1269" s="183"/>
      <c r="S1269" s="181"/>
    </row>
    <row r="1270" spans="1:19" ht="15.75" thickBot="1" x14ac:dyDescent="0.3">
      <c r="B1270" s="313"/>
      <c r="E1270" s="308">
        <v>0</v>
      </c>
      <c r="F1270" s="365" t="s">
        <v>96</v>
      </c>
      <c r="G1270" s="365"/>
      <c r="H1270" s="441">
        <v>0</v>
      </c>
      <c r="I1270" s="441">
        <v>0</v>
      </c>
      <c r="J1270" s="441">
        <v>0</v>
      </c>
      <c r="K1270" s="359">
        <f t="shared" ref="K1270:K1276" si="147">SUM(H1270:J1270)</f>
        <v>0</v>
      </c>
      <c r="L1270" s="436"/>
      <c r="M1270" s="436"/>
      <c r="N1270" s="436"/>
      <c r="O1270" s="437"/>
      <c r="P1270" s="160"/>
      <c r="Q1270" s="185" t="s">
        <v>99</v>
      </c>
      <c r="R1270" s="183" t="s">
        <v>440</v>
      </c>
      <c r="S1270" s="265">
        <v>0.6</v>
      </c>
    </row>
    <row r="1271" spans="1:19" ht="15.75" thickBot="1" x14ac:dyDescent="0.3">
      <c r="B1271" s="313"/>
      <c r="E1271" s="307" t="s">
        <v>100</v>
      </c>
      <c r="F1271" s="365" t="s">
        <v>95</v>
      </c>
      <c r="G1271" s="365"/>
      <c r="H1271" s="444">
        <f>H1269/$E1269</f>
        <v>0.14990548204158791</v>
      </c>
      <c r="I1271" s="429">
        <f>I1269/$E1269</f>
        <v>0.35988657844990546</v>
      </c>
      <c r="J1271" s="429">
        <f>J1269/$E1269</f>
        <v>0.19117202268431002</v>
      </c>
      <c r="K1271" s="374">
        <f t="shared" si="147"/>
        <v>0.70096408317580339</v>
      </c>
      <c r="L1271" s="436"/>
      <c r="M1271" s="436"/>
      <c r="N1271" s="436"/>
      <c r="O1271" s="437"/>
      <c r="P1271" s="160"/>
      <c r="Q1271" s="185"/>
      <c r="R1271" s="183"/>
      <c r="S1271" s="186"/>
    </row>
    <row r="1272" spans="1:19" x14ac:dyDescent="0.25">
      <c r="B1272" s="313"/>
      <c r="E1272" s="307" t="s">
        <v>100</v>
      </c>
      <c r="F1272" s="438" t="s">
        <v>96</v>
      </c>
      <c r="G1272" s="438"/>
      <c r="H1272" s="359" t="str">
        <f>IFERROR(H1270/$E1270,"na")</f>
        <v>na</v>
      </c>
      <c r="I1272" s="359" t="str">
        <f>IFERROR(I1270/$E1270,"na")</f>
        <v>na</v>
      </c>
      <c r="J1272" s="359" t="str">
        <f>IFERROR(J1270/$E1270,"na")</f>
        <v>na</v>
      </c>
      <c r="K1272" s="359">
        <f t="shared" si="147"/>
        <v>0</v>
      </c>
      <c r="L1272" s="436"/>
      <c r="M1272" s="436"/>
      <c r="N1272" s="436"/>
      <c r="O1272" s="437"/>
      <c r="P1272" s="160"/>
      <c r="Q1272" s="262"/>
      <c r="R1272" s="262"/>
      <c r="S1272" s="262"/>
    </row>
    <row r="1273" spans="1:19" x14ac:dyDescent="0.25">
      <c r="E1273" s="307" t="s">
        <v>104</v>
      </c>
      <c r="F1273" s="365" t="s">
        <v>95</v>
      </c>
      <c r="G1273" s="365"/>
      <c r="H1273" s="359">
        <f>H1269/($E1269/7.7)</f>
        <v>1.1542722117202269</v>
      </c>
      <c r="I1273" s="359">
        <f>I1269/($E1269/7)</f>
        <v>2.5192060491493384</v>
      </c>
      <c r="J1273" s="359">
        <f>J1269/($E1269/7)</f>
        <v>1.3382041587901701</v>
      </c>
      <c r="K1273" s="359">
        <f t="shared" si="147"/>
        <v>5.0116824196597349</v>
      </c>
      <c r="L1273" s="436"/>
      <c r="M1273" s="436"/>
      <c r="N1273" s="436"/>
      <c r="O1273" s="437"/>
      <c r="P1273" s="160"/>
      <c r="Q1273" s="262"/>
      <c r="R1273" s="262"/>
      <c r="S1273" s="262"/>
    </row>
    <row r="1274" spans="1:19" x14ac:dyDescent="0.25">
      <c r="E1274" s="307" t="s">
        <v>104</v>
      </c>
      <c r="F1274" s="438" t="s">
        <v>96</v>
      </c>
      <c r="G1274" s="438"/>
      <c r="H1274" s="359" t="str">
        <f>IFERROR(H1270/($E1270/7.7),"na")</f>
        <v>na</v>
      </c>
      <c r="I1274" s="359" t="str">
        <f>IFERROR(I1270/($E1270/7.7),"na")</f>
        <v>na</v>
      </c>
      <c r="J1274" s="359" t="str">
        <f>IFERROR(J1270/($E1270/7.7),"na")</f>
        <v>na</v>
      </c>
      <c r="K1274" s="359">
        <f t="shared" si="147"/>
        <v>0</v>
      </c>
      <c r="L1274" s="436"/>
      <c r="M1274" s="436"/>
      <c r="N1274" s="436"/>
      <c r="O1274" s="437"/>
      <c r="P1274" s="160"/>
      <c r="Q1274" s="262"/>
      <c r="R1274" s="262"/>
      <c r="S1274" s="262"/>
    </row>
    <row r="1275" spans="1:19" x14ac:dyDescent="0.25">
      <c r="E1275" s="307" t="s">
        <v>135</v>
      </c>
      <c r="F1275" s="365" t="s">
        <v>95</v>
      </c>
      <c r="G1275" s="365"/>
      <c r="H1275" s="359">
        <f>H1269/((($E1269*$B1265)*(1-$B1262))/$B1260)</f>
        <v>2.0597402597402597E-2</v>
      </c>
      <c r="I1275" s="359">
        <f>I1269/((($E1269*$B1265)*(1-$B1262))/$B1260)</f>
        <v>4.9449350649350646E-2</v>
      </c>
      <c r="J1275" s="359">
        <f>J1269/((($E1269*$B1265)*(1-$B1262))/$B1260)</f>
        <v>2.6267532467532467E-2</v>
      </c>
      <c r="K1275" s="359">
        <f t="shared" si="147"/>
        <v>9.6314285714285713E-2</v>
      </c>
      <c r="L1275" s="436"/>
      <c r="M1275" s="436"/>
      <c r="N1275" s="436"/>
      <c r="O1275" s="437"/>
      <c r="P1275" s="42"/>
      <c r="Q1275" s="263"/>
      <c r="R1275" s="262"/>
      <c r="S1275" s="263"/>
    </row>
    <row r="1276" spans="1:19" x14ac:dyDescent="0.25">
      <c r="E1276" s="307" t="s">
        <v>135</v>
      </c>
      <c r="F1276" s="438" t="s">
        <v>96</v>
      </c>
      <c r="G1276" s="438"/>
      <c r="H1276" s="359" t="str">
        <f>IFERROR(H1270/((($E1270*$B1265)*(1-$B1262))/$B1260),"na")</f>
        <v>na</v>
      </c>
      <c r="I1276" s="359" t="str">
        <f>IFERROR(I1270/((($E1270*$B1265)*(1-$B1262))/$B1260),"na")</f>
        <v>na</v>
      </c>
      <c r="J1276" s="359" t="str">
        <f>IFERROR(J1270/((($E1270*$B1265)*(1-$B1262))/$B1260),"na")</f>
        <v>na</v>
      </c>
      <c r="K1276" s="359">
        <f t="shared" si="147"/>
        <v>0</v>
      </c>
      <c r="L1276" s="439"/>
      <c r="M1276" s="439"/>
      <c r="N1276" s="439"/>
      <c r="O1276" s="440"/>
      <c r="P1276" s="42"/>
      <c r="Q1276" s="263"/>
      <c r="R1276" s="262"/>
      <c r="S1276" s="263"/>
    </row>
    <row r="1277" spans="1:19" x14ac:dyDescent="0.25">
      <c r="A1277" s="178"/>
      <c r="B1277" s="178"/>
      <c r="C1277" s="178"/>
      <c r="D1277" s="178"/>
      <c r="E1277" s="178"/>
      <c r="F1277" s="178"/>
      <c r="G1277" s="178"/>
      <c r="H1277" s="178"/>
      <c r="I1277" s="178"/>
      <c r="J1277" s="178"/>
      <c r="K1277" s="178"/>
      <c r="L1277" s="178"/>
      <c r="M1277" s="178"/>
      <c r="N1277" s="178"/>
      <c r="O1277" s="178"/>
      <c r="P1277" s="164"/>
      <c r="Q1277" s="233"/>
      <c r="R1277" s="233"/>
      <c r="S1277" s="233"/>
    </row>
    <row r="1278" spans="1:19" ht="21" x14ac:dyDescent="0.25">
      <c r="A1278" s="305"/>
      <c r="B1278" s="644" t="s">
        <v>433</v>
      </c>
      <c r="C1278" s="645"/>
      <c r="D1278" s="645"/>
      <c r="E1278" s="645"/>
      <c r="F1278" s="645"/>
      <c r="G1278" s="645"/>
      <c r="H1278" s="645"/>
      <c r="I1278" s="645"/>
      <c r="J1278" s="645"/>
      <c r="K1278" s="645"/>
      <c r="L1278" s="645"/>
      <c r="M1278" s="645"/>
      <c r="N1278" s="645"/>
      <c r="O1278" s="646"/>
      <c r="P1278" s="163" t="s">
        <v>97</v>
      </c>
      <c r="Q1278" s="678" t="s">
        <v>445</v>
      </c>
      <c r="R1278" s="678"/>
      <c r="S1278" s="678"/>
    </row>
    <row r="1279" spans="1:19" ht="21" x14ac:dyDescent="0.25">
      <c r="A1279" s="177" t="s">
        <v>285</v>
      </c>
      <c r="B1279" s="647">
        <v>44072</v>
      </c>
      <c r="C1279" s="648"/>
      <c r="D1279" s="648"/>
      <c r="E1279" s="648"/>
      <c r="F1279" s="648"/>
      <c r="G1279" s="648"/>
      <c r="H1279" s="648"/>
      <c r="I1279" s="648"/>
      <c r="J1279" s="648"/>
      <c r="K1279" s="648"/>
      <c r="L1279" s="648"/>
      <c r="M1279" s="648"/>
      <c r="N1279" s="648"/>
      <c r="O1279" s="649"/>
      <c r="P1279" s="163"/>
      <c r="Q1279" s="678"/>
      <c r="R1279" s="678"/>
      <c r="S1279" s="678"/>
    </row>
    <row r="1280" spans="1:19" x14ac:dyDescent="0.25">
      <c r="A1280" s="177"/>
      <c r="B1280" s="650" t="s">
        <v>115</v>
      </c>
      <c r="C1280" s="651"/>
      <c r="D1280" s="651"/>
      <c r="E1280" s="651"/>
      <c r="F1280" s="651"/>
      <c r="G1280" s="651"/>
      <c r="H1280" s="651"/>
      <c r="I1280" s="651"/>
      <c r="J1280" s="651"/>
      <c r="K1280" s="651"/>
      <c r="L1280" s="651"/>
      <c r="M1280" s="651"/>
      <c r="N1280" s="651"/>
      <c r="O1280" s="652"/>
      <c r="P1280" s="163"/>
      <c r="Q1280" s="678"/>
      <c r="R1280" s="678"/>
      <c r="S1280" s="678"/>
    </row>
    <row r="1281" spans="1:19" x14ac:dyDescent="0.25">
      <c r="A1281" s="177" t="s">
        <v>106</v>
      </c>
      <c r="B1281" s="629">
        <v>18.75</v>
      </c>
      <c r="C1281" s="630"/>
      <c r="D1281" s="630"/>
      <c r="E1281" s="631"/>
      <c r="F1281" s="365" t="s">
        <v>174</v>
      </c>
      <c r="G1281" s="471"/>
      <c r="H1281" s="653">
        <v>0</v>
      </c>
      <c r="I1281" s="654"/>
      <c r="J1281" s="654"/>
      <c r="K1281" s="654"/>
      <c r="L1281" s="655"/>
      <c r="M1281" s="656">
        <f>SUM(B1281,H1282)</f>
        <v>18.75</v>
      </c>
      <c r="N1281" s="630"/>
      <c r="O1281" s="631"/>
      <c r="P1281" s="163"/>
      <c r="Q1281" s="678"/>
      <c r="R1281" s="678"/>
      <c r="S1281" s="678"/>
    </row>
    <row r="1282" spans="1:19" x14ac:dyDescent="0.25">
      <c r="A1282" s="177" t="s">
        <v>112</v>
      </c>
      <c r="B1282" s="626">
        <v>0.12</v>
      </c>
      <c r="C1282" s="627"/>
      <c r="D1282" s="627"/>
      <c r="E1282" s="628"/>
      <c r="F1282" s="290"/>
      <c r="G1282" s="472"/>
      <c r="H1282" s="626">
        <v>0</v>
      </c>
      <c r="I1282" s="627"/>
      <c r="J1282" s="627"/>
      <c r="K1282" s="627"/>
      <c r="L1282" s="628"/>
      <c r="M1282" s="657">
        <f>B1282</f>
        <v>0.12</v>
      </c>
      <c r="N1282" s="627"/>
      <c r="O1282" s="628"/>
      <c r="P1282" s="163"/>
      <c r="Q1282" s="678"/>
      <c r="R1282" s="678"/>
      <c r="S1282" s="678"/>
    </row>
    <row r="1283" spans="1:19" ht="15.75" thickBot="1" x14ac:dyDescent="0.3">
      <c r="A1283" s="177" t="s">
        <v>107</v>
      </c>
      <c r="B1283" s="629">
        <f>B1281*(1-B1282)</f>
        <v>16.5</v>
      </c>
      <c r="C1283" s="630"/>
      <c r="D1283" s="630"/>
      <c r="E1283" s="631"/>
      <c r="F1283" s="290"/>
      <c r="G1283" s="472"/>
      <c r="H1283" s="629">
        <f>H1281*(1-H1282)</f>
        <v>0</v>
      </c>
      <c r="I1283" s="630"/>
      <c r="J1283" s="630"/>
      <c r="K1283" s="630"/>
      <c r="L1283" s="631"/>
      <c r="M1283" s="656">
        <f>SUM(B1283,H1283)</f>
        <v>16.5</v>
      </c>
      <c r="N1283" s="630"/>
      <c r="O1283" s="631"/>
      <c r="P1283" s="163"/>
      <c r="Q1283" s="261" t="s">
        <v>97</v>
      </c>
      <c r="R1283" s="262"/>
      <c r="S1283" s="263"/>
    </row>
    <row r="1284" spans="1:19" x14ac:dyDescent="0.25">
      <c r="A1284" s="177" t="s">
        <v>108</v>
      </c>
      <c r="B1284" s="626">
        <f>B1287/B1283</f>
        <v>0.6125975757575759</v>
      </c>
      <c r="C1284" s="627"/>
      <c r="D1284" s="627"/>
      <c r="E1284" s="627"/>
      <c r="F1284" s="627"/>
      <c r="G1284" s="627"/>
      <c r="H1284" s="627"/>
      <c r="I1284" s="627"/>
      <c r="J1284" s="627"/>
      <c r="K1284" s="627"/>
      <c r="L1284" s="627"/>
      <c r="M1284" s="627"/>
      <c r="N1284" s="627"/>
      <c r="O1284" s="628"/>
      <c r="P1284" s="163"/>
      <c r="Q1284" s="671" t="s">
        <v>139</v>
      </c>
      <c r="R1284" s="235" t="s">
        <v>140</v>
      </c>
      <c r="S1284" s="679" t="s">
        <v>142</v>
      </c>
    </row>
    <row r="1285" spans="1:19" ht="15.75" thickBot="1" x14ac:dyDescent="0.3">
      <c r="A1285" s="177" t="s">
        <v>113</v>
      </c>
      <c r="B1285" s="629">
        <f>B1289*(B1293+B1294+I1293+I1294)/1000</f>
        <v>32.606000000000002</v>
      </c>
      <c r="C1285" s="630"/>
      <c r="D1285" s="630"/>
      <c r="E1285" s="630"/>
      <c r="F1285" s="630"/>
      <c r="G1285" s="630"/>
      <c r="H1285" s="630"/>
      <c r="I1285" s="630"/>
      <c r="J1285" s="630"/>
      <c r="K1285" s="630"/>
      <c r="L1285" s="630"/>
      <c r="M1285" s="630"/>
      <c r="N1285" s="630"/>
      <c r="O1285" s="631"/>
      <c r="P1285" s="163"/>
      <c r="Q1285" s="672"/>
      <c r="R1285" s="183" t="s">
        <v>141</v>
      </c>
      <c r="S1285" s="680"/>
    </row>
    <row r="1286" spans="1:19" ht="15.75" thickBot="1" x14ac:dyDescent="0.3">
      <c r="A1286" s="177" t="s">
        <v>109</v>
      </c>
      <c r="B1286" s="784">
        <v>0.69</v>
      </c>
      <c r="C1286" s="785"/>
      <c r="D1286" s="785"/>
      <c r="E1286" s="785"/>
      <c r="F1286" s="785"/>
      <c r="G1286" s="785"/>
      <c r="H1286" s="785"/>
      <c r="I1286" s="785"/>
      <c r="J1286" s="785"/>
      <c r="K1286" s="785"/>
      <c r="L1286" s="785"/>
      <c r="M1286" s="785"/>
      <c r="N1286" s="785"/>
      <c r="O1286" s="786"/>
      <c r="P1286" s="163"/>
      <c r="Q1286" s="269" t="s">
        <v>143</v>
      </c>
      <c r="R1286" s="257">
        <v>7</v>
      </c>
      <c r="S1286" s="258" t="s">
        <v>453</v>
      </c>
    </row>
    <row r="1287" spans="1:19" ht="15.75" thickBot="1" x14ac:dyDescent="0.3">
      <c r="A1287" s="177" t="s">
        <v>122</v>
      </c>
      <c r="B1287" s="629">
        <f>B1285-(B1285*B1286)</f>
        <v>10.107860000000002</v>
      </c>
      <c r="C1287" s="630"/>
      <c r="D1287" s="630"/>
      <c r="E1287" s="630"/>
      <c r="F1287" s="630"/>
      <c r="G1287" s="630"/>
      <c r="H1287" s="630"/>
      <c r="I1287" s="630"/>
      <c r="J1287" s="630"/>
      <c r="K1287" s="630"/>
      <c r="L1287" s="630"/>
      <c r="M1287" s="630"/>
      <c r="N1287" s="630"/>
      <c r="O1287" s="631"/>
      <c r="P1287" s="163"/>
      <c r="Q1287" s="182" t="s">
        <v>145</v>
      </c>
      <c r="R1287" s="183">
        <v>6</v>
      </c>
      <c r="S1287" s="184" t="s">
        <v>454</v>
      </c>
    </row>
    <row r="1288" spans="1:19" ht="29.25" thickBot="1" x14ac:dyDescent="0.3">
      <c r="A1288" s="177" t="s">
        <v>110</v>
      </c>
      <c r="B1288" s="787">
        <v>150</v>
      </c>
      <c r="C1288" s="788"/>
      <c r="D1288" s="788"/>
      <c r="E1288" s="788"/>
      <c r="F1288" s="788"/>
      <c r="G1288" s="788"/>
      <c r="H1288" s="788"/>
      <c r="I1288" s="788"/>
      <c r="J1288" s="788"/>
      <c r="K1288" s="788"/>
      <c r="L1288" s="788"/>
      <c r="M1288" s="788"/>
      <c r="N1288" s="788"/>
      <c r="O1288" s="789"/>
      <c r="P1288" s="163"/>
      <c r="Q1288" s="182" t="s">
        <v>147</v>
      </c>
      <c r="R1288" s="183">
        <v>4</v>
      </c>
      <c r="S1288" s="181" t="s">
        <v>455</v>
      </c>
    </row>
    <row r="1289" spans="1:19" ht="29.25" thickBot="1" x14ac:dyDescent="0.3">
      <c r="A1289" s="177" t="s">
        <v>111</v>
      </c>
      <c r="B1289" s="635">
        <v>14</v>
      </c>
      <c r="C1289" s="636"/>
      <c r="D1289" s="636"/>
      <c r="E1289" s="636"/>
      <c r="F1289" s="636"/>
      <c r="G1289" s="636"/>
      <c r="H1289" s="636"/>
      <c r="I1289" s="636"/>
      <c r="J1289" s="636"/>
      <c r="K1289" s="636"/>
      <c r="L1289" s="636"/>
      <c r="M1289" s="636"/>
      <c r="N1289" s="636"/>
      <c r="O1289" s="637"/>
      <c r="P1289" s="163"/>
      <c r="Q1289" s="182" t="s">
        <v>82</v>
      </c>
      <c r="R1289" s="183">
        <v>8</v>
      </c>
      <c r="S1289" s="184" t="s">
        <v>456</v>
      </c>
    </row>
    <row r="1290" spans="1:19" ht="15.75" thickBot="1" x14ac:dyDescent="0.3">
      <c r="A1290" s="177" t="s">
        <v>273</v>
      </c>
      <c r="B1290" s="638" t="s">
        <v>434</v>
      </c>
      <c r="C1290" s="638"/>
      <c r="D1290" s="638"/>
      <c r="E1290" s="638"/>
      <c r="F1290" s="638"/>
      <c r="G1290" s="638"/>
      <c r="H1290" s="638"/>
      <c r="I1290" s="638"/>
      <c r="J1290" s="638"/>
      <c r="K1290" s="638"/>
      <c r="L1290" s="638"/>
      <c r="M1290" s="638"/>
      <c r="N1290" s="638"/>
      <c r="O1290" s="639"/>
      <c r="P1290" s="163"/>
      <c r="Q1290" s="182" t="s">
        <v>152</v>
      </c>
      <c r="R1290" s="183">
        <v>8</v>
      </c>
      <c r="S1290" s="184" t="s">
        <v>457</v>
      </c>
    </row>
    <row r="1291" spans="1:19" ht="15.75" thickBot="1" x14ac:dyDescent="0.3">
      <c r="A1291" s="177" t="s">
        <v>351</v>
      </c>
      <c r="B1291" s="431" t="s">
        <v>352</v>
      </c>
      <c r="C1291" s="431"/>
      <c r="D1291" s="431"/>
      <c r="E1291" s="431"/>
      <c r="F1291" s="431"/>
      <c r="G1291" s="431"/>
      <c r="H1291" s="431"/>
      <c r="I1291" s="431"/>
      <c r="J1291" s="431"/>
      <c r="K1291" s="431"/>
      <c r="L1291" s="431"/>
      <c r="M1291" s="431"/>
      <c r="N1291" s="431"/>
      <c r="O1291" s="432"/>
      <c r="P1291" s="163"/>
      <c r="Q1291" s="182" t="s">
        <v>154</v>
      </c>
      <c r="R1291" s="183">
        <v>3</v>
      </c>
      <c r="S1291" s="181" t="s">
        <v>443</v>
      </c>
    </row>
    <row r="1292" spans="1:19" ht="15.75" thickBot="1" x14ac:dyDescent="0.3">
      <c r="B1292" s="307" t="s">
        <v>98</v>
      </c>
      <c r="C1292" s="365" t="s">
        <v>102</v>
      </c>
      <c r="D1292" s="365" t="s">
        <v>92</v>
      </c>
      <c r="E1292" s="365" t="s">
        <v>93</v>
      </c>
      <c r="F1292" s="365" t="s">
        <v>94</v>
      </c>
      <c r="G1292" s="365"/>
      <c r="H1292" s="359" t="s">
        <v>99</v>
      </c>
      <c r="I1292" s="307" t="s">
        <v>98</v>
      </c>
      <c r="J1292" s="365" t="s">
        <v>102</v>
      </c>
      <c r="K1292" s="365" t="s">
        <v>92</v>
      </c>
      <c r="L1292" s="365" t="s">
        <v>93</v>
      </c>
      <c r="M1292" s="365" t="s">
        <v>94</v>
      </c>
      <c r="N1292" s="365"/>
      <c r="O1292" s="359" t="s">
        <v>99</v>
      </c>
      <c r="P1292" s="163"/>
      <c r="Q1292" s="182" t="s">
        <v>156</v>
      </c>
      <c r="R1292" s="183">
        <v>3</v>
      </c>
      <c r="S1292" s="181" t="s">
        <v>268</v>
      </c>
    </row>
    <row r="1293" spans="1:19" ht="15.75" thickBot="1" x14ac:dyDescent="0.3">
      <c r="A1293" s="313"/>
      <c r="B1293" s="308">
        <v>1055</v>
      </c>
      <c r="C1293" s="365" t="s">
        <v>95</v>
      </c>
      <c r="D1293" s="441">
        <v>402.1</v>
      </c>
      <c r="E1293" s="441">
        <v>466.92</v>
      </c>
      <c r="F1293" s="441">
        <v>195.66</v>
      </c>
      <c r="G1293" s="441"/>
      <c r="H1293" s="359">
        <f>SUM(D1293:F1293)</f>
        <v>1064.68</v>
      </c>
      <c r="I1293" s="308">
        <v>1054</v>
      </c>
      <c r="J1293" s="365" t="s">
        <v>95</v>
      </c>
      <c r="K1293" s="441">
        <v>523.1</v>
      </c>
      <c r="L1293" s="441">
        <v>361.44</v>
      </c>
      <c r="M1293" s="441">
        <v>818.72</v>
      </c>
      <c r="N1293" s="441"/>
      <c r="O1293" s="359">
        <f t="shared" ref="O1293:O1300" si="148">SUM(K1293:M1293)</f>
        <v>1703.26</v>
      </c>
      <c r="P1293" s="163"/>
      <c r="Q1293" s="182" t="s">
        <v>158</v>
      </c>
      <c r="R1293" s="183"/>
      <c r="S1293" s="181"/>
    </row>
    <row r="1294" spans="1:19" ht="15.75" thickBot="1" x14ac:dyDescent="0.3">
      <c r="A1294" s="313"/>
      <c r="B1294" s="308">
        <v>110</v>
      </c>
      <c r="C1294" s="365" t="s">
        <v>96</v>
      </c>
      <c r="D1294" s="441">
        <v>68.040000000000006</v>
      </c>
      <c r="E1294" s="441">
        <v>67.260000000000005</v>
      </c>
      <c r="F1294" s="441">
        <v>13.08</v>
      </c>
      <c r="G1294" s="441"/>
      <c r="H1294" s="359">
        <f t="shared" ref="H1294:H1300" si="149">SUM(D1294:F1294)</f>
        <v>148.38000000000002</v>
      </c>
      <c r="I1294" s="308">
        <v>110</v>
      </c>
      <c r="J1294" s="365" t="s">
        <v>96</v>
      </c>
      <c r="K1294" s="441">
        <v>28.96</v>
      </c>
      <c r="L1294" s="441">
        <v>74.88</v>
      </c>
      <c r="M1294" s="441">
        <v>90.77</v>
      </c>
      <c r="N1294" s="441"/>
      <c r="O1294" s="359">
        <f t="shared" si="148"/>
        <v>194.61</v>
      </c>
      <c r="P1294" s="163"/>
      <c r="Q1294" s="185" t="s">
        <v>99</v>
      </c>
      <c r="R1294" s="183" t="s">
        <v>440</v>
      </c>
      <c r="S1294" s="265">
        <v>0.6</v>
      </c>
    </row>
    <row r="1295" spans="1:19" ht="15.75" thickBot="1" x14ac:dyDescent="0.3">
      <c r="A1295" s="313"/>
      <c r="B1295" s="307" t="s">
        <v>100</v>
      </c>
      <c r="C1295" s="365" t="s">
        <v>95</v>
      </c>
      <c r="D1295" s="444">
        <f t="shared" ref="D1295:F1296" si="150">D1293/$B1293</f>
        <v>0.38113744075829387</v>
      </c>
      <c r="E1295" s="429">
        <f t="shared" si="150"/>
        <v>0.44257819905213269</v>
      </c>
      <c r="F1295" s="429">
        <f t="shared" si="150"/>
        <v>0.18545971563981042</v>
      </c>
      <c r="G1295" s="429"/>
      <c r="H1295" s="374">
        <f t="shared" si="149"/>
        <v>1.009175355450237</v>
      </c>
      <c r="I1295" s="307" t="s">
        <v>100</v>
      </c>
      <c r="J1295" s="365" t="s">
        <v>95</v>
      </c>
      <c r="K1295" s="444">
        <f t="shared" ref="K1295:M1296" si="151">K1293/$I1293</f>
        <v>0.49629981024667935</v>
      </c>
      <c r="L1295" s="429">
        <f t="shared" si="151"/>
        <v>0.3429222011385199</v>
      </c>
      <c r="M1295" s="429">
        <f t="shared" si="151"/>
        <v>0.77677419354838717</v>
      </c>
      <c r="N1295" s="429"/>
      <c r="O1295" s="374">
        <f t="shared" si="148"/>
        <v>1.6159962049335865</v>
      </c>
      <c r="P1295" s="163"/>
      <c r="Q1295" s="185"/>
      <c r="R1295" s="183"/>
      <c r="S1295" s="186"/>
    </row>
    <row r="1296" spans="1:19" x14ac:dyDescent="0.25">
      <c r="B1296" s="307" t="s">
        <v>100</v>
      </c>
      <c r="C1296" s="438" t="s">
        <v>96</v>
      </c>
      <c r="D1296" s="359">
        <f t="shared" si="150"/>
        <v>0.61854545454545462</v>
      </c>
      <c r="E1296" s="359">
        <f t="shared" si="150"/>
        <v>0.61145454545454547</v>
      </c>
      <c r="F1296" s="359">
        <f t="shared" si="150"/>
        <v>0.11890909090909091</v>
      </c>
      <c r="G1296" s="359"/>
      <c r="H1296" s="359">
        <f t="shared" si="149"/>
        <v>1.3489090909090908</v>
      </c>
      <c r="I1296" s="307" t="s">
        <v>100</v>
      </c>
      <c r="J1296" s="438" t="s">
        <v>96</v>
      </c>
      <c r="K1296" s="359">
        <f t="shared" si="151"/>
        <v>0.26327272727272727</v>
      </c>
      <c r="L1296" s="359">
        <f t="shared" si="151"/>
        <v>0.68072727272727274</v>
      </c>
      <c r="M1296" s="359">
        <f t="shared" si="151"/>
        <v>0.82518181818181813</v>
      </c>
      <c r="N1296" s="359"/>
      <c r="O1296" s="359">
        <f t="shared" si="148"/>
        <v>1.769181818181818</v>
      </c>
      <c r="P1296" s="163"/>
      <c r="Q1296" s="262"/>
      <c r="R1296" s="262"/>
      <c r="S1296" s="262"/>
    </row>
    <row r="1297" spans="1:19" x14ac:dyDescent="0.25">
      <c r="B1297" s="307" t="s">
        <v>104</v>
      </c>
      <c r="C1297" s="365" t="s">
        <v>95</v>
      </c>
      <c r="D1297" s="359">
        <f>D1293/($B1293/7.7)</f>
        <v>2.934758293838863</v>
      </c>
      <c r="E1297" s="359">
        <f>E1293/($B1293/7)</f>
        <v>3.0980473933649288</v>
      </c>
      <c r="F1297" s="359">
        <f>F1293/($B1293/7)</f>
        <v>1.2982180094786728</v>
      </c>
      <c r="G1297" s="359"/>
      <c r="H1297" s="359">
        <f t="shared" si="149"/>
        <v>7.3310236966824647</v>
      </c>
      <c r="I1297" s="307" t="s">
        <v>104</v>
      </c>
      <c r="J1297" s="365" t="s">
        <v>95</v>
      </c>
      <c r="K1297" s="359">
        <f>K1293/($I1293/7.7)</f>
        <v>3.821508538899431</v>
      </c>
      <c r="L1297" s="359">
        <f>L1293/($I1293/7)</f>
        <v>2.4004554079696394</v>
      </c>
      <c r="M1297" s="359">
        <f>M1293/($I1293/7)</f>
        <v>5.4374193548387098</v>
      </c>
      <c r="N1297" s="359"/>
      <c r="O1297" s="359">
        <f t="shared" si="148"/>
        <v>11.659383301707781</v>
      </c>
      <c r="P1297" s="163"/>
      <c r="Q1297" s="262"/>
      <c r="R1297" s="262"/>
      <c r="S1297" s="262"/>
    </row>
    <row r="1298" spans="1:19" x14ac:dyDescent="0.25">
      <c r="B1298" s="307" t="s">
        <v>104</v>
      </c>
      <c r="C1298" s="438" t="s">
        <v>96</v>
      </c>
      <c r="D1298" s="359">
        <f>D1294/($B1294/7.7)</f>
        <v>4.7628000000000004</v>
      </c>
      <c r="E1298" s="359">
        <f>E1294/($B1294/7.7)</f>
        <v>4.7082000000000006</v>
      </c>
      <c r="F1298" s="359">
        <f>F1294/($B1294/7.7)</f>
        <v>0.91560000000000008</v>
      </c>
      <c r="G1298" s="359"/>
      <c r="H1298" s="359">
        <f t="shared" si="149"/>
        <v>10.3866</v>
      </c>
      <c r="I1298" s="307" t="s">
        <v>104</v>
      </c>
      <c r="J1298" s="438" t="s">
        <v>96</v>
      </c>
      <c r="K1298" s="359">
        <f>K1294/($I1294/7.7)</f>
        <v>2.0272000000000001</v>
      </c>
      <c r="L1298" s="359">
        <f>L1294/($I1294/7.7)</f>
        <v>5.2416</v>
      </c>
      <c r="M1298" s="359">
        <f>M1294/($I1294/7.7)</f>
        <v>6.3539000000000003</v>
      </c>
      <c r="N1298" s="359"/>
      <c r="O1298" s="359">
        <f t="shared" si="148"/>
        <v>13.622700000000002</v>
      </c>
      <c r="P1298" s="163"/>
      <c r="Q1298" s="262"/>
      <c r="R1298" s="262"/>
      <c r="S1298" s="262"/>
    </row>
    <row r="1299" spans="1:19" x14ac:dyDescent="0.25">
      <c r="B1299" s="307" t="s">
        <v>135</v>
      </c>
      <c r="C1299" s="365" t="s">
        <v>95</v>
      </c>
      <c r="D1299" s="359">
        <f>D1293/((($B1293*$B1289)*(1-$B1286))/$B1284)</f>
        <v>5.3798127244004033E-2</v>
      </c>
      <c r="E1299" s="359">
        <f>E1293/((($B1293*$B1289)*(1-$B1286))/$B1284)</f>
        <v>6.2470583369237408E-2</v>
      </c>
      <c r="F1299" s="359">
        <f>F1293/((($B1293*$B1289)*(1-$B1286))/$B1284)</f>
        <v>2.6177919862128397E-2</v>
      </c>
      <c r="G1299" s="359"/>
      <c r="H1299" s="359">
        <f t="shared" si="149"/>
        <v>0.14244663047536985</v>
      </c>
      <c r="I1299" s="307" t="s">
        <v>135</v>
      </c>
      <c r="J1299" s="365" t="s">
        <v>95</v>
      </c>
      <c r="K1299" s="359">
        <f>K1293/((($I1293*$B1289)*(1-$B1286))/$B1284)</f>
        <v>7.0053470185728259E-2</v>
      </c>
      <c r="L1299" s="359">
        <f>L1293/((($I1293*$B1289)*(1-$B1286))/$B1284)</f>
        <v>4.840398826979473E-2</v>
      </c>
      <c r="M1299" s="359">
        <f>M1293/((($I1293*$B1289)*(1-$B1286))/$B1284)</f>
        <v>0.10964285434995115</v>
      </c>
      <c r="N1299" s="359"/>
      <c r="O1299" s="359">
        <f t="shared" si="148"/>
        <v>0.22810031280547416</v>
      </c>
      <c r="P1299" s="42"/>
      <c r="Q1299" s="263"/>
      <c r="R1299" s="262"/>
      <c r="S1299" s="263"/>
    </row>
    <row r="1300" spans="1:19" x14ac:dyDescent="0.25">
      <c r="B1300" s="307" t="s">
        <v>135</v>
      </c>
      <c r="C1300" s="438" t="s">
        <v>96</v>
      </c>
      <c r="D1300" s="359">
        <f>D1294/((($B1294*$B1289)*(1-$B1286))/$B1284)</f>
        <v>8.7308628099173557E-2</v>
      </c>
      <c r="E1300" s="359">
        <f>E1294/((($B1294*$B1289)*(1-$B1286))/$B1284)</f>
        <v>8.6307735537190094E-2</v>
      </c>
      <c r="F1300" s="359">
        <f>F1294/((($B1294*$B1289)*(1-$B1286))/$B1284)</f>
        <v>1.678419834710744E-2</v>
      </c>
      <c r="G1300" s="359"/>
      <c r="H1300" s="359">
        <f t="shared" si="149"/>
        <v>0.19040056198347111</v>
      </c>
      <c r="I1300" s="307" t="s">
        <v>135</v>
      </c>
      <c r="J1300" s="438" t="s">
        <v>96</v>
      </c>
      <c r="K1300" s="359">
        <f>K1294/((($I1294*$B1289)*(1-$B1286))/$B1284)</f>
        <v>3.716134435261708E-2</v>
      </c>
      <c r="L1300" s="359">
        <f>L1294/((($I1294*$B1289)*(1-$B1286))/$B1284)</f>
        <v>9.6085685950413224E-2</v>
      </c>
      <c r="M1300" s="359">
        <f>M1294/((($I1294*$B1289)*(1-$B1286))/$B1284)</f>
        <v>0.11647566391184573</v>
      </c>
      <c r="N1300" s="359"/>
      <c r="O1300" s="359">
        <f t="shared" si="148"/>
        <v>0.24972269421487603</v>
      </c>
      <c r="P1300" s="42"/>
      <c r="Q1300" s="263"/>
      <c r="R1300" s="262"/>
      <c r="S1300" s="263"/>
    </row>
    <row r="1301" spans="1:19" x14ac:dyDescent="0.25">
      <c r="A1301" s="178"/>
      <c r="B1301" s="178"/>
      <c r="C1301" s="178"/>
      <c r="D1301" s="178"/>
      <c r="E1301" s="178"/>
      <c r="F1301" s="178"/>
      <c r="G1301" s="178"/>
      <c r="H1301" s="178"/>
      <c r="I1301" s="178"/>
      <c r="J1301" s="178"/>
      <c r="K1301" s="178"/>
      <c r="L1301" s="178"/>
      <c r="M1301" s="178"/>
      <c r="N1301" s="178"/>
      <c r="O1301" s="178"/>
      <c r="P1301" s="164"/>
      <c r="Q1301" s="233"/>
      <c r="R1301" s="233"/>
      <c r="S1301" s="233"/>
    </row>
    <row r="1302" spans="1:19" ht="21" x14ac:dyDescent="0.25">
      <c r="A1302" s="305"/>
      <c r="B1302" s="644" t="s">
        <v>432</v>
      </c>
      <c r="C1302" s="645"/>
      <c r="D1302" s="645"/>
      <c r="E1302" s="645"/>
      <c r="F1302" s="645"/>
      <c r="G1302" s="645"/>
      <c r="H1302" s="645"/>
      <c r="I1302" s="645"/>
      <c r="J1302" s="645"/>
      <c r="K1302" s="645"/>
      <c r="L1302" s="645"/>
      <c r="M1302" s="645"/>
      <c r="N1302" s="645"/>
      <c r="O1302" s="646"/>
      <c r="P1302" s="163" t="s">
        <v>97</v>
      </c>
      <c r="Q1302" s="678" t="s">
        <v>446</v>
      </c>
      <c r="R1302" s="678"/>
      <c r="S1302" s="678"/>
    </row>
    <row r="1303" spans="1:19" ht="21" x14ac:dyDescent="0.25">
      <c r="A1303" s="177" t="s">
        <v>285</v>
      </c>
      <c r="B1303" s="647">
        <v>44080</v>
      </c>
      <c r="C1303" s="648"/>
      <c r="D1303" s="648"/>
      <c r="E1303" s="648"/>
      <c r="F1303" s="648"/>
      <c r="G1303" s="648"/>
      <c r="H1303" s="648"/>
      <c r="I1303" s="648"/>
      <c r="J1303" s="648"/>
      <c r="K1303" s="648"/>
      <c r="L1303" s="648"/>
      <c r="M1303" s="648"/>
      <c r="N1303" s="648"/>
      <c r="O1303" s="649"/>
      <c r="P1303" s="163"/>
      <c r="Q1303" s="678"/>
      <c r="R1303" s="678"/>
      <c r="S1303" s="678"/>
    </row>
    <row r="1304" spans="1:19" x14ac:dyDescent="0.25">
      <c r="A1304" s="177"/>
      <c r="B1304" s="650" t="s">
        <v>115</v>
      </c>
      <c r="C1304" s="651"/>
      <c r="D1304" s="651"/>
      <c r="E1304" s="651"/>
      <c r="F1304" s="651"/>
      <c r="G1304" s="651"/>
      <c r="H1304" s="651"/>
      <c r="I1304" s="651"/>
      <c r="J1304" s="651"/>
      <c r="K1304" s="651"/>
      <c r="L1304" s="651"/>
      <c r="M1304" s="651"/>
      <c r="N1304" s="651"/>
      <c r="O1304" s="652"/>
      <c r="P1304" s="163"/>
      <c r="Q1304" s="678"/>
      <c r="R1304" s="678"/>
      <c r="S1304" s="678"/>
    </row>
    <row r="1305" spans="1:19" x14ac:dyDescent="0.25">
      <c r="A1305" s="177" t="s">
        <v>106</v>
      </c>
      <c r="B1305" s="629">
        <v>20</v>
      </c>
      <c r="C1305" s="630"/>
      <c r="D1305" s="630"/>
      <c r="E1305" s="631"/>
      <c r="F1305" s="365" t="s">
        <v>174</v>
      </c>
      <c r="G1305" s="471"/>
      <c r="H1305" s="653">
        <v>0</v>
      </c>
      <c r="I1305" s="654"/>
      <c r="J1305" s="654"/>
      <c r="K1305" s="654"/>
      <c r="L1305" s="655"/>
      <c r="M1305" s="656">
        <f>SUM(B1305,H1306)</f>
        <v>20</v>
      </c>
      <c r="N1305" s="630"/>
      <c r="O1305" s="631"/>
      <c r="P1305" s="163"/>
      <c r="Q1305" s="678"/>
      <c r="R1305" s="678"/>
      <c r="S1305" s="678"/>
    </row>
    <row r="1306" spans="1:19" x14ac:dyDescent="0.25">
      <c r="A1306" s="177" t="s">
        <v>112</v>
      </c>
      <c r="B1306" s="626">
        <v>0.12</v>
      </c>
      <c r="C1306" s="627"/>
      <c r="D1306" s="627"/>
      <c r="E1306" s="628"/>
      <c r="F1306" s="290"/>
      <c r="G1306" s="472"/>
      <c r="H1306" s="626">
        <v>0</v>
      </c>
      <c r="I1306" s="627"/>
      <c r="J1306" s="627"/>
      <c r="K1306" s="627"/>
      <c r="L1306" s="628"/>
      <c r="M1306" s="657">
        <f>B1306</f>
        <v>0.12</v>
      </c>
      <c r="N1306" s="627"/>
      <c r="O1306" s="628"/>
      <c r="P1306" s="163"/>
      <c r="Q1306" s="678"/>
      <c r="R1306" s="678"/>
      <c r="S1306" s="678"/>
    </row>
    <row r="1307" spans="1:19" ht="15.75" thickBot="1" x14ac:dyDescent="0.3">
      <c r="A1307" s="177" t="s">
        <v>107</v>
      </c>
      <c r="B1307" s="629">
        <f>B1305*(1-B1306)</f>
        <v>17.600000000000001</v>
      </c>
      <c r="C1307" s="630"/>
      <c r="D1307" s="630"/>
      <c r="E1307" s="631"/>
      <c r="F1307" s="290"/>
      <c r="G1307" s="472"/>
      <c r="H1307" s="629">
        <f>H1305*(1-H1306)</f>
        <v>0</v>
      </c>
      <c r="I1307" s="630"/>
      <c r="J1307" s="630"/>
      <c r="K1307" s="630"/>
      <c r="L1307" s="631"/>
      <c r="M1307" s="656">
        <f>SUM(B1307,H1307)</f>
        <v>17.600000000000001</v>
      </c>
      <c r="N1307" s="630"/>
      <c r="O1307" s="631"/>
      <c r="P1307" s="163"/>
      <c r="Q1307" s="261" t="s">
        <v>97</v>
      </c>
      <c r="R1307" s="262"/>
      <c r="S1307" s="263"/>
    </row>
    <row r="1308" spans="1:19" x14ac:dyDescent="0.25">
      <c r="A1308" s="177" t="s">
        <v>108</v>
      </c>
      <c r="B1308" s="626">
        <f>B1311/B1307</f>
        <v>0.64679999999999982</v>
      </c>
      <c r="C1308" s="627"/>
      <c r="D1308" s="627"/>
      <c r="E1308" s="627"/>
      <c r="F1308" s="627"/>
      <c r="G1308" s="627"/>
      <c r="H1308" s="627"/>
      <c r="I1308" s="627"/>
      <c r="J1308" s="627"/>
      <c r="K1308" s="627"/>
      <c r="L1308" s="627"/>
      <c r="M1308" s="627"/>
      <c r="N1308" s="627"/>
      <c r="O1308" s="628"/>
      <c r="P1308" s="163"/>
      <c r="Q1308" s="671" t="s">
        <v>139</v>
      </c>
      <c r="R1308" s="235" t="s">
        <v>140</v>
      </c>
      <c r="S1308" s="679" t="s">
        <v>142</v>
      </c>
    </row>
    <row r="1309" spans="1:19" ht="15.75" thickBot="1" x14ac:dyDescent="0.3">
      <c r="A1309" s="177" t="s">
        <v>113</v>
      </c>
      <c r="B1309" s="629">
        <f>B1313*(B1317+B1318+I1317+I1318)/1000</f>
        <v>34.496000000000002</v>
      </c>
      <c r="C1309" s="630"/>
      <c r="D1309" s="630"/>
      <c r="E1309" s="630"/>
      <c r="F1309" s="630"/>
      <c r="G1309" s="630"/>
      <c r="H1309" s="630"/>
      <c r="I1309" s="630"/>
      <c r="J1309" s="630"/>
      <c r="K1309" s="630"/>
      <c r="L1309" s="630"/>
      <c r="M1309" s="630"/>
      <c r="N1309" s="630"/>
      <c r="O1309" s="631"/>
      <c r="P1309" s="163"/>
      <c r="Q1309" s="672"/>
      <c r="R1309" s="183" t="s">
        <v>141</v>
      </c>
      <c r="S1309" s="680"/>
    </row>
    <row r="1310" spans="1:19" ht="15.75" thickBot="1" x14ac:dyDescent="0.3">
      <c r="A1310" s="177" t="s">
        <v>109</v>
      </c>
      <c r="B1310" s="626">
        <v>0.67</v>
      </c>
      <c r="C1310" s="627"/>
      <c r="D1310" s="627"/>
      <c r="E1310" s="627"/>
      <c r="F1310" s="627"/>
      <c r="G1310" s="627"/>
      <c r="H1310" s="627"/>
      <c r="I1310" s="627"/>
      <c r="J1310" s="627"/>
      <c r="K1310" s="627"/>
      <c r="L1310" s="627"/>
      <c r="M1310" s="627"/>
      <c r="N1310" s="627"/>
      <c r="O1310" s="628"/>
      <c r="P1310" s="163"/>
      <c r="Q1310" s="269" t="s">
        <v>143</v>
      </c>
      <c r="R1310" s="257">
        <v>4</v>
      </c>
      <c r="S1310" s="258" t="s">
        <v>436</v>
      </c>
    </row>
    <row r="1311" spans="1:19" ht="15.75" thickBot="1" x14ac:dyDescent="0.3">
      <c r="A1311" s="177" t="s">
        <v>122</v>
      </c>
      <c r="B1311" s="629">
        <f>B1309-(B1309*B1310)</f>
        <v>11.383679999999998</v>
      </c>
      <c r="C1311" s="630"/>
      <c r="D1311" s="630"/>
      <c r="E1311" s="630"/>
      <c r="F1311" s="630"/>
      <c r="G1311" s="630"/>
      <c r="H1311" s="630"/>
      <c r="I1311" s="630"/>
      <c r="J1311" s="630"/>
      <c r="K1311" s="630"/>
      <c r="L1311" s="630"/>
      <c r="M1311" s="630"/>
      <c r="N1311" s="630"/>
      <c r="O1311" s="631"/>
      <c r="P1311" s="163"/>
      <c r="Q1311" s="182" t="s">
        <v>145</v>
      </c>
      <c r="R1311" s="183">
        <v>3</v>
      </c>
      <c r="S1311" s="184" t="s">
        <v>398</v>
      </c>
    </row>
    <row r="1312" spans="1:19" ht="15.75" thickBot="1" x14ac:dyDescent="0.3">
      <c r="A1312" s="177" t="s">
        <v>110</v>
      </c>
      <c r="B1312" s="632">
        <v>150</v>
      </c>
      <c r="C1312" s="633"/>
      <c r="D1312" s="633"/>
      <c r="E1312" s="633"/>
      <c r="F1312" s="633"/>
      <c r="G1312" s="633"/>
      <c r="H1312" s="633"/>
      <c r="I1312" s="633"/>
      <c r="J1312" s="633"/>
      <c r="K1312" s="633"/>
      <c r="L1312" s="633"/>
      <c r="M1312" s="633"/>
      <c r="N1312" s="633"/>
      <c r="O1312" s="634"/>
      <c r="P1312" s="163"/>
      <c r="Q1312" s="182" t="s">
        <v>147</v>
      </c>
      <c r="R1312" s="183">
        <v>7</v>
      </c>
      <c r="S1312" s="181" t="s">
        <v>411</v>
      </c>
    </row>
    <row r="1313" spans="1:19" ht="29.25" thickBot="1" x14ac:dyDescent="0.3">
      <c r="A1313" s="177" t="s">
        <v>111</v>
      </c>
      <c r="B1313" s="635">
        <v>14</v>
      </c>
      <c r="C1313" s="636"/>
      <c r="D1313" s="636"/>
      <c r="E1313" s="636"/>
      <c r="F1313" s="636"/>
      <c r="G1313" s="636"/>
      <c r="H1313" s="636"/>
      <c r="I1313" s="636"/>
      <c r="J1313" s="636"/>
      <c r="K1313" s="636"/>
      <c r="L1313" s="636"/>
      <c r="M1313" s="636"/>
      <c r="N1313" s="636"/>
      <c r="O1313" s="637"/>
      <c r="P1313" s="163"/>
      <c r="Q1313" s="182" t="s">
        <v>82</v>
      </c>
      <c r="R1313" s="183">
        <v>4</v>
      </c>
      <c r="S1313" s="184" t="s">
        <v>439</v>
      </c>
    </row>
    <row r="1314" spans="1:19" ht="15.75" thickBot="1" x14ac:dyDescent="0.3">
      <c r="A1314" s="177" t="s">
        <v>273</v>
      </c>
      <c r="B1314" s="638" t="s">
        <v>469</v>
      </c>
      <c r="C1314" s="638"/>
      <c r="D1314" s="638"/>
      <c r="E1314" s="638"/>
      <c r="F1314" s="638"/>
      <c r="G1314" s="638"/>
      <c r="H1314" s="638"/>
      <c r="I1314" s="638"/>
      <c r="J1314" s="638"/>
      <c r="K1314" s="638"/>
      <c r="L1314" s="638"/>
      <c r="M1314" s="638"/>
      <c r="N1314" s="638"/>
      <c r="O1314" s="639"/>
      <c r="P1314" s="163"/>
      <c r="Q1314" s="182" t="s">
        <v>152</v>
      </c>
      <c r="R1314" s="183">
        <v>5</v>
      </c>
      <c r="S1314" s="184" t="s">
        <v>442</v>
      </c>
    </row>
    <row r="1315" spans="1:19" ht="15.75" thickBot="1" x14ac:dyDescent="0.3">
      <c r="A1315" s="177" t="s">
        <v>351</v>
      </c>
      <c r="B1315" s="431"/>
      <c r="C1315" s="431"/>
      <c r="D1315" s="431"/>
      <c r="E1315" s="431"/>
      <c r="F1315" s="431"/>
      <c r="G1315" s="431"/>
      <c r="H1315" s="431"/>
      <c r="I1315" s="431"/>
      <c r="J1315" s="431"/>
      <c r="K1315" s="431"/>
      <c r="L1315" s="431"/>
      <c r="M1315" s="431"/>
      <c r="N1315" s="431"/>
      <c r="O1315" s="432"/>
      <c r="P1315" s="163"/>
      <c r="Q1315" s="182" t="s">
        <v>154</v>
      </c>
      <c r="R1315" s="183">
        <v>9</v>
      </c>
      <c r="S1315" s="181" t="s">
        <v>443</v>
      </c>
    </row>
    <row r="1316" spans="1:19" ht="15.75" thickBot="1" x14ac:dyDescent="0.3">
      <c r="B1316" s="307" t="s">
        <v>98</v>
      </c>
      <c r="C1316" s="365" t="s">
        <v>102</v>
      </c>
      <c r="D1316" s="365" t="s">
        <v>92</v>
      </c>
      <c r="E1316" s="365" t="s">
        <v>93</v>
      </c>
      <c r="F1316" s="365" t="s">
        <v>94</v>
      </c>
      <c r="G1316" s="365"/>
      <c r="H1316" s="359" t="s">
        <v>99</v>
      </c>
      <c r="I1316" s="307" t="s">
        <v>98</v>
      </c>
      <c r="J1316" s="365" t="s">
        <v>102</v>
      </c>
      <c r="K1316" s="365" t="s">
        <v>92</v>
      </c>
      <c r="L1316" s="365" t="s">
        <v>93</v>
      </c>
      <c r="M1316" s="365" t="s">
        <v>94</v>
      </c>
      <c r="N1316" s="365"/>
      <c r="O1316" s="359" t="s">
        <v>99</v>
      </c>
      <c r="P1316" s="163"/>
      <c r="Q1316" s="182" t="s">
        <v>156</v>
      </c>
      <c r="R1316" s="183">
        <v>7</v>
      </c>
      <c r="S1316" s="181" t="s">
        <v>31</v>
      </c>
    </row>
    <row r="1317" spans="1:19" ht="15.75" thickBot="1" x14ac:dyDescent="0.3">
      <c r="A1317" s="313"/>
      <c r="B1317" s="308">
        <v>1174</v>
      </c>
      <c r="C1317" s="365" t="s">
        <v>95</v>
      </c>
      <c r="D1317" s="441">
        <v>1151.1199999999999</v>
      </c>
      <c r="E1317" s="441">
        <v>1181.58</v>
      </c>
      <c r="F1317" s="441">
        <v>676.26</v>
      </c>
      <c r="G1317" s="441"/>
      <c r="H1317" s="359">
        <f>SUM(D1317:F1317)</f>
        <v>3008.96</v>
      </c>
      <c r="I1317" s="308">
        <v>1053</v>
      </c>
      <c r="J1317" s="365" t="s">
        <v>95</v>
      </c>
      <c r="K1317" s="441">
        <v>1194.96</v>
      </c>
      <c r="L1317" s="441">
        <v>1011.33</v>
      </c>
      <c r="M1317" s="441">
        <v>892.22</v>
      </c>
      <c r="N1317" s="441"/>
      <c r="O1317" s="359">
        <f t="shared" ref="O1317:O1324" si="152">SUM(K1317:M1317)</f>
        <v>3098.51</v>
      </c>
      <c r="P1317" s="163"/>
      <c r="Q1317" s="182" t="s">
        <v>158</v>
      </c>
      <c r="R1317" s="183"/>
      <c r="S1317" s="181"/>
    </row>
    <row r="1318" spans="1:19" ht="15.75" thickBot="1" x14ac:dyDescent="0.3">
      <c r="A1318" s="313"/>
      <c r="B1318" s="308">
        <v>118</v>
      </c>
      <c r="C1318" s="365" t="s">
        <v>96</v>
      </c>
      <c r="D1318" s="441">
        <v>115.32</v>
      </c>
      <c r="E1318" s="441">
        <v>95.68</v>
      </c>
      <c r="F1318" s="441">
        <v>76.959999999999994</v>
      </c>
      <c r="G1318" s="441"/>
      <c r="H1318" s="359">
        <f t="shared" ref="H1318:H1324" si="153">SUM(D1318:F1318)</f>
        <v>287.95999999999998</v>
      </c>
      <c r="I1318" s="308">
        <v>119</v>
      </c>
      <c r="J1318" s="365" t="s">
        <v>96</v>
      </c>
      <c r="K1318" s="441">
        <v>37.270000000000003</v>
      </c>
      <c r="L1318" s="441">
        <v>107.7</v>
      </c>
      <c r="M1318" s="441">
        <v>92.86</v>
      </c>
      <c r="N1318" s="441"/>
      <c r="O1318" s="359">
        <f t="shared" si="152"/>
        <v>237.82999999999998</v>
      </c>
      <c r="P1318" s="163"/>
      <c r="Q1318" s="185" t="s">
        <v>99</v>
      </c>
      <c r="R1318" s="183" t="s">
        <v>458</v>
      </c>
      <c r="S1318" s="265">
        <v>0.55000000000000004</v>
      </c>
    </row>
    <row r="1319" spans="1:19" ht="15.75" thickBot="1" x14ac:dyDescent="0.3">
      <c r="A1319" s="313"/>
      <c r="B1319" s="307" t="s">
        <v>100</v>
      </c>
      <c r="C1319" s="365" t="s">
        <v>95</v>
      </c>
      <c r="D1319" s="444">
        <f t="shared" ref="D1319:F1320" si="154">D1317/$B1317</f>
        <v>0.98051107325383291</v>
      </c>
      <c r="E1319" s="429">
        <f t="shared" si="154"/>
        <v>1.0064565587734242</v>
      </c>
      <c r="F1319" s="429">
        <f t="shared" si="154"/>
        <v>0.57603066439522999</v>
      </c>
      <c r="G1319" s="429"/>
      <c r="H1319" s="374">
        <f t="shared" si="153"/>
        <v>2.5629982964224869</v>
      </c>
      <c r="I1319" s="307" t="s">
        <v>100</v>
      </c>
      <c r="J1319" s="365" t="s">
        <v>95</v>
      </c>
      <c r="K1319" s="444">
        <f t="shared" ref="K1319:M1320" si="155">K1317/$I1317</f>
        <v>1.1348148148148149</v>
      </c>
      <c r="L1319" s="429">
        <f t="shared" si="155"/>
        <v>0.9604273504273505</v>
      </c>
      <c r="M1319" s="429">
        <f t="shared" si="155"/>
        <v>0.84731244064577405</v>
      </c>
      <c r="N1319" s="429"/>
      <c r="O1319" s="374">
        <f t="shared" si="152"/>
        <v>2.9425546058879397</v>
      </c>
      <c r="P1319" s="163"/>
      <c r="Q1319" s="251"/>
      <c r="R1319" s="273"/>
      <c r="S1319" s="186"/>
    </row>
    <row r="1320" spans="1:19" x14ac:dyDescent="0.25">
      <c r="A1320" s="313"/>
      <c r="B1320" s="307" t="s">
        <v>100</v>
      </c>
      <c r="C1320" s="438" t="s">
        <v>96</v>
      </c>
      <c r="D1320" s="359">
        <f t="shared" si="154"/>
        <v>0.97728813559322025</v>
      </c>
      <c r="E1320" s="359">
        <f t="shared" si="154"/>
        <v>0.81084745762711874</v>
      </c>
      <c r="F1320" s="359">
        <f t="shared" si="154"/>
        <v>0.65220338983050841</v>
      </c>
      <c r="G1320" s="359"/>
      <c r="H1320" s="359">
        <f t="shared" si="153"/>
        <v>2.4403389830508475</v>
      </c>
      <c r="I1320" s="307" t="s">
        <v>100</v>
      </c>
      <c r="J1320" s="438" t="s">
        <v>96</v>
      </c>
      <c r="K1320" s="359">
        <f t="shared" si="155"/>
        <v>0.31319327731092439</v>
      </c>
      <c r="L1320" s="359">
        <f t="shared" si="155"/>
        <v>0.90504201680672269</v>
      </c>
      <c r="M1320" s="359">
        <f t="shared" si="155"/>
        <v>0.78033613445378147</v>
      </c>
      <c r="N1320" s="359"/>
      <c r="O1320" s="359">
        <f t="shared" si="152"/>
        <v>1.9985714285714287</v>
      </c>
      <c r="P1320" s="163"/>
      <c r="Q1320" s="274"/>
      <c r="R1320" s="275"/>
      <c r="S1320" s="262"/>
    </row>
    <row r="1321" spans="1:19" x14ac:dyDescent="0.25">
      <c r="B1321" s="307" t="s">
        <v>104</v>
      </c>
      <c r="C1321" s="365" t="s">
        <v>95</v>
      </c>
      <c r="D1321" s="359">
        <f>D1317/($B1317/7.7)</f>
        <v>7.5499352640545139</v>
      </c>
      <c r="E1321" s="359">
        <f>E1317/($B1317/7)</f>
        <v>7.0451959114139688</v>
      </c>
      <c r="F1321" s="359">
        <f>F1317/($B1317/7)</f>
        <v>4.0322146507666092</v>
      </c>
      <c r="G1321" s="359"/>
      <c r="H1321" s="359">
        <f t="shared" si="153"/>
        <v>18.627345826235093</v>
      </c>
      <c r="I1321" s="307" t="s">
        <v>104</v>
      </c>
      <c r="J1321" s="365" t="s">
        <v>95</v>
      </c>
      <c r="K1321" s="359">
        <f>K1317/($I1317/7.7)</f>
        <v>8.7380740740740759</v>
      </c>
      <c r="L1321" s="359">
        <f>L1317/($I1317/7)</f>
        <v>6.7229914529914536</v>
      </c>
      <c r="M1321" s="359">
        <f>M1317/($I1317/7)</f>
        <v>5.9311870845204187</v>
      </c>
      <c r="N1321" s="359"/>
      <c r="O1321" s="359">
        <f t="shared" si="152"/>
        <v>21.392252611585945</v>
      </c>
      <c r="P1321" s="163"/>
      <c r="Q1321" s="274"/>
      <c r="R1321" s="276"/>
      <c r="S1321" s="262"/>
    </row>
    <row r="1322" spans="1:19" x14ac:dyDescent="0.25">
      <c r="B1322" s="307" t="s">
        <v>104</v>
      </c>
      <c r="C1322" s="438" t="s">
        <v>96</v>
      </c>
      <c r="D1322" s="359">
        <f>D1318/($B1318/7.7)</f>
        <v>7.5251186440677964</v>
      </c>
      <c r="E1322" s="359">
        <f>E1318/($B1318/7.7)</f>
        <v>6.2435254237288147</v>
      </c>
      <c r="F1322" s="359">
        <f>F1318/($B1318/7.7)</f>
        <v>5.0219661016949146</v>
      </c>
      <c r="G1322" s="359"/>
      <c r="H1322" s="359">
        <f t="shared" si="153"/>
        <v>18.790610169491526</v>
      </c>
      <c r="I1322" s="307" t="s">
        <v>104</v>
      </c>
      <c r="J1322" s="438" t="s">
        <v>96</v>
      </c>
      <c r="K1322" s="359">
        <f>K1318/($I1318/7.7)</f>
        <v>2.4115882352941176</v>
      </c>
      <c r="L1322" s="359">
        <f>L1318/($I1318/7.7)</f>
        <v>6.9688235294117646</v>
      </c>
      <c r="M1322" s="359">
        <f>M1318/($I1318/7.7)</f>
        <v>6.0085882352941171</v>
      </c>
      <c r="N1322" s="359"/>
      <c r="O1322" s="359">
        <f t="shared" si="152"/>
        <v>15.388999999999999</v>
      </c>
      <c r="P1322" s="163"/>
      <c r="Q1322" s="274"/>
      <c r="R1322" s="275"/>
      <c r="S1322" s="262"/>
    </row>
    <row r="1323" spans="1:19" x14ac:dyDescent="0.25">
      <c r="B1323" s="307" t="s">
        <v>135</v>
      </c>
      <c r="C1323" s="365" t="s">
        <v>95</v>
      </c>
      <c r="D1323" s="359">
        <f>D1317/((($B1317*$B1313)*(1-$B1310))/$B1308)</f>
        <v>0.13727155025553661</v>
      </c>
      <c r="E1323" s="359">
        <f>E1317/((($B1317*$B1313)*(1-$B1310))/$B1308)</f>
        <v>0.14090391822827936</v>
      </c>
      <c r="F1323" s="359">
        <f>F1317/((($B1317*$B1313)*(1-$B1310))/$B1308)</f>
        <v>8.0644293015332186E-2</v>
      </c>
      <c r="G1323" s="359"/>
      <c r="H1323" s="359">
        <f t="shared" si="153"/>
        <v>0.35881976149914818</v>
      </c>
      <c r="I1323" s="307" t="s">
        <v>135</v>
      </c>
      <c r="J1323" s="365" t="s">
        <v>95</v>
      </c>
      <c r="K1323" s="359">
        <f>K1317/((($I1317*$B1313)*(1-$B1310))/$B1308)</f>
        <v>0.15887407407407403</v>
      </c>
      <c r="L1323" s="359">
        <f>L1317/((($I1317*$B1313)*(1-$B1310))/$B1308)</f>
        <v>0.13445982905982903</v>
      </c>
      <c r="M1323" s="359">
        <f>M1317/((($I1317*$B1313)*(1-$B1310))/$B1308)</f>
        <v>0.11862374169040833</v>
      </c>
      <c r="N1323" s="359"/>
      <c r="O1323" s="359">
        <f t="shared" si="152"/>
        <v>0.41195764482431141</v>
      </c>
      <c r="P1323" s="42"/>
      <c r="Q1323" s="274"/>
      <c r="R1323" s="275"/>
      <c r="S1323" s="263"/>
    </row>
    <row r="1324" spans="1:19" x14ac:dyDescent="0.25">
      <c r="B1324" s="307" t="s">
        <v>135</v>
      </c>
      <c r="C1324" s="438" t="s">
        <v>96</v>
      </c>
      <c r="D1324" s="359">
        <f>D1318/((($B1318*$B1313)*(1-$B1310))/$B1308)</f>
        <v>0.13682033898305082</v>
      </c>
      <c r="E1324" s="359">
        <f>E1318/((($B1318*$B1313)*(1-$B1310))/$B1308)</f>
        <v>0.1135186440677966</v>
      </c>
      <c r="F1324" s="359">
        <f>F1318/((($B1318*$B1313)*(1-$B1310))/$B1308)</f>
        <v>9.1308474576271156E-2</v>
      </c>
      <c r="G1324" s="359"/>
      <c r="H1324" s="359">
        <f t="shared" si="153"/>
        <v>0.34164745762711862</v>
      </c>
      <c r="I1324" s="307" t="s">
        <v>135</v>
      </c>
      <c r="J1324" s="438" t="s">
        <v>96</v>
      </c>
      <c r="K1324" s="359">
        <f>K1318/((($I1318*$B1313)*(1-$B1310))/$B1308)</f>
        <v>4.3847058823529406E-2</v>
      </c>
      <c r="L1324" s="359">
        <f>L1318/((($I1318*$B1313)*(1-$B1310))/$B1308)</f>
        <v>0.12670588235294114</v>
      </c>
      <c r="M1324" s="359">
        <f>M1318/((($I1318*$B1313)*(1-$B1310))/$B1308)</f>
        <v>0.10924705882352938</v>
      </c>
      <c r="N1324" s="359"/>
      <c r="O1324" s="359">
        <f t="shared" si="152"/>
        <v>0.27979999999999994</v>
      </c>
      <c r="P1324" s="42"/>
      <c r="Q1324" s="263"/>
      <c r="R1324" s="262"/>
      <c r="S1324" s="263"/>
    </row>
    <row r="1325" spans="1:19" x14ac:dyDescent="0.25">
      <c r="A1325" s="178"/>
      <c r="B1325" s="178"/>
      <c r="C1325" s="178"/>
      <c r="D1325" s="178"/>
      <c r="E1325" s="178"/>
      <c r="F1325" s="178"/>
      <c r="G1325" s="178"/>
      <c r="H1325" s="178"/>
      <c r="I1325" s="178"/>
      <c r="J1325" s="178"/>
      <c r="K1325" s="178"/>
      <c r="L1325" s="178"/>
      <c r="M1325" s="178"/>
      <c r="N1325" s="178"/>
      <c r="O1325" s="178"/>
      <c r="P1325" s="167"/>
      <c r="Q1325" s="233"/>
      <c r="R1325" s="233"/>
      <c r="S1325" s="233"/>
    </row>
    <row r="1326" spans="1:19" ht="21" x14ac:dyDescent="0.25">
      <c r="A1326" s="305"/>
      <c r="B1326" s="644" t="s">
        <v>447</v>
      </c>
      <c r="C1326" s="645"/>
      <c r="D1326" s="645"/>
      <c r="E1326" s="645"/>
      <c r="F1326" s="645"/>
      <c r="G1326" s="645"/>
      <c r="H1326" s="645"/>
      <c r="I1326" s="645"/>
      <c r="J1326" s="645"/>
      <c r="K1326" s="645"/>
      <c r="L1326" s="645"/>
      <c r="M1326" s="645"/>
      <c r="N1326" s="645"/>
      <c r="O1326" s="646"/>
      <c r="P1326" s="168" t="s">
        <v>97</v>
      </c>
      <c r="Q1326" s="678" t="s">
        <v>450</v>
      </c>
      <c r="R1326" s="678"/>
      <c r="S1326" s="678"/>
    </row>
    <row r="1327" spans="1:19" ht="21" x14ac:dyDescent="0.25">
      <c r="A1327" s="177" t="s">
        <v>285</v>
      </c>
      <c r="B1327" s="647">
        <v>44093</v>
      </c>
      <c r="C1327" s="648"/>
      <c r="D1327" s="648"/>
      <c r="E1327" s="648"/>
      <c r="F1327" s="648"/>
      <c r="G1327" s="648"/>
      <c r="H1327" s="648"/>
      <c r="I1327" s="648"/>
      <c r="J1327" s="648"/>
      <c r="K1327" s="648"/>
      <c r="L1327" s="648"/>
      <c r="M1327" s="648"/>
      <c r="N1327" s="648"/>
      <c r="O1327" s="649"/>
      <c r="P1327" s="168"/>
      <c r="Q1327" s="678"/>
      <c r="R1327" s="678"/>
      <c r="S1327" s="678"/>
    </row>
    <row r="1328" spans="1:19" x14ac:dyDescent="0.25">
      <c r="A1328" s="177"/>
      <c r="B1328" s="650" t="s">
        <v>115</v>
      </c>
      <c r="C1328" s="651"/>
      <c r="D1328" s="651"/>
      <c r="E1328" s="651"/>
      <c r="F1328" s="651"/>
      <c r="G1328" s="651"/>
      <c r="H1328" s="651"/>
      <c r="I1328" s="651"/>
      <c r="J1328" s="651"/>
      <c r="K1328" s="651"/>
      <c r="L1328" s="651"/>
      <c r="M1328" s="651"/>
      <c r="N1328" s="651"/>
      <c r="O1328" s="652"/>
      <c r="P1328" s="168"/>
      <c r="Q1328" s="678"/>
      <c r="R1328" s="678"/>
      <c r="S1328" s="678"/>
    </row>
    <row r="1329" spans="1:19" x14ac:dyDescent="0.25">
      <c r="A1329" s="177" t="s">
        <v>106</v>
      </c>
      <c r="B1329" s="629">
        <v>20</v>
      </c>
      <c r="C1329" s="630"/>
      <c r="D1329" s="630"/>
      <c r="E1329" s="631"/>
      <c r="F1329" s="365" t="s">
        <v>174</v>
      </c>
      <c r="G1329" s="471"/>
      <c r="H1329" s="653">
        <v>0</v>
      </c>
      <c r="I1329" s="654"/>
      <c r="J1329" s="654"/>
      <c r="K1329" s="654"/>
      <c r="L1329" s="655"/>
      <c r="M1329" s="656">
        <f>SUM(B1329,H1330)</f>
        <v>20</v>
      </c>
      <c r="N1329" s="630"/>
      <c r="O1329" s="631"/>
      <c r="P1329" s="168"/>
      <c r="Q1329" s="678"/>
      <c r="R1329" s="678"/>
      <c r="S1329" s="678"/>
    </row>
    <row r="1330" spans="1:19" x14ac:dyDescent="0.25">
      <c r="A1330" s="177" t="s">
        <v>112</v>
      </c>
      <c r="B1330" s="626">
        <v>0.12</v>
      </c>
      <c r="C1330" s="627"/>
      <c r="D1330" s="627"/>
      <c r="E1330" s="628"/>
      <c r="F1330" s="290"/>
      <c r="G1330" s="472"/>
      <c r="H1330" s="626">
        <v>0</v>
      </c>
      <c r="I1330" s="627"/>
      <c r="J1330" s="627"/>
      <c r="K1330" s="627"/>
      <c r="L1330" s="628"/>
      <c r="M1330" s="657">
        <f>B1330</f>
        <v>0.12</v>
      </c>
      <c r="N1330" s="627"/>
      <c r="O1330" s="628"/>
      <c r="P1330" s="168"/>
      <c r="Q1330" s="678"/>
      <c r="R1330" s="678"/>
      <c r="S1330" s="678"/>
    </row>
    <row r="1331" spans="1:19" ht="15.75" thickBot="1" x14ac:dyDescent="0.3">
      <c r="A1331" s="177" t="s">
        <v>107</v>
      </c>
      <c r="B1331" s="629">
        <f>B1329*(1-B1330)</f>
        <v>17.600000000000001</v>
      </c>
      <c r="C1331" s="630"/>
      <c r="D1331" s="630"/>
      <c r="E1331" s="631"/>
      <c r="F1331" s="290"/>
      <c r="G1331" s="472"/>
      <c r="H1331" s="629">
        <f>H1329*(1-H1330)</f>
        <v>0</v>
      </c>
      <c r="I1331" s="630"/>
      <c r="J1331" s="630"/>
      <c r="K1331" s="630"/>
      <c r="L1331" s="631"/>
      <c r="M1331" s="656">
        <f>SUM(B1331,H1331)</f>
        <v>17.600000000000001</v>
      </c>
      <c r="N1331" s="630"/>
      <c r="O1331" s="631"/>
      <c r="P1331" s="168"/>
      <c r="Q1331" s="261" t="s">
        <v>97</v>
      </c>
      <c r="R1331" s="262"/>
      <c r="S1331" s="263"/>
    </row>
    <row r="1332" spans="1:19" x14ac:dyDescent="0.25">
      <c r="A1332" s="177" t="s">
        <v>108</v>
      </c>
      <c r="B1332" s="626">
        <f>B1335/B1331</f>
        <v>0.56619886363636374</v>
      </c>
      <c r="C1332" s="627"/>
      <c r="D1332" s="627"/>
      <c r="E1332" s="627"/>
      <c r="F1332" s="627"/>
      <c r="G1332" s="627"/>
      <c r="H1332" s="627"/>
      <c r="I1332" s="627"/>
      <c r="J1332" s="627"/>
      <c r="K1332" s="627"/>
      <c r="L1332" s="627"/>
      <c r="M1332" s="627"/>
      <c r="N1332" s="627"/>
      <c r="O1332" s="628"/>
      <c r="P1332" s="168"/>
      <c r="Q1332" s="671" t="s">
        <v>139</v>
      </c>
      <c r="R1332" s="235" t="s">
        <v>140</v>
      </c>
      <c r="S1332" s="679" t="s">
        <v>142</v>
      </c>
    </row>
    <row r="1333" spans="1:19" ht="15.75" thickBot="1" x14ac:dyDescent="0.3">
      <c r="A1333" s="177" t="s">
        <v>113</v>
      </c>
      <c r="B1333" s="629">
        <f>B1337*(B1341+B1342+I1341+I1342)/1000</f>
        <v>33.78</v>
      </c>
      <c r="C1333" s="630"/>
      <c r="D1333" s="630"/>
      <c r="E1333" s="630"/>
      <c r="F1333" s="630"/>
      <c r="G1333" s="630"/>
      <c r="H1333" s="630"/>
      <c r="I1333" s="630"/>
      <c r="J1333" s="630"/>
      <c r="K1333" s="630"/>
      <c r="L1333" s="630"/>
      <c r="M1333" s="630"/>
      <c r="N1333" s="630"/>
      <c r="O1333" s="631"/>
      <c r="P1333" s="168"/>
      <c r="Q1333" s="672"/>
      <c r="R1333" s="183" t="s">
        <v>141</v>
      </c>
      <c r="S1333" s="680"/>
    </row>
    <row r="1334" spans="1:19" ht="15.75" thickBot="1" x14ac:dyDescent="0.3">
      <c r="A1334" s="177" t="s">
        <v>109</v>
      </c>
      <c r="B1334" s="626">
        <v>0.70499999999999996</v>
      </c>
      <c r="C1334" s="627"/>
      <c r="D1334" s="627"/>
      <c r="E1334" s="627"/>
      <c r="F1334" s="627"/>
      <c r="G1334" s="627"/>
      <c r="H1334" s="627"/>
      <c r="I1334" s="627"/>
      <c r="J1334" s="627"/>
      <c r="K1334" s="627"/>
      <c r="L1334" s="627"/>
      <c r="M1334" s="627"/>
      <c r="N1334" s="627"/>
      <c r="O1334" s="628"/>
      <c r="P1334" s="168"/>
      <c r="Q1334" s="182" t="s">
        <v>143</v>
      </c>
      <c r="R1334" s="183">
        <v>8</v>
      </c>
      <c r="S1334" s="181" t="s">
        <v>461</v>
      </c>
    </row>
    <row r="1335" spans="1:19" ht="15.75" thickBot="1" x14ac:dyDescent="0.3">
      <c r="A1335" s="177" t="s">
        <v>122</v>
      </c>
      <c r="B1335" s="629">
        <f>B1333-(B1333*B1334)</f>
        <v>9.9651000000000032</v>
      </c>
      <c r="C1335" s="630"/>
      <c r="D1335" s="630"/>
      <c r="E1335" s="630"/>
      <c r="F1335" s="630"/>
      <c r="G1335" s="630"/>
      <c r="H1335" s="630"/>
      <c r="I1335" s="630"/>
      <c r="J1335" s="630"/>
      <c r="K1335" s="630"/>
      <c r="L1335" s="630"/>
      <c r="M1335" s="630"/>
      <c r="N1335" s="630"/>
      <c r="O1335" s="631"/>
      <c r="P1335" s="168"/>
      <c r="Q1335" s="182" t="s">
        <v>145</v>
      </c>
      <c r="R1335" s="183">
        <v>4</v>
      </c>
      <c r="S1335" s="184" t="s">
        <v>462</v>
      </c>
    </row>
    <row r="1336" spans="1:19" ht="15.75" thickBot="1" x14ac:dyDescent="0.3">
      <c r="A1336" s="177" t="s">
        <v>110</v>
      </c>
      <c r="B1336" s="632">
        <v>140</v>
      </c>
      <c r="C1336" s="633"/>
      <c r="D1336" s="633"/>
      <c r="E1336" s="633"/>
      <c r="F1336" s="633"/>
      <c r="G1336" s="633"/>
      <c r="H1336" s="633"/>
      <c r="I1336" s="633"/>
      <c r="J1336" s="633"/>
      <c r="K1336" s="633"/>
      <c r="L1336" s="633"/>
      <c r="M1336" s="633"/>
      <c r="N1336" s="633"/>
      <c r="O1336" s="634"/>
      <c r="P1336" s="168"/>
      <c r="Q1336" s="182" t="s">
        <v>147</v>
      </c>
      <c r="R1336" s="183">
        <v>8</v>
      </c>
      <c r="S1336" s="181" t="s">
        <v>411</v>
      </c>
    </row>
    <row r="1337" spans="1:19" ht="31.5" thickBot="1" x14ac:dyDescent="0.3">
      <c r="A1337" s="177" t="s">
        <v>111</v>
      </c>
      <c r="B1337" s="635">
        <v>15</v>
      </c>
      <c r="C1337" s="636"/>
      <c r="D1337" s="636"/>
      <c r="E1337" s="636"/>
      <c r="F1337" s="636"/>
      <c r="G1337" s="636"/>
      <c r="H1337" s="636"/>
      <c r="I1337" s="636"/>
      <c r="J1337" s="636"/>
      <c r="K1337" s="636"/>
      <c r="L1337" s="636"/>
      <c r="M1337" s="636"/>
      <c r="N1337" s="636"/>
      <c r="O1337" s="637"/>
      <c r="P1337" s="168"/>
      <c r="Q1337" s="182" t="s">
        <v>82</v>
      </c>
      <c r="R1337" s="183">
        <v>5</v>
      </c>
      <c r="S1337" s="184" t="s">
        <v>463</v>
      </c>
    </row>
    <row r="1338" spans="1:19" ht="15.75" thickBot="1" x14ac:dyDescent="0.3">
      <c r="A1338" s="177" t="s">
        <v>273</v>
      </c>
      <c r="B1338" s="638" t="s">
        <v>472</v>
      </c>
      <c r="C1338" s="638"/>
      <c r="D1338" s="638"/>
      <c r="E1338" s="638"/>
      <c r="F1338" s="638"/>
      <c r="G1338" s="638"/>
      <c r="H1338" s="638"/>
      <c r="I1338" s="638"/>
      <c r="J1338" s="638"/>
      <c r="K1338" s="638"/>
      <c r="L1338" s="638"/>
      <c r="M1338" s="638"/>
      <c r="N1338" s="638"/>
      <c r="O1338" s="639"/>
      <c r="P1338" s="168"/>
      <c r="Q1338" s="182" t="s">
        <v>152</v>
      </c>
      <c r="R1338" s="183">
        <v>8</v>
      </c>
      <c r="S1338" s="184" t="s">
        <v>464</v>
      </c>
    </row>
    <row r="1339" spans="1:19" ht="15.75" thickBot="1" x14ac:dyDescent="0.3">
      <c r="A1339" s="177" t="s">
        <v>351</v>
      </c>
      <c r="B1339" s="431"/>
      <c r="C1339" s="431"/>
      <c r="D1339" s="431"/>
      <c r="E1339" s="431"/>
      <c r="F1339" s="431"/>
      <c r="G1339" s="431"/>
      <c r="H1339" s="431"/>
      <c r="I1339" s="431"/>
      <c r="J1339" s="431"/>
      <c r="K1339" s="431"/>
      <c r="L1339" s="431"/>
      <c r="M1339" s="431"/>
      <c r="N1339" s="431"/>
      <c r="O1339" s="432"/>
      <c r="P1339" s="168"/>
      <c r="Q1339" s="182" t="s">
        <v>154</v>
      </c>
      <c r="R1339" s="183">
        <v>4</v>
      </c>
      <c r="S1339" s="181" t="s">
        <v>443</v>
      </c>
    </row>
    <row r="1340" spans="1:19" ht="15.75" thickBot="1" x14ac:dyDescent="0.3">
      <c r="B1340" s="307" t="s">
        <v>98</v>
      </c>
      <c r="C1340" s="365" t="s">
        <v>102</v>
      </c>
      <c r="D1340" s="365" t="s">
        <v>92</v>
      </c>
      <c r="E1340" s="365" t="s">
        <v>93</v>
      </c>
      <c r="F1340" s="365" t="s">
        <v>94</v>
      </c>
      <c r="G1340" s="365"/>
      <c r="H1340" s="359" t="s">
        <v>99</v>
      </c>
      <c r="I1340" s="307" t="s">
        <v>98</v>
      </c>
      <c r="J1340" s="365" t="s">
        <v>102</v>
      </c>
      <c r="K1340" s="365" t="s">
        <v>92</v>
      </c>
      <c r="L1340" s="365" t="s">
        <v>93</v>
      </c>
      <c r="M1340" s="365" t="s">
        <v>94</v>
      </c>
      <c r="N1340" s="365"/>
      <c r="O1340" s="359" t="s">
        <v>99</v>
      </c>
      <c r="P1340" s="168"/>
      <c r="Q1340" s="182" t="s">
        <v>156</v>
      </c>
      <c r="R1340" s="183">
        <v>4</v>
      </c>
      <c r="S1340" s="181" t="s">
        <v>31</v>
      </c>
    </row>
    <row r="1341" spans="1:19" ht="15.75" thickBot="1" x14ac:dyDescent="0.3">
      <c r="B1341" s="308">
        <v>992</v>
      </c>
      <c r="C1341" s="365" t="s">
        <v>95</v>
      </c>
      <c r="D1341" s="441">
        <v>765.15</v>
      </c>
      <c r="E1341" s="441">
        <v>941.42</v>
      </c>
      <c r="F1341" s="441">
        <v>738.4</v>
      </c>
      <c r="G1341" s="441"/>
      <c r="H1341" s="359">
        <f>SUM(D1341:F1341)</f>
        <v>2444.9699999999998</v>
      </c>
      <c r="I1341" s="308">
        <v>1024</v>
      </c>
      <c r="J1341" s="365" t="s">
        <v>95</v>
      </c>
      <c r="K1341" s="441">
        <v>915.65</v>
      </c>
      <c r="L1341" s="441">
        <v>1008.7</v>
      </c>
      <c r="M1341" s="441">
        <v>792.13</v>
      </c>
      <c r="N1341" s="441"/>
      <c r="O1341" s="359">
        <f t="shared" ref="O1341:O1348" si="156">SUM(K1341:M1341)</f>
        <v>2716.48</v>
      </c>
      <c r="P1341" s="168"/>
      <c r="Q1341" s="182" t="s">
        <v>158</v>
      </c>
      <c r="R1341" s="183"/>
      <c r="S1341" s="181"/>
    </row>
    <row r="1342" spans="1:19" ht="15.75" thickBot="1" x14ac:dyDescent="0.3">
      <c r="B1342" s="308">
        <v>118</v>
      </c>
      <c r="C1342" s="365" t="s">
        <v>96</v>
      </c>
      <c r="D1342" s="441">
        <v>82.56</v>
      </c>
      <c r="E1342" s="441">
        <v>54.08</v>
      </c>
      <c r="F1342" s="441">
        <v>112.32</v>
      </c>
      <c r="G1342" s="441"/>
      <c r="H1342" s="359">
        <f t="shared" ref="H1342:H1348" si="157">SUM(D1342:F1342)</f>
        <v>248.95999999999998</v>
      </c>
      <c r="I1342" s="308">
        <v>118</v>
      </c>
      <c r="J1342" s="365" t="s">
        <v>96</v>
      </c>
      <c r="K1342" s="441">
        <v>82.96</v>
      </c>
      <c r="L1342" s="441">
        <v>158.08000000000001</v>
      </c>
      <c r="M1342" s="441">
        <v>15.24</v>
      </c>
      <c r="N1342" s="441"/>
      <c r="O1342" s="359">
        <f t="shared" si="156"/>
        <v>256.28000000000003</v>
      </c>
      <c r="P1342" s="168"/>
      <c r="Q1342" s="185" t="s">
        <v>99</v>
      </c>
      <c r="R1342" s="183" t="s">
        <v>465</v>
      </c>
      <c r="S1342" s="186">
        <v>0.58499999999999996</v>
      </c>
    </row>
    <row r="1343" spans="1:19" ht="15.75" thickBot="1" x14ac:dyDescent="0.3">
      <c r="B1343" s="307" t="s">
        <v>100</v>
      </c>
      <c r="C1343" s="365" t="s">
        <v>95</v>
      </c>
      <c r="D1343" s="444">
        <f t="shared" ref="D1343:F1344" si="158">D1341/$B1341</f>
        <v>0.77132056451612896</v>
      </c>
      <c r="E1343" s="429">
        <f t="shared" si="158"/>
        <v>0.94901209677419351</v>
      </c>
      <c r="F1343" s="429">
        <f t="shared" si="158"/>
        <v>0.74435483870967745</v>
      </c>
      <c r="G1343" s="429"/>
      <c r="H1343" s="374">
        <f t="shared" si="157"/>
        <v>2.4646875000000001</v>
      </c>
      <c r="I1343" s="307" t="s">
        <v>100</v>
      </c>
      <c r="J1343" s="365" t="s">
        <v>95</v>
      </c>
      <c r="K1343" s="444">
        <f t="shared" ref="K1343:M1344" si="159">K1341/$I1341</f>
        <v>0.89418945312499998</v>
      </c>
      <c r="L1343" s="429">
        <f t="shared" si="159"/>
        <v>0.98505859375000004</v>
      </c>
      <c r="M1343" s="429">
        <f t="shared" si="159"/>
        <v>0.773564453125</v>
      </c>
      <c r="N1343" s="429"/>
      <c r="O1343" s="374">
        <f t="shared" si="156"/>
        <v>2.6528125</v>
      </c>
      <c r="P1343" s="168"/>
      <c r="Q1343" s="251"/>
      <c r="R1343" s="273"/>
      <c r="S1343" s="186"/>
    </row>
    <row r="1344" spans="1:19" x14ac:dyDescent="0.25">
      <c r="B1344" s="307" t="s">
        <v>100</v>
      </c>
      <c r="C1344" s="438" t="s">
        <v>96</v>
      </c>
      <c r="D1344" s="359">
        <f t="shared" si="158"/>
        <v>0.69966101694915261</v>
      </c>
      <c r="E1344" s="359">
        <f t="shared" si="158"/>
        <v>0.4583050847457627</v>
      </c>
      <c r="F1344" s="359">
        <f t="shared" si="158"/>
        <v>0.951864406779661</v>
      </c>
      <c r="G1344" s="359"/>
      <c r="H1344" s="359">
        <f t="shared" si="157"/>
        <v>2.1098305084745763</v>
      </c>
      <c r="I1344" s="307" t="s">
        <v>100</v>
      </c>
      <c r="J1344" s="438" t="s">
        <v>96</v>
      </c>
      <c r="K1344" s="359">
        <f t="shared" si="159"/>
        <v>0.70305084745762703</v>
      </c>
      <c r="L1344" s="359">
        <f t="shared" si="159"/>
        <v>1.3396610169491527</v>
      </c>
      <c r="M1344" s="359">
        <f t="shared" si="159"/>
        <v>0.12915254237288135</v>
      </c>
      <c r="N1344" s="359"/>
      <c r="O1344" s="359">
        <f t="shared" si="156"/>
        <v>2.1718644067796609</v>
      </c>
      <c r="P1344" s="168"/>
      <c r="Q1344" s="274"/>
      <c r="R1344" s="275"/>
      <c r="S1344" s="262"/>
    </row>
    <row r="1345" spans="1:19" x14ac:dyDescent="0.25">
      <c r="B1345" s="307" t="s">
        <v>104</v>
      </c>
      <c r="C1345" s="365" t="s">
        <v>95</v>
      </c>
      <c r="D1345" s="359">
        <f>D1341/($B1341/7.7)</f>
        <v>5.9391683467741929</v>
      </c>
      <c r="E1345" s="359">
        <f>E1341/($B1341/7)</f>
        <v>6.6430846774193544</v>
      </c>
      <c r="F1345" s="359">
        <f>F1341/($B1341/7)</f>
        <v>5.2104838709677415</v>
      </c>
      <c r="G1345" s="359"/>
      <c r="H1345" s="359">
        <f t="shared" si="157"/>
        <v>17.792736895161291</v>
      </c>
      <c r="I1345" s="307" t="s">
        <v>104</v>
      </c>
      <c r="J1345" s="365" t="s">
        <v>95</v>
      </c>
      <c r="K1345" s="359">
        <f>K1341/($I1341/7.7)</f>
        <v>6.8852587890625001</v>
      </c>
      <c r="L1345" s="359">
        <f>L1341/($I1341/7)</f>
        <v>6.8954101562500005</v>
      </c>
      <c r="M1345" s="359">
        <f>M1341/($I1341/7)</f>
        <v>5.4149511718749999</v>
      </c>
      <c r="N1345" s="359"/>
      <c r="O1345" s="359">
        <f t="shared" si="156"/>
        <v>19.195620117187502</v>
      </c>
      <c r="P1345" s="168"/>
      <c r="Q1345" s="274"/>
      <c r="R1345" s="276"/>
      <c r="S1345" s="262"/>
    </row>
    <row r="1346" spans="1:19" x14ac:dyDescent="0.25">
      <c r="B1346" s="307" t="s">
        <v>104</v>
      </c>
      <c r="C1346" s="438" t="s">
        <v>96</v>
      </c>
      <c r="D1346" s="359">
        <f>D1342/($B1342/7.7)</f>
        <v>5.3873898305084751</v>
      </c>
      <c r="E1346" s="359">
        <f>E1342/($B1342/7.7)</f>
        <v>3.5289491525423728</v>
      </c>
      <c r="F1346" s="359">
        <f>F1342/($B1342/7.7)</f>
        <v>7.3293559322033897</v>
      </c>
      <c r="G1346" s="359"/>
      <c r="H1346" s="359">
        <f t="shared" si="157"/>
        <v>16.245694915254237</v>
      </c>
      <c r="I1346" s="307" t="s">
        <v>104</v>
      </c>
      <c r="J1346" s="438" t="s">
        <v>96</v>
      </c>
      <c r="K1346" s="359">
        <f>K1342/($I1342/7.7)</f>
        <v>5.413491525423729</v>
      </c>
      <c r="L1346" s="359">
        <f>L1342/($I1342/7.7)</f>
        <v>10.315389830508476</v>
      </c>
      <c r="M1346" s="359">
        <f>M1342/($I1342/7.7)</f>
        <v>0.99447457627118652</v>
      </c>
      <c r="N1346" s="359"/>
      <c r="O1346" s="359">
        <f t="shared" si="156"/>
        <v>16.723355932203393</v>
      </c>
      <c r="P1346" s="168"/>
      <c r="Q1346" s="274"/>
      <c r="R1346" s="275"/>
      <c r="S1346" s="262"/>
    </row>
    <row r="1347" spans="1:19" x14ac:dyDescent="0.25">
      <c r="B1347" s="307" t="s">
        <v>135</v>
      </c>
      <c r="C1347" s="365" t="s">
        <v>95</v>
      </c>
      <c r="D1347" s="359">
        <f>D1341/((($B1341*$B1337)*(1-$B1334))/$B1332)</f>
        <v>9.8693972232404698E-2</v>
      </c>
      <c r="E1347" s="359">
        <f>E1341/((($B1341*$B1337)*(1-$B1334))/$B1332)</f>
        <v>0.12143041147360704</v>
      </c>
      <c r="F1347" s="359">
        <f>F1341/((($B1341*$B1337)*(1-$B1334))/$B1332)</f>
        <v>9.5243585043988277E-2</v>
      </c>
      <c r="G1347" s="359"/>
      <c r="H1347" s="359">
        <f t="shared" si="157"/>
        <v>0.31536796875000001</v>
      </c>
      <c r="I1347" s="307" t="s">
        <v>135</v>
      </c>
      <c r="J1347" s="365" t="s">
        <v>95</v>
      </c>
      <c r="K1347" s="359">
        <f>K1341/((($I1341*$B1337)*(1-$B1334))/$B1332)</f>
        <v>0.11441560502485795</v>
      </c>
      <c r="L1347" s="359">
        <f>L1341/((($I1341*$B1337)*(1-$B1334))/$B1332)</f>
        <v>0.12604272460937499</v>
      </c>
      <c r="M1347" s="359">
        <f>M1341/((($I1341*$B1337)*(1-$B1334))/$B1332)</f>
        <v>9.8981087979403401E-2</v>
      </c>
      <c r="N1347" s="359"/>
      <c r="O1347" s="359">
        <f t="shared" si="156"/>
        <v>0.33943941761363633</v>
      </c>
      <c r="P1347" s="42"/>
      <c r="Q1347" s="274"/>
      <c r="R1347" s="275"/>
      <c r="S1347" s="263"/>
    </row>
    <row r="1348" spans="1:19" x14ac:dyDescent="0.25">
      <c r="B1348" s="307" t="s">
        <v>135</v>
      </c>
      <c r="C1348" s="438" t="s">
        <v>96</v>
      </c>
      <c r="D1348" s="359">
        <f>D1342/((($B1342*$B1337)*(1-$B1334))/$B1332)</f>
        <v>8.9524807395993847E-2</v>
      </c>
      <c r="E1348" s="359">
        <f>E1342/((($B1342*$B1337)*(1-$B1334))/$B1332)</f>
        <v>5.8642218798151E-2</v>
      </c>
      <c r="F1348" s="359">
        <f>F1342/((($B1342*$B1337)*(1-$B1334))/$B1332)</f>
        <v>0.12179537750385208</v>
      </c>
      <c r="G1348" s="359"/>
      <c r="H1348" s="359">
        <f t="shared" si="157"/>
        <v>0.26996240369799696</v>
      </c>
      <c r="I1348" s="307" t="s">
        <v>135</v>
      </c>
      <c r="J1348" s="438" t="s">
        <v>96</v>
      </c>
      <c r="K1348" s="359">
        <f>K1342/((($I1342*$B1337)*(1-$B1334))/$B1332)</f>
        <v>8.9958551617873653E-2</v>
      </c>
      <c r="L1348" s="359">
        <f>L1342/((($I1342*$B1337)*(1-$B1334))/$B1332)</f>
        <v>0.17141571648690296</v>
      </c>
      <c r="M1348" s="359">
        <f>M1342/((($I1342*$B1337)*(1-$B1334))/$B1332)</f>
        <v>1.6525654853620956E-2</v>
      </c>
      <c r="N1348" s="359"/>
      <c r="O1348" s="359">
        <f t="shared" si="156"/>
        <v>0.27789992295839755</v>
      </c>
      <c r="P1348" s="42"/>
      <c r="Q1348" s="263"/>
      <c r="R1348" s="262"/>
      <c r="S1348" s="263"/>
    </row>
    <row r="1349" spans="1:19" x14ac:dyDescent="0.25">
      <c r="A1349" s="178"/>
      <c r="B1349" s="178"/>
      <c r="C1349" s="178"/>
      <c r="D1349" s="178"/>
      <c r="E1349" s="178"/>
      <c r="F1349" s="178"/>
      <c r="G1349" s="178"/>
      <c r="H1349" s="178"/>
      <c r="I1349" s="178"/>
      <c r="J1349" s="178"/>
      <c r="K1349" s="178"/>
      <c r="L1349" s="178"/>
      <c r="M1349" s="178"/>
      <c r="N1349" s="178"/>
      <c r="O1349" s="178"/>
      <c r="P1349" s="167"/>
      <c r="Q1349" s="233"/>
      <c r="R1349" s="233"/>
      <c r="S1349" s="233"/>
    </row>
    <row r="1350" spans="1:19" ht="21" x14ac:dyDescent="0.25">
      <c r="A1350" s="305"/>
      <c r="B1350" s="644" t="s">
        <v>448</v>
      </c>
      <c r="C1350" s="645"/>
      <c r="D1350" s="645"/>
      <c r="E1350" s="645"/>
      <c r="F1350" s="645"/>
      <c r="G1350" s="645"/>
      <c r="H1350" s="645"/>
      <c r="I1350" s="645"/>
      <c r="J1350" s="645"/>
      <c r="K1350" s="645"/>
      <c r="L1350" s="645"/>
      <c r="M1350" s="645"/>
      <c r="N1350" s="645"/>
      <c r="O1350" s="646"/>
      <c r="P1350" s="168" t="s">
        <v>97</v>
      </c>
      <c r="Q1350" s="678" t="s">
        <v>451</v>
      </c>
      <c r="R1350" s="678"/>
      <c r="S1350" s="678"/>
    </row>
    <row r="1351" spans="1:19" ht="21" x14ac:dyDescent="0.25">
      <c r="A1351" s="177" t="s">
        <v>285</v>
      </c>
      <c r="B1351" s="647">
        <v>44107</v>
      </c>
      <c r="C1351" s="648"/>
      <c r="D1351" s="648"/>
      <c r="E1351" s="648"/>
      <c r="F1351" s="648"/>
      <c r="G1351" s="648"/>
      <c r="H1351" s="648"/>
      <c r="I1351" s="648"/>
      <c r="J1351" s="648"/>
      <c r="K1351" s="648"/>
      <c r="L1351" s="648"/>
      <c r="M1351" s="648"/>
      <c r="N1351" s="648"/>
      <c r="O1351" s="649"/>
      <c r="P1351" s="168"/>
      <c r="Q1351" s="678"/>
      <c r="R1351" s="678"/>
      <c r="S1351" s="678"/>
    </row>
    <row r="1352" spans="1:19" x14ac:dyDescent="0.25">
      <c r="A1352" s="177"/>
      <c r="B1352" s="650" t="s">
        <v>115</v>
      </c>
      <c r="C1352" s="651"/>
      <c r="D1352" s="651"/>
      <c r="E1352" s="651"/>
      <c r="F1352" s="651"/>
      <c r="G1352" s="651"/>
      <c r="H1352" s="651"/>
      <c r="I1352" s="651"/>
      <c r="J1352" s="651"/>
      <c r="K1352" s="651"/>
      <c r="L1352" s="651"/>
      <c r="M1352" s="651"/>
      <c r="N1352" s="651"/>
      <c r="O1352" s="652"/>
      <c r="P1352" s="168"/>
      <c r="Q1352" s="678"/>
      <c r="R1352" s="678"/>
      <c r="S1352" s="678"/>
    </row>
    <row r="1353" spans="1:19" x14ac:dyDescent="0.25">
      <c r="A1353" s="177" t="s">
        <v>106</v>
      </c>
      <c r="B1353" s="629">
        <v>10.5</v>
      </c>
      <c r="C1353" s="630"/>
      <c r="D1353" s="630"/>
      <c r="E1353" s="631"/>
      <c r="F1353" s="365" t="s">
        <v>174</v>
      </c>
      <c r="G1353" s="471"/>
      <c r="H1353" s="653">
        <v>0</v>
      </c>
      <c r="I1353" s="654"/>
      <c r="J1353" s="654"/>
      <c r="K1353" s="654"/>
      <c r="L1353" s="655"/>
      <c r="M1353" s="656">
        <f>SUM(B1353,H1354)</f>
        <v>10.5</v>
      </c>
      <c r="N1353" s="630"/>
      <c r="O1353" s="631"/>
      <c r="P1353" s="168"/>
      <c r="Q1353" s="678"/>
      <c r="R1353" s="678"/>
      <c r="S1353" s="678"/>
    </row>
    <row r="1354" spans="1:19" x14ac:dyDescent="0.25">
      <c r="A1354" s="177" t="s">
        <v>112</v>
      </c>
      <c r="B1354" s="626">
        <v>0.12</v>
      </c>
      <c r="C1354" s="627"/>
      <c r="D1354" s="627"/>
      <c r="E1354" s="628"/>
      <c r="F1354" s="290"/>
      <c r="G1354" s="472"/>
      <c r="H1354" s="626">
        <v>0</v>
      </c>
      <c r="I1354" s="627"/>
      <c r="J1354" s="627"/>
      <c r="K1354" s="627"/>
      <c r="L1354" s="628"/>
      <c r="M1354" s="657">
        <f>B1354</f>
        <v>0.12</v>
      </c>
      <c r="N1354" s="627"/>
      <c r="O1354" s="628"/>
      <c r="P1354" s="168"/>
      <c r="Q1354" s="678"/>
      <c r="R1354" s="678"/>
      <c r="S1354" s="678"/>
    </row>
    <row r="1355" spans="1:19" x14ac:dyDescent="0.25">
      <c r="A1355" s="177" t="s">
        <v>107</v>
      </c>
      <c r="B1355" s="629">
        <f>B1353*(1-B1354)</f>
        <v>9.24</v>
      </c>
      <c r="C1355" s="630"/>
      <c r="D1355" s="630"/>
      <c r="E1355" s="631"/>
      <c r="F1355" s="290"/>
      <c r="G1355" s="472"/>
      <c r="H1355" s="629">
        <f>H1353*(1-H1354)</f>
        <v>0</v>
      </c>
      <c r="I1355" s="630"/>
      <c r="J1355" s="630"/>
      <c r="K1355" s="630"/>
      <c r="L1355" s="631"/>
      <c r="M1355" s="656">
        <f>SUM(B1355,H1355)</f>
        <v>9.24</v>
      </c>
      <c r="N1355" s="630"/>
      <c r="O1355" s="631"/>
      <c r="P1355" s="168"/>
      <c r="Q1355" s="261" t="s">
        <v>97</v>
      </c>
      <c r="R1355" s="262"/>
      <c r="S1355" s="263"/>
    </row>
    <row r="1356" spans="1:19" x14ac:dyDescent="0.25">
      <c r="A1356" s="177" t="s">
        <v>108</v>
      </c>
      <c r="B1356" s="626">
        <f>B1359/B1355</f>
        <v>0.69906006493506512</v>
      </c>
      <c r="C1356" s="627"/>
      <c r="D1356" s="627"/>
      <c r="E1356" s="627"/>
      <c r="F1356" s="627"/>
      <c r="G1356" s="627"/>
      <c r="H1356" s="627"/>
      <c r="I1356" s="627"/>
      <c r="J1356" s="627"/>
      <c r="K1356" s="627"/>
      <c r="L1356" s="627"/>
      <c r="M1356" s="627"/>
      <c r="N1356" s="627"/>
      <c r="O1356" s="628"/>
      <c r="P1356" s="168"/>
      <c r="Q1356" s="675" t="s">
        <v>139</v>
      </c>
      <c r="R1356" s="277" t="s">
        <v>140</v>
      </c>
      <c r="S1356" s="677" t="s">
        <v>142</v>
      </c>
    </row>
    <row r="1357" spans="1:19" x14ac:dyDescent="0.25">
      <c r="A1357" s="177" t="s">
        <v>113</v>
      </c>
      <c r="B1357" s="629">
        <f>B1361*(E1365+E1366)/1000</f>
        <v>20.836500000000001</v>
      </c>
      <c r="C1357" s="630"/>
      <c r="D1357" s="630"/>
      <c r="E1357" s="630"/>
      <c r="F1357" s="630"/>
      <c r="G1357" s="630"/>
      <c r="H1357" s="630"/>
      <c r="I1357" s="630"/>
      <c r="J1357" s="630"/>
      <c r="K1357" s="630"/>
      <c r="L1357" s="630"/>
      <c r="M1357" s="630"/>
      <c r="N1357" s="630"/>
      <c r="O1357" s="631"/>
      <c r="P1357" s="168"/>
      <c r="Q1357" s="676"/>
      <c r="R1357" s="277" t="s">
        <v>141</v>
      </c>
      <c r="S1357" s="677"/>
    </row>
    <row r="1358" spans="1:19" x14ac:dyDescent="0.25">
      <c r="A1358" s="177" t="s">
        <v>109</v>
      </c>
      <c r="B1358" s="626">
        <v>0.69</v>
      </c>
      <c r="C1358" s="627"/>
      <c r="D1358" s="627"/>
      <c r="E1358" s="627"/>
      <c r="F1358" s="627"/>
      <c r="G1358" s="627"/>
      <c r="H1358" s="627"/>
      <c r="I1358" s="627"/>
      <c r="J1358" s="627"/>
      <c r="K1358" s="627"/>
      <c r="L1358" s="627"/>
      <c r="M1358" s="627"/>
      <c r="N1358" s="627"/>
      <c r="O1358" s="628"/>
      <c r="P1358" s="168"/>
      <c r="Q1358" s="278" t="s">
        <v>143</v>
      </c>
      <c r="R1358" s="277">
        <v>9</v>
      </c>
      <c r="S1358" s="279" t="s">
        <v>461</v>
      </c>
    </row>
    <row r="1359" spans="1:19" x14ac:dyDescent="0.25">
      <c r="A1359" s="177" t="s">
        <v>122</v>
      </c>
      <c r="B1359" s="629">
        <f>B1357-(B1357*B1358)</f>
        <v>6.4593150000000019</v>
      </c>
      <c r="C1359" s="630"/>
      <c r="D1359" s="630"/>
      <c r="E1359" s="630"/>
      <c r="F1359" s="630"/>
      <c r="G1359" s="630"/>
      <c r="H1359" s="630"/>
      <c r="I1359" s="630"/>
      <c r="J1359" s="630"/>
      <c r="K1359" s="630"/>
      <c r="L1359" s="630"/>
      <c r="M1359" s="630"/>
      <c r="N1359" s="630"/>
      <c r="O1359" s="631"/>
      <c r="P1359" s="168"/>
      <c r="Q1359" s="278" t="s">
        <v>145</v>
      </c>
      <c r="R1359" s="277">
        <v>8</v>
      </c>
      <c r="S1359" s="280" t="s">
        <v>466</v>
      </c>
    </row>
    <row r="1360" spans="1:19" x14ac:dyDescent="0.25">
      <c r="A1360" s="177" t="s">
        <v>110</v>
      </c>
      <c r="B1360" s="632">
        <v>140</v>
      </c>
      <c r="C1360" s="633"/>
      <c r="D1360" s="633"/>
      <c r="E1360" s="633"/>
      <c r="F1360" s="633"/>
      <c r="G1360" s="633"/>
      <c r="H1360" s="633"/>
      <c r="I1360" s="633"/>
      <c r="J1360" s="633"/>
      <c r="K1360" s="633"/>
      <c r="L1360" s="633"/>
      <c r="M1360" s="633"/>
      <c r="N1360" s="633"/>
      <c r="O1360" s="634"/>
      <c r="P1360" s="168"/>
      <c r="Q1360" s="278" t="s">
        <v>147</v>
      </c>
      <c r="R1360" s="277">
        <v>8</v>
      </c>
      <c r="S1360" s="279" t="s">
        <v>411</v>
      </c>
    </row>
    <row r="1361" spans="1:19" ht="28.5" x14ac:dyDescent="0.25">
      <c r="A1361" s="177" t="s">
        <v>111</v>
      </c>
      <c r="B1361" s="635">
        <v>14.5</v>
      </c>
      <c r="C1361" s="636"/>
      <c r="D1361" s="636"/>
      <c r="E1361" s="636"/>
      <c r="F1361" s="636"/>
      <c r="G1361" s="636"/>
      <c r="H1361" s="636"/>
      <c r="I1361" s="636"/>
      <c r="J1361" s="636"/>
      <c r="K1361" s="636"/>
      <c r="L1361" s="636"/>
      <c r="M1361" s="636"/>
      <c r="N1361" s="636"/>
      <c r="O1361" s="637"/>
      <c r="P1361" s="168"/>
      <c r="Q1361" s="281" t="s">
        <v>82</v>
      </c>
      <c r="R1361" s="277">
        <v>8</v>
      </c>
      <c r="S1361" s="280" t="s">
        <v>456</v>
      </c>
    </row>
    <row r="1362" spans="1:19" ht="15.75" thickBot="1" x14ac:dyDescent="0.3">
      <c r="A1362" s="177" t="s">
        <v>273</v>
      </c>
      <c r="B1362" s="638" t="s">
        <v>468</v>
      </c>
      <c r="C1362" s="638"/>
      <c r="D1362" s="638"/>
      <c r="E1362" s="638"/>
      <c r="F1362" s="638"/>
      <c r="G1362" s="638"/>
      <c r="H1362" s="638"/>
      <c r="I1362" s="638"/>
      <c r="J1362" s="638"/>
      <c r="K1362" s="638"/>
      <c r="L1362" s="638"/>
      <c r="M1362" s="638"/>
      <c r="N1362" s="638"/>
      <c r="O1362" s="639"/>
      <c r="P1362" s="168"/>
      <c r="Q1362" s="238" t="s">
        <v>152</v>
      </c>
      <c r="R1362" s="277">
        <v>8</v>
      </c>
      <c r="S1362" s="280" t="s">
        <v>464</v>
      </c>
    </row>
    <row r="1363" spans="1:19" x14ac:dyDescent="0.25">
      <c r="A1363" s="177" t="s">
        <v>351</v>
      </c>
      <c r="B1363" s="431"/>
      <c r="C1363" s="431"/>
      <c r="D1363" s="431"/>
      <c r="E1363" s="431"/>
      <c r="F1363" s="431"/>
      <c r="G1363" s="431"/>
      <c r="H1363" s="431"/>
      <c r="I1363" s="431"/>
      <c r="J1363" s="431"/>
      <c r="K1363" s="431"/>
      <c r="L1363" s="431"/>
      <c r="M1363" s="431"/>
      <c r="N1363" s="431"/>
      <c r="O1363" s="432"/>
      <c r="P1363" s="168"/>
      <c r="Q1363" s="278" t="s">
        <v>154</v>
      </c>
      <c r="R1363" s="277">
        <v>5</v>
      </c>
      <c r="S1363" s="279" t="s">
        <v>443</v>
      </c>
    </row>
    <row r="1364" spans="1:19" x14ac:dyDescent="0.25">
      <c r="E1364" s="307" t="s">
        <v>98</v>
      </c>
      <c r="F1364" s="365" t="s">
        <v>102</v>
      </c>
      <c r="G1364" s="365"/>
      <c r="H1364" s="365" t="s">
        <v>92</v>
      </c>
      <c r="I1364" s="365" t="s">
        <v>93</v>
      </c>
      <c r="J1364" s="365" t="s">
        <v>94</v>
      </c>
      <c r="K1364" s="359" t="s">
        <v>99</v>
      </c>
      <c r="L1364" s="433"/>
      <c r="M1364" s="433"/>
      <c r="N1364" s="433"/>
      <c r="O1364" s="434"/>
      <c r="P1364" s="168"/>
      <c r="Q1364" s="278" t="s">
        <v>156</v>
      </c>
      <c r="R1364" s="277">
        <v>5</v>
      </c>
      <c r="S1364" s="279" t="s">
        <v>31</v>
      </c>
    </row>
    <row r="1365" spans="1:19" x14ac:dyDescent="0.25">
      <c r="E1365" s="308">
        <v>1273</v>
      </c>
      <c r="F1365" s="365" t="s">
        <v>95</v>
      </c>
      <c r="G1365" s="365"/>
      <c r="H1365" s="441">
        <v>1331.69</v>
      </c>
      <c r="I1365" s="441">
        <v>1492.44</v>
      </c>
      <c r="J1365" s="441">
        <v>1023.58</v>
      </c>
      <c r="K1365" s="359">
        <f>SUM(H1365:J1365)</f>
        <v>3847.71</v>
      </c>
      <c r="L1365" s="436"/>
      <c r="M1365" s="436"/>
      <c r="N1365" s="436"/>
      <c r="O1365" s="437"/>
      <c r="P1365" s="168"/>
      <c r="Q1365" s="278" t="s">
        <v>158</v>
      </c>
      <c r="R1365" s="277"/>
      <c r="S1365" s="279"/>
    </row>
    <row r="1366" spans="1:19" x14ac:dyDescent="0.25">
      <c r="E1366" s="308">
        <v>164</v>
      </c>
      <c r="F1366" s="365" t="s">
        <v>96</v>
      </c>
      <c r="G1366" s="365"/>
      <c r="H1366" s="441">
        <v>111.52</v>
      </c>
      <c r="I1366" s="441">
        <v>150.26</v>
      </c>
      <c r="J1366" s="441">
        <v>83.22</v>
      </c>
      <c r="K1366" s="359">
        <f t="shared" ref="K1366:K1372" si="160">SUM(H1366:J1366)</f>
        <v>345</v>
      </c>
      <c r="L1366" s="436"/>
      <c r="M1366" s="436"/>
      <c r="N1366" s="436"/>
      <c r="O1366" s="437"/>
      <c r="P1366" s="168"/>
      <c r="Q1366" s="277" t="s">
        <v>99</v>
      </c>
      <c r="R1366" s="277" t="s">
        <v>467</v>
      </c>
      <c r="S1366" s="282">
        <v>0.72799999999999998</v>
      </c>
    </row>
    <row r="1367" spans="1:19" x14ac:dyDescent="0.25">
      <c r="E1367" s="307" t="s">
        <v>100</v>
      </c>
      <c r="F1367" s="365" t="s">
        <v>95</v>
      </c>
      <c r="G1367" s="365"/>
      <c r="H1367" s="444">
        <f t="shared" ref="H1367:J1368" si="161">H1365/$E1365</f>
        <v>1.0461036920659859</v>
      </c>
      <c r="I1367" s="429">
        <f t="shared" si="161"/>
        <v>1.1723802042419482</v>
      </c>
      <c r="J1367" s="429">
        <f t="shared" si="161"/>
        <v>0.80406912804399056</v>
      </c>
      <c r="K1367" s="374">
        <f t="shared" si="160"/>
        <v>3.0225530243519247</v>
      </c>
      <c r="L1367" s="436"/>
      <c r="M1367" s="436"/>
      <c r="N1367" s="436"/>
      <c r="O1367" s="437"/>
      <c r="P1367" s="168"/>
      <c r="Q1367" s="275"/>
      <c r="R1367" s="267"/>
      <c r="S1367" s="283"/>
    </row>
    <row r="1368" spans="1:19" x14ac:dyDescent="0.25">
      <c r="E1368" s="307" t="s">
        <v>100</v>
      </c>
      <c r="F1368" s="438" t="s">
        <v>96</v>
      </c>
      <c r="G1368" s="438"/>
      <c r="H1368" s="359">
        <f t="shared" si="161"/>
        <v>0.67999999999999994</v>
      </c>
      <c r="I1368" s="359">
        <f t="shared" si="161"/>
        <v>0.91621951219512188</v>
      </c>
      <c r="J1368" s="359">
        <f t="shared" si="161"/>
        <v>0.50743902439024391</v>
      </c>
      <c r="K1368" s="359">
        <f t="shared" si="160"/>
        <v>2.1036585365853657</v>
      </c>
      <c r="L1368" s="436"/>
      <c r="M1368" s="436"/>
      <c r="N1368" s="436"/>
      <c r="O1368" s="437"/>
      <c r="P1368" s="168"/>
      <c r="Q1368" s="276"/>
      <c r="R1368" s="262"/>
      <c r="S1368" s="262"/>
    </row>
    <row r="1369" spans="1:19" x14ac:dyDescent="0.25">
      <c r="E1369" s="307" t="s">
        <v>104</v>
      </c>
      <c r="F1369" s="365" t="s">
        <v>95</v>
      </c>
      <c r="G1369" s="365"/>
      <c r="H1369" s="359">
        <f>H1365/($E1365/7.7)</f>
        <v>8.0549984289080907</v>
      </c>
      <c r="I1369" s="359">
        <f>I1365/($E1365/7)</f>
        <v>8.2066614296936375</v>
      </c>
      <c r="J1369" s="359">
        <f>J1365/($E1365/7)</f>
        <v>5.6284838963079338</v>
      </c>
      <c r="K1369" s="359">
        <f t="shared" si="160"/>
        <v>21.890143754909662</v>
      </c>
      <c r="L1369" s="436"/>
      <c r="M1369" s="436"/>
      <c r="N1369" s="436"/>
      <c r="O1369" s="437"/>
      <c r="P1369" s="168"/>
      <c r="Q1369" s="275"/>
      <c r="R1369" s="262"/>
      <c r="S1369" s="262"/>
    </row>
    <row r="1370" spans="1:19" x14ac:dyDescent="0.25">
      <c r="E1370" s="307" t="s">
        <v>104</v>
      </c>
      <c r="F1370" s="438" t="s">
        <v>96</v>
      </c>
      <c r="G1370" s="438"/>
      <c r="H1370" s="359">
        <f>H1366/($E1366/7.7)</f>
        <v>5.2359999999999998</v>
      </c>
      <c r="I1370" s="359">
        <f>I1366/($E1366/7.7)</f>
        <v>7.0548902439024381</v>
      </c>
      <c r="J1370" s="359">
        <f>J1366/($E1366/7.7)</f>
        <v>3.9072804878048779</v>
      </c>
      <c r="K1370" s="359">
        <f t="shared" si="160"/>
        <v>16.198170731707318</v>
      </c>
      <c r="L1370" s="436"/>
      <c r="M1370" s="436"/>
      <c r="N1370" s="436"/>
      <c r="O1370" s="437"/>
      <c r="P1370" s="168"/>
      <c r="Q1370" s="275"/>
      <c r="R1370" s="262"/>
      <c r="S1370" s="262"/>
    </row>
    <row r="1371" spans="1:19" x14ac:dyDescent="0.25">
      <c r="E1371" s="307" t="s">
        <v>135</v>
      </c>
      <c r="F1371" s="365" t="s">
        <v>95</v>
      </c>
      <c r="G1371" s="365"/>
      <c r="H1371" s="359">
        <f>H1365/((($E1365*$B1361)*(1-$B1358))/$B1356)</f>
        <v>0.16268950275961275</v>
      </c>
      <c r="I1371" s="359">
        <f>I1365/((($E1365*$B1361)*(1-$B1358))/$B1356)</f>
        <v>0.18232796033503026</v>
      </c>
      <c r="J1371" s="359">
        <f>J1365/((($E1365*$B1361)*(1-$B1358))/$B1356)</f>
        <v>0.12504841309515308</v>
      </c>
      <c r="K1371" s="359">
        <f t="shared" si="160"/>
        <v>0.47006587618979606</v>
      </c>
      <c r="L1371" s="436"/>
      <c r="M1371" s="436"/>
      <c r="N1371" s="436"/>
      <c r="O1371" s="437"/>
      <c r="P1371" s="42"/>
      <c r="Q1371" s="263"/>
      <c r="R1371" s="262"/>
      <c r="S1371" s="263"/>
    </row>
    <row r="1372" spans="1:19" x14ac:dyDescent="0.25">
      <c r="E1372" s="307" t="s">
        <v>135</v>
      </c>
      <c r="F1372" s="438" t="s">
        <v>96</v>
      </c>
      <c r="G1372" s="438"/>
      <c r="H1372" s="359">
        <f>H1366/((($E1366*$B1361)*(1-$B1358))/$B1356)</f>
        <v>0.10575324675324675</v>
      </c>
      <c r="I1372" s="359">
        <f>I1366/((($E1366*$B1361)*(1-$B1358))/$B1356)</f>
        <v>0.14248998257839721</v>
      </c>
      <c r="J1372" s="359">
        <f>J1366/((($E1366*$B1361)*(1-$B1358))/$B1356)</f>
        <v>7.8916653468482742E-2</v>
      </c>
      <c r="K1372" s="359">
        <f t="shared" si="160"/>
        <v>0.3271598828001267</v>
      </c>
      <c r="L1372" s="439"/>
      <c r="M1372" s="439"/>
      <c r="N1372" s="439"/>
      <c r="O1372" s="440"/>
      <c r="P1372" s="42"/>
      <c r="Q1372" s="263"/>
      <c r="R1372" s="262"/>
      <c r="S1372" s="263"/>
    </row>
    <row r="1373" spans="1:19" x14ac:dyDescent="0.25">
      <c r="A1373" s="178"/>
      <c r="B1373" s="178"/>
      <c r="C1373" s="178"/>
      <c r="D1373" s="178"/>
      <c r="E1373" s="178"/>
      <c r="F1373" s="178"/>
      <c r="G1373" s="178"/>
      <c r="H1373" s="178"/>
      <c r="I1373" s="178"/>
      <c r="J1373" s="178"/>
      <c r="K1373" s="178"/>
      <c r="L1373" s="178"/>
      <c r="M1373" s="178"/>
      <c r="N1373" s="178"/>
      <c r="O1373" s="178"/>
      <c r="P1373" s="167"/>
      <c r="Q1373" s="233"/>
      <c r="R1373" s="233"/>
      <c r="S1373" s="233"/>
    </row>
    <row r="1374" spans="1:19" ht="21" x14ac:dyDescent="0.25">
      <c r="A1374" s="305"/>
      <c r="B1374" s="644" t="s">
        <v>449</v>
      </c>
      <c r="C1374" s="645"/>
      <c r="D1374" s="645"/>
      <c r="E1374" s="645"/>
      <c r="F1374" s="645"/>
      <c r="G1374" s="645"/>
      <c r="H1374" s="645"/>
      <c r="I1374" s="645"/>
      <c r="J1374" s="645"/>
      <c r="K1374" s="645"/>
      <c r="L1374" s="645"/>
      <c r="M1374" s="645"/>
      <c r="N1374" s="645"/>
      <c r="O1374" s="646"/>
      <c r="P1374" s="168" t="s">
        <v>97</v>
      </c>
      <c r="Q1374" s="678" t="s">
        <v>452</v>
      </c>
      <c r="R1374" s="678"/>
      <c r="S1374" s="678"/>
    </row>
    <row r="1375" spans="1:19" ht="21" x14ac:dyDescent="0.25">
      <c r="A1375" s="177" t="s">
        <v>285</v>
      </c>
      <c r="B1375" s="647">
        <v>44122</v>
      </c>
      <c r="C1375" s="648"/>
      <c r="D1375" s="648"/>
      <c r="E1375" s="648"/>
      <c r="F1375" s="648"/>
      <c r="G1375" s="648"/>
      <c r="H1375" s="648"/>
      <c r="I1375" s="648"/>
      <c r="J1375" s="648"/>
      <c r="K1375" s="648"/>
      <c r="L1375" s="648"/>
      <c r="M1375" s="648"/>
      <c r="N1375" s="648"/>
      <c r="O1375" s="649"/>
      <c r="P1375" s="168"/>
      <c r="Q1375" s="678"/>
      <c r="R1375" s="678"/>
      <c r="S1375" s="678"/>
    </row>
    <row r="1376" spans="1:19" x14ac:dyDescent="0.25">
      <c r="A1376" s="177"/>
      <c r="B1376" s="650" t="s">
        <v>115</v>
      </c>
      <c r="C1376" s="651"/>
      <c r="D1376" s="651"/>
      <c r="E1376" s="651"/>
      <c r="F1376" s="651"/>
      <c r="G1376" s="651"/>
      <c r="H1376" s="651"/>
      <c r="I1376" s="651"/>
      <c r="J1376" s="651"/>
      <c r="K1376" s="651"/>
      <c r="L1376" s="651"/>
      <c r="M1376" s="651"/>
      <c r="N1376" s="651"/>
      <c r="O1376" s="652"/>
      <c r="P1376" s="168"/>
      <c r="Q1376" s="678"/>
      <c r="R1376" s="678"/>
      <c r="S1376" s="678"/>
    </row>
    <row r="1377" spans="1:19" x14ac:dyDescent="0.25">
      <c r="A1377" s="177" t="s">
        <v>106</v>
      </c>
      <c r="B1377" s="629">
        <v>12</v>
      </c>
      <c r="C1377" s="630"/>
      <c r="D1377" s="630"/>
      <c r="E1377" s="631"/>
      <c r="F1377" s="365" t="s">
        <v>174</v>
      </c>
      <c r="G1377" s="471"/>
      <c r="H1377" s="653">
        <v>0</v>
      </c>
      <c r="I1377" s="654"/>
      <c r="J1377" s="654"/>
      <c r="K1377" s="654"/>
      <c r="L1377" s="655"/>
      <c r="M1377" s="656">
        <f>SUM(B1377,H1378)</f>
        <v>12.68</v>
      </c>
      <c r="N1377" s="630"/>
      <c r="O1377" s="631"/>
      <c r="P1377" s="168"/>
      <c r="Q1377" s="678"/>
      <c r="R1377" s="678"/>
      <c r="S1377" s="678"/>
    </row>
    <row r="1378" spans="1:19" x14ac:dyDescent="0.25">
      <c r="A1378" s="177" t="s">
        <v>112</v>
      </c>
      <c r="B1378" s="626">
        <v>0.12</v>
      </c>
      <c r="C1378" s="627"/>
      <c r="D1378" s="627"/>
      <c r="E1378" s="628"/>
      <c r="F1378" s="290"/>
      <c r="G1378" s="472"/>
      <c r="H1378" s="626">
        <v>0.68</v>
      </c>
      <c r="I1378" s="627"/>
      <c r="J1378" s="627"/>
      <c r="K1378" s="627"/>
      <c r="L1378" s="628"/>
      <c r="M1378" s="657">
        <f>B1378</f>
        <v>0.12</v>
      </c>
      <c r="N1378" s="627"/>
      <c r="O1378" s="628"/>
      <c r="P1378" s="168"/>
      <c r="Q1378" s="678"/>
      <c r="R1378" s="678"/>
      <c r="S1378" s="678"/>
    </row>
    <row r="1379" spans="1:19" ht="15.75" thickBot="1" x14ac:dyDescent="0.3">
      <c r="A1379" s="177" t="s">
        <v>107</v>
      </c>
      <c r="B1379" s="629">
        <f>B1377*(1-B1378)</f>
        <v>10.56</v>
      </c>
      <c r="C1379" s="630"/>
      <c r="D1379" s="630"/>
      <c r="E1379" s="631"/>
      <c r="F1379" s="290"/>
      <c r="G1379" s="472"/>
      <c r="H1379" s="629">
        <f>H1377*(1-H1378)</f>
        <v>0</v>
      </c>
      <c r="I1379" s="630"/>
      <c r="J1379" s="630"/>
      <c r="K1379" s="630"/>
      <c r="L1379" s="631"/>
      <c r="M1379" s="656">
        <f>SUM(B1379,H1379)</f>
        <v>10.56</v>
      </c>
      <c r="N1379" s="630"/>
      <c r="O1379" s="631"/>
      <c r="P1379" s="168"/>
      <c r="Q1379" s="261" t="s">
        <v>97</v>
      </c>
      <c r="R1379" s="262"/>
      <c r="S1379" s="263"/>
    </row>
    <row r="1380" spans="1:19" x14ac:dyDescent="0.25">
      <c r="A1380" s="177" t="s">
        <v>108</v>
      </c>
      <c r="B1380" s="626">
        <f>B1383/B1379</f>
        <v>0.79662121212121184</v>
      </c>
      <c r="C1380" s="627"/>
      <c r="D1380" s="627"/>
      <c r="E1380" s="627"/>
      <c r="F1380" s="627"/>
      <c r="G1380" s="627"/>
      <c r="H1380" s="627"/>
      <c r="I1380" s="627"/>
      <c r="J1380" s="627"/>
      <c r="K1380" s="627"/>
      <c r="L1380" s="627"/>
      <c r="M1380" s="627"/>
      <c r="N1380" s="627"/>
      <c r="O1380" s="628"/>
      <c r="P1380" s="168"/>
      <c r="Q1380" s="240" t="s">
        <v>139</v>
      </c>
      <c r="R1380" s="235" t="s">
        <v>140</v>
      </c>
      <c r="S1380" s="284" t="s">
        <v>142</v>
      </c>
    </row>
    <row r="1381" spans="1:19" ht="15.75" thickBot="1" x14ac:dyDescent="0.3">
      <c r="A1381" s="177" t="s">
        <v>113</v>
      </c>
      <c r="B1381" s="629">
        <f>B1385*(B1389+B1390+I1389+I1390)/1000</f>
        <v>26.288499999999999</v>
      </c>
      <c r="C1381" s="630"/>
      <c r="D1381" s="630"/>
      <c r="E1381" s="630"/>
      <c r="F1381" s="630"/>
      <c r="G1381" s="630"/>
      <c r="H1381" s="630"/>
      <c r="I1381" s="630"/>
      <c r="J1381" s="630"/>
      <c r="K1381" s="630"/>
      <c r="L1381" s="630"/>
      <c r="M1381" s="630"/>
      <c r="N1381" s="630"/>
      <c r="O1381" s="631"/>
      <c r="P1381" s="168"/>
      <c r="Q1381" s="185"/>
      <c r="R1381" s="183" t="s">
        <v>141</v>
      </c>
      <c r="S1381" s="237"/>
    </row>
    <row r="1382" spans="1:19" ht="15.75" thickBot="1" x14ac:dyDescent="0.3">
      <c r="A1382" s="177" t="s">
        <v>109</v>
      </c>
      <c r="B1382" s="626">
        <v>0.68</v>
      </c>
      <c r="C1382" s="627"/>
      <c r="D1382" s="627"/>
      <c r="E1382" s="627"/>
      <c r="F1382" s="627"/>
      <c r="G1382" s="627"/>
      <c r="H1382" s="627"/>
      <c r="I1382" s="627"/>
      <c r="J1382" s="627"/>
      <c r="K1382" s="627"/>
      <c r="L1382" s="627"/>
      <c r="M1382" s="627"/>
      <c r="N1382" s="627"/>
      <c r="O1382" s="628"/>
      <c r="P1382" s="168"/>
      <c r="Q1382" s="238" t="s">
        <v>143</v>
      </c>
      <c r="R1382" s="183">
        <v>6</v>
      </c>
      <c r="S1382" s="181" t="s">
        <v>477</v>
      </c>
    </row>
    <row r="1383" spans="1:19" ht="15.75" thickBot="1" x14ac:dyDescent="0.3">
      <c r="A1383" s="177" t="s">
        <v>122</v>
      </c>
      <c r="B1383" s="629">
        <f>B1381-(B1381*B1382)</f>
        <v>8.4123199999999976</v>
      </c>
      <c r="C1383" s="630"/>
      <c r="D1383" s="630"/>
      <c r="E1383" s="630"/>
      <c r="F1383" s="630"/>
      <c r="G1383" s="630"/>
      <c r="H1383" s="630"/>
      <c r="I1383" s="630"/>
      <c r="J1383" s="630"/>
      <c r="K1383" s="630"/>
      <c r="L1383" s="630"/>
      <c r="M1383" s="630"/>
      <c r="N1383" s="630"/>
      <c r="O1383" s="631"/>
      <c r="P1383" s="168"/>
      <c r="Q1383" s="238" t="s">
        <v>145</v>
      </c>
      <c r="R1383" s="183">
        <v>8</v>
      </c>
      <c r="S1383" s="184" t="s">
        <v>478</v>
      </c>
    </row>
    <row r="1384" spans="1:19" ht="15.75" thickBot="1" x14ac:dyDescent="0.3">
      <c r="A1384" s="177" t="s">
        <v>110</v>
      </c>
      <c r="B1384" s="632">
        <v>140</v>
      </c>
      <c r="C1384" s="633"/>
      <c r="D1384" s="633"/>
      <c r="E1384" s="633"/>
      <c r="F1384" s="633"/>
      <c r="G1384" s="633"/>
      <c r="H1384" s="633"/>
      <c r="I1384" s="633"/>
      <c r="J1384" s="633"/>
      <c r="K1384" s="633"/>
      <c r="L1384" s="633"/>
      <c r="M1384" s="633"/>
      <c r="N1384" s="633"/>
      <c r="O1384" s="634"/>
      <c r="P1384" s="168"/>
      <c r="Q1384" s="238" t="s">
        <v>147</v>
      </c>
      <c r="R1384" s="183">
        <v>9</v>
      </c>
      <c r="S1384" s="181" t="s">
        <v>411</v>
      </c>
    </row>
    <row r="1385" spans="1:19" x14ac:dyDescent="0.25">
      <c r="A1385" s="177" t="s">
        <v>111</v>
      </c>
      <c r="B1385" s="635">
        <v>14.5</v>
      </c>
      <c r="C1385" s="636"/>
      <c r="D1385" s="636"/>
      <c r="E1385" s="636"/>
      <c r="F1385" s="636"/>
      <c r="G1385" s="636"/>
      <c r="H1385" s="636"/>
      <c r="I1385" s="636"/>
      <c r="J1385" s="636"/>
      <c r="K1385" s="636"/>
      <c r="L1385" s="636"/>
      <c r="M1385" s="636"/>
      <c r="N1385" s="636"/>
      <c r="O1385" s="637"/>
      <c r="P1385" s="168"/>
      <c r="Q1385" s="239" t="s">
        <v>149</v>
      </c>
      <c r="R1385" s="671">
        <v>8</v>
      </c>
      <c r="S1385" s="673" t="s">
        <v>441</v>
      </c>
    </row>
    <row r="1386" spans="1:19" ht="15.75" thickBot="1" x14ac:dyDescent="0.3">
      <c r="A1386" s="177" t="s">
        <v>273</v>
      </c>
      <c r="B1386" s="638"/>
      <c r="C1386" s="638"/>
      <c r="D1386" s="638"/>
      <c r="E1386" s="638"/>
      <c r="F1386" s="638"/>
      <c r="G1386" s="638"/>
      <c r="H1386" s="638"/>
      <c r="I1386" s="638"/>
      <c r="J1386" s="638"/>
      <c r="K1386" s="638"/>
      <c r="L1386" s="638"/>
      <c r="M1386" s="638"/>
      <c r="N1386" s="638"/>
      <c r="O1386" s="639"/>
      <c r="P1386" s="168"/>
      <c r="Q1386" s="238" t="s">
        <v>150</v>
      </c>
      <c r="R1386" s="672"/>
      <c r="S1386" s="674"/>
    </row>
    <row r="1387" spans="1:19" ht="15.75" thickBot="1" x14ac:dyDescent="0.3">
      <c r="A1387" s="177" t="s">
        <v>351</v>
      </c>
      <c r="B1387" s="431"/>
      <c r="C1387" s="431"/>
      <c r="D1387" s="431"/>
      <c r="E1387" s="431"/>
      <c r="F1387" s="431"/>
      <c r="G1387" s="431"/>
      <c r="H1387" s="431"/>
      <c r="I1387" s="431"/>
      <c r="J1387" s="431"/>
      <c r="K1387" s="431"/>
      <c r="L1387" s="431"/>
      <c r="M1387" s="431"/>
      <c r="N1387" s="431"/>
      <c r="O1387" s="432"/>
      <c r="P1387" s="168"/>
      <c r="Q1387" s="238" t="s">
        <v>152</v>
      </c>
      <c r="R1387" s="183">
        <v>7</v>
      </c>
      <c r="S1387" s="184" t="s">
        <v>479</v>
      </c>
    </row>
    <row r="1388" spans="1:19" ht="15.75" thickBot="1" x14ac:dyDescent="0.3">
      <c r="B1388" s="307" t="s">
        <v>98</v>
      </c>
      <c r="C1388" s="365" t="s">
        <v>102</v>
      </c>
      <c r="D1388" s="365" t="s">
        <v>92</v>
      </c>
      <c r="E1388" s="365" t="s">
        <v>93</v>
      </c>
      <c r="F1388" s="365" t="s">
        <v>94</v>
      </c>
      <c r="G1388" s="365"/>
      <c r="H1388" s="359" t="s">
        <v>99</v>
      </c>
      <c r="I1388" s="307" t="s">
        <v>98</v>
      </c>
      <c r="J1388" s="365" t="s">
        <v>102</v>
      </c>
      <c r="K1388" s="365" t="s">
        <v>92</v>
      </c>
      <c r="L1388" s="365" t="s">
        <v>93</v>
      </c>
      <c r="M1388" s="365" t="s">
        <v>94</v>
      </c>
      <c r="N1388" s="365"/>
      <c r="O1388" s="359" t="s">
        <v>99</v>
      </c>
      <c r="P1388" s="168"/>
      <c r="Q1388" s="238" t="s">
        <v>154</v>
      </c>
      <c r="R1388" s="183">
        <v>8</v>
      </c>
      <c r="S1388" s="181" t="s">
        <v>443</v>
      </c>
    </row>
    <row r="1389" spans="1:19" ht="15.75" thickBot="1" x14ac:dyDescent="0.3">
      <c r="B1389" s="308">
        <v>805</v>
      </c>
      <c r="C1389" s="365" t="s">
        <v>95</v>
      </c>
      <c r="D1389" s="441">
        <v>784.66</v>
      </c>
      <c r="E1389" s="441">
        <v>726.43</v>
      </c>
      <c r="F1389" s="441">
        <v>473.72</v>
      </c>
      <c r="G1389" s="441"/>
      <c r="H1389" s="359">
        <f>SUM(D1389:F1389)</f>
        <v>1984.81</v>
      </c>
      <c r="I1389" s="308">
        <v>808</v>
      </c>
      <c r="J1389" s="365" t="s">
        <v>95</v>
      </c>
      <c r="K1389" s="441">
        <v>912.39</v>
      </c>
      <c r="L1389" s="441">
        <v>1085.79</v>
      </c>
      <c r="M1389" s="441">
        <v>712.28</v>
      </c>
      <c r="N1389" s="441"/>
      <c r="O1389" s="359">
        <f t="shared" ref="O1389:O1396" si="162">SUM(K1389:M1389)</f>
        <v>2710.46</v>
      </c>
      <c r="P1389" s="168"/>
      <c r="Q1389" s="238" t="s">
        <v>156</v>
      </c>
      <c r="R1389" s="183">
        <v>8</v>
      </c>
      <c r="S1389" s="181" t="s">
        <v>84</v>
      </c>
    </row>
    <row r="1390" spans="1:19" ht="15.75" thickBot="1" x14ac:dyDescent="0.3">
      <c r="B1390" s="308">
        <v>100</v>
      </c>
      <c r="C1390" s="365" t="s">
        <v>96</v>
      </c>
      <c r="D1390" s="441">
        <v>130.5</v>
      </c>
      <c r="E1390" s="441">
        <v>122.32</v>
      </c>
      <c r="F1390" s="441">
        <v>53.02</v>
      </c>
      <c r="G1390" s="441"/>
      <c r="H1390" s="359">
        <f t="shared" ref="H1390:H1396" si="163">SUM(D1390:F1390)</f>
        <v>305.83999999999997</v>
      </c>
      <c r="I1390" s="308">
        <v>100</v>
      </c>
      <c r="J1390" s="365" t="s">
        <v>96</v>
      </c>
      <c r="K1390" s="441">
        <v>95.68</v>
      </c>
      <c r="L1390" s="441">
        <v>99.82</v>
      </c>
      <c r="M1390" s="441">
        <v>80.34</v>
      </c>
      <c r="N1390" s="441"/>
      <c r="O1390" s="359">
        <f t="shared" si="162"/>
        <v>275.84000000000003</v>
      </c>
      <c r="P1390" s="168"/>
      <c r="Q1390" s="238" t="s">
        <v>158</v>
      </c>
      <c r="R1390" s="183"/>
      <c r="S1390" s="181"/>
    </row>
    <row r="1391" spans="1:19" ht="15.75" thickBot="1" x14ac:dyDescent="0.3">
      <c r="B1391" s="307" t="s">
        <v>100</v>
      </c>
      <c r="C1391" s="365" t="s">
        <v>95</v>
      </c>
      <c r="D1391" s="444">
        <f t="shared" ref="D1391:F1392" si="164">D1389/$B1389</f>
        <v>0.97473291925465833</v>
      </c>
      <c r="E1391" s="429">
        <f t="shared" si="164"/>
        <v>0.90239751552795022</v>
      </c>
      <c r="F1391" s="429">
        <f t="shared" si="164"/>
        <v>0.588472049689441</v>
      </c>
      <c r="G1391" s="429"/>
      <c r="H1391" s="374">
        <f t="shared" si="163"/>
        <v>2.4656024844720497</v>
      </c>
      <c r="I1391" s="307" t="s">
        <v>100</v>
      </c>
      <c r="J1391" s="365" t="s">
        <v>95</v>
      </c>
      <c r="K1391" s="444">
        <f t="shared" ref="K1391:M1392" si="165">K1389/$I1389</f>
        <v>1.1291955445544555</v>
      </c>
      <c r="L1391" s="429">
        <f t="shared" si="165"/>
        <v>1.3437995049504949</v>
      </c>
      <c r="M1391" s="429">
        <f t="shared" si="165"/>
        <v>0.88153465346534654</v>
      </c>
      <c r="N1391" s="429"/>
      <c r="O1391" s="374">
        <f t="shared" si="162"/>
        <v>3.354529702970297</v>
      </c>
      <c r="P1391" s="168"/>
      <c r="Q1391" s="186" t="s">
        <v>99</v>
      </c>
      <c r="R1391" s="253">
        <f>SUM(R1382:R1390)/70</f>
        <v>0.77142857142857146</v>
      </c>
      <c r="S1391" s="186"/>
    </row>
    <row r="1392" spans="1:19" x14ac:dyDescent="0.25">
      <c r="B1392" s="307" t="s">
        <v>100</v>
      </c>
      <c r="C1392" s="438" t="s">
        <v>96</v>
      </c>
      <c r="D1392" s="359">
        <f t="shared" si="164"/>
        <v>1.3049999999999999</v>
      </c>
      <c r="E1392" s="359">
        <f t="shared" si="164"/>
        <v>1.2231999999999998</v>
      </c>
      <c r="F1392" s="359">
        <f t="shared" si="164"/>
        <v>0.5302</v>
      </c>
      <c r="G1392" s="359"/>
      <c r="H1392" s="359">
        <f t="shared" si="163"/>
        <v>3.0583999999999998</v>
      </c>
      <c r="I1392" s="307" t="s">
        <v>100</v>
      </c>
      <c r="J1392" s="438" t="s">
        <v>96</v>
      </c>
      <c r="K1392" s="359">
        <f t="shared" si="165"/>
        <v>0.95680000000000009</v>
      </c>
      <c r="L1392" s="359">
        <f t="shared" si="165"/>
        <v>0.99819999999999998</v>
      </c>
      <c r="M1392" s="359">
        <f t="shared" si="165"/>
        <v>0.8034</v>
      </c>
      <c r="N1392" s="359"/>
      <c r="O1392" s="359">
        <f t="shared" si="162"/>
        <v>2.7584</v>
      </c>
      <c r="P1392" s="168"/>
      <c r="Q1392" s="274"/>
      <c r="R1392" s="275"/>
      <c r="S1392" s="262"/>
    </row>
    <row r="1393" spans="1:19" x14ac:dyDescent="0.25">
      <c r="B1393" s="307" t="s">
        <v>104</v>
      </c>
      <c r="C1393" s="365" t="s">
        <v>95</v>
      </c>
      <c r="D1393" s="359">
        <f>D1389/($B1389/7.7)</f>
        <v>7.5054434782608688</v>
      </c>
      <c r="E1393" s="359">
        <f>E1389/($B1389/7)</f>
        <v>6.316782608695652</v>
      </c>
      <c r="F1393" s="359">
        <f>F1389/($B1389/7)</f>
        <v>4.1193043478260876</v>
      </c>
      <c r="G1393" s="359"/>
      <c r="H1393" s="359">
        <f t="shared" si="163"/>
        <v>17.941530434782607</v>
      </c>
      <c r="I1393" s="307" t="s">
        <v>104</v>
      </c>
      <c r="J1393" s="365" t="s">
        <v>95</v>
      </c>
      <c r="K1393" s="359">
        <f>K1389/($I1389/7.7)</f>
        <v>8.6948056930693074</v>
      </c>
      <c r="L1393" s="359">
        <f>L1389/($I1389/7)</f>
        <v>9.406596534653465</v>
      </c>
      <c r="M1393" s="359">
        <f>M1389/($I1389/7)</f>
        <v>6.1707425742574253</v>
      </c>
      <c r="N1393" s="359"/>
      <c r="O1393" s="359">
        <f t="shared" si="162"/>
        <v>24.272144801980197</v>
      </c>
      <c r="P1393" s="168"/>
      <c r="Q1393" s="274"/>
      <c r="R1393" s="276"/>
      <c r="S1393" s="262"/>
    </row>
    <row r="1394" spans="1:19" x14ac:dyDescent="0.25">
      <c r="B1394" s="307" t="s">
        <v>104</v>
      </c>
      <c r="C1394" s="438" t="s">
        <v>96</v>
      </c>
      <c r="D1394" s="359">
        <f>D1390/($B1390/7.7)</f>
        <v>10.048500000000001</v>
      </c>
      <c r="E1394" s="359">
        <f>E1390/($B1390/7.7)</f>
        <v>9.4186399999999999</v>
      </c>
      <c r="F1394" s="359">
        <f>F1390/($B1390/7.7)</f>
        <v>4.0825399999999998</v>
      </c>
      <c r="G1394" s="359"/>
      <c r="H1394" s="359">
        <f t="shared" si="163"/>
        <v>23.549680000000002</v>
      </c>
      <c r="I1394" s="307" t="s">
        <v>104</v>
      </c>
      <c r="J1394" s="438" t="s">
        <v>96</v>
      </c>
      <c r="K1394" s="359">
        <f>K1390/($I1390/7.7)</f>
        <v>7.3673600000000006</v>
      </c>
      <c r="L1394" s="359">
        <f>L1390/($I1390/7.7)</f>
        <v>7.68614</v>
      </c>
      <c r="M1394" s="359">
        <f>M1390/($I1390/7.7)</f>
        <v>6.1861800000000002</v>
      </c>
      <c r="N1394" s="359"/>
      <c r="O1394" s="359">
        <f t="shared" si="162"/>
        <v>21.23968</v>
      </c>
      <c r="P1394" s="168"/>
      <c r="Q1394" s="274"/>
      <c r="R1394" s="275"/>
      <c r="S1394" s="262"/>
    </row>
    <row r="1395" spans="1:19" x14ac:dyDescent="0.25">
      <c r="B1395" s="307" t="s">
        <v>135</v>
      </c>
      <c r="C1395" s="365" t="s">
        <v>95</v>
      </c>
      <c r="D1395" s="359">
        <f>D1389/((($B1389*$B1385)*(1-$B1382))/$B1380)</f>
        <v>0.16734761198945977</v>
      </c>
      <c r="E1395" s="359">
        <f>E1389/((($B1389*$B1385)*(1-$B1382))/$B1380)</f>
        <v>0.15492866436100128</v>
      </c>
      <c r="F1395" s="359">
        <f>F1389/((($B1389*$B1385)*(1-$B1382))/$B1380)</f>
        <v>0.10103218050065875</v>
      </c>
      <c r="G1395" s="359"/>
      <c r="H1395" s="359">
        <f t="shared" si="163"/>
        <v>0.42330845685111984</v>
      </c>
      <c r="I1395" s="307" t="s">
        <v>135</v>
      </c>
      <c r="J1395" s="365" t="s">
        <v>95</v>
      </c>
      <c r="K1395" s="359">
        <f>K1389/((($I1389*$B1385)*(1-$B1382))/$B1380)</f>
        <v>0.19386662142776773</v>
      </c>
      <c r="L1395" s="359">
        <f>L1389/((($I1389*$B1385)*(1-$B1382))/$B1380)</f>
        <v>0.23071103243136809</v>
      </c>
      <c r="M1395" s="359">
        <f>M1389/((($I1389*$B1385)*(1-$B1382))/$B1380)</f>
        <v>0.15134681124362434</v>
      </c>
      <c r="N1395" s="359"/>
      <c r="O1395" s="359">
        <f t="shared" si="162"/>
        <v>0.57592446510276019</v>
      </c>
      <c r="P1395" s="42"/>
      <c r="Q1395" s="274"/>
      <c r="R1395" s="275"/>
      <c r="S1395" s="263"/>
    </row>
    <row r="1396" spans="1:19" x14ac:dyDescent="0.25">
      <c r="B1396" s="307" t="s">
        <v>135</v>
      </c>
      <c r="C1396" s="438" t="s">
        <v>96</v>
      </c>
      <c r="D1396" s="359">
        <f>D1390/((($B1390*$B1385)*(1-$B1382))/$B1380)</f>
        <v>0.22404971590909084</v>
      </c>
      <c r="E1396" s="359">
        <f>E1390/((($B1390*$B1385)*(1-$B1382))/$B1380)</f>
        <v>0.21000583333333325</v>
      </c>
      <c r="F1396" s="359">
        <f>F1390/((($B1390*$B1385)*(1-$B1382))/$B1380)</f>
        <v>9.1027708333333318E-2</v>
      </c>
      <c r="G1396" s="359"/>
      <c r="H1396" s="359">
        <f t="shared" si="163"/>
        <v>0.52508325757575736</v>
      </c>
      <c r="I1396" s="307" t="s">
        <v>135</v>
      </c>
      <c r="J1396" s="438" t="s">
        <v>96</v>
      </c>
      <c r="K1396" s="359">
        <f>K1390/((($I1390*$B1385)*(1-$B1382))/$B1380)</f>
        <v>0.16426878787878785</v>
      </c>
      <c r="L1396" s="359">
        <f>L1390/((($I1390*$B1385)*(1-$B1382))/$B1380)</f>
        <v>0.17137657196969691</v>
      </c>
      <c r="M1396" s="359">
        <f>M1390/((($I1390*$B1385)*(1-$B1382))/$B1380)</f>
        <v>0.13793221590909088</v>
      </c>
      <c r="N1396" s="359"/>
      <c r="O1396" s="359">
        <f t="shared" si="162"/>
        <v>0.47357757575757564</v>
      </c>
      <c r="P1396" s="42"/>
      <c r="Q1396" s="263"/>
      <c r="R1396" s="262"/>
      <c r="S1396" s="263"/>
    </row>
    <row r="1397" spans="1:19" x14ac:dyDescent="0.25">
      <c r="A1397" s="178"/>
      <c r="B1397" s="178"/>
      <c r="C1397" s="178"/>
      <c r="D1397" s="178"/>
      <c r="E1397" s="178"/>
      <c r="F1397" s="178"/>
      <c r="G1397" s="178"/>
      <c r="H1397" s="178"/>
      <c r="I1397" s="178"/>
      <c r="J1397" s="178"/>
      <c r="K1397" s="178"/>
      <c r="L1397" s="178"/>
      <c r="M1397" s="178"/>
      <c r="N1397" s="178"/>
      <c r="O1397" s="178"/>
      <c r="P1397" s="170"/>
      <c r="Q1397" s="233"/>
      <c r="R1397" s="233"/>
      <c r="S1397" s="233"/>
    </row>
    <row r="1398" spans="1:19" ht="21" x14ac:dyDescent="0.25">
      <c r="A1398" s="305"/>
      <c r="B1398" s="644" t="s">
        <v>459</v>
      </c>
      <c r="C1398" s="645"/>
      <c r="D1398" s="645"/>
      <c r="E1398" s="645"/>
      <c r="F1398" s="645"/>
      <c r="G1398" s="645"/>
      <c r="H1398" s="645"/>
      <c r="I1398" s="645"/>
      <c r="J1398" s="645"/>
      <c r="K1398" s="645"/>
      <c r="L1398" s="645"/>
      <c r="M1398" s="645"/>
      <c r="N1398" s="645"/>
      <c r="O1398" s="646"/>
      <c r="P1398" s="169" t="s">
        <v>97</v>
      </c>
      <c r="Q1398" s="678" t="s">
        <v>460</v>
      </c>
      <c r="R1398" s="678"/>
      <c r="S1398" s="678"/>
    </row>
    <row r="1399" spans="1:19" ht="21" x14ac:dyDescent="0.25">
      <c r="A1399" s="177" t="s">
        <v>285</v>
      </c>
      <c r="B1399" s="647">
        <v>44138</v>
      </c>
      <c r="C1399" s="648"/>
      <c r="D1399" s="648"/>
      <c r="E1399" s="648"/>
      <c r="F1399" s="648"/>
      <c r="G1399" s="648"/>
      <c r="H1399" s="648"/>
      <c r="I1399" s="648"/>
      <c r="J1399" s="648"/>
      <c r="K1399" s="648"/>
      <c r="L1399" s="648"/>
      <c r="M1399" s="648"/>
      <c r="N1399" s="648"/>
      <c r="O1399" s="649"/>
      <c r="P1399" s="169"/>
      <c r="Q1399" s="678"/>
      <c r="R1399" s="678"/>
      <c r="S1399" s="678"/>
    </row>
    <row r="1400" spans="1:19" x14ac:dyDescent="0.25">
      <c r="A1400" s="177"/>
      <c r="B1400" s="650" t="s">
        <v>115</v>
      </c>
      <c r="C1400" s="651"/>
      <c r="D1400" s="651"/>
      <c r="E1400" s="651"/>
      <c r="F1400" s="651"/>
      <c r="G1400" s="651"/>
      <c r="H1400" s="651"/>
      <c r="I1400" s="651"/>
      <c r="J1400" s="651"/>
      <c r="K1400" s="651"/>
      <c r="L1400" s="651"/>
      <c r="M1400" s="651"/>
      <c r="N1400" s="651"/>
      <c r="O1400" s="652"/>
      <c r="P1400" s="169"/>
      <c r="Q1400" s="678"/>
      <c r="R1400" s="678"/>
      <c r="S1400" s="678"/>
    </row>
    <row r="1401" spans="1:19" x14ac:dyDescent="0.25">
      <c r="A1401" s="177" t="s">
        <v>106</v>
      </c>
      <c r="B1401" s="629">
        <v>16.7</v>
      </c>
      <c r="C1401" s="630"/>
      <c r="D1401" s="630"/>
      <c r="E1401" s="631"/>
      <c r="F1401" s="365" t="s">
        <v>174</v>
      </c>
      <c r="G1401" s="471"/>
      <c r="H1401" s="653">
        <v>0</v>
      </c>
      <c r="I1401" s="654"/>
      <c r="J1401" s="654"/>
      <c r="K1401" s="654"/>
      <c r="L1401" s="655"/>
      <c r="M1401" s="656">
        <f>SUM(B1401,H1402)</f>
        <v>17.37</v>
      </c>
      <c r="N1401" s="630"/>
      <c r="O1401" s="631"/>
      <c r="P1401" s="169"/>
      <c r="Q1401" s="678"/>
      <c r="R1401" s="678"/>
      <c r="S1401" s="678"/>
    </row>
    <row r="1402" spans="1:19" x14ac:dyDescent="0.25">
      <c r="A1402" s="177" t="s">
        <v>112</v>
      </c>
      <c r="B1402" s="626">
        <v>0.14000000000000001</v>
      </c>
      <c r="C1402" s="627"/>
      <c r="D1402" s="627"/>
      <c r="E1402" s="628"/>
      <c r="F1402" s="290"/>
      <c r="G1402" s="472"/>
      <c r="H1402" s="626">
        <v>0.67</v>
      </c>
      <c r="I1402" s="627"/>
      <c r="J1402" s="627"/>
      <c r="K1402" s="627"/>
      <c r="L1402" s="628"/>
      <c r="M1402" s="657">
        <f>B1402</f>
        <v>0.14000000000000001</v>
      </c>
      <c r="N1402" s="627"/>
      <c r="O1402" s="628"/>
      <c r="P1402" s="169"/>
      <c r="Q1402" s="678"/>
      <c r="R1402" s="678"/>
      <c r="S1402" s="678"/>
    </row>
    <row r="1403" spans="1:19" ht="15.75" thickBot="1" x14ac:dyDescent="0.3">
      <c r="A1403" s="177" t="s">
        <v>107</v>
      </c>
      <c r="B1403" s="629">
        <f>B1401*(1-B1402)</f>
        <v>14.361999999999998</v>
      </c>
      <c r="C1403" s="630"/>
      <c r="D1403" s="630"/>
      <c r="E1403" s="631"/>
      <c r="F1403" s="290"/>
      <c r="G1403" s="472"/>
      <c r="H1403" s="629">
        <f>H1401*(1-H1402)</f>
        <v>0</v>
      </c>
      <c r="I1403" s="630"/>
      <c r="J1403" s="630"/>
      <c r="K1403" s="630"/>
      <c r="L1403" s="631"/>
      <c r="M1403" s="656">
        <f>SUM(B1403,H1403)</f>
        <v>14.361999999999998</v>
      </c>
      <c r="N1403" s="630"/>
      <c r="O1403" s="631"/>
      <c r="P1403" s="169"/>
      <c r="Q1403" s="261" t="s">
        <v>97</v>
      </c>
      <c r="R1403" s="262"/>
      <c r="S1403" s="263"/>
    </row>
    <row r="1404" spans="1:19" x14ac:dyDescent="0.25">
      <c r="A1404" s="177" t="s">
        <v>108</v>
      </c>
      <c r="B1404" s="626">
        <f>B1407/B1403</f>
        <v>0.51874669266118922</v>
      </c>
      <c r="C1404" s="627"/>
      <c r="D1404" s="627"/>
      <c r="E1404" s="627"/>
      <c r="F1404" s="627"/>
      <c r="G1404" s="627"/>
      <c r="H1404" s="627"/>
      <c r="I1404" s="627"/>
      <c r="J1404" s="627"/>
      <c r="K1404" s="627"/>
      <c r="L1404" s="627"/>
      <c r="M1404" s="627"/>
      <c r="N1404" s="627"/>
      <c r="O1404" s="628"/>
      <c r="P1404" s="169"/>
      <c r="Q1404" s="671" t="s">
        <v>139</v>
      </c>
      <c r="R1404" s="235" t="s">
        <v>140</v>
      </c>
      <c r="S1404" s="679" t="s">
        <v>142</v>
      </c>
    </row>
    <row r="1405" spans="1:19" ht="15.75" thickBot="1" x14ac:dyDescent="0.3">
      <c r="A1405" s="177" t="s">
        <v>113</v>
      </c>
      <c r="B1405" s="629">
        <f>B1409*(B1413+B1414+I1413+I1414)/1000</f>
        <v>23.282</v>
      </c>
      <c r="C1405" s="630"/>
      <c r="D1405" s="630"/>
      <c r="E1405" s="630"/>
      <c r="F1405" s="630"/>
      <c r="G1405" s="630"/>
      <c r="H1405" s="630"/>
      <c r="I1405" s="630"/>
      <c r="J1405" s="630"/>
      <c r="K1405" s="630"/>
      <c r="L1405" s="630"/>
      <c r="M1405" s="630"/>
      <c r="N1405" s="630"/>
      <c r="O1405" s="631"/>
      <c r="P1405" s="169"/>
      <c r="Q1405" s="672"/>
      <c r="R1405" s="183" t="s">
        <v>141</v>
      </c>
      <c r="S1405" s="680"/>
    </row>
    <row r="1406" spans="1:19" ht="15.75" thickBot="1" x14ac:dyDescent="0.3">
      <c r="A1406" s="177" t="s">
        <v>109</v>
      </c>
      <c r="B1406" s="626">
        <v>0.68</v>
      </c>
      <c r="C1406" s="627"/>
      <c r="D1406" s="627"/>
      <c r="E1406" s="627"/>
      <c r="F1406" s="627"/>
      <c r="G1406" s="627"/>
      <c r="H1406" s="627"/>
      <c r="I1406" s="627"/>
      <c r="J1406" s="627"/>
      <c r="K1406" s="627"/>
      <c r="L1406" s="627"/>
      <c r="M1406" s="627"/>
      <c r="N1406" s="627"/>
      <c r="O1406" s="628"/>
      <c r="P1406" s="169"/>
      <c r="Q1406" s="238" t="s">
        <v>143</v>
      </c>
      <c r="R1406" s="183">
        <v>5</v>
      </c>
      <c r="S1406" s="181" t="s">
        <v>477</v>
      </c>
    </row>
    <row r="1407" spans="1:19" ht="15.75" thickBot="1" x14ac:dyDescent="0.3">
      <c r="A1407" s="177" t="s">
        <v>122</v>
      </c>
      <c r="B1407" s="629">
        <f>B1405-(B1405*B1406)</f>
        <v>7.4502399999999991</v>
      </c>
      <c r="C1407" s="630"/>
      <c r="D1407" s="630"/>
      <c r="E1407" s="630"/>
      <c r="F1407" s="630"/>
      <c r="G1407" s="630"/>
      <c r="H1407" s="630"/>
      <c r="I1407" s="630"/>
      <c r="J1407" s="630"/>
      <c r="K1407" s="630"/>
      <c r="L1407" s="630"/>
      <c r="M1407" s="630"/>
      <c r="N1407" s="630"/>
      <c r="O1407" s="631"/>
      <c r="P1407" s="169"/>
      <c r="Q1407" s="238" t="s">
        <v>145</v>
      </c>
      <c r="R1407" s="183">
        <v>7</v>
      </c>
      <c r="S1407" s="184" t="s">
        <v>478</v>
      </c>
    </row>
    <row r="1408" spans="1:19" ht="15.75" thickBot="1" x14ac:dyDescent="0.3">
      <c r="A1408" s="177" t="s">
        <v>110</v>
      </c>
      <c r="B1408" s="632">
        <v>140</v>
      </c>
      <c r="C1408" s="633"/>
      <c r="D1408" s="633"/>
      <c r="E1408" s="633"/>
      <c r="F1408" s="633"/>
      <c r="G1408" s="633"/>
      <c r="H1408" s="633"/>
      <c r="I1408" s="633"/>
      <c r="J1408" s="633"/>
      <c r="K1408" s="633"/>
      <c r="L1408" s="633"/>
      <c r="M1408" s="633"/>
      <c r="N1408" s="633"/>
      <c r="O1408" s="634"/>
      <c r="P1408" s="169"/>
      <c r="Q1408" s="238" t="s">
        <v>147</v>
      </c>
      <c r="R1408" s="183">
        <v>8</v>
      </c>
      <c r="S1408" s="181" t="s">
        <v>411</v>
      </c>
    </row>
    <row r="1409" spans="1:19" x14ac:dyDescent="0.25">
      <c r="A1409" s="177" t="s">
        <v>111</v>
      </c>
      <c r="B1409" s="635">
        <v>14</v>
      </c>
      <c r="C1409" s="636"/>
      <c r="D1409" s="636"/>
      <c r="E1409" s="636"/>
      <c r="F1409" s="636"/>
      <c r="G1409" s="636"/>
      <c r="H1409" s="636"/>
      <c r="I1409" s="636"/>
      <c r="J1409" s="636"/>
      <c r="K1409" s="636"/>
      <c r="L1409" s="636"/>
      <c r="M1409" s="636"/>
      <c r="N1409" s="636"/>
      <c r="O1409" s="637"/>
      <c r="P1409" s="169"/>
      <c r="Q1409" s="239" t="s">
        <v>149</v>
      </c>
      <c r="R1409" s="671">
        <v>7</v>
      </c>
      <c r="S1409" s="673" t="s">
        <v>441</v>
      </c>
    </row>
    <row r="1410" spans="1:19" ht="15.75" thickBot="1" x14ac:dyDescent="0.3">
      <c r="A1410" s="177" t="s">
        <v>273</v>
      </c>
      <c r="B1410" s="638" t="s">
        <v>471</v>
      </c>
      <c r="C1410" s="638"/>
      <c r="D1410" s="638"/>
      <c r="E1410" s="638"/>
      <c r="F1410" s="638"/>
      <c r="G1410" s="638"/>
      <c r="H1410" s="638"/>
      <c r="I1410" s="638"/>
      <c r="J1410" s="638"/>
      <c r="K1410" s="638"/>
      <c r="L1410" s="638"/>
      <c r="M1410" s="638"/>
      <c r="N1410" s="638"/>
      <c r="O1410" s="639"/>
      <c r="P1410" s="169"/>
      <c r="Q1410" s="238" t="s">
        <v>150</v>
      </c>
      <c r="R1410" s="672"/>
      <c r="S1410" s="674"/>
    </row>
    <row r="1411" spans="1:19" ht="15.75" thickBot="1" x14ac:dyDescent="0.3">
      <c r="A1411" s="177" t="s">
        <v>351</v>
      </c>
      <c r="B1411" s="431"/>
      <c r="C1411" s="431"/>
      <c r="D1411" s="431"/>
      <c r="E1411" s="431"/>
      <c r="F1411" s="431"/>
      <c r="G1411" s="431"/>
      <c r="H1411" s="431"/>
      <c r="I1411" s="431"/>
      <c r="J1411" s="431"/>
      <c r="K1411" s="431"/>
      <c r="L1411" s="431"/>
      <c r="M1411" s="431"/>
      <c r="N1411" s="431"/>
      <c r="O1411" s="432"/>
      <c r="P1411" s="169"/>
      <c r="Q1411" s="238" t="s">
        <v>152</v>
      </c>
      <c r="R1411" s="183">
        <v>6</v>
      </c>
      <c r="S1411" s="184" t="s">
        <v>479</v>
      </c>
    </row>
    <row r="1412" spans="1:19" ht="15.75" thickBot="1" x14ac:dyDescent="0.3">
      <c r="B1412" s="307" t="s">
        <v>98</v>
      </c>
      <c r="C1412" s="365" t="s">
        <v>102</v>
      </c>
      <c r="D1412" s="365" t="s">
        <v>92</v>
      </c>
      <c r="E1412" s="365" t="s">
        <v>93</v>
      </c>
      <c r="F1412" s="365" t="s">
        <v>94</v>
      </c>
      <c r="G1412" s="365"/>
      <c r="H1412" s="359" t="s">
        <v>99</v>
      </c>
      <c r="I1412" s="307" t="s">
        <v>98</v>
      </c>
      <c r="J1412" s="365" t="s">
        <v>102</v>
      </c>
      <c r="K1412" s="365" t="s">
        <v>92</v>
      </c>
      <c r="L1412" s="365" t="s">
        <v>93</v>
      </c>
      <c r="M1412" s="365" t="s">
        <v>94</v>
      </c>
      <c r="N1412" s="365"/>
      <c r="O1412" s="359" t="s">
        <v>99</v>
      </c>
      <c r="P1412" s="169"/>
      <c r="Q1412" s="238" t="s">
        <v>154</v>
      </c>
      <c r="R1412" s="183">
        <v>8</v>
      </c>
      <c r="S1412" s="181" t="s">
        <v>443</v>
      </c>
    </row>
    <row r="1413" spans="1:19" ht="29.25" thickBot="1" x14ac:dyDescent="0.3">
      <c r="B1413" s="308">
        <v>751</v>
      </c>
      <c r="C1413" s="365" t="s">
        <v>95</v>
      </c>
      <c r="D1413" s="441">
        <v>740.94</v>
      </c>
      <c r="E1413" s="441">
        <v>809.6</v>
      </c>
      <c r="F1413" s="441">
        <v>297.33</v>
      </c>
      <c r="G1413" s="441"/>
      <c r="H1413" s="359">
        <f>SUM(D1413:F1413)</f>
        <v>1847.87</v>
      </c>
      <c r="I1413" s="308">
        <v>751</v>
      </c>
      <c r="J1413" s="365" t="s">
        <v>95</v>
      </c>
      <c r="K1413" s="441">
        <v>835.25</v>
      </c>
      <c r="L1413" s="441">
        <v>732.52</v>
      </c>
      <c r="M1413" s="441">
        <v>250.2</v>
      </c>
      <c r="N1413" s="441"/>
      <c r="O1413" s="359">
        <f t="shared" ref="O1413:O1420" si="166">SUM(K1413:M1413)</f>
        <v>1817.97</v>
      </c>
      <c r="P1413" s="169"/>
      <c r="Q1413" s="238" t="s">
        <v>156</v>
      </c>
      <c r="R1413" s="183">
        <v>7</v>
      </c>
      <c r="S1413" s="181" t="s">
        <v>480</v>
      </c>
    </row>
    <row r="1414" spans="1:19" ht="15.75" thickBot="1" x14ac:dyDescent="0.3">
      <c r="B1414" s="308">
        <v>81</v>
      </c>
      <c r="C1414" s="365" t="s">
        <v>96</v>
      </c>
      <c r="D1414" s="441">
        <v>74.88</v>
      </c>
      <c r="E1414" s="441">
        <v>70.72</v>
      </c>
      <c r="F1414" s="441">
        <v>63.36</v>
      </c>
      <c r="G1414" s="441"/>
      <c r="H1414" s="359">
        <f t="shared" ref="H1414:H1420" si="167">SUM(D1414:F1414)</f>
        <v>208.95999999999998</v>
      </c>
      <c r="I1414" s="308">
        <v>80</v>
      </c>
      <c r="J1414" s="365" t="s">
        <v>96</v>
      </c>
      <c r="K1414" s="441">
        <v>131.44</v>
      </c>
      <c r="L1414" s="441">
        <v>52.52</v>
      </c>
      <c r="M1414" s="441">
        <v>8.32</v>
      </c>
      <c r="N1414" s="441"/>
      <c r="O1414" s="359">
        <f t="shared" si="166"/>
        <v>192.28</v>
      </c>
      <c r="P1414" s="169"/>
      <c r="Q1414" s="183" t="s">
        <v>158</v>
      </c>
      <c r="R1414" s="183"/>
      <c r="S1414" s="181"/>
    </row>
    <row r="1415" spans="1:19" ht="15.75" thickBot="1" x14ac:dyDescent="0.3">
      <c r="B1415" s="307" t="s">
        <v>100</v>
      </c>
      <c r="C1415" s="365" t="s">
        <v>95</v>
      </c>
      <c r="D1415" s="444">
        <f t="shared" ref="D1415:F1416" si="168">D1413/$B1413</f>
        <v>0.98660452729693748</v>
      </c>
      <c r="E1415" s="429">
        <f t="shared" si="168"/>
        <v>1.0780292942743011</v>
      </c>
      <c r="F1415" s="429">
        <f t="shared" si="168"/>
        <v>0.39591211717709718</v>
      </c>
      <c r="G1415" s="429"/>
      <c r="H1415" s="374">
        <f t="shared" si="167"/>
        <v>2.4605459387483357</v>
      </c>
      <c r="I1415" s="307" t="s">
        <v>100</v>
      </c>
      <c r="J1415" s="365" t="s">
        <v>95</v>
      </c>
      <c r="K1415" s="444">
        <f t="shared" ref="K1415:M1416" si="169">K1413/$I1413</f>
        <v>1.1121837549933422</v>
      </c>
      <c r="L1415" s="429">
        <f t="shared" si="169"/>
        <v>0.97539280958721697</v>
      </c>
      <c r="M1415" s="429">
        <f t="shared" si="169"/>
        <v>0.33315579227696401</v>
      </c>
      <c r="N1415" s="429"/>
      <c r="O1415" s="374">
        <f t="shared" si="166"/>
        <v>2.4207323568575232</v>
      </c>
      <c r="P1415" s="169"/>
      <c r="Q1415" s="183" t="s">
        <v>99</v>
      </c>
      <c r="R1415" s="285">
        <f>SUM(R1406:R1414)/70</f>
        <v>0.68571428571428572</v>
      </c>
      <c r="S1415" s="186">
        <v>0.68500000000000005</v>
      </c>
    </row>
    <row r="1416" spans="1:19" x14ac:dyDescent="0.25">
      <c r="B1416" s="307" t="s">
        <v>100</v>
      </c>
      <c r="C1416" s="438" t="s">
        <v>96</v>
      </c>
      <c r="D1416" s="359">
        <f t="shared" si="168"/>
        <v>0.9244444444444444</v>
      </c>
      <c r="E1416" s="359">
        <f t="shared" si="168"/>
        <v>0.87308641975308643</v>
      </c>
      <c r="F1416" s="359">
        <f t="shared" si="168"/>
        <v>0.78222222222222226</v>
      </c>
      <c r="G1416" s="359"/>
      <c r="H1416" s="359">
        <f t="shared" si="167"/>
        <v>2.5797530864197533</v>
      </c>
      <c r="I1416" s="307" t="s">
        <v>100</v>
      </c>
      <c r="J1416" s="438" t="s">
        <v>96</v>
      </c>
      <c r="K1416" s="359">
        <f t="shared" si="169"/>
        <v>1.643</v>
      </c>
      <c r="L1416" s="359">
        <f t="shared" si="169"/>
        <v>0.65650000000000008</v>
      </c>
      <c r="M1416" s="359">
        <f t="shared" si="169"/>
        <v>0.10400000000000001</v>
      </c>
      <c r="N1416" s="359"/>
      <c r="O1416" s="359">
        <f t="shared" si="166"/>
        <v>2.4035000000000002</v>
      </c>
      <c r="P1416" s="169"/>
      <c r="Q1416" s="274"/>
      <c r="R1416" s="275"/>
      <c r="S1416" s="262"/>
    </row>
    <row r="1417" spans="1:19" x14ac:dyDescent="0.25">
      <c r="B1417" s="307" t="s">
        <v>104</v>
      </c>
      <c r="C1417" s="365" t="s">
        <v>95</v>
      </c>
      <c r="D1417" s="359">
        <f>D1413/($B1413/7.7)</f>
        <v>7.5968548601864185</v>
      </c>
      <c r="E1417" s="359">
        <f>E1413/($B1413/7)</f>
        <v>7.5462050599201067</v>
      </c>
      <c r="F1417" s="359">
        <f>F1413/($B1413/7)</f>
        <v>2.77138482023968</v>
      </c>
      <c r="G1417" s="359"/>
      <c r="H1417" s="359">
        <f t="shared" si="167"/>
        <v>17.914444740346205</v>
      </c>
      <c r="I1417" s="307" t="s">
        <v>104</v>
      </c>
      <c r="J1417" s="365" t="s">
        <v>95</v>
      </c>
      <c r="K1417" s="359">
        <f>K1413/($I1413/7.7)</f>
        <v>8.5638149134487342</v>
      </c>
      <c r="L1417" s="359">
        <f>L1413/($I1413/7)</f>
        <v>6.8277496671105187</v>
      </c>
      <c r="M1417" s="359">
        <f>M1413/($I1413/7)</f>
        <v>2.332090545938748</v>
      </c>
      <c r="N1417" s="359"/>
      <c r="O1417" s="359">
        <f t="shared" si="166"/>
        <v>17.723655126498002</v>
      </c>
      <c r="P1417" s="169"/>
      <c r="Q1417" s="274"/>
      <c r="R1417" s="276"/>
      <c r="S1417" s="262"/>
    </row>
    <row r="1418" spans="1:19" x14ac:dyDescent="0.25">
      <c r="B1418" s="307" t="s">
        <v>104</v>
      </c>
      <c r="C1418" s="438" t="s">
        <v>96</v>
      </c>
      <c r="D1418" s="359">
        <f>D1414/($B1414/7.7)</f>
        <v>7.1182222222222222</v>
      </c>
      <c r="E1418" s="359">
        <f>E1414/($B1414/7.7)</f>
        <v>6.7227654320987655</v>
      </c>
      <c r="F1418" s="359">
        <f>F1414/($B1414/7.7)</f>
        <v>6.0231111111111115</v>
      </c>
      <c r="G1418" s="359"/>
      <c r="H1418" s="359">
        <f t="shared" si="167"/>
        <v>19.864098765432097</v>
      </c>
      <c r="I1418" s="307" t="s">
        <v>104</v>
      </c>
      <c r="J1418" s="438" t="s">
        <v>96</v>
      </c>
      <c r="K1418" s="359">
        <f>K1414/($I1414/7.7)</f>
        <v>12.6511</v>
      </c>
      <c r="L1418" s="359">
        <f>L1414/($I1414/7.7)</f>
        <v>5.0550500000000005</v>
      </c>
      <c r="M1418" s="359">
        <f>M1414/($I1414/7.7)</f>
        <v>0.80080000000000007</v>
      </c>
      <c r="N1418" s="359"/>
      <c r="O1418" s="359">
        <f t="shared" si="166"/>
        <v>18.50695</v>
      </c>
      <c r="P1418" s="169"/>
      <c r="Q1418" s="274"/>
      <c r="R1418" s="275"/>
      <c r="S1418" s="262"/>
    </row>
    <row r="1419" spans="1:19" x14ac:dyDescent="0.25">
      <c r="B1419" s="307" t="s">
        <v>135</v>
      </c>
      <c r="C1419" s="365" t="s">
        <v>95</v>
      </c>
      <c r="D1419" s="359">
        <f>D1413/((($B1413*$B1409)*(1-$B1406))/$B1404)</f>
        <v>0.11424058828121481</v>
      </c>
      <c r="E1419" s="359">
        <f>E1413/((($B1413*$B1409)*(1-$B1406))/$B1404)</f>
        <v>0.12482681495461374</v>
      </c>
      <c r="F1419" s="359">
        <f>F1413/((($B1413*$B1409)*(1-$B1406))/$B1404)</f>
        <v>4.5843326198684906E-2</v>
      </c>
      <c r="G1419" s="359"/>
      <c r="H1419" s="359">
        <f t="shared" si="167"/>
        <v>0.28491072943451345</v>
      </c>
      <c r="I1419" s="307" t="s">
        <v>135</v>
      </c>
      <c r="J1419" s="365" t="s">
        <v>95</v>
      </c>
      <c r="K1419" s="359">
        <f>K1413/((($I1413*$B1409)*(1-$B1406))/$B1404)</f>
        <v>0.12878161708354882</v>
      </c>
      <c r="L1419" s="359">
        <f>L1413/((($I1413*$B1409)*(1-$B1406))/$B1404)</f>
        <v>0.1129423647363558</v>
      </c>
      <c r="M1419" s="359">
        <f>M1413/((($I1413*$B1409)*(1-$B1406))/$B1404)</f>
        <v>3.8576666380489573E-2</v>
      </c>
      <c r="N1419" s="359"/>
      <c r="O1419" s="359">
        <f t="shared" si="166"/>
        <v>0.28030064820039419</v>
      </c>
      <c r="P1419" s="42"/>
      <c r="Q1419" s="263"/>
      <c r="R1419" s="262"/>
      <c r="S1419" s="263"/>
    </row>
    <row r="1420" spans="1:19" x14ac:dyDescent="0.25">
      <c r="B1420" s="307" t="s">
        <v>135</v>
      </c>
      <c r="C1420" s="438" t="s">
        <v>96</v>
      </c>
      <c r="D1420" s="359">
        <f>D1414/((($B1414*$B1409)*(1-$B1406))/$B1404)</f>
        <v>0.10704296832691207</v>
      </c>
      <c r="E1420" s="359">
        <f>E1414/((($B1414*$B1409)*(1-$B1406))/$B1404)</f>
        <v>0.10109613675319473</v>
      </c>
      <c r="F1420" s="359">
        <f>F1414/((($B1414*$B1409)*(1-$B1406))/$B1404)</f>
        <v>9.0574819353540989E-2</v>
      </c>
      <c r="G1420" s="359"/>
      <c r="H1420" s="359">
        <f t="shared" si="167"/>
        <v>0.2987139244336478</v>
      </c>
      <c r="I1420" s="307" t="s">
        <v>135</v>
      </c>
      <c r="J1420" s="438" t="s">
        <v>96</v>
      </c>
      <c r="K1420" s="359">
        <f>K1414/((($I1414*$B1409)*(1-$B1406))/$B1404)</f>
        <v>0.19024571786659242</v>
      </c>
      <c r="L1420" s="359">
        <f>L1414/((($I1414*$B1409)*(1-$B1406))/$B1404)</f>
        <v>7.6017232975908663E-2</v>
      </c>
      <c r="M1420" s="359">
        <f>M1414/((($I1414*$B1409)*(1-$B1406))/$B1404)</f>
        <v>1.2042333936777611E-2</v>
      </c>
      <c r="N1420" s="359"/>
      <c r="O1420" s="359">
        <f t="shared" si="166"/>
        <v>0.27830528477927868</v>
      </c>
      <c r="P1420" s="42"/>
      <c r="Q1420" s="263"/>
      <c r="R1420" s="262"/>
      <c r="S1420" s="263"/>
    </row>
    <row r="1421" spans="1:19" x14ac:dyDescent="0.25">
      <c r="A1421" s="178"/>
      <c r="B1421" s="178"/>
      <c r="C1421" s="178"/>
      <c r="D1421" s="178"/>
      <c r="E1421" s="178"/>
      <c r="F1421" s="178"/>
      <c r="G1421" s="178"/>
      <c r="H1421" s="178"/>
      <c r="I1421" s="178"/>
      <c r="J1421" s="178"/>
      <c r="K1421" s="178"/>
      <c r="L1421" s="178"/>
      <c r="M1421" s="178"/>
      <c r="N1421" s="178"/>
      <c r="O1421" s="178"/>
      <c r="P1421" s="173"/>
      <c r="Q1421" s="233"/>
      <c r="R1421" s="233"/>
      <c r="S1421" s="233"/>
    </row>
    <row r="1422" spans="1:19" ht="21" x14ac:dyDescent="0.25">
      <c r="A1422" s="305"/>
      <c r="B1422" s="644" t="s">
        <v>470</v>
      </c>
      <c r="C1422" s="645"/>
      <c r="D1422" s="645"/>
      <c r="E1422" s="645"/>
      <c r="F1422" s="645"/>
      <c r="G1422" s="645"/>
      <c r="H1422" s="645"/>
      <c r="I1422" s="645"/>
      <c r="J1422" s="645"/>
      <c r="K1422" s="645"/>
      <c r="L1422" s="645"/>
      <c r="M1422" s="645"/>
      <c r="N1422" s="645"/>
      <c r="O1422" s="646"/>
      <c r="P1422" s="172" t="s">
        <v>97</v>
      </c>
      <c r="Q1422" s="678" t="s">
        <v>481</v>
      </c>
      <c r="R1422" s="678"/>
      <c r="S1422" s="678"/>
    </row>
    <row r="1423" spans="1:19" ht="21" x14ac:dyDescent="0.25">
      <c r="A1423" s="177" t="s">
        <v>285</v>
      </c>
      <c r="B1423" s="647">
        <v>44149</v>
      </c>
      <c r="C1423" s="648"/>
      <c r="D1423" s="648"/>
      <c r="E1423" s="648"/>
      <c r="F1423" s="648"/>
      <c r="G1423" s="648"/>
      <c r="H1423" s="648"/>
      <c r="I1423" s="648"/>
      <c r="J1423" s="648"/>
      <c r="K1423" s="648"/>
      <c r="L1423" s="648"/>
      <c r="M1423" s="648"/>
      <c r="N1423" s="648"/>
      <c r="O1423" s="649"/>
      <c r="P1423" s="172"/>
      <c r="Q1423" s="678"/>
      <c r="R1423" s="678"/>
      <c r="S1423" s="678"/>
    </row>
    <row r="1424" spans="1:19" x14ac:dyDescent="0.25">
      <c r="A1424" s="177"/>
      <c r="B1424" s="650" t="s">
        <v>115</v>
      </c>
      <c r="C1424" s="651"/>
      <c r="D1424" s="651"/>
      <c r="E1424" s="651"/>
      <c r="F1424" s="651"/>
      <c r="G1424" s="651"/>
      <c r="H1424" s="651"/>
      <c r="I1424" s="651"/>
      <c r="J1424" s="651"/>
      <c r="K1424" s="651"/>
      <c r="L1424" s="651"/>
      <c r="M1424" s="651"/>
      <c r="N1424" s="651"/>
      <c r="O1424" s="652"/>
      <c r="P1424" s="172"/>
      <c r="Q1424" s="678"/>
      <c r="R1424" s="678"/>
      <c r="S1424" s="678"/>
    </row>
    <row r="1425" spans="1:19" x14ac:dyDescent="0.25">
      <c r="A1425" s="177" t="s">
        <v>106</v>
      </c>
      <c r="B1425" s="629">
        <v>16.7</v>
      </c>
      <c r="C1425" s="630"/>
      <c r="D1425" s="630"/>
      <c r="E1425" s="631"/>
      <c r="F1425" s="365" t="s">
        <v>174</v>
      </c>
      <c r="G1425" s="471"/>
      <c r="H1425" s="653">
        <v>0</v>
      </c>
      <c r="I1425" s="654"/>
      <c r="J1425" s="654"/>
      <c r="K1425" s="654"/>
      <c r="L1425" s="655"/>
      <c r="M1425" s="656">
        <f>SUM(B1425,H1426)</f>
        <v>17.39</v>
      </c>
      <c r="N1425" s="630"/>
      <c r="O1425" s="631"/>
      <c r="P1425" s="172"/>
      <c r="Q1425" s="678"/>
      <c r="R1425" s="678"/>
      <c r="S1425" s="678"/>
    </row>
    <row r="1426" spans="1:19" x14ac:dyDescent="0.25">
      <c r="A1426" s="177" t="s">
        <v>112</v>
      </c>
      <c r="B1426" s="626">
        <v>0.12</v>
      </c>
      <c r="C1426" s="627"/>
      <c r="D1426" s="627"/>
      <c r="E1426" s="628"/>
      <c r="F1426" s="290"/>
      <c r="G1426" s="472"/>
      <c r="H1426" s="626">
        <v>0.69</v>
      </c>
      <c r="I1426" s="627"/>
      <c r="J1426" s="627"/>
      <c r="K1426" s="627"/>
      <c r="L1426" s="628"/>
      <c r="M1426" s="657">
        <f>B1426</f>
        <v>0.12</v>
      </c>
      <c r="N1426" s="627"/>
      <c r="O1426" s="628"/>
      <c r="P1426" s="172"/>
      <c r="Q1426" s="678"/>
      <c r="R1426" s="678"/>
      <c r="S1426" s="678"/>
    </row>
    <row r="1427" spans="1:19" ht="15.75" thickBot="1" x14ac:dyDescent="0.3">
      <c r="A1427" s="177" t="s">
        <v>107</v>
      </c>
      <c r="B1427" s="629">
        <f>B1425*(1-B1426)</f>
        <v>14.696</v>
      </c>
      <c r="C1427" s="630"/>
      <c r="D1427" s="630"/>
      <c r="E1427" s="631"/>
      <c r="F1427" s="290"/>
      <c r="G1427" s="472"/>
      <c r="H1427" s="629">
        <f>H1425*(1-H1426)</f>
        <v>0</v>
      </c>
      <c r="I1427" s="630"/>
      <c r="J1427" s="630"/>
      <c r="K1427" s="630"/>
      <c r="L1427" s="631"/>
      <c r="M1427" s="656">
        <f>SUM(B1427,H1427)</f>
        <v>14.696</v>
      </c>
      <c r="N1427" s="630"/>
      <c r="O1427" s="631"/>
      <c r="P1427" s="172"/>
      <c r="Q1427" s="261" t="s">
        <v>97</v>
      </c>
      <c r="R1427" s="262"/>
      <c r="S1427" s="263"/>
    </row>
    <row r="1428" spans="1:19" x14ac:dyDescent="0.25">
      <c r="A1428" s="177" t="s">
        <v>108</v>
      </c>
      <c r="B1428" s="626">
        <f>B1431/B1427</f>
        <v>0.64598802395209576</v>
      </c>
      <c r="C1428" s="627"/>
      <c r="D1428" s="627"/>
      <c r="E1428" s="627"/>
      <c r="F1428" s="627"/>
      <c r="G1428" s="627"/>
      <c r="H1428" s="627"/>
      <c r="I1428" s="627"/>
      <c r="J1428" s="627"/>
      <c r="K1428" s="627"/>
      <c r="L1428" s="627"/>
      <c r="M1428" s="627"/>
      <c r="N1428" s="627"/>
      <c r="O1428" s="628"/>
      <c r="P1428" s="172"/>
      <c r="Q1428" s="671" t="s">
        <v>139</v>
      </c>
      <c r="R1428" s="235" t="s">
        <v>140</v>
      </c>
      <c r="S1428" s="679" t="s">
        <v>142</v>
      </c>
    </row>
    <row r="1429" spans="1:19" ht="15.75" thickBot="1" x14ac:dyDescent="0.3">
      <c r="A1429" s="177" t="s">
        <v>113</v>
      </c>
      <c r="B1429" s="629">
        <f>B1433*(B1437+B1438+I1437+I1438)/1000</f>
        <v>30.623999999999999</v>
      </c>
      <c r="C1429" s="630"/>
      <c r="D1429" s="630"/>
      <c r="E1429" s="630"/>
      <c r="F1429" s="630"/>
      <c r="G1429" s="630"/>
      <c r="H1429" s="630"/>
      <c r="I1429" s="630"/>
      <c r="J1429" s="630"/>
      <c r="K1429" s="630"/>
      <c r="L1429" s="630"/>
      <c r="M1429" s="630"/>
      <c r="N1429" s="630"/>
      <c r="O1429" s="631"/>
      <c r="P1429" s="172"/>
      <c r="Q1429" s="672"/>
      <c r="R1429" s="183" t="s">
        <v>141</v>
      </c>
      <c r="S1429" s="680"/>
    </row>
    <row r="1430" spans="1:19" ht="15.75" thickBot="1" x14ac:dyDescent="0.3">
      <c r="A1430" s="177" t="s">
        <v>109</v>
      </c>
      <c r="B1430" s="626">
        <v>0.69</v>
      </c>
      <c r="C1430" s="627"/>
      <c r="D1430" s="627"/>
      <c r="E1430" s="627"/>
      <c r="F1430" s="627"/>
      <c r="G1430" s="627"/>
      <c r="H1430" s="627"/>
      <c r="I1430" s="627"/>
      <c r="J1430" s="627"/>
      <c r="K1430" s="627"/>
      <c r="L1430" s="627"/>
      <c r="M1430" s="627"/>
      <c r="N1430" s="627"/>
      <c r="O1430" s="628"/>
      <c r="P1430" s="172"/>
      <c r="Q1430" s="238" t="s">
        <v>143</v>
      </c>
      <c r="R1430" s="183">
        <v>7</v>
      </c>
      <c r="S1430" s="181" t="s">
        <v>482</v>
      </c>
    </row>
    <row r="1431" spans="1:19" ht="15.75" thickBot="1" x14ac:dyDescent="0.3">
      <c r="A1431" s="177" t="s">
        <v>122</v>
      </c>
      <c r="B1431" s="629">
        <f>B1429-(B1429*B1430)</f>
        <v>9.4934399999999997</v>
      </c>
      <c r="C1431" s="630"/>
      <c r="D1431" s="630"/>
      <c r="E1431" s="630"/>
      <c r="F1431" s="630"/>
      <c r="G1431" s="630"/>
      <c r="H1431" s="630"/>
      <c r="I1431" s="630"/>
      <c r="J1431" s="630"/>
      <c r="K1431" s="630"/>
      <c r="L1431" s="630"/>
      <c r="M1431" s="630"/>
      <c r="N1431" s="630"/>
      <c r="O1431" s="631"/>
      <c r="P1431" s="172"/>
      <c r="Q1431" s="238" t="s">
        <v>145</v>
      </c>
      <c r="R1431" s="183">
        <v>8</v>
      </c>
      <c r="S1431" s="184" t="s">
        <v>362</v>
      </c>
    </row>
    <row r="1432" spans="1:19" ht="15.75" thickBot="1" x14ac:dyDescent="0.3">
      <c r="A1432" s="177" t="s">
        <v>110</v>
      </c>
      <c r="B1432" s="632">
        <v>125</v>
      </c>
      <c r="C1432" s="633"/>
      <c r="D1432" s="633"/>
      <c r="E1432" s="633"/>
      <c r="F1432" s="633"/>
      <c r="G1432" s="633"/>
      <c r="H1432" s="633"/>
      <c r="I1432" s="633"/>
      <c r="J1432" s="633"/>
      <c r="K1432" s="633"/>
      <c r="L1432" s="633"/>
      <c r="M1432" s="633"/>
      <c r="N1432" s="633"/>
      <c r="O1432" s="634"/>
      <c r="P1432" s="172"/>
      <c r="Q1432" s="238" t="s">
        <v>147</v>
      </c>
      <c r="R1432" s="183">
        <v>8</v>
      </c>
      <c r="S1432" s="184" t="s">
        <v>483</v>
      </c>
    </row>
    <row r="1433" spans="1:19" x14ac:dyDescent="0.25">
      <c r="A1433" s="177" t="s">
        <v>111</v>
      </c>
      <c r="B1433" s="635">
        <v>14.5</v>
      </c>
      <c r="C1433" s="636"/>
      <c r="D1433" s="636"/>
      <c r="E1433" s="636"/>
      <c r="F1433" s="636"/>
      <c r="G1433" s="636"/>
      <c r="H1433" s="636"/>
      <c r="I1433" s="636"/>
      <c r="J1433" s="636"/>
      <c r="K1433" s="636"/>
      <c r="L1433" s="636"/>
      <c r="M1433" s="636"/>
      <c r="N1433" s="636"/>
      <c r="O1433" s="637"/>
      <c r="P1433" s="172"/>
      <c r="Q1433" s="239" t="s">
        <v>149</v>
      </c>
      <c r="R1433" s="671">
        <v>7</v>
      </c>
      <c r="S1433" s="673" t="s">
        <v>484</v>
      </c>
    </row>
    <row r="1434" spans="1:19" ht="15.75" thickBot="1" x14ac:dyDescent="0.3">
      <c r="A1434" s="177" t="s">
        <v>273</v>
      </c>
      <c r="B1434" s="638"/>
      <c r="C1434" s="638"/>
      <c r="D1434" s="638"/>
      <c r="E1434" s="638"/>
      <c r="F1434" s="638"/>
      <c r="G1434" s="638"/>
      <c r="H1434" s="638"/>
      <c r="I1434" s="638"/>
      <c r="J1434" s="638"/>
      <c r="K1434" s="638"/>
      <c r="L1434" s="638"/>
      <c r="M1434" s="638"/>
      <c r="N1434" s="638"/>
      <c r="O1434" s="639"/>
      <c r="P1434" s="172"/>
      <c r="Q1434" s="238" t="s">
        <v>150</v>
      </c>
      <c r="R1434" s="672"/>
      <c r="S1434" s="674"/>
    </row>
    <row r="1435" spans="1:19" ht="15.75" thickBot="1" x14ac:dyDescent="0.3">
      <c r="A1435" s="177" t="s">
        <v>351</v>
      </c>
      <c r="B1435" s="431"/>
      <c r="C1435" s="431"/>
      <c r="D1435" s="431"/>
      <c r="E1435" s="431"/>
      <c r="F1435" s="431"/>
      <c r="G1435" s="431"/>
      <c r="H1435" s="431"/>
      <c r="I1435" s="431"/>
      <c r="J1435" s="431"/>
      <c r="K1435" s="431"/>
      <c r="L1435" s="431"/>
      <c r="M1435" s="431"/>
      <c r="N1435" s="431"/>
      <c r="O1435" s="432"/>
      <c r="P1435" s="172"/>
      <c r="Q1435" s="238" t="s">
        <v>152</v>
      </c>
      <c r="R1435" s="183">
        <v>8</v>
      </c>
      <c r="S1435" s="184" t="s">
        <v>485</v>
      </c>
    </row>
    <row r="1436" spans="1:19" ht="15.75" thickBot="1" x14ac:dyDescent="0.3">
      <c r="B1436" s="307" t="s">
        <v>98</v>
      </c>
      <c r="C1436" s="365" t="s">
        <v>102</v>
      </c>
      <c r="D1436" s="365" t="s">
        <v>92</v>
      </c>
      <c r="E1436" s="365" t="s">
        <v>93</v>
      </c>
      <c r="F1436" s="365" t="s">
        <v>94</v>
      </c>
      <c r="G1436" s="365"/>
      <c r="H1436" s="359" t="s">
        <v>99</v>
      </c>
      <c r="I1436" s="307" t="s">
        <v>98</v>
      </c>
      <c r="J1436" s="365" t="s">
        <v>102</v>
      </c>
      <c r="K1436" s="365" t="s">
        <v>92</v>
      </c>
      <c r="L1436" s="365" t="s">
        <v>93</v>
      </c>
      <c r="M1436" s="365" t="s">
        <v>94</v>
      </c>
      <c r="N1436" s="365"/>
      <c r="O1436" s="359" t="s">
        <v>99</v>
      </c>
      <c r="P1436" s="172"/>
      <c r="Q1436" s="238" t="s">
        <v>154</v>
      </c>
      <c r="R1436" s="183">
        <v>8</v>
      </c>
      <c r="S1436" s="181" t="s">
        <v>486</v>
      </c>
    </row>
    <row r="1437" spans="1:19" ht="15.75" thickBot="1" x14ac:dyDescent="0.3">
      <c r="B1437" s="308">
        <v>964</v>
      </c>
      <c r="C1437" s="365" t="s">
        <v>95</v>
      </c>
      <c r="D1437" s="441">
        <v>1227</v>
      </c>
      <c r="E1437" s="441">
        <v>609</v>
      </c>
      <c r="F1437" s="441">
        <v>472.46</v>
      </c>
      <c r="G1437" s="441"/>
      <c r="H1437" s="359">
        <f>SUM(D1437:F1437)</f>
        <v>2308.46</v>
      </c>
      <c r="I1437" s="308">
        <v>966</v>
      </c>
      <c r="J1437" s="365" t="s">
        <v>95</v>
      </c>
      <c r="K1437" s="441">
        <v>1311.42</v>
      </c>
      <c r="L1437" s="441">
        <v>781.6</v>
      </c>
      <c r="M1437" s="441">
        <v>627.84</v>
      </c>
      <c r="N1437" s="441"/>
      <c r="O1437" s="359">
        <f t="shared" ref="O1437:O1442" si="170">SUM(K1437:M1437)</f>
        <v>2720.86</v>
      </c>
      <c r="P1437" s="172"/>
      <c r="Q1437" s="238" t="s">
        <v>156</v>
      </c>
      <c r="R1437" s="183">
        <v>8</v>
      </c>
      <c r="S1437" s="181" t="s">
        <v>487</v>
      </c>
    </row>
    <row r="1438" spans="1:19" ht="15.75" thickBot="1" x14ac:dyDescent="0.3">
      <c r="B1438" s="308">
        <v>90</v>
      </c>
      <c r="C1438" s="365" t="s">
        <v>96</v>
      </c>
      <c r="D1438" s="441">
        <v>66.56</v>
      </c>
      <c r="E1438" s="441">
        <v>120.78</v>
      </c>
      <c r="F1438" s="441">
        <v>20.8</v>
      </c>
      <c r="G1438" s="441"/>
      <c r="H1438" s="359">
        <f t="shared" ref="H1438:H1444" si="171">SUM(D1438:F1438)</f>
        <v>208.14000000000001</v>
      </c>
      <c r="I1438" s="308">
        <v>92</v>
      </c>
      <c r="J1438" s="365" t="s">
        <v>96</v>
      </c>
      <c r="K1438" s="441">
        <v>123.26</v>
      </c>
      <c r="L1438" s="441">
        <v>70.72</v>
      </c>
      <c r="M1438" s="441">
        <v>87.36</v>
      </c>
      <c r="N1438" s="441"/>
      <c r="O1438" s="359">
        <f t="shared" si="170"/>
        <v>281.34000000000003</v>
      </c>
      <c r="P1438" s="172"/>
      <c r="Q1438" s="238" t="s">
        <v>158</v>
      </c>
      <c r="R1438" s="183"/>
      <c r="S1438" s="181"/>
    </row>
    <row r="1439" spans="1:19" ht="15.75" thickBot="1" x14ac:dyDescent="0.3">
      <c r="B1439" s="307" t="s">
        <v>100</v>
      </c>
      <c r="C1439" s="365" t="s">
        <v>95</v>
      </c>
      <c r="D1439" s="444">
        <f t="shared" ref="D1439:F1440" si="172">D1437/$B1437</f>
        <v>1.2728215767634854</v>
      </c>
      <c r="E1439" s="429">
        <f t="shared" si="172"/>
        <v>0.63174273858921159</v>
      </c>
      <c r="F1439" s="429">
        <f t="shared" si="172"/>
        <v>0.49010373443983402</v>
      </c>
      <c r="G1439" s="429"/>
      <c r="H1439" s="374">
        <f t="shared" si="171"/>
        <v>2.3946680497925312</v>
      </c>
      <c r="I1439" s="307" t="s">
        <v>100</v>
      </c>
      <c r="J1439" s="365" t="s">
        <v>95</v>
      </c>
      <c r="K1439" s="444">
        <f t="shared" ref="K1439:M1440" si="173">K1437/$I1437</f>
        <v>1.3575776397515529</v>
      </c>
      <c r="L1439" s="429">
        <f t="shared" si="173"/>
        <v>0.80910973084886129</v>
      </c>
      <c r="M1439" s="429">
        <f t="shared" si="173"/>
        <v>0.64993788819875775</v>
      </c>
      <c r="N1439" s="429"/>
      <c r="O1439" s="374">
        <f t="shared" si="170"/>
        <v>2.8166252587991716</v>
      </c>
      <c r="P1439" s="172"/>
      <c r="Q1439" s="185" t="s">
        <v>99</v>
      </c>
      <c r="R1439" s="285">
        <f>SUM(R1430:R1438)/70</f>
        <v>0.77142857142857146</v>
      </c>
      <c r="S1439" s="286"/>
    </row>
    <row r="1440" spans="1:19" x14ac:dyDescent="0.25">
      <c r="B1440" s="307" t="s">
        <v>100</v>
      </c>
      <c r="C1440" s="438" t="s">
        <v>96</v>
      </c>
      <c r="D1440" s="359">
        <f t="shared" si="172"/>
        <v>0.73955555555555563</v>
      </c>
      <c r="E1440" s="359">
        <f t="shared" si="172"/>
        <v>1.3420000000000001</v>
      </c>
      <c r="F1440" s="359">
        <f t="shared" si="172"/>
        <v>0.23111111111111113</v>
      </c>
      <c r="G1440" s="359"/>
      <c r="H1440" s="359">
        <f t="shared" si="171"/>
        <v>2.3126666666666669</v>
      </c>
      <c r="I1440" s="307" t="s">
        <v>100</v>
      </c>
      <c r="J1440" s="438" t="s">
        <v>96</v>
      </c>
      <c r="K1440" s="359">
        <f t="shared" si="173"/>
        <v>1.3397826086956521</v>
      </c>
      <c r="L1440" s="359">
        <f t="shared" si="173"/>
        <v>0.768695652173913</v>
      </c>
      <c r="M1440" s="359">
        <f t="shared" si="173"/>
        <v>0.94956521739130439</v>
      </c>
      <c r="N1440" s="359"/>
      <c r="O1440" s="359">
        <f t="shared" si="170"/>
        <v>3.0580434782608692</v>
      </c>
      <c r="P1440" s="172"/>
      <c r="Q1440" s="262"/>
      <c r="R1440" s="262"/>
      <c r="S1440" s="262"/>
    </row>
    <row r="1441" spans="1:19" x14ac:dyDescent="0.25">
      <c r="B1441" s="307" t="s">
        <v>104</v>
      </c>
      <c r="C1441" s="365" t="s">
        <v>95</v>
      </c>
      <c r="D1441" s="359">
        <f>D1437/($B1437/7.7)</f>
        <v>9.8007261410788384</v>
      </c>
      <c r="E1441" s="359">
        <f>E1437/($B1437/7)</f>
        <v>4.4221991701244807</v>
      </c>
      <c r="F1441" s="359">
        <f>F1437/($B1437/7)</f>
        <v>3.4307261410788379</v>
      </c>
      <c r="G1441" s="359"/>
      <c r="H1441" s="359">
        <f t="shared" si="171"/>
        <v>17.653651452282158</v>
      </c>
      <c r="I1441" s="307" t="s">
        <v>104</v>
      </c>
      <c r="J1441" s="365" t="s">
        <v>95</v>
      </c>
      <c r="K1441" s="359">
        <f>K1437/($I1437/7.7)</f>
        <v>10.453347826086958</v>
      </c>
      <c r="L1441" s="359">
        <f>L1437/($I1437/7)</f>
        <v>5.6637681159420294</v>
      </c>
      <c r="M1441" s="359">
        <f>M1437/($I1437/7)</f>
        <v>4.5495652173913044</v>
      </c>
      <c r="N1441" s="359"/>
      <c r="O1441" s="359">
        <f t="shared" si="170"/>
        <v>20.666681159420293</v>
      </c>
      <c r="P1441" s="172"/>
      <c r="Q1441" s="274"/>
      <c r="R1441" s="275"/>
      <c r="S1441" s="262"/>
    </row>
    <row r="1442" spans="1:19" x14ac:dyDescent="0.25">
      <c r="B1442" s="307" t="s">
        <v>104</v>
      </c>
      <c r="C1442" s="438" t="s">
        <v>96</v>
      </c>
      <c r="D1442" s="359">
        <f>D1438/($B1438/7.7)</f>
        <v>5.6945777777777788</v>
      </c>
      <c r="E1442" s="359">
        <f>E1438/($B1438/7.7)</f>
        <v>10.333400000000001</v>
      </c>
      <c r="F1442" s="359">
        <f>F1438/($B1438/7.7)</f>
        <v>1.7795555555555558</v>
      </c>
      <c r="G1442" s="359"/>
      <c r="H1442" s="359">
        <f t="shared" si="171"/>
        <v>17.807533333333335</v>
      </c>
      <c r="I1442" s="307" t="s">
        <v>104</v>
      </c>
      <c r="J1442" s="438" t="s">
        <v>96</v>
      </c>
      <c r="K1442" s="359">
        <f>K1438/($I1438/7.7)</f>
        <v>10.316326086956522</v>
      </c>
      <c r="L1442" s="359">
        <f>L1438/($I1438/7.7)</f>
        <v>5.9189565217391307</v>
      </c>
      <c r="M1442" s="359">
        <f>M1438/($I1438/7.7)</f>
        <v>7.3116521739130436</v>
      </c>
      <c r="N1442" s="359"/>
      <c r="O1442" s="359">
        <f t="shared" si="170"/>
        <v>23.546934782608695</v>
      </c>
      <c r="P1442" s="172"/>
      <c r="Q1442" s="274"/>
      <c r="R1442" s="276"/>
      <c r="S1442" s="262"/>
    </row>
    <row r="1443" spans="1:19" x14ac:dyDescent="0.25">
      <c r="B1443" s="307" t="s">
        <v>135</v>
      </c>
      <c r="C1443" s="365" t="s">
        <v>95</v>
      </c>
      <c r="D1443" s="359">
        <f>D1437/((($B1437*$B1433)*(1-$B1430))/$B1428)</f>
        <v>0.18292046612169849</v>
      </c>
      <c r="E1443" s="359">
        <f>E1437/((($B1437*$B1433)*(1-$B1430))/$B1428)</f>
        <v>9.07893756056352E-2</v>
      </c>
      <c r="F1443" s="359">
        <f>F1437/((($B1437*$B1433)*(1-$B1430))/$B1428)</f>
        <v>7.0434069620095893E-2</v>
      </c>
      <c r="G1443" s="359"/>
      <c r="H1443" s="359">
        <f t="shared" si="171"/>
        <v>0.34414391134742961</v>
      </c>
      <c r="I1443" s="307" t="s">
        <v>135</v>
      </c>
      <c r="J1443" s="365" t="s">
        <v>95</v>
      </c>
      <c r="K1443" s="359">
        <f>K1437/((($I1437*$B1433)*(1-$B1430))/$B1428)</f>
        <v>0.1951009781678878</v>
      </c>
      <c r="L1443" s="359">
        <f>L1437/((($I1437*$B1433)*(1-$B1430))/$B1428)</f>
        <v>0.11627924275672255</v>
      </c>
      <c r="M1443" s="359">
        <f>M1437/((($I1437*$B1433)*(1-$B1430))/$B1428)</f>
        <v>9.3404247405809479E-2</v>
      </c>
      <c r="N1443" s="359"/>
      <c r="O1443" s="359">
        <f>O1437/((($B1437*$B1433)*(1-$B1430))/$B1428)</f>
        <v>0.40562427013193531</v>
      </c>
      <c r="P1443" s="42"/>
      <c r="Q1443" s="274"/>
      <c r="R1443" s="275"/>
      <c r="S1443" s="263"/>
    </row>
    <row r="1444" spans="1:19" ht="15.75" thickBot="1" x14ac:dyDescent="0.3">
      <c r="A1444" s="178"/>
      <c r="B1444" s="307" t="s">
        <v>135</v>
      </c>
      <c r="C1444" s="438" t="s">
        <v>96</v>
      </c>
      <c r="D1444" s="359">
        <f>D1438/((($B1438*$B1433)*(1-$B1430))/$B1428)</f>
        <v>0.10628343313373252</v>
      </c>
      <c r="E1444" s="359">
        <f>E1438/((($B1438*$B1433)*(1-$B1430))/$B1428)</f>
        <v>0.19286227544910176</v>
      </c>
      <c r="F1444" s="359">
        <f>F1438/((($B1438*$B1433)*(1-$B1430))/$B1428)</f>
        <v>3.3213572854291412E-2</v>
      </c>
      <c r="G1444" s="359"/>
      <c r="H1444" s="359">
        <f t="shared" si="171"/>
        <v>0.33235928143712568</v>
      </c>
      <c r="I1444" s="307" t="s">
        <v>135</v>
      </c>
      <c r="J1444" s="438" t="s">
        <v>96</v>
      </c>
      <c r="K1444" s="359">
        <f>K1438/((($I1438*$B1433)*(1-$B1430))/$B1428)</f>
        <v>0.19254360843530327</v>
      </c>
      <c r="L1444" s="359">
        <f>L1438/((($I1438*$B1433)*(1-$B1430))/$B1428)</f>
        <v>0.11047123145014316</v>
      </c>
      <c r="M1444" s="359">
        <f>M1438/((($I1438*$B1433)*(1-$B1430))/$B1428)</f>
        <v>0.13646446237958862</v>
      </c>
      <c r="N1444" s="359"/>
      <c r="O1444" s="359">
        <f>O1438/((($B1438*$B1433)*(1-$B1430))/$B1428)</f>
        <v>0.44924550898203591</v>
      </c>
      <c r="P1444" s="121">
        <f>P1438/((($B1438*$B1433)*(1-$B1430))/$B1428)</f>
        <v>0</v>
      </c>
      <c r="Q1444" s="274"/>
      <c r="R1444" s="275"/>
      <c r="S1444" s="263"/>
    </row>
    <row r="1445" spans="1:19" ht="21" x14ac:dyDescent="0.25">
      <c r="A1445" s="305"/>
      <c r="B1445" s="644" t="s">
        <v>488</v>
      </c>
      <c r="C1445" s="645"/>
      <c r="D1445" s="645"/>
      <c r="E1445" s="645"/>
      <c r="F1445" s="645"/>
      <c r="G1445" s="645"/>
      <c r="H1445" s="645"/>
      <c r="I1445" s="645"/>
      <c r="J1445" s="645"/>
      <c r="K1445" s="645"/>
      <c r="L1445" s="645"/>
      <c r="M1445" s="645"/>
      <c r="N1445" s="645"/>
      <c r="O1445" s="646"/>
      <c r="Q1445" s="683" t="s">
        <v>139</v>
      </c>
      <c r="R1445" s="266" t="s">
        <v>140</v>
      </c>
      <c r="S1445" s="684" t="s">
        <v>142</v>
      </c>
    </row>
    <row r="1446" spans="1:19" ht="21.75" thickBot="1" x14ac:dyDescent="0.3">
      <c r="A1446" s="177" t="s">
        <v>285</v>
      </c>
      <c r="B1446" s="647">
        <v>44162</v>
      </c>
      <c r="C1446" s="648"/>
      <c r="D1446" s="648"/>
      <c r="E1446" s="648"/>
      <c r="F1446" s="648"/>
      <c r="G1446" s="648"/>
      <c r="H1446" s="648"/>
      <c r="I1446" s="648"/>
      <c r="J1446" s="648"/>
      <c r="K1446" s="648"/>
      <c r="L1446" s="648"/>
      <c r="M1446" s="648"/>
      <c r="N1446" s="648"/>
      <c r="O1446" s="649"/>
      <c r="Q1446" s="672"/>
      <c r="R1446" s="183" t="s">
        <v>141</v>
      </c>
      <c r="S1446" s="680"/>
    </row>
    <row r="1447" spans="1:19" ht="15.75" thickBot="1" x14ac:dyDescent="0.3">
      <c r="A1447" s="177"/>
      <c r="B1447" s="650" t="s">
        <v>115</v>
      </c>
      <c r="C1447" s="651"/>
      <c r="D1447" s="651"/>
      <c r="E1447" s="651"/>
      <c r="F1447" s="651"/>
      <c r="G1447" s="651"/>
      <c r="H1447" s="651"/>
      <c r="I1447" s="651"/>
      <c r="J1447" s="651"/>
      <c r="K1447" s="651"/>
      <c r="L1447" s="651"/>
      <c r="M1447" s="651"/>
      <c r="N1447" s="651"/>
      <c r="O1447" s="652"/>
      <c r="Q1447" s="182" t="s">
        <v>143</v>
      </c>
      <c r="R1447" s="183">
        <v>9</v>
      </c>
      <c r="S1447" s="181" t="s">
        <v>477</v>
      </c>
    </row>
    <row r="1448" spans="1:19" ht="15.75" thickBot="1" x14ac:dyDescent="0.3">
      <c r="A1448" s="177" t="s">
        <v>106</v>
      </c>
      <c r="B1448" s="629">
        <v>22</v>
      </c>
      <c r="C1448" s="630"/>
      <c r="D1448" s="630"/>
      <c r="E1448" s="631"/>
      <c r="F1448" s="365" t="s">
        <v>174</v>
      </c>
      <c r="G1448" s="471"/>
      <c r="H1448" s="653">
        <v>0</v>
      </c>
      <c r="I1448" s="654"/>
      <c r="J1448" s="654"/>
      <c r="K1448" s="654"/>
      <c r="L1448" s="655"/>
      <c r="M1448" s="656">
        <f>SUM(B1448,H1449)</f>
        <v>22</v>
      </c>
      <c r="N1448" s="630"/>
      <c r="O1448" s="631"/>
      <c r="Q1448" s="182" t="s">
        <v>145</v>
      </c>
      <c r="R1448" s="183">
        <v>8</v>
      </c>
      <c r="S1448" s="184" t="s">
        <v>478</v>
      </c>
    </row>
    <row r="1449" spans="1:19" ht="15.75" thickBot="1" x14ac:dyDescent="0.3">
      <c r="A1449" s="177" t="s">
        <v>112</v>
      </c>
      <c r="B1449" s="626">
        <v>0.12</v>
      </c>
      <c r="C1449" s="627"/>
      <c r="D1449" s="627"/>
      <c r="E1449" s="628"/>
      <c r="F1449" s="290"/>
      <c r="G1449" s="472"/>
      <c r="H1449" s="626">
        <v>0</v>
      </c>
      <c r="I1449" s="627"/>
      <c r="J1449" s="627"/>
      <c r="K1449" s="627"/>
      <c r="L1449" s="628"/>
      <c r="M1449" s="657">
        <f>B1449</f>
        <v>0.12</v>
      </c>
      <c r="N1449" s="627"/>
      <c r="O1449" s="628"/>
      <c r="Q1449" s="182" t="s">
        <v>147</v>
      </c>
      <c r="R1449" s="183">
        <v>8</v>
      </c>
      <c r="S1449" s="181" t="s">
        <v>411</v>
      </c>
    </row>
    <row r="1450" spans="1:19" ht="17.25" customHeight="1" thickBot="1" x14ac:dyDescent="0.3">
      <c r="A1450" s="177" t="s">
        <v>107</v>
      </c>
      <c r="B1450" s="629">
        <f>B1448*(1-B1449)</f>
        <v>19.36</v>
      </c>
      <c r="C1450" s="630"/>
      <c r="D1450" s="630"/>
      <c r="E1450" s="631"/>
      <c r="F1450" s="290"/>
      <c r="G1450" s="472"/>
      <c r="H1450" s="629">
        <f>H1448*(1-H1449)</f>
        <v>0</v>
      </c>
      <c r="I1450" s="630"/>
      <c r="J1450" s="630"/>
      <c r="K1450" s="630"/>
      <c r="L1450" s="631"/>
      <c r="M1450" s="656">
        <f>SUM(B1450,H1450)</f>
        <v>19.36</v>
      </c>
      <c r="N1450" s="630"/>
      <c r="O1450" s="631"/>
      <c r="Q1450" s="182" t="s">
        <v>82</v>
      </c>
      <c r="R1450" s="183">
        <v>9</v>
      </c>
      <c r="S1450" s="184" t="s">
        <v>441</v>
      </c>
    </row>
    <row r="1451" spans="1:19" ht="15.75" thickBot="1" x14ac:dyDescent="0.3">
      <c r="A1451" s="177" t="s">
        <v>108</v>
      </c>
      <c r="B1451" s="626">
        <f>B1454/B1450</f>
        <v>0.7128099173553718</v>
      </c>
      <c r="C1451" s="627"/>
      <c r="D1451" s="627"/>
      <c r="E1451" s="627"/>
      <c r="F1451" s="627"/>
      <c r="G1451" s="627"/>
      <c r="H1451" s="627"/>
      <c r="I1451" s="627"/>
      <c r="J1451" s="627"/>
      <c r="K1451" s="627"/>
      <c r="L1451" s="627"/>
      <c r="M1451" s="627"/>
      <c r="N1451" s="627"/>
      <c r="O1451" s="628"/>
      <c r="Q1451" s="182" t="s">
        <v>152</v>
      </c>
      <c r="R1451" s="183">
        <v>8.5</v>
      </c>
      <c r="S1451" s="184" t="s">
        <v>479</v>
      </c>
    </row>
    <row r="1452" spans="1:19" ht="15.75" thickBot="1" x14ac:dyDescent="0.3">
      <c r="A1452" s="177" t="s">
        <v>113</v>
      </c>
      <c r="B1452" s="629">
        <f>B1456*(B1460+B1461+I1460+I1461)/1000</f>
        <v>43.125</v>
      </c>
      <c r="C1452" s="630"/>
      <c r="D1452" s="630"/>
      <c r="E1452" s="630"/>
      <c r="F1452" s="630"/>
      <c r="G1452" s="630"/>
      <c r="H1452" s="630"/>
      <c r="I1452" s="630"/>
      <c r="J1452" s="630"/>
      <c r="K1452" s="630"/>
      <c r="L1452" s="630"/>
      <c r="M1452" s="630"/>
      <c r="N1452" s="630"/>
      <c r="O1452" s="631"/>
      <c r="Q1452" s="182" t="s">
        <v>154</v>
      </c>
      <c r="R1452" s="183">
        <v>8</v>
      </c>
      <c r="S1452" s="181" t="s">
        <v>443</v>
      </c>
    </row>
    <row r="1453" spans="1:19" ht="19.5" customHeight="1" thickBot="1" x14ac:dyDescent="0.3">
      <c r="A1453" s="177" t="s">
        <v>109</v>
      </c>
      <c r="B1453" s="626">
        <v>0.68</v>
      </c>
      <c r="C1453" s="627"/>
      <c r="D1453" s="627"/>
      <c r="E1453" s="627"/>
      <c r="F1453" s="627"/>
      <c r="G1453" s="627"/>
      <c r="H1453" s="627"/>
      <c r="I1453" s="627"/>
      <c r="J1453" s="627"/>
      <c r="K1453" s="627"/>
      <c r="L1453" s="627"/>
      <c r="M1453" s="627"/>
      <c r="N1453" s="627"/>
      <c r="O1453" s="628"/>
      <c r="Q1453" s="182" t="s">
        <v>156</v>
      </c>
      <c r="R1453" s="183">
        <v>8</v>
      </c>
      <c r="S1453" s="181" t="s">
        <v>480</v>
      </c>
    </row>
    <row r="1454" spans="1:19" ht="15.75" thickBot="1" x14ac:dyDescent="0.3">
      <c r="A1454" s="177" t="s">
        <v>122</v>
      </c>
      <c r="B1454" s="629">
        <f>B1452-(B1452*B1453)</f>
        <v>13.799999999999997</v>
      </c>
      <c r="C1454" s="630"/>
      <c r="D1454" s="630"/>
      <c r="E1454" s="630"/>
      <c r="F1454" s="630"/>
      <c r="G1454" s="630"/>
      <c r="H1454" s="630"/>
      <c r="I1454" s="630"/>
      <c r="J1454" s="630"/>
      <c r="K1454" s="630"/>
      <c r="L1454" s="630"/>
      <c r="M1454" s="630"/>
      <c r="N1454" s="630"/>
      <c r="O1454" s="631"/>
      <c r="Q1454" s="182" t="s">
        <v>158</v>
      </c>
      <c r="R1454" s="183"/>
      <c r="S1454" s="181"/>
    </row>
    <row r="1455" spans="1:19" ht="15.75" thickBot="1" x14ac:dyDescent="0.3">
      <c r="A1455" s="177" t="s">
        <v>110</v>
      </c>
      <c r="B1455" s="632">
        <v>140</v>
      </c>
      <c r="C1455" s="633"/>
      <c r="D1455" s="633"/>
      <c r="E1455" s="633"/>
      <c r="F1455" s="633"/>
      <c r="G1455" s="633"/>
      <c r="H1455" s="633"/>
      <c r="I1455" s="633"/>
      <c r="J1455" s="633"/>
      <c r="K1455" s="633"/>
      <c r="L1455" s="633"/>
      <c r="M1455" s="633"/>
      <c r="N1455" s="633"/>
      <c r="O1455" s="634"/>
      <c r="Q1455" s="185" t="s">
        <v>99</v>
      </c>
      <c r="R1455" s="285">
        <f>SUM(R1447:R1454)/70</f>
        <v>0.83571428571428574</v>
      </c>
      <c r="S1455" s="186">
        <v>0.83499999999999996</v>
      </c>
    </row>
    <row r="1456" spans="1:19" x14ac:dyDescent="0.25">
      <c r="A1456" s="177" t="s">
        <v>111</v>
      </c>
      <c r="B1456" s="635">
        <v>15</v>
      </c>
      <c r="C1456" s="636"/>
      <c r="D1456" s="636"/>
      <c r="E1456" s="636"/>
      <c r="F1456" s="636"/>
      <c r="G1456" s="636"/>
      <c r="H1456" s="636"/>
      <c r="I1456" s="636"/>
      <c r="J1456" s="636"/>
      <c r="K1456" s="636"/>
      <c r="L1456" s="636"/>
      <c r="M1456" s="636"/>
      <c r="N1456" s="636"/>
      <c r="O1456" s="637"/>
    </row>
    <row r="1457" spans="1:19" x14ac:dyDescent="0.25">
      <c r="A1457" s="177" t="s">
        <v>273</v>
      </c>
      <c r="B1457" s="638" t="s">
        <v>472</v>
      </c>
      <c r="C1457" s="638"/>
      <c r="D1457" s="638"/>
      <c r="E1457" s="638"/>
      <c r="F1457" s="638"/>
      <c r="G1457" s="638"/>
      <c r="H1457" s="638"/>
      <c r="I1457" s="638"/>
      <c r="J1457" s="638"/>
      <c r="K1457" s="638"/>
      <c r="L1457" s="638"/>
      <c r="M1457" s="638"/>
      <c r="N1457" s="638"/>
      <c r="O1457" s="639"/>
    </row>
    <row r="1458" spans="1:19" x14ac:dyDescent="0.25">
      <c r="A1458" s="177" t="s">
        <v>351</v>
      </c>
      <c r="B1458" s="431"/>
      <c r="C1458" s="431"/>
      <c r="D1458" s="431"/>
      <c r="E1458" s="431"/>
      <c r="F1458" s="431"/>
      <c r="G1458" s="431"/>
      <c r="H1458" s="431"/>
      <c r="I1458" s="431"/>
      <c r="J1458" s="431"/>
      <c r="K1458" s="431"/>
      <c r="L1458" s="431"/>
      <c r="M1458" s="431"/>
      <c r="N1458" s="431"/>
      <c r="O1458" s="432"/>
      <c r="Q1458" s="274"/>
      <c r="R1458" s="275"/>
    </row>
    <row r="1459" spans="1:19" x14ac:dyDescent="0.25">
      <c r="B1459" s="307" t="s">
        <v>98</v>
      </c>
      <c r="C1459" s="365" t="s">
        <v>102</v>
      </c>
      <c r="D1459" s="365" t="s">
        <v>92</v>
      </c>
      <c r="E1459" s="365" t="s">
        <v>93</v>
      </c>
      <c r="F1459" s="365" t="s">
        <v>94</v>
      </c>
      <c r="G1459" s="365"/>
      <c r="H1459" s="359" t="s">
        <v>99</v>
      </c>
      <c r="I1459" s="307" t="s">
        <v>98</v>
      </c>
      <c r="J1459" s="365" t="s">
        <v>102</v>
      </c>
      <c r="K1459" s="365" t="s">
        <v>92</v>
      </c>
      <c r="L1459" s="365" t="s">
        <v>93</v>
      </c>
      <c r="M1459" s="365" t="s">
        <v>94</v>
      </c>
      <c r="N1459" s="365"/>
      <c r="O1459" s="359" t="s">
        <v>99</v>
      </c>
      <c r="Q1459" s="274"/>
      <c r="R1459" s="275"/>
    </row>
    <row r="1460" spans="1:19" x14ac:dyDescent="0.25">
      <c r="B1460" s="308">
        <v>1265</v>
      </c>
      <c r="C1460" s="365" t="s">
        <v>95</v>
      </c>
      <c r="D1460" s="441">
        <v>1401.15</v>
      </c>
      <c r="E1460" s="441">
        <v>1150.8900000000001</v>
      </c>
      <c r="F1460" s="441">
        <v>1110.04</v>
      </c>
      <c r="G1460" s="441"/>
      <c r="H1460" s="359">
        <f>SUM(D1460:F1460)</f>
        <v>3662.08</v>
      </c>
      <c r="I1460" s="308">
        <v>1204</v>
      </c>
      <c r="J1460" s="365" t="s">
        <v>95</v>
      </c>
      <c r="K1460" s="441">
        <v>1868.16</v>
      </c>
      <c r="L1460" s="441">
        <v>1202.92</v>
      </c>
      <c r="M1460" s="441">
        <v>1077.56</v>
      </c>
      <c r="N1460" s="441"/>
      <c r="O1460" s="359">
        <f t="shared" ref="O1460:O1465" si="174">SUM(K1460:M1460)</f>
        <v>4148.6399999999994</v>
      </c>
      <c r="Q1460" s="274"/>
      <c r="R1460" s="275"/>
    </row>
    <row r="1461" spans="1:19" x14ac:dyDescent="0.25">
      <c r="B1461" s="308">
        <v>183</v>
      </c>
      <c r="C1461" s="365" t="s">
        <v>96</v>
      </c>
      <c r="D1461" s="441">
        <v>186.54</v>
      </c>
      <c r="E1461" s="441">
        <v>137.22999999999999</v>
      </c>
      <c r="F1461" s="441">
        <v>0</v>
      </c>
      <c r="G1461" s="441"/>
      <c r="H1461" s="359">
        <f t="shared" ref="H1461:H1467" si="175">SUM(D1461:F1461)</f>
        <v>323.77</v>
      </c>
      <c r="I1461" s="308">
        <v>223</v>
      </c>
      <c r="J1461" s="365" t="s">
        <v>96</v>
      </c>
      <c r="K1461" s="441">
        <v>304.88</v>
      </c>
      <c r="L1461" s="441">
        <v>91.52</v>
      </c>
      <c r="M1461" s="441">
        <v>159.19999999999999</v>
      </c>
      <c r="N1461" s="441"/>
      <c r="O1461" s="359">
        <f t="shared" si="174"/>
        <v>555.59999999999991</v>
      </c>
      <c r="Q1461" s="274"/>
      <c r="R1461" s="276"/>
    </row>
    <row r="1462" spans="1:19" x14ac:dyDescent="0.25">
      <c r="B1462" s="307" t="s">
        <v>100</v>
      </c>
      <c r="C1462" s="365" t="s">
        <v>95</v>
      </c>
      <c r="D1462" s="444">
        <f t="shared" ref="D1462:F1463" si="176">D1460/$B1460</f>
        <v>1.1076284584980238</v>
      </c>
      <c r="E1462" s="429">
        <f t="shared" si="176"/>
        <v>0.90979446640316208</v>
      </c>
      <c r="F1462" s="429">
        <f t="shared" si="176"/>
        <v>0.87750197628458493</v>
      </c>
      <c r="G1462" s="429"/>
      <c r="H1462" s="374">
        <f t="shared" si="175"/>
        <v>2.8949249011857705</v>
      </c>
      <c r="I1462" s="307" t="s">
        <v>100</v>
      </c>
      <c r="J1462" s="365" t="s">
        <v>95</v>
      </c>
      <c r="K1462" s="444">
        <f t="shared" ref="K1462:M1463" si="177">K1460/$I1460</f>
        <v>1.5516279069767442</v>
      </c>
      <c r="L1462" s="429">
        <f t="shared" si="177"/>
        <v>0.99910299003322267</v>
      </c>
      <c r="M1462" s="429">
        <f t="shared" si="177"/>
        <v>0.89498338870431893</v>
      </c>
      <c r="N1462" s="429"/>
      <c r="O1462" s="374">
        <f t="shared" si="174"/>
        <v>3.4457142857142857</v>
      </c>
      <c r="Q1462" s="274"/>
      <c r="R1462" s="275"/>
    </row>
    <row r="1463" spans="1:19" x14ac:dyDescent="0.25">
      <c r="B1463" s="307" t="s">
        <v>100</v>
      </c>
      <c r="C1463" s="438" t="s">
        <v>96</v>
      </c>
      <c r="D1463" s="359">
        <f t="shared" si="176"/>
        <v>1.0193442622950819</v>
      </c>
      <c r="E1463" s="359">
        <f t="shared" si="176"/>
        <v>0.74989071038251365</v>
      </c>
      <c r="F1463" s="359">
        <f t="shared" si="176"/>
        <v>0</v>
      </c>
      <c r="G1463" s="359"/>
      <c r="H1463" s="359">
        <f t="shared" si="175"/>
        <v>1.7692349726775956</v>
      </c>
      <c r="I1463" s="307" t="s">
        <v>100</v>
      </c>
      <c r="J1463" s="438" t="s">
        <v>96</v>
      </c>
      <c r="K1463" s="359">
        <f t="shared" si="177"/>
        <v>1.3671748878923766</v>
      </c>
      <c r="L1463" s="359">
        <f t="shared" si="177"/>
        <v>0.41040358744394617</v>
      </c>
      <c r="M1463" s="359">
        <f t="shared" si="177"/>
        <v>0.71390134529147975</v>
      </c>
      <c r="N1463" s="359"/>
      <c r="O1463" s="359">
        <f t="shared" si="174"/>
        <v>2.4914798206278026</v>
      </c>
      <c r="Q1463" s="274"/>
      <c r="R1463" s="275"/>
    </row>
    <row r="1464" spans="1:19" x14ac:dyDescent="0.25">
      <c r="B1464" s="307" t="s">
        <v>104</v>
      </c>
      <c r="C1464" s="365" t="s">
        <v>95</v>
      </c>
      <c r="D1464" s="359">
        <f>D1460/($B1460/7.7)</f>
        <v>8.5287391304347828</v>
      </c>
      <c r="E1464" s="359">
        <f>E1460/($B1460/7)</f>
        <v>6.3685612648221346</v>
      </c>
      <c r="F1464" s="359">
        <f>F1460/($B1460/7)</f>
        <v>6.1425138339920942</v>
      </c>
      <c r="G1464" s="359"/>
      <c r="H1464" s="359">
        <f t="shared" si="175"/>
        <v>21.039814229249011</v>
      </c>
      <c r="I1464" s="307" t="s">
        <v>104</v>
      </c>
      <c r="J1464" s="365" t="s">
        <v>95</v>
      </c>
      <c r="K1464" s="359">
        <f>K1460/($I1460/7.7)</f>
        <v>11.94753488372093</v>
      </c>
      <c r="L1464" s="359">
        <f>L1460/($I1460/7)</f>
        <v>6.9937209302325583</v>
      </c>
      <c r="M1464" s="359">
        <f>M1460/($I1460/7)</f>
        <v>6.2648837209302322</v>
      </c>
      <c r="N1464" s="359"/>
      <c r="O1464" s="359">
        <f t="shared" si="174"/>
        <v>25.206139534883722</v>
      </c>
    </row>
    <row r="1465" spans="1:19" x14ac:dyDescent="0.25">
      <c r="B1465" s="307" t="s">
        <v>104</v>
      </c>
      <c r="C1465" s="438" t="s">
        <v>96</v>
      </c>
      <c r="D1465" s="359">
        <f>D1461/($B1461/7.7)</f>
        <v>7.8489508196721314</v>
      </c>
      <c r="E1465" s="359">
        <f>E1461/($B1461/7.7)</f>
        <v>5.7741584699453554</v>
      </c>
      <c r="F1465" s="359">
        <f>F1461/($B1461/7.7)</f>
        <v>0</v>
      </c>
      <c r="G1465" s="359"/>
      <c r="H1465" s="359">
        <f t="shared" si="175"/>
        <v>13.623109289617487</v>
      </c>
      <c r="I1465" s="307" t="s">
        <v>104</v>
      </c>
      <c r="J1465" s="438" t="s">
        <v>96</v>
      </c>
      <c r="K1465" s="359">
        <f>K1461/($I1461/7.7)</f>
        <v>10.5272466367713</v>
      </c>
      <c r="L1465" s="359">
        <f>L1461/($I1461/7.7)</f>
        <v>3.1601076233183858</v>
      </c>
      <c r="M1465" s="359">
        <f>M1461/($I1461/7.7)</f>
        <v>5.4970403587443943</v>
      </c>
      <c r="N1465" s="359"/>
      <c r="O1465" s="359">
        <f t="shared" si="174"/>
        <v>19.18439461883408</v>
      </c>
    </row>
    <row r="1466" spans="1:19" x14ac:dyDescent="0.25">
      <c r="B1466" s="307" t="s">
        <v>135</v>
      </c>
      <c r="C1466" s="365" t="s">
        <v>95</v>
      </c>
      <c r="D1466" s="359">
        <f>D1460/((($B1460*$B1456)*(1-$B1453))/$B1451)</f>
        <v>0.16448511457550716</v>
      </c>
      <c r="E1466" s="359">
        <f>E1460/((($B1460*$B1456)*(1-$B1453))/$B1451)</f>
        <v>0.13510635800150264</v>
      </c>
      <c r="F1466" s="359">
        <f>F1460/((($B1460*$B1456)*(1-$B1453))/$B1451)</f>
        <v>0.13031085649887303</v>
      </c>
      <c r="G1466" s="359"/>
      <c r="H1466" s="359">
        <f t="shared" si="175"/>
        <v>0.42990232907588283</v>
      </c>
      <c r="I1466" s="307" t="s">
        <v>135</v>
      </c>
      <c r="J1466" s="365" t="s">
        <v>95</v>
      </c>
      <c r="K1466" s="359">
        <f>K1460/((($I1460*$B1456)*(1-$B1453))/$B1451)</f>
        <v>0.23041995002882953</v>
      </c>
      <c r="L1466" s="359">
        <f>L1460/((($I1460*$B1456)*(1-$B1453))/$B1451)</f>
        <v>0.14836885828230967</v>
      </c>
      <c r="M1466" s="359">
        <f>M1460/((($I1460*$B1456)*(1-$B1453))/$B1451)</f>
        <v>0.13290688236182421</v>
      </c>
      <c r="N1466" s="359"/>
      <c r="O1466" s="359">
        <f>O1460/((($B1460*$B1456)*(1-$B1453))/$B1451)</f>
        <v>0.48702103681442521</v>
      </c>
    </row>
    <row r="1467" spans="1:19" x14ac:dyDescent="0.25">
      <c r="B1467" s="307" t="s">
        <v>135</v>
      </c>
      <c r="C1467" s="438" t="s">
        <v>96</v>
      </c>
      <c r="D1467" s="359">
        <f>D1461/((($B1461*$B1456)*(1-$B1453))/$B1451)</f>
        <v>0.15137472903400623</v>
      </c>
      <c r="E1467" s="359">
        <f>E1461/((($B1461*$B1456)*(1-$B1453))/$B1451)</f>
        <v>0.11136031985277513</v>
      </c>
      <c r="F1467" s="359">
        <f>F1461/((($B1461*$B1456)*(1-$B1453))/$B1451)</f>
        <v>0</v>
      </c>
      <c r="G1467" s="359"/>
      <c r="H1467" s="359">
        <f t="shared" si="175"/>
        <v>0.26273504888678134</v>
      </c>
      <c r="I1467" s="307" t="s">
        <v>135</v>
      </c>
      <c r="J1467" s="438" t="s">
        <v>96</v>
      </c>
      <c r="K1467" s="359">
        <f>K1461/((($I1461*$B1456)*(1-$B1453))/$B1451)</f>
        <v>0.20302829559352184</v>
      </c>
      <c r="L1467" s="359">
        <f>L1461/((($I1461*$B1456)*(1-$B1453))/$B1451)</f>
        <v>6.0945780676722378E-2</v>
      </c>
      <c r="M1467" s="359">
        <f>M1461/((($I1461*$B1456)*(1-$B1453))/$B1451)</f>
        <v>0.10601582477856428</v>
      </c>
      <c r="N1467" s="359"/>
      <c r="O1467" s="359">
        <f>O1461/((($B1461*$B1456)*(1-$B1453))/$B1451)</f>
        <v>0.45086201056767367</v>
      </c>
    </row>
    <row r="1468" spans="1:19" ht="15.75" thickBot="1" x14ac:dyDescent="0.3">
      <c r="A1468" s="178"/>
      <c r="B1468" s="178"/>
      <c r="C1468" s="178"/>
      <c r="D1468" s="178"/>
      <c r="E1468" s="178"/>
      <c r="F1468" s="178"/>
      <c r="G1468" s="178"/>
      <c r="H1468" s="178"/>
      <c r="I1468" s="178"/>
      <c r="J1468" s="178"/>
      <c r="K1468" s="178"/>
      <c r="L1468" s="178"/>
      <c r="M1468" s="178"/>
      <c r="N1468" s="178"/>
      <c r="O1468" s="178"/>
    </row>
    <row r="1469" spans="1:19" ht="21" x14ac:dyDescent="0.25">
      <c r="A1469" s="305"/>
      <c r="B1469" s="644" t="s">
        <v>489</v>
      </c>
      <c r="C1469" s="645"/>
      <c r="D1469" s="645"/>
      <c r="E1469" s="645"/>
      <c r="F1469" s="645"/>
      <c r="G1469" s="645"/>
      <c r="H1469" s="645"/>
      <c r="I1469" s="645"/>
      <c r="J1469" s="645"/>
      <c r="K1469" s="645"/>
      <c r="L1469" s="645"/>
      <c r="M1469" s="645"/>
      <c r="N1469" s="645"/>
      <c r="O1469" s="646"/>
      <c r="Q1469" s="683" t="s">
        <v>139</v>
      </c>
      <c r="R1469" s="266" t="s">
        <v>140</v>
      </c>
      <c r="S1469" s="684" t="s">
        <v>142</v>
      </c>
    </row>
    <row r="1470" spans="1:19" ht="21.75" thickBot="1" x14ac:dyDescent="0.3">
      <c r="A1470" s="177" t="s">
        <v>285</v>
      </c>
      <c r="B1470" s="647">
        <v>44176</v>
      </c>
      <c r="C1470" s="648"/>
      <c r="D1470" s="648"/>
      <c r="E1470" s="648"/>
      <c r="F1470" s="648"/>
      <c r="G1470" s="648"/>
      <c r="H1470" s="648"/>
      <c r="I1470" s="648"/>
      <c r="J1470" s="648"/>
      <c r="K1470" s="648"/>
      <c r="L1470" s="648"/>
      <c r="M1470" s="648"/>
      <c r="N1470" s="648"/>
      <c r="O1470" s="649"/>
      <c r="Q1470" s="672"/>
      <c r="R1470" s="183" t="s">
        <v>141</v>
      </c>
      <c r="S1470" s="680"/>
    </row>
    <row r="1471" spans="1:19" ht="15.75" thickBot="1" x14ac:dyDescent="0.3">
      <c r="A1471" s="177"/>
      <c r="B1471" s="650" t="s">
        <v>115</v>
      </c>
      <c r="C1471" s="651"/>
      <c r="D1471" s="651"/>
      <c r="E1471" s="651"/>
      <c r="F1471" s="651"/>
      <c r="G1471" s="651"/>
      <c r="H1471" s="651"/>
      <c r="I1471" s="651"/>
      <c r="J1471" s="651"/>
      <c r="K1471" s="651"/>
      <c r="L1471" s="651"/>
      <c r="M1471" s="651"/>
      <c r="N1471" s="651"/>
      <c r="O1471" s="652"/>
      <c r="Q1471" s="182" t="s">
        <v>143</v>
      </c>
      <c r="R1471" s="183">
        <v>7</v>
      </c>
      <c r="S1471" s="181" t="s">
        <v>508</v>
      </c>
    </row>
    <row r="1472" spans="1:19" ht="15.75" thickBot="1" x14ac:dyDescent="0.3">
      <c r="A1472" s="177" t="s">
        <v>106</v>
      </c>
      <c r="B1472" s="629">
        <v>15.4</v>
      </c>
      <c r="C1472" s="630"/>
      <c r="D1472" s="630"/>
      <c r="E1472" s="631"/>
      <c r="F1472" s="365" t="s">
        <v>174</v>
      </c>
      <c r="G1472" s="471"/>
      <c r="H1472" s="653">
        <v>0</v>
      </c>
      <c r="I1472" s="654"/>
      <c r="J1472" s="654"/>
      <c r="K1472" s="654"/>
      <c r="L1472" s="655"/>
      <c r="M1472" s="656">
        <f>SUM(B1472,H1473)</f>
        <v>15.4</v>
      </c>
      <c r="N1472" s="630"/>
      <c r="O1472" s="631"/>
      <c r="Q1472" s="182" t="s">
        <v>145</v>
      </c>
      <c r="R1472" s="183">
        <v>7</v>
      </c>
      <c r="S1472" s="184" t="s">
        <v>509</v>
      </c>
    </row>
    <row r="1473" spans="1:19" ht="15.75" thickBot="1" x14ac:dyDescent="0.3">
      <c r="A1473" s="177" t="s">
        <v>112</v>
      </c>
      <c r="B1473" s="626">
        <v>0.12</v>
      </c>
      <c r="C1473" s="627"/>
      <c r="D1473" s="627"/>
      <c r="E1473" s="628"/>
      <c r="F1473" s="290"/>
      <c r="G1473" s="472"/>
      <c r="H1473" s="626">
        <v>0</v>
      </c>
      <c r="I1473" s="627"/>
      <c r="J1473" s="627"/>
      <c r="K1473" s="627"/>
      <c r="L1473" s="628"/>
      <c r="M1473" s="657">
        <f>B1473</f>
        <v>0.12</v>
      </c>
      <c r="N1473" s="627"/>
      <c r="O1473" s="628"/>
      <c r="Q1473" s="182" t="s">
        <v>147</v>
      </c>
      <c r="R1473" s="183">
        <v>8</v>
      </c>
      <c r="S1473" s="181" t="s">
        <v>411</v>
      </c>
    </row>
    <row r="1474" spans="1:19" ht="29.25" thickBot="1" x14ac:dyDescent="0.3">
      <c r="A1474" s="177" t="s">
        <v>107</v>
      </c>
      <c r="B1474" s="629">
        <f>B1472*(1-B1473)</f>
        <v>13.552</v>
      </c>
      <c r="C1474" s="630"/>
      <c r="D1474" s="630"/>
      <c r="E1474" s="631"/>
      <c r="F1474" s="290"/>
      <c r="G1474" s="472"/>
      <c r="H1474" s="629">
        <f>H1472*(1-H1473)</f>
        <v>0</v>
      </c>
      <c r="I1474" s="630"/>
      <c r="J1474" s="630"/>
      <c r="K1474" s="630"/>
      <c r="L1474" s="631"/>
      <c r="M1474" s="656">
        <f>SUM(B1474,H1474)</f>
        <v>13.552</v>
      </c>
      <c r="N1474" s="630"/>
      <c r="O1474" s="631"/>
      <c r="Q1474" s="182" t="s">
        <v>82</v>
      </c>
      <c r="R1474" s="183">
        <v>7</v>
      </c>
      <c r="S1474" s="184" t="s">
        <v>510</v>
      </c>
    </row>
    <row r="1475" spans="1:19" ht="15.75" thickBot="1" x14ac:dyDescent="0.3">
      <c r="A1475" s="177" t="s">
        <v>108</v>
      </c>
      <c r="B1475" s="626">
        <f>B1478/B1474</f>
        <v>0.8102125147579694</v>
      </c>
      <c r="C1475" s="627"/>
      <c r="D1475" s="627"/>
      <c r="E1475" s="627"/>
      <c r="F1475" s="627"/>
      <c r="G1475" s="627"/>
      <c r="H1475" s="627"/>
      <c r="I1475" s="627"/>
      <c r="J1475" s="627"/>
      <c r="K1475" s="627"/>
      <c r="L1475" s="627"/>
      <c r="M1475" s="627"/>
      <c r="N1475" s="627"/>
      <c r="O1475" s="628"/>
      <c r="Q1475" s="182" t="s">
        <v>152</v>
      </c>
      <c r="R1475" s="183">
        <v>8</v>
      </c>
      <c r="S1475" s="184" t="s">
        <v>511</v>
      </c>
    </row>
    <row r="1476" spans="1:19" ht="15.75" thickBot="1" x14ac:dyDescent="0.3">
      <c r="A1476" s="177" t="s">
        <v>113</v>
      </c>
      <c r="B1476" s="629">
        <f>B1480*(B1484+B1485+I1484+I1485)/1000</f>
        <v>36.6</v>
      </c>
      <c r="C1476" s="630"/>
      <c r="D1476" s="630"/>
      <c r="E1476" s="630"/>
      <c r="F1476" s="630"/>
      <c r="G1476" s="630"/>
      <c r="H1476" s="630"/>
      <c r="I1476" s="630"/>
      <c r="J1476" s="630"/>
      <c r="K1476" s="630"/>
      <c r="L1476" s="630"/>
      <c r="M1476" s="630"/>
      <c r="N1476" s="630"/>
      <c r="O1476" s="631"/>
      <c r="Q1476" s="182" t="s">
        <v>154</v>
      </c>
      <c r="R1476" s="183">
        <v>8</v>
      </c>
      <c r="S1476" s="181" t="s">
        <v>512</v>
      </c>
    </row>
    <row r="1477" spans="1:19" ht="15.75" thickBot="1" x14ac:dyDescent="0.3">
      <c r="A1477" s="177" t="s">
        <v>109</v>
      </c>
      <c r="B1477" s="626">
        <v>0.7</v>
      </c>
      <c r="C1477" s="627"/>
      <c r="D1477" s="627"/>
      <c r="E1477" s="627"/>
      <c r="F1477" s="627"/>
      <c r="G1477" s="627"/>
      <c r="H1477" s="627"/>
      <c r="I1477" s="627"/>
      <c r="J1477" s="627"/>
      <c r="K1477" s="627"/>
      <c r="L1477" s="627"/>
      <c r="M1477" s="627"/>
      <c r="N1477" s="627"/>
      <c r="O1477" s="628"/>
      <c r="Q1477" s="182" t="s">
        <v>156</v>
      </c>
      <c r="R1477" s="183">
        <v>8</v>
      </c>
      <c r="S1477" s="181" t="s">
        <v>513</v>
      </c>
    </row>
    <row r="1478" spans="1:19" ht="15.75" thickBot="1" x14ac:dyDescent="0.3">
      <c r="A1478" s="177" t="s">
        <v>122</v>
      </c>
      <c r="B1478" s="629">
        <f>B1476-(B1476*B1477)</f>
        <v>10.98</v>
      </c>
      <c r="C1478" s="630"/>
      <c r="D1478" s="630"/>
      <c r="E1478" s="630"/>
      <c r="F1478" s="630"/>
      <c r="G1478" s="630"/>
      <c r="H1478" s="630"/>
      <c r="I1478" s="630"/>
      <c r="J1478" s="630"/>
      <c r="K1478" s="630"/>
      <c r="L1478" s="630"/>
      <c r="M1478" s="630"/>
      <c r="N1478" s="630"/>
      <c r="O1478" s="631"/>
      <c r="Q1478" s="182" t="s">
        <v>158</v>
      </c>
      <c r="R1478" s="183"/>
      <c r="S1478" s="181"/>
    </row>
    <row r="1479" spans="1:19" ht="15.75" thickBot="1" x14ac:dyDescent="0.3">
      <c r="A1479" s="177" t="s">
        <v>110</v>
      </c>
      <c r="B1479" s="632">
        <v>140</v>
      </c>
      <c r="C1479" s="633"/>
      <c r="D1479" s="633"/>
      <c r="E1479" s="633"/>
      <c r="F1479" s="633"/>
      <c r="G1479" s="633"/>
      <c r="H1479" s="633"/>
      <c r="I1479" s="633"/>
      <c r="J1479" s="633"/>
      <c r="K1479" s="633"/>
      <c r="L1479" s="633"/>
      <c r="M1479" s="633"/>
      <c r="N1479" s="633"/>
      <c r="O1479" s="634"/>
      <c r="Q1479" s="185" t="s">
        <v>99</v>
      </c>
      <c r="R1479" s="285">
        <f>SUM(R1471:R1478)/70</f>
        <v>0.75714285714285712</v>
      </c>
      <c r="S1479" s="186">
        <v>0.75700000000000001</v>
      </c>
    </row>
    <row r="1480" spans="1:19" x14ac:dyDescent="0.25">
      <c r="A1480" s="177" t="s">
        <v>111</v>
      </c>
      <c r="B1480" s="635">
        <v>15</v>
      </c>
      <c r="C1480" s="636"/>
      <c r="D1480" s="636"/>
      <c r="E1480" s="636"/>
      <c r="F1480" s="636"/>
      <c r="G1480" s="636"/>
      <c r="H1480" s="636"/>
      <c r="I1480" s="636"/>
      <c r="J1480" s="636"/>
      <c r="K1480" s="636"/>
      <c r="L1480" s="636"/>
      <c r="M1480" s="636"/>
      <c r="N1480" s="636"/>
      <c r="O1480" s="637"/>
    </row>
    <row r="1481" spans="1:19" x14ac:dyDescent="0.25">
      <c r="A1481" s="177" t="s">
        <v>273</v>
      </c>
      <c r="B1481" s="638" t="s">
        <v>472</v>
      </c>
      <c r="C1481" s="638"/>
      <c r="D1481" s="638"/>
      <c r="E1481" s="638"/>
      <c r="F1481" s="638"/>
      <c r="G1481" s="638"/>
      <c r="H1481" s="638"/>
      <c r="I1481" s="638"/>
      <c r="J1481" s="638"/>
      <c r="K1481" s="638"/>
      <c r="L1481" s="638"/>
      <c r="M1481" s="638"/>
      <c r="N1481" s="638"/>
      <c r="O1481" s="639"/>
    </row>
    <row r="1482" spans="1:19" x14ac:dyDescent="0.25">
      <c r="A1482" s="177" t="s">
        <v>351</v>
      </c>
      <c r="B1482" s="431"/>
      <c r="C1482" s="431"/>
      <c r="D1482" s="431"/>
      <c r="E1482" s="431"/>
      <c r="F1482" s="431"/>
      <c r="G1482" s="431"/>
      <c r="H1482" s="431"/>
      <c r="I1482" s="431"/>
      <c r="J1482" s="431"/>
      <c r="K1482" s="431"/>
      <c r="L1482" s="431"/>
      <c r="M1482" s="431"/>
      <c r="N1482" s="431"/>
      <c r="O1482" s="432"/>
    </row>
    <row r="1483" spans="1:19" x14ac:dyDescent="0.25">
      <c r="B1483" s="307" t="s">
        <v>98</v>
      </c>
      <c r="C1483" s="365" t="s">
        <v>102</v>
      </c>
      <c r="D1483" s="365" t="s">
        <v>92</v>
      </c>
      <c r="E1483" s="365" t="s">
        <v>93</v>
      </c>
      <c r="F1483" s="365" t="s">
        <v>94</v>
      </c>
      <c r="G1483" s="365"/>
      <c r="H1483" s="359" t="s">
        <v>99</v>
      </c>
      <c r="I1483" s="307" t="s">
        <v>98</v>
      </c>
      <c r="J1483" s="365" t="s">
        <v>102</v>
      </c>
      <c r="K1483" s="365" t="s">
        <v>92</v>
      </c>
      <c r="L1483" s="365" t="s">
        <v>93</v>
      </c>
      <c r="M1483" s="365" t="s">
        <v>94</v>
      </c>
      <c r="N1483" s="365"/>
      <c r="O1483" s="359" t="s">
        <v>99</v>
      </c>
      <c r="Q1483" s="274"/>
      <c r="R1483" s="275"/>
    </row>
    <row r="1484" spans="1:19" x14ac:dyDescent="0.25">
      <c r="B1484" s="308">
        <v>1026</v>
      </c>
      <c r="C1484" s="365" t="s">
        <v>95</v>
      </c>
      <c r="D1484" s="441">
        <v>1455.5</v>
      </c>
      <c r="E1484" s="441">
        <v>820.4</v>
      </c>
      <c r="F1484" s="441">
        <v>659.76</v>
      </c>
      <c r="G1484" s="441"/>
      <c r="H1484" s="359">
        <f>SUM(D1484:F1484)</f>
        <v>2935.66</v>
      </c>
      <c r="I1484" s="308">
        <v>1035</v>
      </c>
      <c r="J1484" s="365" t="s">
        <v>95</v>
      </c>
      <c r="K1484" s="441">
        <v>1362.62</v>
      </c>
      <c r="L1484" s="441">
        <v>917.4</v>
      </c>
      <c r="M1484" s="441">
        <v>516.07000000000005</v>
      </c>
      <c r="N1484" s="441"/>
      <c r="O1484" s="359">
        <f t="shared" ref="O1484:O1489" si="178">SUM(K1484:M1484)</f>
        <v>2796.09</v>
      </c>
      <c r="Q1484" s="274"/>
      <c r="R1484" s="276"/>
    </row>
    <row r="1485" spans="1:19" x14ac:dyDescent="0.25">
      <c r="B1485" s="308">
        <v>191</v>
      </c>
      <c r="C1485" s="365" t="s">
        <v>96</v>
      </c>
      <c r="D1485" s="441">
        <v>212.6</v>
      </c>
      <c r="E1485" s="441">
        <v>63.24</v>
      </c>
      <c r="F1485" s="441">
        <v>31.64</v>
      </c>
      <c r="G1485" s="441"/>
      <c r="H1485" s="359">
        <f t="shared" ref="H1485:H1491" si="179">SUM(D1485:F1485)</f>
        <v>307.47999999999996</v>
      </c>
      <c r="I1485" s="308">
        <v>188</v>
      </c>
      <c r="J1485" s="365" t="s">
        <v>96</v>
      </c>
      <c r="K1485" s="441">
        <v>307.5</v>
      </c>
      <c r="L1485" s="441">
        <v>166.4</v>
      </c>
      <c r="M1485" s="441">
        <v>74.98</v>
      </c>
      <c r="N1485" s="441"/>
      <c r="O1485" s="359">
        <f t="shared" si="178"/>
        <v>548.88</v>
      </c>
      <c r="Q1485" s="274"/>
      <c r="R1485" s="275"/>
    </row>
    <row r="1486" spans="1:19" x14ac:dyDescent="0.25">
      <c r="B1486" s="307" t="s">
        <v>100</v>
      </c>
      <c r="C1486" s="365" t="s">
        <v>95</v>
      </c>
      <c r="D1486" s="444">
        <f t="shared" ref="D1486:F1487" si="180">D1484/$B1484</f>
        <v>1.418615984405458</v>
      </c>
      <c r="E1486" s="429">
        <f t="shared" si="180"/>
        <v>0.79961013645224166</v>
      </c>
      <c r="F1486" s="429">
        <f t="shared" si="180"/>
        <v>0.64304093567251464</v>
      </c>
      <c r="G1486" s="429"/>
      <c r="H1486" s="374">
        <f t="shared" si="179"/>
        <v>2.8612670565302141</v>
      </c>
      <c r="I1486" s="307" t="s">
        <v>100</v>
      </c>
      <c r="J1486" s="365" t="s">
        <v>95</v>
      </c>
      <c r="K1486" s="444">
        <f t="shared" ref="K1486:M1487" si="181">K1484/$I1484</f>
        <v>1.3165410628019323</v>
      </c>
      <c r="L1486" s="429">
        <f t="shared" si="181"/>
        <v>0.8863768115942029</v>
      </c>
      <c r="M1486" s="429">
        <f t="shared" si="181"/>
        <v>0.49861835748792277</v>
      </c>
      <c r="N1486" s="429"/>
      <c r="O1486" s="374">
        <f t="shared" si="178"/>
        <v>2.7015362318840581</v>
      </c>
      <c r="Q1486" s="274"/>
      <c r="R1486" s="275"/>
    </row>
    <row r="1487" spans="1:19" x14ac:dyDescent="0.25">
      <c r="B1487" s="307" t="s">
        <v>100</v>
      </c>
      <c r="C1487" s="438" t="s">
        <v>96</v>
      </c>
      <c r="D1487" s="359">
        <f t="shared" si="180"/>
        <v>1.1130890052356022</v>
      </c>
      <c r="E1487" s="359">
        <f t="shared" si="180"/>
        <v>0.3310994764397906</v>
      </c>
      <c r="F1487" s="359">
        <f t="shared" si="180"/>
        <v>0.16565445026178011</v>
      </c>
      <c r="G1487" s="359"/>
      <c r="H1487" s="359">
        <f t="shared" si="179"/>
        <v>1.6098429319371728</v>
      </c>
      <c r="I1487" s="307" t="s">
        <v>100</v>
      </c>
      <c r="J1487" s="438" t="s">
        <v>96</v>
      </c>
      <c r="K1487" s="359">
        <f t="shared" si="181"/>
        <v>1.6356382978723405</v>
      </c>
      <c r="L1487" s="359">
        <f t="shared" si="181"/>
        <v>0.88510638297872346</v>
      </c>
      <c r="M1487" s="359">
        <f t="shared" si="181"/>
        <v>0.39882978723404255</v>
      </c>
      <c r="N1487" s="359"/>
      <c r="O1487" s="359">
        <f t="shared" si="178"/>
        <v>2.9195744680851066</v>
      </c>
    </row>
    <row r="1488" spans="1:19" x14ac:dyDescent="0.25">
      <c r="B1488" s="307" t="s">
        <v>104</v>
      </c>
      <c r="C1488" s="365" t="s">
        <v>95</v>
      </c>
      <c r="D1488" s="359">
        <f>D1484/($B1484/7.7)</f>
        <v>10.923343079922027</v>
      </c>
      <c r="E1488" s="359">
        <f>E1484/($B1484/7)</f>
        <v>5.5972709551656914</v>
      </c>
      <c r="F1488" s="359">
        <f>F1484/($B1484/7)</f>
        <v>4.5012865497076016</v>
      </c>
      <c r="G1488" s="359"/>
      <c r="H1488" s="359">
        <f t="shared" si="179"/>
        <v>21.021900584795318</v>
      </c>
      <c r="I1488" s="307" t="s">
        <v>104</v>
      </c>
      <c r="J1488" s="365" t="s">
        <v>95</v>
      </c>
      <c r="K1488" s="359">
        <f>K1484/($I1484/7.7)</f>
        <v>10.137366183574878</v>
      </c>
      <c r="L1488" s="359">
        <f>L1484/($I1484/7)</f>
        <v>6.2046376811594204</v>
      </c>
      <c r="M1488" s="359">
        <f>M1484/($I1484/7)</f>
        <v>3.4903285024154593</v>
      </c>
      <c r="N1488" s="359"/>
      <c r="O1488" s="359">
        <f t="shared" si="178"/>
        <v>19.832332367149757</v>
      </c>
    </row>
    <row r="1489" spans="1:19" x14ac:dyDescent="0.25">
      <c r="B1489" s="307" t="s">
        <v>104</v>
      </c>
      <c r="C1489" s="438" t="s">
        <v>96</v>
      </c>
      <c r="D1489" s="359">
        <f>D1485/($B1485/7.7)</f>
        <v>8.5707853403141367</v>
      </c>
      <c r="E1489" s="359">
        <f>E1485/($B1485/7.7)</f>
        <v>2.5494659685863876</v>
      </c>
      <c r="F1489" s="359">
        <f>F1485/($B1485/7.7)</f>
        <v>1.2755392670157069</v>
      </c>
      <c r="G1489" s="359"/>
      <c r="H1489" s="359">
        <f t="shared" si="179"/>
        <v>12.395790575916232</v>
      </c>
      <c r="I1489" s="307" t="s">
        <v>104</v>
      </c>
      <c r="J1489" s="438" t="s">
        <v>96</v>
      </c>
      <c r="K1489" s="359">
        <f>K1485/($I1485/7.7)</f>
        <v>12.594414893617021</v>
      </c>
      <c r="L1489" s="359">
        <f>L1485/($I1485/7.7)</f>
        <v>6.8153191489361706</v>
      </c>
      <c r="M1489" s="359">
        <f>M1485/($I1485/7.7)</f>
        <v>3.0709893617021278</v>
      </c>
      <c r="N1489" s="359"/>
      <c r="O1489" s="359">
        <f t="shared" si="178"/>
        <v>22.480723404255318</v>
      </c>
    </row>
    <row r="1490" spans="1:19" x14ac:dyDescent="0.25">
      <c r="B1490" s="307" t="s">
        <v>135</v>
      </c>
      <c r="C1490" s="365" t="s">
        <v>95</v>
      </c>
      <c r="D1490" s="359">
        <f>D1484/((($B1484*$B1480)*(1-$B1477))/$B1475)</f>
        <v>0.25541787204466632</v>
      </c>
      <c r="E1490" s="359">
        <f>E1484/((($B1484*$B1480)*(1-$B1477))/$B1475)</f>
        <v>0.14396758655131861</v>
      </c>
      <c r="F1490" s="359">
        <f>F1484/((($B1484*$B1480)*(1-$B1477))/$B1475)</f>
        <v>0.11577773635189903</v>
      </c>
      <c r="G1490" s="359"/>
      <c r="H1490" s="359">
        <f t="shared" si="179"/>
        <v>0.51516319494788398</v>
      </c>
      <c r="I1490" s="307" t="s">
        <v>135</v>
      </c>
      <c r="J1490" s="365" t="s">
        <v>95</v>
      </c>
      <c r="K1490" s="359">
        <f>K1484/((($I1484*$B1480)*(1-$B1477))/$B1475)</f>
        <v>0.23703956561664066</v>
      </c>
      <c r="L1490" s="359">
        <f>L1484/((($I1484*$B1480)*(1-$B1477))/$B1475)</f>
        <v>0.15958968567664217</v>
      </c>
      <c r="M1490" s="359">
        <f>M1484/((($I1484*$B1480)*(1-$B1477))/$B1475)</f>
        <v>8.9774851849950668E-2</v>
      </c>
      <c r="N1490" s="359"/>
      <c r="O1490" s="359">
        <f>O1484/((($B1484*$B1480)*(1-$B1477))/$B1475)</f>
        <v>0.49067080580238476</v>
      </c>
    </row>
    <row r="1491" spans="1:19" x14ac:dyDescent="0.25">
      <c r="B1491" s="307" t="s">
        <v>135</v>
      </c>
      <c r="C1491" s="438" t="s">
        <v>96</v>
      </c>
      <c r="D1491" s="359">
        <f>D1485/((($B1485*$B1480)*(1-$B1477))/$B1475)</f>
        <v>0.20040858712919635</v>
      </c>
      <c r="E1491" s="359">
        <f>E1485/((($B1485*$B1480)*(1-$B1477))/$B1475)</f>
        <v>5.9613542098073277E-2</v>
      </c>
      <c r="F1491" s="359">
        <f>F1485/((($B1485*$B1480)*(1-$B1477))/$B1475)</f>
        <v>2.9825624161654622E-2</v>
      </c>
      <c r="G1491" s="359"/>
      <c r="H1491" s="359">
        <f t="shared" si="179"/>
        <v>0.28984775338892427</v>
      </c>
      <c r="I1491" s="307" t="s">
        <v>135</v>
      </c>
      <c r="J1491" s="438" t="s">
        <v>96</v>
      </c>
      <c r="K1491" s="359">
        <f>K1485/((($I1485*$B1480)*(1-$B1477))/$B1475)</f>
        <v>0.29449213745635405</v>
      </c>
      <c r="L1491" s="359">
        <f>L1485/((($I1485*$B1480)*(1-$B1477))/$B1475)</f>
        <v>0.15936094852922705</v>
      </c>
      <c r="M1491" s="359">
        <f>M1485/((($I1485*$B1480)*(1-$B1477))/$B1475)</f>
        <v>7.1808196638950994E-2</v>
      </c>
      <c r="N1491" s="359"/>
      <c r="O1491" s="359">
        <f>O1485/((($B1485*$B1480)*(1-$B1477))/$B1475)</f>
        <v>0.51740482268802113</v>
      </c>
    </row>
    <row r="1492" spans="1:19" ht="15.75" thickBot="1" x14ac:dyDescent="0.3">
      <c r="A1492" s="178"/>
      <c r="B1492" s="178"/>
      <c r="C1492" s="178"/>
      <c r="D1492" s="178"/>
      <c r="E1492" s="178"/>
      <c r="F1492" s="178"/>
      <c r="G1492" s="178"/>
      <c r="H1492" s="178"/>
      <c r="I1492" s="178"/>
      <c r="J1492" s="178"/>
      <c r="K1492" s="178"/>
      <c r="L1492" s="178"/>
      <c r="M1492" s="178"/>
      <c r="N1492" s="178"/>
      <c r="O1492" s="178"/>
    </row>
    <row r="1493" spans="1:19" ht="21" x14ac:dyDescent="0.25">
      <c r="A1493" s="305"/>
      <c r="B1493" s="644" t="s">
        <v>490</v>
      </c>
      <c r="C1493" s="645"/>
      <c r="D1493" s="645"/>
      <c r="E1493" s="645"/>
      <c r="F1493" s="645"/>
      <c r="G1493" s="645"/>
      <c r="H1493" s="645"/>
      <c r="I1493" s="645"/>
      <c r="J1493" s="645"/>
      <c r="K1493" s="645"/>
      <c r="L1493" s="645"/>
      <c r="M1493" s="645"/>
      <c r="N1493" s="645"/>
      <c r="O1493" s="646"/>
      <c r="Q1493" s="683" t="s">
        <v>139</v>
      </c>
      <c r="R1493" s="266" t="s">
        <v>140</v>
      </c>
      <c r="S1493" s="684" t="s">
        <v>142</v>
      </c>
    </row>
    <row r="1494" spans="1:19" ht="21.75" thickBot="1" x14ac:dyDescent="0.3">
      <c r="A1494" s="177" t="s">
        <v>285</v>
      </c>
      <c r="B1494" s="647">
        <v>44190</v>
      </c>
      <c r="C1494" s="648"/>
      <c r="D1494" s="648"/>
      <c r="E1494" s="648"/>
      <c r="F1494" s="648"/>
      <c r="G1494" s="648"/>
      <c r="H1494" s="648"/>
      <c r="I1494" s="648"/>
      <c r="J1494" s="648"/>
      <c r="K1494" s="648"/>
      <c r="L1494" s="648"/>
      <c r="M1494" s="648"/>
      <c r="N1494" s="648"/>
      <c r="O1494" s="649"/>
      <c r="Q1494" s="672"/>
      <c r="R1494" s="183" t="s">
        <v>141</v>
      </c>
      <c r="S1494" s="680"/>
    </row>
    <row r="1495" spans="1:19" ht="15.75" thickBot="1" x14ac:dyDescent="0.3">
      <c r="A1495" s="177"/>
      <c r="B1495" s="650" t="s">
        <v>115</v>
      </c>
      <c r="C1495" s="651"/>
      <c r="D1495" s="651"/>
      <c r="E1495" s="651"/>
      <c r="F1495" s="651"/>
      <c r="G1495" s="651"/>
      <c r="H1495" s="651"/>
      <c r="I1495" s="651"/>
      <c r="J1495" s="651"/>
      <c r="K1495" s="651"/>
      <c r="L1495" s="651"/>
      <c r="M1495" s="651"/>
      <c r="N1495" s="651"/>
      <c r="O1495" s="652"/>
      <c r="Q1495" s="182" t="s">
        <v>143</v>
      </c>
      <c r="R1495" s="183">
        <v>8.5</v>
      </c>
      <c r="S1495" s="181" t="s">
        <v>514</v>
      </c>
    </row>
    <row r="1496" spans="1:19" ht="15.75" thickBot="1" x14ac:dyDescent="0.3">
      <c r="A1496" s="177" t="s">
        <v>106</v>
      </c>
      <c r="B1496" s="629">
        <v>13</v>
      </c>
      <c r="C1496" s="630"/>
      <c r="D1496" s="630"/>
      <c r="E1496" s="631"/>
      <c r="F1496" s="365" t="s">
        <v>174</v>
      </c>
      <c r="G1496" s="471"/>
      <c r="H1496" s="653">
        <v>0</v>
      </c>
      <c r="I1496" s="654"/>
      <c r="J1496" s="654"/>
      <c r="K1496" s="654"/>
      <c r="L1496" s="655"/>
      <c r="M1496" s="656">
        <f>SUM(B1496,H1497)</f>
        <v>13</v>
      </c>
      <c r="N1496" s="630"/>
      <c r="O1496" s="631"/>
      <c r="Q1496" s="182" t="s">
        <v>145</v>
      </c>
      <c r="R1496" s="183">
        <v>7</v>
      </c>
      <c r="S1496" s="184" t="s">
        <v>515</v>
      </c>
    </row>
    <row r="1497" spans="1:19" ht="15.75" thickBot="1" x14ac:dyDescent="0.3">
      <c r="A1497" s="177" t="s">
        <v>112</v>
      </c>
      <c r="B1497" s="626">
        <v>0.15</v>
      </c>
      <c r="C1497" s="627"/>
      <c r="D1497" s="627"/>
      <c r="E1497" s="628"/>
      <c r="F1497" s="290"/>
      <c r="G1497" s="472"/>
      <c r="H1497" s="626">
        <v>0</v>
      </c>
      <c r="I1497" s="627"/>
      <c r="J1497" s="627"/>
      <c r="K1497" s="627"/>
      <c r="L1497" s="628"/>
      <c r="M1497" s="657">
        <f>B1497</f>
        <v>0.15</v>
      </c>
      <c r="N1497" s="627"/>
      <c r="O1497" s="628"/>
      <c r="Q1497" s="182" t="s">
        <v>147</v>
      </c>
      <c r="R1497" s="183">
        <v>8</v>
      </c>
      <c r="S1497" s="181" t="s">
        <v>411</v>
      </c>
    </row>
    <row r="1498" spans="1:19" ht="16.5" customHeight="1" thickBot="1" x14ac:dyDescent="0.3">
      <c r="A1498" s="177" t="s">
        <v>107</v>
      </c>
      <c r="B1498" s="629">
        <f>B1496*(1-B1497)</f>
        <v>11.049999999999999</v>
      </c>
      <c r="C1498" s="630"/>
      <c r="D1498" s="630"/>
      <c r="E1498" s="631"/>
      <c r="F1498" s="290"/>
      <c r="G1498" s="472"/>
      <c r="H1498" s="629">
        <f>H1496*(1-H1497)</f>
        <v>0</v>
      </c>
      <c r="I1498" s="630"/>
      <c r="J1498" s="630"/>
      <c r="K1498" s="630"/>
      <c r="L1498" s="631"/>
      <c r="M1498" s="656">
        <f>SUM(B1498,H1498)</f>
        <v>11.049999999999999</v>
      </c>
      <c r="N1498" s="630"/>
      <c r="O1498" s="631"/>
      <c r="Q1498" s="182" t="s">
        <v>82</v>
      </c>
      <c r="R1498" s="183">
        <v>7</v>
      </c>
      <c r="S1498" s="184" t="s">
        <v>441</v>
      </c>
    </row>
    <row r="1499" spans="1:19" ht="15.75" thickBot="1" x14ac:dyDescent="0.3">
      <c r="A1499" s="177" t="s">
        <v>108</v>
      </c>
      <c r="B1499" s="626">
        <f>B1502/B1498</f>
        <v>0.8813755656108595</v>
      </c>
      <c r="C1499" s="627"/>
      <c r="D1499" s="627"/>
      <c r="E1499" s="627"/>
      <c r="F1499" s="627"/>
      <c r="G1499" s="627"/>
      <c r="H1499" s="627"/>
      <c r="I1499" s="627"/>
      <c r="J1499" s="627"/>
      <c r="K1499" s="627"/>
      <c r="L1499" s="627"/>
      <c r="M1499" s="627"/>
      <c r="N1499" s="627"/>
      <c r="O1499" s="628"/>
      <c r="Q1499" s="182" t="s">
        <v>152</v>
      </c>
      <c r="R1499" s="183">
        <v>8</v>
      </c>
      <c r="S1499" s="184" t="s">
        <v>479</v>
      </c>
    </row>
    <row r="1500" spans="1:19" ht="15.75" thickBot="1" x14ac:dyDescent="0.3">
      <c r="A1500" s="177" t="s">
        <v>113</v>
      </c>
      <c r="B1500" s="629">
        <f>B1504*(B1508+B1509+I1508+I1509)/1000</f>
        <v>30.434999999999999</v>
      </c>
      <c r="C1500" s="630"/>
      <c r="D1500" s="630"/>
      <c r="E1500" s="630"/>
      <c r="F1500" s="630"/>
      <c r="G1500" s="630"/>
      <c r="H1500" s="630"/>
      <c r="I1500" s="630"/>
      <c r="J1500" s="630"/>
      <c r="K1500" s="630"/>
      <c r="L1500" s="630"/>
      <c r="M1500" s="630"/>
      <c r="N1500" s="630"/>
      <c r="O1500" s="631"/>
      <c r="Q1500" s="182" t="s">
        <v>154</v>
      </c>
      <c r="R1500" s="183">
        <v>8</v>
      </c>
      <c r="S1500" s="181" t="s">
        <v>443</v>
      </c>
    </row>
    <row r="1501" spans="1:19" ht="15.75" thickBot="1" x14ac:dyDescent="0.3">
      <c r="A1501" s="177" t="s">
        <v>109</v>
      </c>
      <c r="B1501" s="626">
        <v>0.68</v>
      </c>
      <c r="C1501" s="627"/>
      <c r="D1501" s="627"/>
      <c r="E1501" s="627"/>
      <c r="F1501" s="627"/>
      <c r="G1501" s="627"/>
      <c r="H1501" s="627"/>
      <c r="I1501" s="627"/>
      <c r="J1501" s="627"/>
      <c r="K1501" s="627"/>
      <c r="L1501" s="627"/>
      <c r="M1501" s="627"/>
      <c r="N1501" s="627"/>
      <c r="O1501" s="628"/>
      <c r="Q1501" s="182" t="s">
        <v>156</v>
      </c>
      <c r="R1501" s="183">
        <v>8</v>
      </c>
      <c r="S1501" s="181" t="s">
        <v>513</v>
      </c>
    </row>
    <row r="1502" spans="1:19" ht="15.75" thickBot="1" x14ac:dyDescent="0.3">
      <c r="A1502" s="177" t="s">
        <v>122</v>
      </c>
      <c r="B1502" s="629">
        <f>B1500-(B1500*B1501)</f>
        <v>9.7391999999999967</v>
      </c>
      <c r="C1502" s="630"/>
      <c r="D1502" s="630"/>
      <c r="E1502" s="630"/>
      <c r="F1502" s="630"/>
      <c r="G1502" s="630"/>
      <c r="H1502" s="630"/>
      <c r="I1502" s="630"/>
      <c r="J1502" s="630"/>
      <c r="K1502" s="630"/>
      <c r="L1502" s="630"/>
      <c r="M1502" s="630"/>
      <c r="N1502" s="630"/>
      <c r="O1502" s="631"/>
      <c r="Q1502" s="182" t="s">
        <v>158</v>
      </c>
      <c r="R1502" s="183"/>
      <c r="S1502" s="181"/>
    </row>
    <row r="1503" spans="1:19" ht="15.75" thickBot="1" x14ac:dyDescent="0.3">
      <c r="A1503" s="177" t="s">
        <v>110</v>
      </c>
      <c r="B1503" s="632">
        <v>140</v>
      </c>
      <c r="C1503" s="633"/>
      <c r="D1503" s="633"/>
      <c r="E1503" s="633"/>
      <c r="F1503" s="633"/>
      <c r="G1503" s="633"/>
      <c r="H1503" s="633"/>
      <c r="I1503" s="633"/>
      <c r="J1503" s="633"/>
      <c r="K1503" s="633"/>
      <c r="L1503" s="633"/>
      <c r="M1503" s="633"/>
      <c r="N1503" s="633"/>
      <c r="O1503" s="634"/>
      <c r="Q1503" s="185" t="s">
        <v>99</v>
      </c>
      <c r="R1503" s="183" t="s">
        <v>516</v>
      </c>
      <c r="S1503" s="186">
        <v>0.77800000000000002</v>
      </c>
    </row>
    <row r="1504" spans="1:19" x14ac:dyDescent="0.25">
      <c r="A1504" s="177" t="s">
        <v>111</v>
      </c>
      <c r="B1504" s="635">
        <v>15</v>
      </c>
      <c r="C1504" s="636"/>
      <c r="D1504" s="636"/>
      <c r="E1504" s="636"/>
      <c r="F1504" s="636"/>
      <c r="G1504" s="636"/>
      <c r="H1504" s="636"/>
      <c r="I1504" s="636"/>
      <c r="J1504" s="636"/>
      <c r="K1504" s="636"/>
      <c r="L1504" s="636"/>
      <c r="M1504" s="636"/>
      <c r="N1504" s="636"/>
      <c r="O1504" s="637"/>
    </row>
    <row r="1505" spans="1:19" x14ac:dyDescent="0.25">
      <c r="A1505" s="177" t="s">
        <v>273</v>
      </c>
      <c r="B1505" s="638" t="s">
        <v>472</v>
      </c>
      <c r="C1505" s="638"/>
      <c r="D1505" s="638"/>
      <c r="E1505" s="638"/>
      <c r="F1505" s="638"/>
      <c r="G1505" s="638"/>
      <c r="H1505" s="638"/>
      <c r="I1505" s="638"/>
      <c r="J1505" s="638"/>
      <c r="K1505" s="638"/>
      <c r="L1505" s="638"/>
      <c r="M1505" s="638"/>
      <c r="N1505" s="638"/>
      <c r="O1505" s="639"/>
    </row>
    <row r="1506" spans="1:19" x14ac:dyDescent="0.25">
      <c r="A1506" s="177" t="s">
        <v>351</v>
      </c>
      <c r="B1506" s="431"/>
      <c r="C1506" s="431"/>
      <c r="D1506" s="431"/>
      <c r="E1506" s="431"/>
      <c r="F1506" s="431"/>
      <c r="G1506" s="431"/>
      <c r="H1506" s="431"/>
      <c r="I1506" s="431"/>
      <c r="J1506" s="431"/>
      <c r="K1506" s="431"/>
      <c r="L1506" s="431"/>
      <c r="M1506" s="431"/>
      <c r="N1506" s="431"/>
      <c r="O1506" s="432"/>
    </row>
    <row r="1507" spans="1:19" x14ac:dyDescent="0.25">
      <c r="B1507" s="307" t="s">
        <v>98</v>
      </c>
      <c r="C1507" s="365" t="s">
        <v>102</v>
      </c>
      <c r="D1507" s="365" t="s">
        <v>92</v>
      </c>
      <c r="E1507" s="365" t="s">
        <v>93</v>
      </c>
      <c r="F1507" s="365" t="s">
        <v>94</v>
      </c>
      <c r="G1507" s="365" t="s">
        <v>549</v>
      </c>
      <c r="H1507" s="359" t="s">
        <v>99</v>
      </c>
      <c r="I1507" s="307" t="s">
        <v>98</v>
      </c>
      <c r="J1507" s="365" t="s">
        <v>102</v>
      </c>
      <c r="K1507" s="365" t="s">
        <v>92</v>
      </c>
      <c r="L1507" s="365" t="s">
        <v>93</v>
      </c>
      <c r="M1507" s="365" t="s">
        <v>94</v>
      </c>
      <c r="N1507" s="365"/>
      <c r="O1507" s="359" t="s">
        <v>99</v>
      </c>
      <c r="Q1507" s="274"/>
      <c r="R1507" s="275"/>
    </row>
    <row r="1508" spans="1:19" x14ac:dyDescent="0.25">
      <c r="B1508" s="308">
        <v>869</v>
      </c>
      <c r="C1508" s="365" t="s">
        <v>95</v>
      </c>
      <c r="D1508" s="441">
        <v>1143.74</v>
      </c>
      <c r="E1508" s="441">
        <v>896.6</v>
      </c>
      <c r="F1508" s="441">
        <v>629.64</v>
      </c>
      <c r="G1508" s="441"/>
      <c r="H1508" s="359">
        <f>SUM(D1508:F1508)</f>
        <v>2669.98</v>
      </c>
      <c r="I1508" s="308">
        <v>867</v>
      </c>
      <c r="J1508" s="365" t="s">
        <v>95</v>
      </c>
      <c r="K1508" s="441">
        <v>1259.82</v>
      </c>
      <c r="L1508" s="441">
        <v>1284.76</v>
      </c>
      <c r="M1508" s="441">
        <v>647.14</v>
      </c>
      <c r="N1508" s="441"/>
      <c r="O1508" s="359">
        <f t="shared" ref="O1508:O1513" si="182">SUM(K1508:M1508)</f>
        <v>3191.72</v>
      </c>
      <c r="Q1508" s="274"/>
      <c r="R1508" s="276"/>
    </row>
    <row r="1509" spans="1:19" x14ac:dyDescent="0.25">
      <c r="B1509" s="308">
        <v>149</v>
      </c>
      <c r="C1509" s="365" t="s">
        <v>96</v>
      </c>
      <c r="D1509" s="441">
        <v>203.32</v>
      </c>
      <c r="E1509" s="441">
        <v>237.82</v>
      </c>
      <c r="F1509" s="441">
        <v>0</v>
      </c>
      <c r="G1509" s="441"/>
      <c r="H1509" s="359">
        <f t="shared" ref="H1509:H1515" si="183">SUM(D1509:F1509)</f>
        <v>441.14</v>
      </c>
      <c r="I1509" s="308">
        <v>144</v>
      </c>
      <c r="J1509" s="365" t="s">
        <v>96</v>
      </c>
      <c r="K1509" s="441">
        <v>104</v>
      </c>
      <c r="L1509" s="441">
        <v>139.28</v>
      </c>
      <c r="M1509" s="441">
        <v>7.5</v>
      </c>
      <c r="N1509" s="441"/>
      <c r="O1509" s="359">
        <f t="shared" si="182"/>
        <v>250.78</v>
      </c>
      <c r="Q1509" s="274"/>
      <c r="R1509" s="275"/>
    </row>
    <row r="1510" spans="1:19" x14ac:dyDescent="0.25">
      <c r="B1510" s="307" t="s">
        <v>100</v>
      </c>
      <c r="C1510" s="365" t="s">
        <v>95</v>
      </c>
      <c r="D1510" s="444">
        <f t="shared" ref="D1510:F1511" si="184">D1508/$B1508</f>
        <v>1.3161565017261221</v>
      </c>
      <c r="E1510" s="429">
        <f t="shared" si="184"/>
        <v>1.0317606444188723</v>
      </c>
      <c r="F1510" s="429">
        <f t="shared" si="184"/>
        <v>0.72455696202531639</v>
      </c>
      <c r="G1510" s="429"/>
      <c r="H1510" s="374">
        <f t="shared" si="183"/>
        <v>3.0724741081703111</v>
      </c>
      <c r="I1510" s="307" t="s">
        <v>100</v>
      </c>
      <c r="J1510" s="365" t="s">
        <v>95</v>
      </c>
      <c r="K1510" s="444">
        <f t="shared" ref="K1510:M1511" si="185">K1508/$I1508</f>
        <v>1.4530795847750864</v>
      </c>
      <c r="L1510" s="429">
        <f t="shared" si="185"/>
        <v>1.4818454440599769</v>
      </c>
      <c r="M1510" s="429">
        <f t="shared" si="185"/>
        <v>0.74641291810841981</v>
      </c>
      <c r="N1510" s="429"/>
      <c r="O1510" s="374">
        <f t="shared" si="182"/>
        <v>3.6813379469434828</v>
      </c>
      <c r="Q1510" s="274"/>
      <c r="R1510" s="275"/>
    </row>
    <row r="1511" spans="1:19" x14ac:dyDescent="0.25">
      <c r="B1511" s="307" t="s">
        <v>100</v>
      </c>
      <c r="C1511" s="438" t="s">
        <v>96</v>
      </c>
      <c r="D1511" s="359">
        <f t="shared" si="184"/>
        <v>1.3645637583892618</v>
      </c>
      <c r="E1511" s="359">
        <f t="shared" si="184"/>
        <v>1.5961073825503356</v>
      </c>
      <c r="F1511" s="359">
        <f t="shared" si="184"/>
        <v>0</v>
      </c>
      <c r="G1511" s="359"/>
      <c r="H1511" s="359">
        <f t="shared" si="183"/>
        <v>2.9606711409395974</v>
      </c>
      <c r="I1511" s="307" t="s">
        <v>100</v>
      </c>
      <c r="J1511" s="438" t="s">
        <v>96</v>
      </c>
      <c r="K1511" s="359">
        <f t="shared" si="185"/>
        <v>0.72222222222222221</v>
      </c>
      <c r="L1511" s="359">
        <f t="shared" si="185"/>
        <v>0.96722222222222221</v>
      </c>
      <c r="M1511" s="359">
        <f t="shared" si="185"/>
        <v>5.2083333333333336E-2</v>
      </c>
      <c r="N1511" s="359"/>
      <c r="O1511" s="359">
        <f t="shared" si="182"/>
        <v>1.7415277777777776</v>
      </c>
    </row>
    <row r="1512" spans="1:19" x14ac:dyDescent="0.25">
      <c r="B1512" s="307" t="s">
        <v>104</v>
      </c>
      <c r="C1512" s="365" t="s">
        <v>95</v>
      </c>
      <c r="D1512" s="359">
        <f>D1508/($B1508/7.7)</f>
        <v>10.134405063291139</v>
      </c>
      <c r="E1512" s="359">
        <f>E1508/($B1508/7)</f>
        <v>7.2223245109321059</v>
      </c>
      <c r="F1512" s="359">
        <f>F1508/($B1508/7)</f>
        <v>5.071898734177215</v>
      </c>
      <c r="G1512" s="359"/>
      <c r="H1512" s="359">
        <f t="shared" si="183"/>
        <v>22.428628308400459</v>
      </c>
      <c r="I1512" s="307" t="s">
        <v>104</v>
      </c>
      <c r="J1512" s="365" t="s">
        <v>95</v>
      </c>
      <c r="K1512" s="359">
        <f>K1508/($I1508/7.7)</f>
        <v>11.188712802768165</v>
      </c>
      <c r="L1512" s="359">
        <f>L1508/($I1508/7)</f>
        <v>10.372918108419839</v>
      </c>
      <c r="M1512" s="359">
        <f>M1508/($I1508/7)</f>
        <v>5.2248904267589387</v>
      </c>
      <c r="N1512" s="359"/>
      <c r="O1512" s="359">
        <f t="shared" si="182"/>
        <v>26.786521337946944</v>
      </c>
    </row>
    <row r="1513" spans="1:19" x14ac:dyDescent="0.25">
      <c r="B1513" s="307" t="s">
        <v>104</v>
      </c>
      <c r="C1513" s="438" t="s">
        <v>96</v>
      </c>
      <c r="D1513" s="359">
        <f>D1509/($B1509/7.7)</f>
        <v>10.507140939597317</v>
      </c>
      <c r="E1513" s="359">
        <f>E1509/($B1509/7.7)</f>
        <v>12.290026845637584</v>
      </c>
      <c r="F1513" s="359">
        <f>F1509/($B1509/7.7)</f>
        <v>0</v>
      </c>
      <c r="G1513" s="359"/>
      <c r="H1513" s="359">
        <f t="shared" si="183"/>
        <v>22.797167785234901</v>
      </c>
      <c r="I1513" s="307" t="s">
        <v>104</v>
      </c>
      <c r="J1513" s="438" t="s">
        <v>96</v>
      </c>
      <c r="K1513" s="359">
        <f>K1509/($I1509/7.7)</f>
        <v>5.5611111111111118</v>
      </c>
      <c r="L1513" s="359">
        <f>L1509/($I1509/7.7)</f>
        <v>7.4476111111111116</v>
      </c>
      <c r="M1513" s="359">
        <f>M1509/($I1509/7.7)</f>
        <v>0.40104166666666669</v>
      </c>
      <c r="N1513" s="359"/>
      <c r="O1513" s="359">
        <f t="shared" si="182"/>
        <v>13.409763888888889</v>
      </c>
    </row>
    <row r="1514" spans="1:19" x14ac:dyDescent="0.25">
      <c r="B1514" s="307" t="s">
        <v>135</v>
      </c>
      <c r="C1514" s="365" t="s">
        <v>95</v>
      </c>
      <c r="D1514" s="359">
        <f>D1508/((($B1508*$B1504)*(1-$B1501))/$B1499)</f>
        <v>0.24167253773776481</v>
      </c>
      <c r="E1514" s="359">
        <f>E1508/((($B1508*$B1504)*(1-$B1501))/$B1499)</f>
        <v>0.18945179615618929</v>
      </c>
      <c r="F1514" s="359">
        <f>F1508/((($B1508*$B1504)*(1-$B1501))/$B1499)</f>
        <v>0.13304308379632279</v>
      </c>
      <c r="G1514" s="359"/>
      <c r="H1514" s="359">
        <f t="shared" si="183"/>
        <v>0.5641674176902769</v>
      </c>
      <c r="I1514" s="307" t="s">
        <v>135</v>
      </c>
      <c r="J1514" s="365" t="s">
        <v>95</v>
      </c>
      <c r="K1514" s="359">
        <f>K1508/((($I1508*$B1504)*(1-$B1501))/$B1499)</f>
        <v>0.2668143418559864</v>
      </c>
      <c r="L1514" s="359">
        <f>L1508/((($I1508*$B1504)*(1-$B1501))/$B1499)</f>
        <v>0.27209632633463282</v>
      </c>
      <c r="M1514" s="359">
        <f>M1508/((($I1508*$B1504)*(1-$B1501))/$B1499)</f>
        <v>0.13705627247438765</v>
      </c>
      <c r="N1514" s="359"/>
      <c r="O1514" s="359">
        <f>O1508/((($B1508*$B1504)*(1-$B1501))/$B1499)</f>
        <v>0.674411205473603</v>
      </c>
    </row>
    <row r="1515" spans="1:19" x14ac:dyDescent="0.25">
      <c r="B1515" s="307" t="s">
        <v>135</v>
      </c>
      <c r="C1515" s="438" t="s">
        <v>96</v>
      </c>
      <c r="D1515" s="359">
        <f>D1509/((($B1509*$B1504)*(1-$B1501))/$B1499)</f>
        <v>0.2505610738255033</v>
      </c>
      <c r="E1515" s="359">
        <f>E1509/((($B1509*$B1504)*(1-$B1501))/$B1499)</f>
        <v>0.29307709313978558</v>
      </c>
      <c r="F1515" s="359">
        <f>F1509/((($B1509*$B1504)*(1-$B1501))/$B1499)</f>
        <v>0</v>
      </c>
      <c r="G1515" s="359"/>
      <c r="H1515" s="359">
        <f t="shared" si="183"/>
        <v>0.54363816696528888</v>
      </c>
      <c r="I1515" s="307" t="s">
        <v>135</v>
      </c>
      <c r="J1515" s="438" t="s">
        <v>96</v>
      </c>
      <c r="K1515" s="359">
        <f>K1509/((($I1509*$B1504)*(1-$B1501))/$B1499)</f>
        <v>0.13261437908496732</v>
      </c>
      <c r="L1515" s="359">
        <f>L1509/((($I1509*$B1504)*(1-$B1501))/$B1499)</f>
        <v>0.17760125691302159</v>
      </c>
      <c r="M1515" s="359">
        <f>M1509/((($I1509*$B1504)*(1-$B1501))/$B1499)</f>
        <v>9.5635369532428346E-3</v>
      </c>
      <c r="N1515" s="359"/>
      <c r="O1515" s="359">
        <f>O1509/((($B1509*$B1504)*(1-$B1501))/$B1499)</f>
        <v>0.30904832822132461</v>
      </c>
    </row>
    <row r="1516" spans="1:19" ht="15.75" thickBot="1" x14ac:dyDescent="0.3">
      <c r="A1516" s="178"/>
      <c r="B1516" s="178"/>
      <c r="C1516" s="178"/>
      <c r="D1516" s="178"/>
      <c r="E1516" s="178"/>
      <c r="F1516" s="178"/>
      <c r="G1516" s="178"/>
      <c r="H1516" s="178"/>
      <c r="I1516" s="178"/>
      <c r="J1516" s="178"/>
      <c r="K1516" s="178"/>
      <c r="L1516" s="178"/>
      <c r="M1516" s="178"/>
      <c r="N1516" s="178"/>
      <c r="O1516" s="178"/>
    </row>
    <row r="1517" spans="1:19" ht="21" x14ac:dyDescent="0.25">
      <c r="A1517" s="305"/>
      <c r="B1517" s="644" t="s">
        <v>491</v>
      </c>
      <c r="C1517" s="645"/>
      <c r="D1517" s="645"/>
      <c r="E1517" s="645"/>
      <c r="F1517" s="645"/>
      <c r="G1517" s="645"/>
      <c r="H1517" s="645"/>
      <c r="I1517" s="645"/>
      <c r="J1517" s="645"/>
      <c r="K1517" s="645"/>
      <c r="L1517" s="645"/>
      <c r="M1517" s="645"/>
      <c r="N1517" s="645"/>
      <c r="O1517" s="646"/>
      <c r="Q1517" s="683" t="s">
        <v>139</v>
      </c>
      <c r="R1517" s="266" t="s">
        <v>140</v>
      </c>
      <c r="S1517" s="684" t="s">
        <v>142</v>
      </c>
    </row>
    <row r="1518" spans="1:19" ht="21.75" thickBot="1" x14ac:dyDescent="0.3">
      <c r="A1518" s="177" t="s">
        <v>285</v>
      </c>
      <c r="B1518" s="647">
        <v>44198</v>
      </c>
      <c r="C1518" s="648"/>
      <c r="D1518" s="648"/>
      <c r="E1518" s="648"/>
      <c r="F1518" s="648"/>
      <c r="G1518" s="648"/>
      <c r="H1518" s="648"/>
      <c r="I1518" s="648"/>
      <c r="J1518" s="648"/>
      <c r="K1518" s="648"/>
      <c r="L1518" s="648"/>
      <c r="M1518" s="648"/>
      <c r="N1518" s="648"/>
      <c r="O1518" s="649"/>
      <c r="Q1518" s="672"/>
      <c r="R1518" s="183" t="s">
        <v>141</v>
      </c>
      <c r="S1518" s="680"/>
    </row>
    <row r="1519" spans="1:19" ht="15.75" thickBot="1" x14ac:dyDescent="0.3">
      <c r="A1519" s="177"/>
      <c r="B1519" s="650" t="s">
        <v>115</v>
      </c>
      <c r="C1519" s="651"/>
      <c r="D1519" s="651"/>
      <c r="E1519" s="651"/>
      <c r="F1519" s="651"/>
      <c r="G1519" s="651"/>
      <c r="H1519" s="651"/>
      <c r="I1519" s="651"/>
      <c r="J1519" s="651"/>
      <c r="K1519" s="651"/>
      <c r="L1519" s="651"/>
      <c r="M1519" s="651"/>
      <c r="N1519" s="651"/>
      <c r="O1519" s="652"/>
      <c r="Q1519" s="182" t="s">
        <v>143</v>
      </c>
      <c r="R1519" s="183">
        <v>8</v>
      </c>
      <c r="S1519" s="181" t="s">
        <v>517</v>
      </c>
    </row>
    <row r="1520" spans="1:19" ht="15.75" thickBot="1" x14ac:dyDescent="0.3">
      <c r="A1520" s="177" t="s">
        <v>106</v>
      </c>
      <c r="B1520" s="629">
        <v>16.100000000000001</v>
      </c>
      <c r="C1520" s="630"/>
      <c r="D1520" s="630"/>
      <c r="E1520" s="631"/>
      <c r="F1520" s="365" t="s">
        <v>174</v>
      </c>
      <c r="G1520" s="471"/>
      <c r="H1520" s="653">
        <v>0</v>
      </c>
      <c r="I1520" s="654"/>
      <c r="J1520" s="654"/>
      <c r="K1520" s="654"/>
      <c r="L1520" s="655"/>
      <c r="M1520" s="656">
        <f>SUM(B1520,H1521)</f>
        <v>16.100000000000001</v>
      </c>
      <c r="N1520" s="630"/>
      <c r="O1520" s="631"/>
      <c r="Q1520" s="182" t="s">
        <v>145</v>
      </c>
      <c r="R1520" s="183">
        <v>7</v>
      </c>
      <c r="S1520" s="184" t="s">
        <v>509</v>
      </c>
    </row>
    <row r="1521" spans="1:19" ht="15.75" thickBot="1" x14ac:dyDescent="0.3">
      <c r="A1521" s="177" t="s">
        <v>112</v>
      </c>
      <c r="B1521" s="626">
        <v>0.15</v>
      </c>
      <c r="C1521" s="627"/>
      <c r="D1521" s="627"/>
      <c r="E1521" s="628"/>
      <c r="F1521" s="290"/>
      <c r="G1521" s="472"/>
      <c r="H1521" s="626">
        <v>0</v>
      </c>
      <c r="I1521" s="627"/>
      <c r="J1521" s="627"/>
      <c r="K1521" s="627"/>
      <c r="L1521" s="628"/>
      <c r="M1521" s="657">
        <f>B1521</f>
        <v>0.15</v>
      </c>
      <c r="N1521" s="627"/>
      <c r="O1521" s="628"/>
      <c r="Q1521" s="182" t="s">
        <v>147</v>
      </c>
      <c r="R1521" s="183">
        <v>9</v>
      </c>
      <c r="S1521" s="181" t="s">
        <v>411</v>
      </c>
    </row>
    <row r="1522" spans="1:19" ht="29.25" thickBot="1" x14ac:dyDescent="0.3">
      <c r="A1522" s="177" t="s">
        <v>107</v>
      </c>
      <c r="B1522" s="629">
        <f>B1520*(1-B1521)</f>
        <v>13.685</v>
      </c>
      <c r="C1522" s="630"/>
      <c r="D1522" s="630"/>
      <c r="E1522" s="631"/>
      <c r="F1522" s="290"/>
      <c r="G1522" s="472"/>
      <c r="H1522" s="629">
        <f>H1520*(1-H1521)</f>
        <v>0</v>
      </c>
      <c r="I1522" s="630"/>
      <c r="J1522" s="630"/>
      <c r="K1522" s="630"/>
      <c r="L1522" s="631"/>
      <c r="M1522" s="656">
        <f>SUM(B1522,H1522)</f>
        <v>13.685</v>
      </c>
      <c r="N1522" s="630"/>
      <c r="O1522" s="631"/>
      <c r="Q1522" s="182" t="s">
        <v>82</v>
      </c>
      <c r="R1522" s="183">
        <v>7</v>
      </c>
      <c r="S1522" s="184" t="s">
        <v>518</v>
      </c>
    </row>
    <row r="1523" spans="1:19" ht="15.75" thickBot="1" x14ac:dyDescent="0.3">
      <c r="A1523" s="177" t="s">
        <v>108</v>
      </c>
      <c r="B1523" s="626">
        <f>B1526/B1522</f>
        <v>0.81713554987212278</v>
      </c>
      <c r="C1523" s="627"/>
      <c r="D1523" s="627"/>
      <c r="E1523" s="627"/>
      <c r="F1523" s="627"/>
      <c r="G1523" s="627"/>
      <c r="H1523" s="627"/>
      <c r="I1523" s="627"/>
      <c r="J1523" s="627"/>
      <c r="K1523" s="627"/>
      <c r="L1523" s="627"/>
      <c r="M1523" s="627"/>
      <c r="N1523" s="627"/>
      <c r="O1523" s="628"/>
      <c r="Q1523" s="182" t="s">
        <v>152</v>
      </c>
      <c r="R1523" s="183">
        <v>7.5</v>
      </c>
      <c r="S1523" s="184" t="s">
        <v>519</v>
      </c>
    </row>
    <row r="1524" spans="1:19" ht="15.75" thickBot="1" x14ac:dyDescent="0.3">
      <c r="A1524" s="177" t="s">
        <v>113</v>
      </c>
      <c r="B1524" s="629">
        <f>B1528*(B1532+B1533+I1532+I1533)/1000</f>
        <v>37.274999999999999</v>
      </c>
      <c r="C1524" s="630"/>
      <c r="D1524" s="630"/>
      <c r="E1524" s="630"/>
      <c r="F1524" s="630"/>
      <c r="G1524" s="630"/>
      <c r="H1524" s="630"/>
      <c r="I1524" s="630"/>
      <c r="J1524" s="630"/>
      <c r="K1524" s="630"/>
      <c r="L1524" s="630"/>
      <c r="M1524" s="630"/>
      <c r="N1524" s="630"/>
      <c r="O1524" s="631"/>
      <c r="Q1524" s="182" t="s">
        <v>154</v>
      </c>
      <c r="R1524" s="183">
        <v>8</v>
      </c>
      <c r="S1524" s="181" t="s">
        <v>520</v>
      </c>
    </row>
    <row r="1525" spans="1:19" ht="29.25" thickBot="1" x14ac:dyDescent="0.3">
      <c r="A1525" s="177" t="s">
        <v>109</v>
      </c>
      <c r="B1525" s="626">
        <v>0.7</v>
      </c>
      <c r="C1525" s="627"/>
      <c r="D1525" s="627"/>
      <c r="E1525" s="627"/>
      <c r="F1525" s="627"/>
      <c r="G1525" s="627"/>
      <c r="H1525" s="627"/>
      <c r="I1525" s="627"/>
      <c r="J1525" s="627"/>
      <c r="K1525" s="627"/>
      <c r="L1525" s="627"/>
      <c r="M1525" s="627"/>
      <c r="N1525" s="627"/>
      <c r="O1525" s="628"/>
      <c r="Q1525" s="182" t="s">
        <v>156</v>
      </c>
      <c r="R1525" s="183">
        <v>8</v>
      </c>
      <c r="S1525" s="181" t="s">
        <v>480</v>
      </c>
    </row>
    <row r="1526" spans="1:19" ht="15.75" thickBot="1" x14ac:dyDescent="0.3">
      <c r="A1526" s="177" t="s">
        <v>122</v>
      </c>
      <c r="B1526" s="629">
        <f>B1524-(B1524*B1525)</f>
        <v>11.182500000000001</v>
      </c>
      <c r="C1526" s="630"/>
      <c r="D1526" s="630"/>
      <c r="E1526" s="630"/>
      <c r="F1526" s="630"/>
      <c r="G1526" s="630"/>
      <c r="H1526" s="630"/>
      <c r="I1526" s="630"/>
      <c r="J1526" s="630"/>
      <c r="K1526" s="630"/>
      <c r="L1526" s="630"/>
      <c r="M1526" s="630"/>
      <c r="N1526" s="630"/>
      <c r="O1526" s="631"/>
      <c r="Q1526" s="182" t="s">
        <v>158</v>
      </c>
      <c r="R1526" s="183"/>
      <c r="S1526" s="181"/>
    </row>
    <row r="1527" spans="1:19" ht="15.75" thickBot="1" x14ac:dyDescent="0.3">
      <c r="A1527" s="177" t="s">
        <v>110</v>
      </c>
      <c r="B1527" s="632">
        <v>125</v>
      </c>
      <c r="C1527" s="633"/>
      <c r="D1527" s="633"/>
      <c r="E1527" s="633"/>
      <c r="F1527" s="633"/>
      <c r="G1527" s="633"/>
      <c r="H1527" s="633"/>
      <c r="I1527" s="633"/>
      <c r="J1527" s="633"/>
      <c r="K1527" s="633"/>
      <c r="L1527" s="633"/>
      <c r="M1527" s="633"/>
      <c r="N1527" s="633"/>
      <c r="O1527" s="634"/>
      <c r="Q1527" s="185" t="s">
        <v>99</v>
      </c>
      <c r="R1527" s="285">
        <f>SUM(R1519:R1526)/70</f>
        <v>0.77857142857142858</v>
      </c>
      <c r="S1527" s="186">
        <v>0.77800000000000002</v>
      </c>
    </row>
    <row r="1528" spans="1:19" x14ac:dyDescent="0.25">
      <c r="A1528" s="177" t="s">
        <v>111</v>
      </c>
      <c r="B1528" s="635">
        <v>15</v>
      </c>
      <c r="C1528" s="636"/>
      <c r="D1528" s="636"/>
      <c r="E1528" s="636"/>
      <c r="F1528" s="636"/>
      <c r="G1528" s="636"/>
      <c r="H1528" s="636"/>
      <c r="I1528" s="636"/>
      <c r="J1528" s="636"/>
      <c r="K1528" s="636"/>
      <c r="L1528" s="636"/>
      <c r="M1528" s="636"/>
      <c r="N1528" s="636"/>
      <c r="O1528" s="637"/>
    </row>
    <row r="1529" spans="1:19" x14ac:dyDescent="0.25">
      <c r="A1529" s="177" t="s">
        <v>273</v>
      </c>
      <c r="B1529" s="638" t="s">
        <v>472</v>
      </c>
      <c r="C1529" s="638"/>
      <c r="D1529" s="638"/>
      <c r="E1529" s="638"/>
      <c r="F1529" s="638"/>
      <c r="G1529" s="638"/>
      <c r="H1529" s="638"/>
      <c r="I1529" s="638"/>
      <c r="J1529" s="638"/>
      <c r="K1529" s="638"/>
      <c r="L1529" s="638"/>
      <c r="M1529" s="638"/>
      <c r="N1529" s="638"/>
      <c r="O1529" s="639"/>
    </row>
    <row r="1530" spans="1:19" x14ac:dyDescent="0.25">
      <c r="A1530" s="177" t="s">
        <v>351</v>
      </c>
      <c r="B1530" s="431"/>
      <c r="C1530" s="431"/>
      <c r="D1530" s="431"/>
      <c r="E1530" s="431"/>
      <c r="F1530" s="431"/>
      <c r="G1530" s="431"/>
      <c r="H1530" s="431"/>
      <c r="I1530" s="431"/>
      <c r="J1530" s="431"/>
      <c r="K1530" s="431"/>
      <c r="L1530" s="431"/>
      <c r="M1530" s="431"/>
      <c r="N1530" s="431"/>
      <c r="O1530" s="432"/>
    </row>
    <row r="1531" spans="1:19" x14ac:dyDescent="0.25">
      <c r="B1531" s="307" t="s">
        <v>98</v>
      </c>
      <c r="C1531" s="365" t="s">
        <v>102</v>
      </c>
      <c r="D1531" s="365" t="s">
        <v>92</v>
      </c>
      <c r="E1531" s="365" t="s">
        <v>93</v>
      </c>
      <c r="F1531" s="365" t="s">
        <v>94</v>
      </c>
      <c r="G1531" s="365" t="s">
        <v>549</v>
      </c>
      <c r="H1531" s="359" t="s">
        <v>99</v>
      </c>
      <c r="I1531" s="307" t="s">
        <v>98</v>
      </c>
      <c r="J1531" s="365" t="s">
        <v>102</v>
      </c>
      <c r="K1531" s="365" t="s">
        <v>92</v>
      </c>
      <c r="L1531" s="365" t="s">
        <v>93</v>
      </c>
      <c r="M1531" s="365" t="s">
        <v>94</v>
      </c>
      <c r="N1531" s="365" t="s">
        <v>549</v>
      </c>
      <c r="O1531" s="359" t="s">
        <v>99</v>
      </c>
      <c r="Q1531" s="274"/>
      <c r="R1531" s="275"/>
    </row>
    <row r="1532" spans="1:19" x14ac:dyDescent="0.25">
      <c r="B1532" s="308">
        <v>1078</v>
      </c>
      <c r="C1532" s="365" t="s">
        <v>95</v>
      </c>
      <c r="D1532" s="441">
        <v>1316.98</v>
      </c>
      <c r="E1532" s="441">
        <v>809.56</v>
      </c>
      <c r="F1532" s="441">
        <v>513.84</v>
      </c>
      <c r="G1532" s="441">
        <v>0</v>
      </c>
      <c r="H1532" s="359">
        <f>SUM(D1532:G1532)</f>
        <v>2640.38</v>
      </c>
      <c r="I1532" s="308">
        <v>1048</v>
      </c>
      <c r="J1532" s="365" t="s">
        <v>95</v>
      </c>
      <c r="K1532" s="441">
        <v>1446.92</v>
      </c>
      <c r="L1532" s="441">
        <v>986.68</v>
      </c>
      <c r="M1532" s="441">
        <v>423.98</v>
      </c>
      <c r="N1532" s="441">
        <v>348.64</v>
      </c>
      <c r="O1532" s="359">
        <f>SUM(K1532:N1532)</f>
        <v>3206.22</v>
      </c>
      <c r="Q1532" s="274"/>
      <c r="R1532" s="276"/>
    </row>
    <row r="1533" spans="1:19" x14ac:dyDescent="0.25">
      <c r="B1533" s="308">
        <v>179</v>
      </c>
      <c r="C1533" s="365" t="s">
        <v>96</v>
      </c>
      <c r="D1533" s="441">
        <v>232.28</v>
      </c>
      <c r="E1533" s="441">
        <v>214.74</v>
      </c>
      <c r="F1533" s="441">
        <v>59.44</v>
      </c>
      <c r="G1533" s="441">
        <v>0</v>
      </c>
      <c r="H1533" s="359">
        <f t="shared" ref="H1533:H1539" si="186">SUM(D1533:F1533)</f>
        <v>506.46</v>
      </c>
      <c r="I1533" s="308">
        <v>180</v>
      </c>
      <c r="J1533" s="365" t="s">
        <v>96</v>
      </c>
      <c r="K1533" s="441">
        <v>225.8</v>
      </c>
      <c r="L1533" s="441">
        <v>89.38</v>
      </c>
      <c r="M1533" s="441">
        <v>39.44</v>
      </c>
      <c r="N1533" s="441">
        <v>37.44</v>
      </c>
      <c r="O1533" s="359">
        <f>SUM(K1533:N1533)</f>
        <v>392.06</v>
      </c>
      <c r="Q1533" s="274"/>
      <c r="R1533" s="275"/>
    </row>
    <row r="1534" spans="1:19" x14ac:dyDescent="0.25">
      <c r="B1534" s="307" t="s">
        <v>100</v>
      </c>
      <c r="C1534" s="365" t="s">
        <v>95</v>
      </c>
      <c r="D1534" s="444">
        <f t="shared" ref="D1534:F1535" si="187">D1532/$B1532</f>
        <v>1.2216883116883117</v>
      </c>
      <c r="E1534" s="429">
        <f t="shared" si="187"/>
        <v>0.75098330241187383</v>
      </c>
      <c r="F1534" s="429">
        <f t="shared" si="187"/>
        <v>0.4766604823747681</v>
      </c>
      <c r="G1534" s="441">
        <v>0</v>
      </c>
      <c r="H1534" s="374">
        <f t="shared" si="186"/>
        <v>2.4493320964749534</v>
      </c>
      <c r="I1534" s="307" t="s">
        <v>100</v>
      </c>
      <c r="J1534" s="365" t="s">
        <v>95</v>
      </c>
      <c r="K1534" s="444">
        <f t="shared" ref="K1534:N1535" si="188">K1532/$I1532</f>
        <v>1.3806488549618321</v>
      </c>
      <c r="L1534" s="429">
        <f t="shared" si="188"/>
        <v>0.94148854961832051</v>
      </c>
      <c r="M1534" s="429">
        <f t="shared" si="188"/>
        <v>0.40456106870229008</v>
      </c>
      <c r="N1534" s="429">
        <f t="shared" si="188"/>
        <v>0.33267175572519081</v>
      </c>
      <c r="O1534" s="374">
        <f>SUM(K1534:M1534)</f>
        <v>2.7266984732824429</v>
      </c>
      <c r="Q1534" s="274"/>
      <c r="R1534" s="275"/>
    </row>
    <row r="1535" spans="1:19" x14ac:dyDescent="0.25">
      <c r="B1535" s="307" t="s">
        <v>100</v>
      </c>
      <c r="C1535" s="438" t="s">
        <v>96</v>
      </c>
      <c r="D1535" s="359">
        <f t="shared" si="187"/>
        <v>1.2976536312849163</v>
      </c>
      <c r="E1535" s="359">
        <f t="shared" si="187"/>
        <v>1.1996648044692737</v>
      </c>
      <c r="F1535" s="359">
        <f t="shared" si="187"/>
        <v>0.33206703910614521</v>
      </c>
      <c r="G1535" s="441">
        <v>0</v>
      </c>
      <c r="H1535" s="359">
        <f t="shared" si="186"/>
        <v>2.8293854748603353</v>
      </c>
      <c r="I1535" s="307" t="s">
        <v>100</v>
      </c>
      <c r="J1535" s="438" t="s">
        <v>96</v>
      </c>
      <c r="K1535" s="359">
        <f t="shared" si="188"/>
        <v>1.2544444444444445</v>
      </c>
      <c r="L1535" s="359">
        <f t="shared" si="188"/>
        <v>0.49655555555555553</v>
      </c>
      <c r="M1535" s="359">
        <f t="shared" si="188"/>
        <v>0.21911111111111109</v>
      </c>
      <c r="N1535" s="359">
        <f t="shared" si="188"/>
        <v>0.20799999999999999</v>
      </c>
      <c r="O1535" s="359">
        <f>SUM(K1535:M1535)</f>
        <v>1.9701111111111109</v>
      </c>
    </row>
    <row r="1536" spans="1:19" x14ac:dyDescent="0.25">
      <c r="B1536" s="307" t="s">
        <v>104</v>
      </c>
      <c r="C1536" s="365" t="s">
        <v>95</v>
      </c>
      <c r="D1536" s="359">
        <f>D1532/($B1532/7.7)</f>
        <v>9.407</v>
      </c>
      <c r="E1536" s="359">
        <f>E1532/($B1532/7)</f>
        <v>5.2568831168831167</v>
      </c>
      <c r="F1536" s="359">
        <f>F1532/($B1532/7)</f>
        <v>3.3366233766233768</v>
      </c>
      <c r="G1536" s="441">
        <v>0</v>
      </c>
      <c r="H1536" s="359">
        <f t="shared" si="186"/>
        <v>18.000506493506492</v>
      </c>
      <c r="I1536" s="307" t="s">
        <v>104</v>
      </c>
      <c r="J1536" s="365" t="s">
        <v>95</v>
      </c>
      <c r="K1536" s="359">
        <f>K1532/($I1532/7.7)</f>
        <v>10.630996183206108</v>
      </c>
      <c r="L1536" s="359">
        <f>L1532/($I1532/7)</f>
        <v>6.5904198473282438</v>
      </c>
      <c r="M1536" s="359">
        <f>M1532/($I1532/7)</f>
        <v>2.8319274809160304</v>
      </c>
      <c r="N1536" s="359">
        <f>N1532/($I1532/7)</f>
        <v>2.3287022900763357</v>
      </c>
      <c r="O1536" s="359">
        <f>SUM(K1536:M1536)</f>
        <v>20.053343511450379</v>
      </c>
    </row>
    <row r="1537" spans="1:19" x14ac:dyDescent="0.25">
      <c r="B1537" s="307" t="s">
        <v>104</v>
      </c>
      <c r="C1537" s="438" t="s">
        <v>96</v>
      </c>
      <c r="D1537" s="359">
        <f>D1533/($B1533/7.7)</f>
        <v>9.9919329608938554</v>
      </c>
      <c r="E1537" s="359">
        <f>E1533/($B1533/7.7)</f>
        <v>9.2374189944134084</v>
      </c>
      <c r="F1537" s="359">
        <f>F1533/($B1533/7.7)</f>
        <v>2.5569162011173181</v>
      </c>
      <c r="G1537" s="441">
        <v>0</v>
      </c>
      <c r="H1537" s="359">
        <f t="shared" si="186"/>
        <v>21.786268156424583</v>
      </c>
      <c r="I1537" s="307" t="s">
        <v>104</v>
      </c>
      <c r="J1537" s="438" t="s">
        <v>96</v>
      </c>
      <c r="K1537" s="359">
        <f>K1533/($I1533/7.7)</f>
        <v>9.6592222222222244</v>
      </c>
      <c r="L1537" s="359">
        <f>L1533/($I1533/7.7)</f>
        <v>3.8234777777777778</v>
      </c>
      <c r="M1537" s="359">
        <f>M1533/($I1533/7.7)</f>
        <v>1.6871555555555555</v>
      </c>
      <c r="N1537" s="359">
        <f>N1533/($I1533/7.7)</f>
        <v>1.6016000000000001</v>
      </c>
      <c r="O1537" s="359">
        <f>SUM(K1537:M1537)</f>
        <v>15.169855555555557</v>
      </c>
    </row>
    <row r="1538" spans="1:19" x14ac:dyDescent="0.25">
      <c r="B1538" s="307" t="s">
        <v>135</v>
      </c>
      <c r="C1538" s="365" t="s">
        <v>95</v>
      </c>
      <c r="D1538" s="359">
        <f>D1532/((($B1532*$B1528)*(1-$B1525))/$B1523)</f>
        <v>0.22184110007639415</v>
      </c>
      <c r="E1538" s="359">
        <f>E1532/((($B1532*$B1528)*(1-$B1525))/$B1523)</f>
        <v>0.13636781194691311</v>
      </c>
      <c r="F1538" s="359">
        <f>F1532/((($B1532*$B1528)*(1-$B1525))/$B1523)</f>
        <v>8.655471674835942E-2</v>
      </c>
      <c r="G1538" s="441">
        <v>0</v>
      </c>
      <c r="H1538" s="359">
        <f t="shared" si="186"/>
        <v>0.4447636287716667</v>
      </c>
      <c r="I1538" s="307" t="s">
        <v>135</v>
      </c>
      <c r="J1538" s="365" t="s">
        <v>95</v>
      </c>
      <c r="K1538" s="359">
        <f>K1532/((($I1532*$B1528)*(1-$B1525))/$B1523)</f>
        <v>0.25070605806212293</v>
      </c>
      <c r="L1538" s="359">
        <f>L1532/((($I1532*$B1528)*(1-$B1525))/$B1523)</f>
        <v>0.17096083637570525</v>
      </c>
      <c r="M1538" s="359">
        <f>M1532/((($I1532*$B1528)*(1-$B1525))/$B1523)</f>
        <v>7.3462495851310983E-2</v>
      </c>
      <c r="N1538" s="359">
        <f>N1532/((($I1532*$B1528)*(1-$B1525))/$B1523)</f>
        <v>6.0408426231428503E-2</v>
      </c>
      <c r="O1538" s="359">
        <f>O1532/((($B1532*$B1528)*(1-$B1525))/$B1523)</f>
        <v>0.54007758043929022</v>
      </c>
    </row>
    <row r="1539" spans="1:19" x14ac:dyDescent="0.25">
      <c r="B1539" s="307" t="s">
        <v>135</v>
      </c>
      <c r="C1539" s="438" t="s">
        <v>96</v>
      </c>
      <c r="D1539" s="359">
        <f>D1533/((($B1533*$B1528)*(1-$B1525))/$B1523)</f>
        <v>0.23563531412079036</v>
      </c>
      <c r="E1539" s="359">
        <f>E1533/((($B1533*$B1528)*(1-$B1525))/$B1523)</f>
        <v>0.21784194659160722</v>
      </c>
      <c r="F1539" s="359">
        <f>F1533/((($B1533*$B1528)*(1-$B1525))/$B1523)</f>
        <v>6.0298618354312807E-2</v>
      </c>
      <c r="G1539" s="441">
        <v>0</v>
      </c>
      <c r="H1539" s="359">
        <f t="shared" si="186"/>
        <v>0.51377587906671041</v>
      </c>
      <c r="I1539" s="307" t="s">
        <v>135</v>
      </c>
      <c r="J1539" s="438" t="s">
        <v>96</v>
      </c>
      <c r="K1539" s="359">
        <f>K1533/((($I1533*$B1528)*(1-$B1525))/$B1523)</f>
        <v>0.22778914464336456</v>
      </c>
      <c r="L1539" s="359">
        <f>L1533/((($I1533*$B1528)*(1-$B1525))/$B1523)</f>
        <v>9.0167377095765819E-2</v>
      </c>
      <c r="M1539" s="359">
        <f>M1533/((($I1533*$B1528)*(1-$B1525))/$B1523)</f>
        <v>3.9787439613526564E-2</v>
      </c>
      <c r="N1539" s="359">
        <f>N1533/((($I1533*$B1528)*(1-$B1525))/$B1523)</f>
        <v>3.7769820971866999E-2</v>
      </c>
      <c r="O1539" s="359">
        <f>O1533/((($B1533*$B1528)*(1-$B1525))/$B1523)</f>
        <v>0.39772335652745427</v>
      </c>
    </row>
    <row r="1540" spans="1:19" ht="15.75" thickBot="1" x14ac:dyDescent="0.3">
      <c r="A1540" s="178"/>
      <c r="B1540" s="178"/>
      <c r="C1540" s="178"/>
      <c r="D1540" s="178"/>
      <c r="E1540" s="178"/>
      <c r="F1540" s="178"/>
      <c r="G1540" s="178"/>
      <c r="H1540" s="178"/>
      <c r="I1540" s="178"/>
      <c r="J1540" s="178"/>
      <c r="K1540" s="178"/>
      <c r="L1540" s="178"/>
      <c r="M1540" s="178"/>
      <c r="N1540" s="178"/>
      <c r="O1540" s="178"/>
    </row>
    <row r="1541" spans="1:19" ht="21" x14ac:dyDescent="0.25">
      <c r="A1541" s="305"/>
      <c r="B1541" s="644" t="s">
        <v>492</v>
      </c>
      <c r="C1541" s="645"/>
      <c r="D1541" s="645"/>
      <c r="E1541" s="645"/>
      <c r="F1541" s="645"/>
      <c r="G1541" s="645"/>
      <c r="H1541" s="645"/>
      <c r="I1541" s="645"/>
      <c r="J1541" s="645"/>
      <c r="K1541" s="645"/>
      <c r="L1541" s="645"/>
      <c r="M1541" s="645"/>
      <c r="N1541" s="645"/>
      <c r="O1541" s="646"/>
      <c r="Q1541" s="671" t="s">
        <v>139</v>
      </c>
      <c r="R1541" s="235" t="s">
        <v>140</v>
      </c>
      <c r="S1541" s="679" t="s">
        <v>142</v>
      </c>
    </row>
    <row r="1542" spans="1:19" ht="21.75" thickBot="1" x14ac:dyDescent="0.3">
      <c r="A1542" s="177" t="s">
        <v>285</v>
      </c>
      <c r="B1542" s="647">
        <v>44219</v>
      </c>
      <c r="C1542" s="648"/>
      <c r="D1542" s="648"/>
      <c r="E1542" s="648"/>
      <c r="F1542" s="648"/>
      <c r="G1542" s="648"/>
      <c r="H1542" s="648"/>
      <c r="I1542" s="648"/>
      <c r="J1542" s="648"/>
      <c r="K1542" s="648"/>
      <c r="L1542" s="648"/>
      <c r="M1542" s="648"/>
      <c r="N1542" s="648"/>
      <c r="O1542" s="649"/>
      <c r="Q1542" s="672"/>
      <c r="R1542" s="183" t="s">
        <v>141</v>
      </c>
      <c r="S1542" s="680"/>
    </row>
    <row r="1543" spans="1:19" ht="15.75" thickBot="1" x14ac:dyDescent="0.3">
      <c r="A1543" s="177"/>
      <c r="B1543" s="650" t="s">
        <v>115</v>
      </c>
      <c r="C1543" s="651"/>
      <c r="D1543" s="651"/>
      <c r="E1543" s="651"/>
      <c r="F1543" s="651"/>
      <c r="G1543" s="651"/>
      <c r="H1543" s="651"/>
      <c r="I1543" s="651"/>
      <c r="J1543" s="651"/>
      <c r="K1543" s="651"/>
      <c r="L1543" s="651"/>
      <c r="M1543" s="651"/>
      <c r="N1543" s="651"/>
      <c r="O1543" s="652"/>
      <c r="Q1543" s="182" t="s">
        <v>143</v>
      </c>
      <c r="R1543" s="183">
        <v>7.5</v>
      </c>
      <c r="S1543" s="181" t="s">
        <v>517</v>
      </c>
    </row>
    <row r="1544" spans="1:19" ht="15.75" thickBot="1" x14ac:dyDescent="0.3">
      <c r="A1544" s="177" t="s">
        <v>106</v>
      </c>
      <c r="B1544" s="629">
        <v>13.13</v>
      </c>
      <c r="C1544" s="630"/>
      <c r="D1544" s="630"/>
      <c r="E1544" s="631"/>
      <c r="F1544" s="365" t="s">
        <v>174</v>
      </c>
      <c r="G1544" s="471"/>
      <c r="H1544" s="653">
        <v>0</v>
      </c>
      <c r="I1544" s="654"/>
      <c r="J1544" s="654"/>
      <c r="K1544" s="654"/>
      <c r="L1544" s="655"/>
      <c r="M1544" s="656">
        <f>SUM(B1544,H1545)</f>
        <v>13.13</v>
      </c>
      <c r="N1544" s="630"/>
      <c r="O1544" s="631"/>
      <c r="Q1544" s="182" t="s">
        <v>145</v>
      </c>
      <c r="R1544" s="183">
        <v>7</v>
      </c>
      <c r="S1544" s="184" t="s">
        <v>478</v>
      </c>
    </row>
    <row r="1545" spans="1:19" ht="15.75" thickBot="1" x14ac:dyDescent="0.3">
      <c r="A1545" s="177" t="s">
        <v>112</v>
      </c>
      <c r="B1545" s="626">
        <v>0.15</v>
      </c>
      <c r="C1545" s="627"/>
      <c r="D1545" s="627"/>
      <c r="E1545" s="628"/>
      <c r="F1545" s="290"/>
      <c r="G1545" s="472"/>
      <c r="H1545" s="626">
        <v>0</v>
      </c>
      <c r="I1545" s="627"/>
      <c r="J1545" s="627"/>
      <c r="K1545" s="627"/>
      <c r="L1545" s="628"/>
      <c r="M1545" s="657">
        <f>B1545</f>
        <v>0.15</v>
      </c>
      <c r="N1545" s="627"/>
      <c r="O1545" s="628"/>
      <c r="Q1545" s="182" t="s">
        <v>147</v>
      </c>
      <c r="R1545" s="183">
        <v>9</v>
      </c>
      <c r="S1545" s="181" t="s">
        <v>411</v>
      </c>
    </row>
    <row r="1546" spans="1:19" s="179" customFormat="1" ht="29.25" customHeight="1" thickBot="1" x14ac:dyDescent="0.3">
      <c r="A1546" s="177" t="s">
        <v>107</v>
      </c>
      <c r="B1546" s="629">
        <f>B1544*(1-B1545)</f>
        <v>11.160500000000001</v>
      </c>
      <c r="C1546" s="630"/>
      <c r="D1546" s="630"/>
      <c r="E1546" s="631"/>
      <c r="F1546" s="290"/>
      <c r="G1546" s="472"/>
      <c r="H1546" s="629">
        <f>H1544*(1-H1545)</f>
        <v>0</v>
      </c>
      <c r="I1546" s="630"/>
      <c r="J1546" s="630"/>
      <c r="K1546" s="630"/>
      <c r="L1546" s="631"/>
      <c r="M1546" s="656">
        <f>SUM(B1546,H1546)</f>
        <v>11.160500000000001</v>
      </c>
      <c r="N1546" s="630"/>
      <c r="O1546" s="631"/>
      <c r="Q1546" s="147" t="s">
        <v>82</v>
      </c>
      <c r="R1546" s="88">
        <v>7.5</v>
      </c>
      <c r="S1546" s="89" t="s">
        <v>521</v>
      </c>
    </row>
    <row r="1547" spans="1:19" ht="15.75" thickBot="1" x14ac:dyDescent="0.3">
      <c r="A1547" s="177" t="s">
        <v>108</v>
      </c>
      <c r="B1547" s="626">
        <f>B1550/B1546</f>
        <v>0.84579543927243417</v>
      </c>
      <c r="C1547" s="627"/>
      <c r="D1547" s="627"/>
      <c r="E1547" s="627"/>
      <c r="F1547" s="627"/>
      <c r="G1547" s="627"/>
      <c r="H1547" s="627"/>
      <c r="I1547" s="627"/>
      <c r="J1547" s="627"/>
      <c r="K1547" s="627"/>
      <c r="L1547" s="627"/>
      <c r="M1547" s="627"/>
      <c r="N1547" s="627"/>
      <c r="O1547" s="628"/>
      <c r="Q1547" s="182" t="s">
        <v>152</v>
      </c>
      <c r="R1547" s="183">
        <v>8</v>
      </c>
      <c r="S1547" s="184" t="s">
        <v>519</v>
      </c>
    </row>
    <row r="1548" spans="1:19" ht="15.75" thickBot="1" x14ac:dyDescent="0.3">
      <c r="A1548" s="177" t="s">
        <v>113</v>
      </c>
      <c r="B1548" s="629">
        <f>B1552*(B1556+B1557+I1556+I1557)/1000</f>
        <v>30.45</v>
      </c>
      <c r="C1548" s="630"/>
      <c r="D1548" s="630"/>
      <c r="E1548" s="630"/>
      <c r="F1548" s="630"/>
      <c r="G1548" s="630"/>
      <c r="H1548" s="630"/>
      <c r="I1548" s="630"/>
      <c r="J1548" s="630"/>
      <c r="K1548" s="630"/>
      <c r="L1548" s="630"/>
      <c r="M1548" s="630"/>
      <c r="N1548" s="630"/>
      <c r="O1548" s="631"/>
      <c r="Q1548" s="182" t="s">
        <v>154</v>
      </c>
      <c r="R1548" s="183">
        <v>8</v>
      </c>
      <c r="S1548" s="181" t="s">
        <v>520</v>
      </c>
    </row>
    <row r="1549" spans="1:19" ht="29.25" thickBot="1" x14ac:dyDescent="0.3">
      <c r="A1549" s="177" t="s">
        <v>109</v>
      </c>
      <c r="B1549" s="626">
        <v>0.69</v>
      </c>
      <c r="C1549" s="627"/>
      <c r="D1549" s="627"/>
      <c r="E1549" s="627"/>
      <c r="F1549" s="627"/>
      <c r="G1549" s="627"/>
      <c r="H1549" s="627"/>
      <c r="I1549" s="627"/>
      <c r="J1549" s="627"/>
      <c r="K1549" s="627"/>
      <c r="L1549" s="627"/>
      <c r="M1549" s="627"/>
      <c r="N1549" s="627"/>
      <c r="O1549" s="628"/>
      <c r="Q1549" s="182" t="s">
        <v>156</v>
      </c>
      <c r="R1549" s="183">
        <v>8</v>
      </c>
      <c r="S1549" s="181" t="s">
        <v>480</v>
      </c>
    </row>
    <row r="1550" spans="1:19" ht="15.75" thickBot="1" x14ac:dyDescent="0.3">
      <c r="A1550" s="177" t="s">
        <v>122</v>
      </c>
      <c r="B1550" s="629">
        <f>B1548-(B1548*B1549)</f>
        <v>9.4395000000000024</v>
      </c>
      <c r="C1550" s="630"/>
      <c r="D1550" s="630"/>
      <c r="E1550" s="630"/>
      <c r="F1550" s="630"/>
      <c r="G1550" s="630"/>
      <c r="H1550" s="630"/>
      <c r="I1550" s="630"/>
      <c r="J1550" s="630"/>
      <c r="K1550" s="630"/>
      <c r="L1550" s="630"/>
      <c r="M1550" s="630"/>
      <c r="N1550" s="630"/>
      <c r="O1550" s="631"/>
      <c r="Q1550" s="182" t="s">
        <v>158</v>
      </c>
      <c r="R1550" s="183"/>
      <c r="S1550" s="181"/>
    </row>
    <row r="1551" spans="1:19" ht="15.75" thickBot="1" x14ac:dyDescent="0.3">
      <c r="A1551" s="177" t="s">
        <v>110</v>
      </c>
      <c r="B1551" s="632">
        <v>140</v>
      </c>
      <c r="C1551" s="633"/>
      <c r="D1551" s="633"/>
      <c r="E1551" s="633"/>
      <c r="F1551" s="633"/>
      <c r="G1551" s="633"/>
      <c r="H1551" s="633"/>
      <c r="I1551" s="633"/>
      <c r="J1551" s="633"/>
      <c r="K1551" s="633"/>
      <c r="L1551" s="633"/>
      <c r="M1551" s="633"/>
      <c r="N1551" s="633"/>
      <c r="O1551" s="634"/>
      <c r="Q1551" s="185" t="s">
        <v>99</v>
      </c>
      <c r="R1551" s="183" t="s">
        <v>522</v>
      </c>
      <c r="S1551" s="186">
        <v>0.78500000000000003</v>
      </c>
    </row>
    <row r="1552" spans="1:19" x14ac:dyDescent="0.25">
      <c r="A1552" s="177" t="s">
        <v>111</v>
      </c>
      <c r="B1552" s="635">
        <v>15</v>
      </c>
      <c r="C1552" s="636"/>
      <c r="D1552" s="636"/>
      <c r="E1552" s="636"/>
      <c r="F1552" s="636"/>
      <c r="G1552" s="636"/>
      <c r="H1552" s="636"/>
      <c r="I1552" s="636"/>
      <c r="J1552" s="636"/>
      <c r="K1552" s="636"/>
      <c r="L1552" s="636"/>
      <c r="M1552" s="636"/>
      <c r="N1552" s="636"/>
      <c r="O1552" s="637"/>
    </row>
    <row r="1553" spans="1:18" x14ac:dyDescent="0.25">
      <c r="A1553" s="177" t="s">
        <v>273</v>
      </c>
      <c r="B1553" s="638" t="s">
        <v>472</v>
      </c>
      <c r="C1553" s="638"/>
      <c r="D1553" s="638"/>
      <c r="E1553" s="638"/>
      <c r="F1553" s="638"/>
      <c r="G1553" s="638"/>
      <c r="H1553" s="638"/>
      <c r="I1553" s="638"/>
      <c r="J1553" s="638"/>
      <c r="K1553" s="638"/>
      <c r="L1553" s="638"/>
      <c r="M1553" s="638"/>
      <c r="N1553" s="638"/>
      <c r="O1553" s="639"/>
    </row>
    <row r="1554" spans="1:18" x14ac:dyDescent="0.25">
      <c r="A1554" s="177" t="s">
        <v>351</v>
      </c>
      <c r="B1554" s="431"/>
      <c r="C1554" s="431"/>
      <c r="D1554" s="431"/>
      <c r="E1554" s="431"/>
      <c r="F1554" s="431"/>
      <c r="G1554" s="431"/>
      <c r="H1554" s="431"/>
      <c r="I1554" s="431"/>
      <c r="J1554" s="431"/>
      <c r="K1554" s="431"/>
      <c r="L1554" s="431"/>
      <c r="M1554" s="431"/>
      <c r="N1554" s="431"/>
      <c r="O1554" s="432"/>
      <c r="Q1554" s="274"/>
      <c r="R1554" s="275"/>
    </row>
    <row r="1555" spans="1:18" x14ac:dyDescent="0.25">
      <c r="B1555" s="307" t="s">
        <v>98</v>
      </c>
      <c r="C1555" s="365" t="s">
        <v>102</v>
      </c>
      <c r="D1555" s="365" t="s">
        <v>92</v>
      </c>
      <c r="E1555" s="365" t="s">
        <v>93</v>
      </c>
      <c r="F1555" s="365" t="s">
        <v>94</v>
      </c>
      <c r="G1555" s="365" t="s">
        <v>549</v>
      </c>
      <c r="H1555" s="359" t="s">
        <v>99</v>
      </c>
      <c r="I1555" s="307" t="s">
        <v>98</v>
      </c>
      <c r="J1555" s="365" t="s">
        <v>102</v>
      </c>
      <c r="K1555" s="365" t="s">
        <v>92</v>
      </c>
      <c r="L1555" s="365" t="s">
        <v>93</v>
      </c>
      <c r="M1555" s="365" t="s">
        <v>94</v>
      </c>
      <c r="N1555" s="365" t="s">
        <v>549</v>
      </c>
      <c r="O1555" s="359" t="s">
        <v>99</v>
      </c>
      <c r="Q1555" s="274"/>
      <c r="R1555" s="276"/>
    </row>
    <row r="1556" spans="1:18" x14ac:dyDescent="0.25">
      <c r="B1556" s="308">
        <v>917</v>
      </c>
      <c r="C1556" s="365" t="s">
        <v>95</v>
      </c>
      <c r="D1556" s="441">
        <v>1290.56</v>
      </c>
      <c r="E1556" s="441">
        <v>881.05</v>
      </c>
      <c r="F1556" s="441">
        <v>616.13</v>
      </c>
      <c r="G1556" s="441">
        <v>187.08</v>
      </c>
      <c r="H1556" s="359">
        <f>SUM(D1556:G1556)</f>
        <v>2974.8199999999997</v>
      </c>
      <c r="I1556" s="308">
        <v>913</v>
      </c>
      <c r="J1556" s="365" t="s">
        <v>95</v>
      </c>
      <c r="K1556" s="441">
        <v>1518.68</v>
      </c>
      <c r="L1556" s="441">
        <v>888.4</v>
      </c>
      <c r="M1556" s="441">
        <v>228</v>
      </c>
      <c r="N1556" s="441">
        <v>198.44</v>
      </c>
      <c r="O1556" s="359">
        <f>SUM(K1556:N1556)</f>
        <v>2833.52</v>
      </c>
      <c r="Q1556" s="287"/>
      <c r="R1556" s="288"/>
    </row>
    <row r="1557" spans="1:18" x14ac:dyDescent="0.25">
      <c r="B1557" s="308">
        <v>100</v>
      </c>
      <c r="C1557" s="365" t="s">
        <v>96</v>
      </c>
      <c r="D1557" s="441">
        <v>108.16</v>
      </c>
      <c r="E1557" s="441">
        <v>122.34</v>
      </c>
      <c r="F1557" s="441">
        <v>64.400000000000006</v>
      </c>
      <c r="G1557" s="441">
        <v>0</v>
      </c>
      <c r="H1557" s="359">
        <f t="shared" ref="H1557:H1563" si="189">SUM(D1557:G1557)</f>
        <v>294.89999999999998</v>
      </c>
      <c r="I1557" s="308">
        <v>100</v>
      </c>
      <c r="J1557" s="365" t="s">
        <v>96</v>
      </c>
      <c r="K1557" s="441">
        <v>162.52000000000001</v>
      </c>
      <c r="L1557" s="441">
        <v>100.4</v>
      </c>
      <c r="M1557" s="441">
        <v>79.14</v>
      </c>
      <c r="N1557" s="441">
        <v>0</v>
      </c>
      <c r="O1557" s="359">
        <f t="shared" ref="O1557:O1563" si="190">SUM(K1557:N1557)</f>
        <v>342.06</v>
      </c>
      <c r="Q1557" s="274"/>
      <c r="R1557" s="275"/>
    </row>
    <row r="1558" spans="1:18" x14ac:dyDescent="0.25">
      <c r="B1558" s="307" t="s">
        <v>100</v>
      </c>
      <c r="C1558" s="365" t="s">
        <v>95</v>
      </c>
      <c r="D1558" s="444">
        <f t="shared" ref="D1558:G1559" si="191">D1556/$B1556</f>
        <v>1.4073718647764448</v>
      </c>
      <c r="E1558" s="429">
        <f t="shared" si="191"/>
        <v>0.96079607415485269</v>
      </c>
      <c r="F1558" s="429">
        <f t="shared" si="191"/>
        <v>0.67189749182115599</v>
      </c>
      <c r="G1558" s="429">
        <f t="shared" si="191"/>
        <v>0.20401308615049074</v>
      </c>
      <c r="H1558" s="359">
        <f t="shared" si="189"/>
        <v>3.2440785169029445</v>
      </c>
      <c r="I1558" s="307" t="s">
        <v>100</v>
      </c>
      <c r="J1558" s="365" t="s">
        <v>95</v>
      </c>
      <c r="K1558" s="444">
        <f t="shared" ref="K1558:N1559" si="192">K1556/$I1556</f>
        <v>1.6633953997809421</v>
      </c>
      <c r="L1558" s="429">
        <f t="shared" si="192"/>
        <v>0.9730558598028477</v>
      </c>
      <c r="M1558" s="429">
        <f t="shared" si="192"/>
        <v>0.2497261774370208</v>
      </c>
      <c r="N1558" s="429">
        <f t="shared" si="192"/>
        <v>0.21734939759036145</v>
      </c>
      <c r="O1558" s="359">
        <f t="shared" si="190"/>
        <v>3.1035268346111722</v>
      </c>
      <c r="Q1558" s="274"/>
      <c r="R1558" s="275"/>
    </row>
    <row r="1559" spans="1:18" x14ac:dyDescent="0.25">
      <c r="B1559" s="307" t="s">
        <v>100</v>
      </c>
      <c r="C1559" s="438" t="s">
        <v>96</v>
      </c>
      <c r="D1559" s="359">
        <f t="shared" si="191"/>
        <v>1.0815999999999999</v>
      </c>
      <c r="E1559" s="359">
        <f t="shared" si="191"/>
        <v>1.2234</v>
      </c>
      <c r="F1559" s="359">
        <f t="shared" si="191"/>
        <v>0.64400000000000002</v>
      </c>
      <c r="G1559" s="359">
        <f t="shared" si="191"/>
        <v>0</v>
      </c>
      <c r="H1559" s="359">
        <f t="shared" si="189"/>
        <v>2.9489999999999998</v>
      </c>
      <c r="I1559" s="307" t="s">
        <v>100</v>
      </c>
      <c r="J1559" s="438" t="s">
        <v>96</v>
      </c>
      <c r="K1559" s="359">
        <f t="shared" si="192"/>
        <v>1.6252000000000002</v>
      </c>
      <c r="L1559" s="359">
        <f t="shared" si="192"/>
        <v>1.004</v>
      </c>
      <c r="M1559" s="359">
        <f t="shared" si="192"/>
        <v>0.79139999999999999</v>
      </c>
      <c r="N1559" s="359">
        <f t="shared" si="192"/>
        <v>0</v>
      </c>
      <c r="O1559" s="359">
        <f t="shared" si="190"/>
        <v>3.4205999999999999</v>
      </c>
      <c r="Q1559" s="275"/>
      <c r="R1559" s="275"/>
    </row>
    <row r="1560" spans="1:18" x14ac:dyDescent="0.25">
      <c r="B1560" s="307" t="s">
        <v>104</v>
      </c>
      <c r="C1560" s="365" t="s">
        <v>95</v>
      </c>
      <c r="D1560" s="359">
        <f>D1556/($B1556/7.7)</f>
        <v>10.836763358778626</v>
      </c>
      <c r="E1560" s="359">
        <f>E1556/($B1556/7)</f>
        <v>6.7255725190839692</v>
      </c>
      <c r="F1560" s="359">
        <f>F1556/($B1556/7)</f>
        <v>4.7032824427480913</v>
      </c>
      <c r="G1560" s="359">
        <f>G1556/($B1556/7)</f>
        <v>1.4280916030534352</v>
      </c>
      <c r="H1560" s="359">
        <f t="shared" si="189"/>
        <v>23.69370992366412</v>
      </c>
      <c r="I1560" s="307" t="s">
        <v>104</v>
      </c>
      <c r="J1560" s="365" t="s">
        <v>95</v>
      </c>
      <c r="K1560" s="359">
        <f>K1556/($I1556/7.7)</f>
        <v>12.808144578313254</v>
      </c>
      <c r="L1560" s="359">
        <f>L1556/($I1556/7)</f>
        <v>6.8113910186199345</v>
      </c>
      <c r="M1560" s="359">
        <f>M1556/($I1556/7)</f>
        <v>1.7480832420591459</v>
      </c>
      <c r="N1560" s="359">
        <f>N1556/($I1556/7)</f>
        <v>1.5214457831325303</v>
      </c>
      <c r="O1560" s="359">
        <f t="shared" si="190"/>
        <v>22.889064622124867</v>
      </c>
      <c r="Q1560" s="276"/>
      <c r="R1560" s="275"/>
    </row>
    <row r="1561" spans="1:18" x14ac:dyDescent="0.25">
      <c r="B1561" s="307" t="s">
        <v>104</v>
      </c>
      <c r="C1561" s="438" t="s">
        <v>96</v>
      </c>
      <c r="D1561" s="359">
        <f>D1557/($B1557/7.7)</f>
        <v>8.3283199999999997</v>
      </c>
      <c r="E1561" s="359">
        <f>E1557/($B1557/7.7)</f>
        <v>9.4201800000000002</v>
      </c>
      <c r="F1561" s="359">
        <f>F1557/($B1557/7.7)</f>
        <v>4.9588000000000001</v>
      </c>
      <c r="G1561" s="359">
        <f>G1557/($B1557/7.7)</f>
        <v>0</v>
      </c>
      <c r="H1561" s="359">
        <f t="shared" si="189"/>
        <v>22.7073</v>
      </c>
      <c r="I1561" s="307" t="s">
        <v>104</v>
      </c>
      <c r="J1561" s="438" t="s">
        <v>96</v>
      </c>
      <c r="K1561" s="359">
        <f>K1557/($I1557/7.7)</f>
        <v>12.514040000000001</v>
      </c>
      <c r="L1561" s="359">
        <f>L1557/($I1557/7.7)</f>
        <v>7.7308000000000003</v>
      </c>
      <c r="M1561" s="359">
        <f>M1557/($I1557/7.7)</f>
        <v>6.0937799999999998</v>
      </c>
      <c r="N1561" s="359">
        <f>N1557/($I1557/7.7)</f>
        <v>0</v>
      </c>
      <c r="O1561" s="359">
        <f t="shared" si="190"/>
        <v>26.338620000000002</v>
      </c>
      <c r="Q1561" s="275"/>
      <c r="R1561" s="275"/>
    </row>
    <row r="1562" spans="1:18" x14ac:dyDescent="0.25">
      <c r="B1562" s="307" t="s">
        <v>135</v>
      </c>
      <c r="C1562" s="365" t="s">
        <v>95</v>
      </c>
      <c r="D1562" s="359">
        <f>D1556/((($B1556*$B1552)*(1-$B1549))/$B1547)</f>
        <v>0.25598896872865756</v>
      </c>
      <c r="E1562" s="359">
        <f>E1556/((($B1556*$B1552)*(1-$B1549))/$B1547)</f>
        <v>0.17476063174000725</v>
      </c>
      <c r="F1562" s="359">
        <f>F1556/((($B1556*$B1552)*(1-$B1549))/$B1547)</f>
        <v>0.12221243747116585</v>
      </c>
      <c r="G1562" s="359">
        <f>G1556/((($B1556*$B1552)*(1-$B1549))/$B1547)</f>
        <v>3.7108244692038543E-2</v>
      </c>
      <c r="H1562" s="359">
        <f t="shared" si="189"/>
        <v>0.59007028263186923</v>
      </c>
      <c r="I1562" s="307" t="s">
        <v>135</v>
      </c>
      <c r="J1562" s="365" t="s">
        <v>95</v>
      </c>
      <c r="K1562" s="359">
        <f>K1556/((($I1556*$B1552)*(1-$B1549))/$B1547)</f>
        <v>0.3025574715788103</v>
      </c>
      <c r="L1562" s="359">
        <f>L1556/((($I1556*$B1552)*(1-$B1549))/$B1547)</f>
        <v>0.17699058244700336</v>
      </c>
      <c r="M1562" s="359">
        <f>M1556/((($I1556*$B1552)*(1-$B1549))/$B1547)</f>
        <v>4.5423067084552862E-2</v>
      </c>
      <c r="N1562" s="359">
        <f>N1556/((($I1556*$B1552)*(1-$B1549))/$B1547)</f>
        <v>3.9534006281836273E-2</v>
      </c>
      <c r="O1562" s="359">
        <f t="shared" si="190"/>
        <v>0.56450512739220282</v>
      </c>
    </row>
    <row r="1563" spans="1:18" x14ac:dyDescent="0.25">
      <c r="B1563" s="307" t="s">
        <v>135</v>
      </c>
      <c r="C1563" s="438" t="s">
        <v>96</v>
      </c>
      <c r="D1563" s="359">
        <f>D1557/((($B1557*$B1552)*(1-$B1549))/$B1547)</f>
        <v>0.1967338380896913</v>
      </c>
      <c r="E1563" s="359">
        <f>E1557/((($B1557*$B1552)*(1-$B1549))/$B1547)</f>
        <v>0.22252605170019263</v>
      </c>
      <c r="F1563" s="359">
        <f>F1557/((($B1557*$B1552)*(1-$B1549))/$B1547)</f>
        <v>0.1171381210519242</v>
      </c>
      <c r="G1563" s="359">
        <f>G1557/((($B1557*$B1552)*(1-$B1549))/$B1547)</f>
        <v>0</v>
      </c>
      <c r="H1563" s="359">
        <f t="shared" si="189"/>
        <v>0.53639801084180816</v>
      </c>
      <c r="I1563" s="307" t="s">
        <v>135</v>
      </c>
      <c r="J1563" s="438" t="s">
        <v>96</v>
      </c>
      <c r="K1563" s="359">
        <f>K1557/((($I1557*$B1552)*(1-$B1549))/$B1547)</f>
        <v>0.29561005331302359</v>
      </c>
      <c r="L1563" s="359">
        <f>L1557/((($I1557*$B1552)*(1-$B1549))/$B1547)</f>
        <v>0.18261905828591909</v>
      </c>
      <c r="M1563" s="359">
        <f>M1557/((($I1557*$B1552)*(1-$B1549))/$B1547)</f>
        <v>0.14394892701939876</v>
      </c>
      <c r="N1563" s="359">
        <f>N1557/((($I1557*$B1552)*(1-$B1549))/$B1547)</f>
        <v>0</v>
      </c>
      <c r="O1563" s="359">
        <f t="shared" si="190"/>
        <v>0.62217803861834142</v>
      </c>
    </row>
    <row r="1564" spans="1:18" x14ac:dyDescent="0.25">
      <c r="A1564" s="178"/>
      <c r="B1564" s="178"/>
      <c r="C1564" s="178"/>
      <c r="D1564" s="178"/>
      <c r="E1564" s="178"/>
      <c r="F1564" s="178"/>
      <c r="G1564" s="178"/>
      <c r="H1564" s="178"/>
      <c r="I1564" s="178"/>
      <c r="J1564" s="178"/>
      <c r="K1564" s="178"/>
      <c r="L1564" s="178"/>
      <c r="M1564" s="178"/>
      <c r="N1564" s="178"/>
      <c r="O1564" s="178"/>
    </row>
    <row r="1565" spans="1:18" ht="21" x14ac:dyDescent="0.25">
      <c r="A1565" s="305"/>
      <c r="B1565" s="644" t="s">
        <v>493</v>
      </c>
      <c r="C1565" s="645"/>
      <c r="D1565" s="645"/>
      <c r="E1565" s="645"/>
      <c r="F1565" s="645"/>
      <c r="G1565" s="645"/>
      <c r="H1565" s="645"/>
      <c r="I1565" s="645"/>
      <c r="J1565" s="645"/>
      <c r="K1565" s="645"/>
      <c r="L1565" s="645"/>
      <c r="M1565" s="645"/>
      <c r="N1565" s="645"/>
      <c r="O1565" s="646"/>
    </row>
    <row r="1566" spans="1:18" ht="21" x14ac:dyDescent="0.25">
      <c r="A1566" s="177" t="s">
        <v>285</v>
      </c>
      <c r="B1566" s="647">
        <v>44233</v>
      </c>
      <c r="C1566" s="648"/>
      <c r="D1566" s="648"/>
      <c r="E1566" s="648"/>
      <c r="F1566" s="648"/>
      <c r="G1566" s="648"/>
      <c r="H1566" s="648"/>
      <c r="I1566" s="648"/>
      <c r="J1566" s="648"/>
      <c r="K1566" s="648"/>
      <c r="L1566" s="648"/>
      <c r="M1566" s="648"/>
      <c r="N1566" s="648"/>
      <c r="O1566" s="649"/>
    </row>
    <row r="1567" spans="1:18" x14ac:dyDescent="0.25">
      <c r="A1567" s="177"/>
      <c r="B1567" s="650" t="s">
        <v>115</v>
      </c>
      <c r="C1567" s="651"/>
      <c r="D1567" s="651"/>
      <c r="E1567" s="651"/>
      <c r="F1567" s="651"/>
      <c r="G1567" s="651"/>
      <c r="H1567" s="651"/>
      <c r="I1567" s="651"/>
      <c r="J1567" s="651"/>
      <c r="K1567" s="651"/>
      <c r="L1567" s="651"/>
      <c r="M1567" s="651"/>
      <c r="N1567" s="651"/>
      <c r="O1567" s="652"/>
    </row>
    <row r="1568" spans="1:18" ht="15.75" thickBot="1" x14ac:dyDescent="0.3">
      <c r="A1568" s="177" t="s">
        <v>106</v>
      </c>
      <c r="B1568" s="629">
        <v>13.6</v>
      </c>
      <c r="C1568" s="630"/>
      <c r="D1568" s="630"/>
      <c r="E1568" s="631"/>
      <c r="F1568" s="365" t="s">
        <v>174</v>
      </c>
      <c r="G1568" s="471"/>
      <c r="H1568" s="653">
        <v>0</v>
      </c>
      <c r="I1568" s="654"/>
      <c r="J1568" s="654"/>
      <c r="K1568" s="654"/>
      <c r="L1568" s="655"/>
      <c r="M1568" s="656">
        <f>SUM(B1568,H1569)</f>
        <v>13.6</v>
      </c>
      <c r="N1568" s="630"/>
      <c r="O1568" s="631"/>
    </row>
    <row r="1569" spans="1:19" x14ac:dyDescent="0.25">
      <c r="A1569" s="177" t="s">
        <v>112</v>
      </c>
      <c r="B1569" s="626">
        <v>0.1</v>
      </c>
      <c r="C1569" s="627"/>
      <c r="D1569" s="627"/>
      <c r="E1569" s="628"/>
      <c r="F1569" s="290"/>
      <c r="G1569" s="472"/>
      <c r="H1569" s="626">
        <v>0</v>
      </c>
      <c r="I1569" s="627"/>
      <c r="J1569" s="627"/>
      <c r="K1569" s="627"/>
      <c r="L1569" s="628"/>
      <c r="M1569" s="657">
        <f>B1569</f>
        <v>0.1</v>
      </c>
      <c r="N1569" s="627"/>
      <c r="O1569" s="628"/>
      <c r="Q1569" s="683" t="s">
        <v>139</v>
      </c>
      <c r="R1569" s="266" t="s">
        <v>140</v>
      </c>
      <c r="S1569" s="684" t="s">
        <v>142</v>
      </c>
    </row>
    <row r="1570" spans="1:19" ht="15.75" thickBot="1" x14ac:dyDescent="0.3">
      <c r="A1570" s="177" t="s">
        <v>107</v>
      </c>
      <c r="B1570" s="629">
        <f>B1568*(1-B1569)</f>
        <v>12.24</v>
      </c>
      <c r="C1570" s="630"/>
      <c r="D1570" s="630"/>
      <c r="E1570" s="631"/>
      <c r="F1570" s="290"/>
      <c r="G1570" s="472"/>
      <c r="H1570" s="629">
        <f>H1568*(1-H1569)</f>
        <v>0</v>
      </c>
      <c r="I1570" s="630"/>
      <c r="J1570" s="630"/>
      <c r="K1570" s="630"/>
      <c r="L1570" s="631"/>
      <c r="M1570" s="656">
        <f>SUM(B1570,H1570)</f>
        <v>12.24</v>
      </c>
      <c r="N1570" s="630"/>
      <c r="O1570" s="631"/>
      <c r="Q1570" s="672"/>
      <c r="R1570" s="183" t="s">
        <v>141</v>
      </c>
      <c r="S1570" s="680"/>
    </row>
    <row r="1571" spans="1:19" ht="15.75" thickBot="1" x14ac:dyDescent="0.3">
      <c r="A1571" s="177" t="s">
        <v>108</v>
      </c>
      <c r="B1571" s="626">
        <f>B1574/B1570</f>
        <v>0.81564950980392159</v>
      </c>
      <c r="C1571" s="627"/>
      <c r="D1571" s="627"/>
      <c r="E1571" s="627"/>
      <c r="F1571" s="627"/>
      <c r="G1571" s="627"/>
      <c r="H1571" s="627"/>
      <c r="I1571" s="627"/>
      <c r="J1571" s="627"/>
      <c r="K1571" s="627"/>
      <c r="L1571" s="627"/>
      <c r="M1571" s="627"/>
      <c r="N1571" s="627"/>
      <c r="O1571" s="628"/>
      <c r="Q1571" s="182" t="s">
        <v>143</v>
      </c>
      <c r="R1571" s="183">
        <v>8</v>
      </c>
      <c r="S1571" s="181" t="s">
        <v>517</v>
      </c>
    </row>
    <row r="1572" spans="1:19" ht="15.75" thickBot="1" x14ac:dyDescent="0.3">
      <c r="A1572" s="177" t="s">
        <v>113</v>
      </c>
      <c r="B1572" s="629">
        <f>B1576*(B1580+B1581+I1580+I1581)/1000</f>
        <v>32.204999999999998</v>
      </c>
      <c r="C1572" s="630"/>
      <c r="D1572" s="630"/>
      <c r="E1572" s="630"/>
      <c r="F1572" s="630"/>
      <c r="G1572" s="630"/>
      <c r="H1572" s="630"/>
      <c r="I1572" s="630"/>
      <c r="J1572" s="630"/>
      <c r="K1572" s="630"/>
      <c r="L1572" s="630"/>
      <c r="M1572" s="630"/>
      <c r="N1572" s="630"/>
      <c r="O1572" s="631"/>
      <c r="Q1572" s="182" t="s">
        <v>145</v>
      </c>
      <c r="R1572" s="183">
        <v>8</v>
      </c>
      <c r="S1572" s="184" t="s">
        <v>478</v>
      </c>
    </row>
    <row r="1573" spans="1:19" ht="15.75" thickBot="1" x14ac:dyDescent="0.3">
      <c r="A1573" s="177" t="s">
        <v>109</v>
      </c>
      <c r="B1573" s="626">
        <v>0.69</v>
      </c>
      <c r="C1573" s="627"/>
      <c r="D1573" s="627"/>
      <c r="E1573" s="627"/>
      <c r="F1573" s="627"/>
      <c r="G1573" s="627"/>
      <c r="H1573" s="627"/>
      <c r="I1573" s="627"/>
      <c r="J1573" s="627"/>
      <c r="K1573" s="627"/>
      <c r="L1573" s="627"/>
      <c r="M1573" s="627"/>
      <c r="N1573" s="627"/>
      <c r="O1573" s="628"/>
      <c r="Q1573" s="182" t="s">
        <v>147</v>
      </c>
      <c r="R1573" s="183">
        <v>9</v>
      </c>
      <c r="S1573" s="181" t="s">
        <v>411</v>
      </c>
    </row>
    <row r="1574" spans="1:19" ht="29.25" thickBot="1" x14ac:dyDescent="0.3">
      <c r="A1574" s="177" t="s">
        <v>122</v>
      </c>
      <c r="B1574" s="629">
        <f>B1572-(B1572*B1573)</f>
        <v>9.983550000000001</v>
      </c>
      <c r="C1574" s="630"/>
      <c r="D1574" s="630"/>
      <c r="E1574" s="630"/>
      <c r="F1574" s="630"/>
      <c r="G1574" s="630"/>
      <c r="H1574" s="630"/>
      <c r="I1574" s="630"/>
      <c r="J1574" s="630"/>
      <c r="K1574" s="630"/>
      <c r="L1574" s="630"/>
      <c r="M1574" s="630"/>
      <c r="N1574" s="630"/>
      <c r="O1574" s="631"/>
      <c r="Q1574" s="182" t="s">
        <v>82</v>
      </c>
      <c r="R1574" s="183">
        <v>8</v>
      </c>
      <c r="S1574" s="184" t="s">
        <v>527</v>
      </c>
    </row>
    <row r="1575" spans="1:19" ht="15.75" thickBot="1" x14ac:dyDescent="0.3">
      <c r="A1575" s="177" t="s">
        <v>110</v>
      </c>
      <c r="B1575" s="632">
        <v>125</v>
      </c>
      <c r="C1575" s="633"/>
      <c r="D1575" s="633"/>
      <c r="E1575" s="633"/>
      <c r="F1575" s="633"/>
      <c r="G1575" s="633"/>
      <c r="H1575" s="633"/>
      <c r="I1575" s="633"/>
      <c r="J1575" s="633"/>
      <c r="K1575" s="633"/>
      <c r="L1575" s="633"/>
      <c r="M1575" s="633"/>
      <c r="N1575" s="633"/>
      <c r="O1575" s="634"/>
      <c r="Q1575" s="182" t="s">
        <v>152</v>
      </c>
      <c r="R1575" s="183">
        <v>8</v>
      </c>
      <c r="S1575" s="184" t="s">
        <v>519</v>
      </c>
    </row>
    <row r="1576" spans="1:19" ht="15.75" thickBot="1" x14ac:dyDescent="0.3">
      <c r="A1576" s="177" t="s">
        <v>111</v>
      </c>
      <c r="B1576" s="635">
        <v>15</v>
      </c>
      <c r="C1576" s="636"/>
      <c r="D1576" s="636"/>
      <c r="E1576" s="636"/>
      <c r="F1576" s="636"/>
      <c r="G1576" s="636"/>
      <c r="H1576" s="636"/>
      <c r="I1576" s="636"/>
      <c r="J1576" s="636"/>
      <c r="K1576" s="636"/>
      <c r="L1576" s="636"/>
      <c r="M1576" s="636"/>
      <c r="N1576" s="636"/>
      <c r="O1576" s="637"/>
      <c r="Q1576" s="182" t="s">
        <v>154</v>
      </c>
      <c r="R1576" s="183">
        <v>8</v>
      </c>
      <c r="S1576" s="181" t="s">
        <v>520</v>
      </c>
    </row>
    <row r="1577" spans="1:19" ht="29.25" thickBot="1" x14ac:dyDescent="0.3">
      <c r="A1577" s="177" t="s">
        <v>273</v>
      </c>
      <c r="B1577" s="638" t="s">
        <v>472</v>
      </c>
      <c r="C1577" s="638"/>
      <c r="D1577" s="638"/>
      <c r="E1577" s="638"/>
      <c r="F1577" s="638"/>
      <c r="G1577" s="638"/>
      <c r="H1577" s="638"/>
      <c r="I1577" s="638"/>
      <c r="J1577" s="638"/>
      <c r="K1577" s="638"/>
      <c r="L1577" s="638"/>
      <c r="M1577" s="638"/>
      <c r="N1577" s="638"/>
      <c r="O1577" s="639"/>
      <c r="Q1577" s="182" t="s">
        <v>156</v>
      </c>
      <c r="R1577" s="183">
        <v>8</v>
      </c>
      <c r="S1577" s="181" t="s">
        <v>480</v>
      </c>
    </row>
    <row r="1578" spans="1:19" ht="15.75" thickBot="1" x14ac:dyDescent="0.3">
      <c r="A1578" s="177" t="s">
        <v>351</v>
      </c>
      <c r="B1578" s="431"/>
      <c r="C1578" s="431"/>
      <c r="D1578" s="431"/>
      <c r="E1578" s="431"/>
      <c r="F1578" s="431"/>
      <c r="G1578" s="431"/>
      <c r="H1578" s="431"/>
      <c r="I1578" s="431"/>
      <c r="J1578" s="431"/>
      <c r="K1578" s="431"/>
      <c r="L1578" s="431"/>
      <c r="M1578" s="431"/>
      <c r="N1578" s="431"/>
      <c r="O1578" s="432"/>
      <c r="Q1578" s="182" t="s">
        <v>158</v>
      </c>
      <c r="R1578" s="183"/>
      <c r="S1578" s="181"/>
    </row>
    <row r="1579" spans="1:19" ht="15.75" thickBot="1" x14ac:dyDescent="0.3">
      <c r="B1579" s="307" t="s">
        <v>98</v>
      </c>
      <c r="C1579" s="365" t="s">
        <v>102</v>
      </c>
      <c r="D1579" s="365" t="s">
        <v>92</v>
      </c>
      <c r="E1579" s="365" t="s">
        <v>93</v>
      </c>
      <c r="F1579" s="365" t="s">
        <v>94</v>
      </c>
      <c r="G1579" s="365" t="s">
        <v>549</v>
      </c>
      <c r="H1579" s="359" t="s">
        <v>99</v>
      </c>
      <c r="I1579" s="307" t="s">
        <v>98</v>
      </c>
      <c r="J1579" s="365" t="s">
        <v>102</v>
      </c>
      <c r="K1579" s="365" t="s">
        <v>92</v>
      </c>
      <c r="L1579" s="365" t="s">
        <v>93</v>
      </c>
      <c r="M1579" s="365" t="s">
        <v>94</v>
      </c>
      <c r="N1579" s="365" t="s">
        <v>549</v>
      </c>
      <c r="O1579" s="359" t="s">
        <v>99</v>
      </c>
      <c r="Q1579" s="185" t="s">
        <v>99</v>
      </c>
      <c r="R1579" s="183" t="s">
        <v>528</v>
      </c>
      <c r="S1579" s="265">
        <v>0.81</v>
      </c>
    </row>
    <row r="1580" spans="1:19" x14ac:dyDescent="0.25">
      <c r="B1580" s="308">
        <v>971</v>
      </c>
      <c r="C1580" s="365" t="s">
        <v>95</v>
      </c>
      <c r="D1580" s="441">
        <v>1252.28</v>
      </c>
      <c r="E1580" s="441">
        <v>559.86</v>
      </c>
      <c r="F1580" s="441">
        <v>388.12</v>
      </c>
      <c r="G1580" s="441">
        <v>137.28</v>
      </c>
      <c r="H1580" s="359">
        <f>SUM(D1580:G1580)</f>
        <v>2337.54</v>
      </c>
      <c r="I1580" s="308">
        <v>976</v>
      </c>
      <c r="J1580" s="365" t="s">
        <v>95</v>
      </c>
      <c r="K1580" s="441">
        <v>1526.96</v>
      </c>
      <c r="L1580" s="441">
        <v>824.44</v>
      </c>
      <c r="M1580" s="441">
        <v>537.08000000000004</v>
      </c>
      <c r="N1580" s="441">
        <v>276.76</v>
      </c>
      <c r="O1580" s="359">
        <f>SUM(K1580:N1580)</f>
        <v>3165.24</v>
      </c>
    </row>
    <row r="1581" spans="1:19" x14ac:dyDescent="0.25">
      <c r="B1581" s="308">
        <v>100</v>
      </c>
      <c r="C1581" s="365" t="s">
        <v>96</v>
      </c>
      <c r="D1581" s="441">
        <v>119.32</v>
      </c>
      <c r="E1581" s="441">
        <v>80.400000000000006</v>
      </c>
      <c r="F1581" s="441">
        <v>16.64</v>
      </c>
      <c r="G1581" s="441">
        <v>9.24</v>
      </c>
      <c r="H1581" s="359">
        <f t="shared" ref="H1581:H1587" si="193">SUM(D1581:G1581)</f>
        <v>225.60000000000002</v>
      </c>
      <c r="I1581" s="308">
        <v>100</v>
      </c>
      <c r="J1581" s="365" t="s">
        <v>96</v>
      </c>
      <c r="K1581" s="441">
        <v>122.36</v>
      </c>
      <c r="L1581" s="441">
        <v>92.6</v>
      </c>
      <c r="M1581" s="441">
        <v>43.31</v>
      </c>
      <c r="N1581" s="441">
        <v>37.44</v>
      </c>
      <c r="O1581" s="359">
        <f t="shared" ref="O1581:O1587" si="194">SUM(K1581:N1581)</f>
        <v>295.70999999999998</v>
      </c>
      <c r="Q1581" s="10"/>
      <c r="R1581" s="8"/>
    </row>
    <row r="1582" spans="1:19" x14ac:dyDescent="0.25">
      <c r="B1582" s="307" t="s">
        <v>100</v>
      </c>
      <c r="C1582" s="365" t="s">
        <v>95</v>
      </c>
      <c r="D1582" s="444">
        <f t="shared" ref="D1582:G1583" si="195">D1580/$B1580</f>
        <v>1.2896807415036045</v>
      </c>
      <c r="E1582" s="429">
        <f t="shared" si="195"/>
        <v>0.57658084449021629</v>
      </c>
      <c r="F1582" s="429">
        <f t="shared" si="195"/>
        <v>0.39971163748712668</v>
      </c>
      <c r="G1582" s="429">
        <f t="shared" si="195"/>
        <v>0.14138002059732235</v>
      </c>
      <c r="H1582" s="359">
        <f t="shared" si="193"/>
        <v>2.4073532440782697</v>
      </c>
      <c r="I1582" s="307" t="s">
        <v>100</v>
      </c>
      <c r="J1582" s="365" t="s">
        <v>95</v>
      </c>
      <c r="K1582" s="444">
        <f t="shared" ref="K1582:N1583" si="196">K1580/$I1580</f>
        <v>1.5645081967213115</v>
      </c>
      <c r="L1582" s="429">
        <f t="shared" si="196"/>
        <v>0.84471311475409838</v>
      </c>
      <c r="M1582" s="429">
        <f t="shared" si="196"/>
        <v>0.55028688524590164</v>
      </c>
      <c r="N1582" s="429">
        <f t="shared" si="196"/>
        <v>0.2835655737704918</v>
      </c>
      <c r="O1582" s="359">
        <f t="shared" si="194"/>
        <v>3.2430737704918036</v>
      </c>
      <c r="Q1582" s="10"/>
      <c r="R1582" s="175"/>
    </row>
    <row r="1583" spans="1:19" x14ac:dyDescent="0.25">
      <c r="B1583" s="307" t="s">
        <v>100</v>
      </c>
      <c r="C1583" s="438" t="s">
        <v>96</v>
      </c>
      <c r="D1583" s="359">
        <f t="shared" si="195"/>
        <v>1.1932</v>
      </c>
      <c r="E1583" s="359">
        <f t="shared" si="195"/>
        <v>0.80400000000000005</v>
      </c>
      <c r="F1583" s="359">
        <f t="shared" si="195"/>
        <v>0.16639999999999999</v>
      </c>
      <c r="G1583" s="429">
        <f t="shared" si="195"/>
        <v>9.2399999999999996E-2</v>
      </c>
      <c r="H1583" s="359">
        <f t="shared" si="193"/>
        <v>2.2560000000000002</v>
      </c>
      <c r="I1583" s="307" t="s">
        <v>100</v>
      </c>
      <c r="J1583" s="438" t="s">
        <v>96</v>
      </c>
      <c r="K1583" s="359">
        <f t="shared" si="196"/>
        <v>1.2236</v>
      </c>
      <c r="L1583" s="359">
        <f t="shared" si="196"/>
        <v>0.92599999999999993</v>
      </c>
      <c r="M1583" s="359">
        <f t="shared" si="196"/>
        <v>0.43310000000000004</v>
      </c>
      <c r="N1583" s="359">
        <f t="shared" si="196"/>
        <v>0.37439999999999996</v>
      </c>
      <c r="O1583" s="359">
        <f t="shared" si="194"/>
        <v>2.9571000000000001</v>
      </c>
      <c r="Q1583" s="10"/>
      <c r="R1583" s="8"/>
    </row>
    <row r="1584" spans="1:19" x14ac:dyDescent="0.25">
      <c r="B1584" s="307" t="s">
        <v>104</v>
      </c>
      <c r="C1584" s="365" t="s">
        <v>95</v>
      </c>
      <c r="D1584" s="359">
        <f>D1580/($B1580/7.7)</f>
        <v>9.9305417095777546</v>
      </c>
      <c r="E1584" s="359">
        <f>E1580/($B1580/7)</f>
        <v>4.0360659114315141</v>
      </c>
      <c r="F1584" s="359">
        <f>F1580/($B1580/7)</f>
        <v>2.7979814624098864</v>
      </c>
      <c r="G1584" s="359">
        <f>G1580/($B1580/7)</f>
        <v>0.98966014418125636</v>
      </c>
      <c r="H1584" s="359">
        <f t="shared" si="193"/>
        <v>17.754249227600411</v>
      </c>
      <c r="I1584" s="307" t="s">
        <v>104</v>
      </c>
      <c r="J1584" s="365" t="s">
        <v>95</v>
      </c>
      <c r="K1584" s="359">
        <f>K1580/($I1580/7.7)</f>
        <v>12.046713114754098</v>
      </c>
      <c r="L1584" s="359">
        <f>L1580/($I1580/7)</f>
        <v>5.9129918032786897</v>
      </c>
      <c r="M1584" s="359">
        <f>M1580/($I1580/7)</f>
        <v>3.8520081967213122</v>
      </c>
      <c r="N1584" s="359">
        <f>N1580/($I1580/7)</f>
        <v>1.9849590163934427</v>
      </c>
      <c r="O1584" s="359">
        <f t="shared" si="194"/>
        <v>23.796672131147542</v>
      </c>
      <c r="Q1584" s="10"/>
      <c r="R1584" s="8"/>
    </row>
    <row r="1585" spans="1:19" x14ac:dyDescent="0.25">
      <c r="B1585" s="307" t="s">
        <v>104</v>
      </c>
      <c r="C1585" s="438" t="s">
        <v>96</v>
      </c>
      <c r="D1585" s="359">
        <f>D1581/($B1581/7.7)</f>
        <v>9.18764</v>
      </c>
      <c r="E1585" s="359">
        <f>E1581/($B1581/7.7)</f>
        <v>6.1908000000000003</v>
      </c>
      <c r="F1585" s="359">
        <f>F1581/($B1581/7.7)</f>
        <v>1.28128</v>
      </c>
      <c r="G1585" s="359">
        <f>G1581/($B1581/7.7)</f>
        <v>0.71148</v>
      </c>
      <c r="H1585" s="359">
        <f t="shared" si="193"/>
        <v>17.371200000000002</v>
      </c>
      <c r="I1585" s="307" t="s">
        <v>104</v>
      </c>
      <c r="J1585" s="438" t="s">
        <v>96</v>
      </c>
      <c r="K1585" s="359">
        <f>K1581/($I1581/7.7)</f>
        <v>9.4217200000000005</v>
      </c>
      <c r="L1585" s="359">
        <f>L1581/($I1581/7.7)</f>
        <v>7.1301999999999994</v>
      </c>
      <c r="M1585" s="359">
        <f>M1581/($I1581/7.7)</f>
        <v>3.33487</v>
      </c>
      <c r="N1585" s="359">
        <f>N1581/($I1581/7.7)</f>
        <v>2.8828799999999997</v>
      </c>
      <c r="O1585" s="359">
        <f t="shared" si="194"/>
        <v>22.769669999999998</v>
      </c>
    </row>
    <row r="1586" spans="1:19" x14ac:dyDescent="0.25">
      <c r="B1586" s="307" t="s">
        <v>135</v>
      </c>
      <c r="C1586" s="365" t="s">
        <v>95</v>
      </c>
      <c r="D1586" s="359">
        <f>D1580/((($B1580*$B1576)*(1-$B1573))/$B1571)</f>
        <v>0.22622096013139203</v>
      </c>
      <c r="E1586" s="359">
        <f>E1580/((($B1580*$B1576)*(1-$B1573))/$B1571)</f>
        <v>0.10113717917651097</v>
      </c>
      <c r="F1586" s="359">
        <f>F1580/((($B1580*$B1576)*(1-$B1573))/$B1571)</f>
        <v>7.0112817457913465E-2</v>
      </c>
      <c r="G1586" s="359">
        <f>G1580/((($B1580*$B1576)*(1-$B1573))/$B1571)</f>
        <v>2.4799256880919204E-2</v>
      </c>
      <c r="H1586" s="359">
        <f t="shared" si="193"/>
        <v>0.42227021364673573</v>
      </c>
      <c r="I1586" s="307" t="s">
        <v>135</v>
      </c>
      <c r="J1586" s="365" t="s">
        <v>95</v>
      </c>
      <c r="K1586" s="359">
        <f>K1580/((($I1580*$B1576)*(1-$B1573))/$B1571)</f>
        <v>0.27442803091181822</v>
      </c>
      <c r="L1586" s="359">
        <f>L1580/((($I1580*$B1576)*(1-$B1573))/$B1571)</f>
        <v>0.14816985762884388</v>
      </c>
      <c r="M1586" s="359">
        <f>M1580/((($I1580*$B1576)*(1-$B1573))/$B1571)</f>
        <v>9.6524995312332579E-2</v>
      </c>
      <c r="N1586" s="359">
        <f>N1580/((($I1580*$B1576)*(1-$B1573))/$B1571)</f>
        <v>4.9739811020036419E-2</v>
      </c>
      <c r="O1586" s="359">
        <f t="shared" si="194"/>
        <v>0.56886269487303109</v>
      </c>
    </row>
    <row r="1587" spans="1:19" x14ac:dyDescent="0.25">
      <c r="B1587" s="307" t="s">
        <v>135</v>
      </c>
      <c r="C1587" s="438" t="s">
        <v>96</v>
      </c>
      <c r="D1587" s="359">
        <f>D1581/((($B1581*$B1576)*(1-$B1573))/$B1571)</f>
        <v>0.20929741830065357</v>
      </c>
      <c r="E1587" s="359">
        <f>E1581/((($B1581*$B1576)*(1-$B1573))/$B1571)</f>
        <v>0.14102843137254903</v>
      </c>
      <c r="F1587" s="359">
        <f>F1581/((($B1581*$B1576)*(1-$B1573))/$B1571)</f>
        <v>2.9187973856209151E-2</v>
      </c>
      <c r="G1587" s="359">
        <f>G1581/((($B1581*$B1576)*(1-$B1573))/$B1571)</f>
        <v>1.6207745098039215E-2</v>
      </c>
      <c r="H1587" s="359">
        <f t="shared" si="193"/>
        <v>0.39572156862745095</v>
      </c>
      <c r="I1587" s="307" t="s">
        <v>135</v>
      </c>
      <c r="J1587" s="438" t="s">
        <v>96</v>
      </c>
      <c r="K1587" s="359">
        <f>K1581/((($I1581*$B1576)*(1-$B1573))/$B1571)</f>
        <v>0.21462983660130719</v>
      </c>
      <c r="L1587" s="359">
        <f>L1581/((($I1581*$B1576)*(1-$B1573))/$B1571)</f>
        <v>0.16242826797385621</v>
      </c>
      <c r="M1587" s="359">
        <f>M1581/((($I1581*$B1576)*(1-$B1573))/$B1571)</f>
        <v>7.5969419934640528E-2</v>
      </c>
      <c r="N1587" s="359">
        <f>N1581/((($I1581*$B1576)*(1-$B1573))/$B1571)</f>
        <v>6.5672941176470587E-2</v>
      </c>
      <c r="O1587" s="359">
        <f t="shared" si="194"/>
        <v>0.51870046568627448</v>
      </c>
    </row>
    <row r="1588" spans="1:19" x14ac:dyDescent="0.25">
      <c r="A1588" s="178"/>
      <c r="B1588" s="178"/>
      <c r="C1588" s="178"/>
      <c r="D1588" s="178"/>
      <c r="E1588" s="178"/>
      <c r="F1588" s="178"/>
      <c r="G1588" s="178"/>
      <c r="H1588" s="178"/>
      <c r="I1588" s="178"/>
      <c r="J1588" s="178"/>
      <c r="K1588" s="178"/>
      <c r="L1588" s="178"/>
      <c r="M1588" s="178"/>
      <c r="N1588" s="178"/>
      <c r="O1588" s="178"/>
    </row>
    <row r="1589" spans="1:19" ht="21.75" thickBot="1" x14ac:dyDescent="0.3">
      <c r="A1589" s="305"/>
      <c r="B1589" s="644" t="s">
        <v>494</v>
      </c>
      <c r="C1589" s="645"/>
      <c r="D1589" s="645"/>
      <c r="E1589" s="645"/>
      <c r="F1589" s="645"/>
      <c r="G1589" s="645"/>
      <c r="H1589" s="645"/>
      <c r="I1589" s="645"/>
      <c r="J1589" s="645"/>
      <c r="K1589" s="645"/>
      <c r="L1589" s="645"/>
      <c r="M1589" s="645"/>
      <c r="N1589" s="645"/>
      <c r="O1589" s="646"/>
    </row>
    <row r="1590" spans="1:19" ht="21" x14ac:dyDescent="0.25">
      <c r="A1590" s="177" t="s">
        <v>285</v>
      </c>
      <c r="B1590" s="647">
        <v>44247</v>
      </c>
      <c r="C1590" s="648"/>
      <c r="D1590" s="648"/>
      <c r="E1590" s="648"/>
      <c r="F1590" s="648"/>
      <c r="G1590" s="648"/>
      <c r="H1590" s="648"/>
      <c r="I1590" s="648"/>
      <c r="J1590" s="648"/>
      <c r="K1590" s="648"/>
      <c r="L1590" s="648"/>
      <c r="M1590" s="648"/>
      <c r="N1590" s="648"/>
      <c r="O1590" s="649"/>
      <c r="Q1590" s="683" t="s">
        <v>139</v>
      </c>
      <c r="R1590" s="266" t="s">
        <v>140</v>
      </c>
      <c r="S1590" s="684" t="s">
        <v>142</v>
      </c>
    </row>
    <row r="1591" spans="1:19" ht="15.75" thickBot="1" x14ac:dyDescent="0.3">
      <c r="A1591" s="177"/>
      <c r="B1591" s="650" t="s">
        <v>115</v>
      </c>
      <c r="C1591" s="651"/>
      <c r="D1591" s="651"/>
      <c r="E1591" s="651"/>
      <c r="F1591" s="651"/>
      <c r="G1591" s="651"/>
      <c r="H1591" s="651"/>
      <c r="I1591" s="651"/>
      <c r="J1591" s="651"/>
      <c r="K1591" s="651"/>
      <c r="L1591" s="651"/>
      <c r="M1591" s="651"/>
      <c r="N1591" s="651"/>
      <c r="O1591" s="652"/>
      <c r="Q1591" s="672"/>
      <c r="R1591" s="183" t="s">
        <v>141</v>
      </c>
      <c r="S1591" s="680"/>
    </row>
    <row r="1592" spans="1:19" ht="15.75" thickBot="1" x14ac:dyDescent="0.3">
      <c r="A1592" s="177" t="s">
        <v>106</v>
      </c>
      <c r="B1592" s="629">
        <v>13.8</v>
      </c>
      <c r="C1592" s="630"/>
      <c r="D1592" s="630"/>
      <c r="E1592" s="631"/>
      <c r="F1592" s="365" t="s">
        <v>174</v>
      </c>
      <c r="G1592" s="471"/>
      <c r="H1592" s="653">
        <v>0</v>
      </c>
      <c r="I1592" s="654"/>
      <c r="J1592" s="654"/>
      <c r="K1592" s="654"/>
      <c r="L1592" s="655"/>
      <c r="M1592" s="656">
        <f>SUM(B1592,H1593)</f>
        <v>13.8</v>
      </c>
      <c r="N1592" s="630"/>
      <c r="O1592" s="631"/>
      <c r="Q1592" s="182" t="s">
        <v>143</v>
      </c>
      <c r="R1592" s="183">
        <v>8</v>
      </c>
      <c r="S1592" s="181" t="s">
        <v>517</v>
      </c>
    </row>
    <row r="1593" spans="1:19" ht="15.75" thickBot="1" x14ac:dyDescent="0.3">
      <c r="A1593" s="177" t="s">
        <v>112</v>
      </c>
      <c r="B1593" s="626">
        <v>0.1</v>
      </c>
      <c r="C1593" s="627"/>
      <c r="D1593" s="627"/>
      <c r="E1593" s="628"/>
      <c r="F1593" s="290"/>
      <c r="G1593" s="472"/>
      <c r="H1593" s="626">
        <v>0</v>
      </c>
      <c r="I1593" s="627"/>
      <c r="J1593" s="627"/>
      <c r="K1593" s="627"/>
      <c r="L1593" s="628"/>
      <c r="M1593" s="657">
        <f>B1593</f>
        <v>0.1</v>
      </c>
      <c r="N1593" s="627"/>
      <c r="O1593" s="628"/>
      <c r="Q1593" s="182" t="s">
        <v>145</v>
      </c>
      <c r="R1593" s="183">
        <v>8</v>
      </c>
      <c r="S1593" s="184" t="s">
        <v>478</v>
      </c>
    </row>
    <row r="1594" spans="1:19" ht="15.75" thickBot="1" x14ac:dyDescent="0.3">
      <c r="A1594" s="177" t="s">
        <v>107</v>
      </c>
      <c r="B1594" s="629">
        <f>B1592*(1-B1593)</f>
        <v>12.420000000000002</v>
      </c>
      <c r="C1594" s="630"/>
      <c r="D1594" s="630"/>
      <c r="E1594" s="631"/>
      <c r="F1594" s="290"/>
      <c r="G1594" s="472"/>
      <c r="H1594" s="629">
        <f>H1592*(1-H1593)</f>
        <v>0</v>
      </c>
      <c r="I1594" s="630"/>
      <c r="J1594" s="630"/>
      <c r="K1594" s="630"/>
      <c r="L1594" s="631"/>
      <c r="M1594" s="656">
        <f>SUM(B1594,H1594)</f>
        <v>12.420000000000002</v>
      </c>
      <c r="N1594" s="630"/>
      <c r="O1594" s="631"/>
      <c r="Q1594" s="182" t="s">
        <v>147</v>
      </c>
      <c r="R1594" s="183">
        <v>8</v>
      </c>
      <c r="S1594" s="181" t="s">
        <v>411</v>
      </c>
    </row>
    <row r="1595" spans="1:19" ht="29.25" thickBot="1" x14ac:dyDescent="0.3">
      <c r="A1595" s="177" t="s">
        <v>108</v>
      </c>
      <c r="B1595" s="626">
        <f>B1598/B1594</f>
        <v>0.77558655394524967</v>
      </c>
      <c r="C1595" s="627"/>
      <c r="D1595" s="627"/>
      <c r="E1595" s="627"/>
      <c r="F1595" s="627"/>
      <c r="G1595" s="627"/>
      <c r="H1595" s="627"/>
      <c r="I1595" s="627"/>
      <c r="J1595" s="627"/>
      <c r="K1595" s="627"/>
      <c r="L1595" s="627"/>
      <c r="M1595" s="627"/>
      <c r="N1595" s="627"/>
      <c r="O1595" s="628"/>
      <c r="Q1595" s="182" t="s">
        <v>82</v>
      </c>
      <c r="R1595" s="183">
        <v>9</v>
      </c>
      <c r="S1595" s="184" t="s">
        <v>527</v>
      </c>
    </row>
    <row r="1596" spans="1:19" ht="15.75" thickBot="1" x14ac:dyDescent="0.3">
      <c r="A1596" s="177" t="s">
        <v>113</v>
      </c>
      <c r="B1596" s="629">
        <f>B1600*(B1604+B1605+I1604+I1605)/1000</f>
        <v>31.073499999999999</v>
      </c>
      <c r="C1596" s="630"/>
      <c r="D1596" s="630"/>
      <c r="E1596" s="630"/>
      <c r="F1596" s="630"/>
      <c r="G1596" s="630"/>
      <c r="H1596" s="630"/>
      <c r="I1596" s="630"/>
      <c r="J1596" s="630"/>
      <c r="K1596" s="630"/>
      <c r="L1596" s="630"/>
      <c r="M1596" s="630"/>
      <c r="N1596" s="630"/>
      <c r="O1596" s="631"/>
      <c r="Q1596" s="182" t="s">
        <v>152</v>
      </c>
      <c r="R1596" s="183">
        <v>8</v>
      </c>
      <c r="S1596" s="184" t="s">
        <v>519</v>
      </c>
    </row>
    <row r="1597" spans="1:19" ht="15.75" thickBot="1" x14ac:dyDescent="0.3">
      <c r="A1597" s="177" t="s">
        <v>109</v>
      </c>
      <c r="B1597" s="626">
        <v>0.69</v>
      </c>
      <c r="C1597" s="627"/>
      <c r="D1597" s="627"/>
      <c r="E1597" s="627"/>
      <c r="F1597" s="627"/>
      <c r="G1597" s="627"/>
      <c r="H1597" s="627"/>
      <c r="I1597" s="627"/>
      <c r="J1597" s="627"/>
      <c r="K1597" s="627"/>
      <c r="L1597" s="627"/>
      <c r="M1597" s="627"/>
      <c r="N1597" s="627"/>
      <c r="O1597" s="628"/>
      <c r="Q1597" s="182" t="s">
        <v>154</v>
      </c>
      <c r="R1597" s="183">
        <v>9</v>
      </c>
      <c r="S1597" s="181" t="s">
        <v>520</v>
      </c>
    </row>
    <row r="1598" spans="1:19" ht="29.25" thickBot="1" x14ac:dyDescent="0.3">
      <c r="A1598" s="177" t="s">
        <v>122</v>
      </c>
      <c r="B1598" s="629">
        <f>B1596-(B1596*B1597)</f>
        <v>9.6327850000000019</v>
      </c>
      <c r="C1598" s="630"/>
      <c r="D1598" s="630"/>
      <c r="E1598" s="630"/>
      <c r="F1598" s="630"/>
      <c r="G1598" s="630"/>
      <c r="H1598" s="630"/>
      <c r="I1598" s="630"/>
      <c r="J1598" s="630"/>
      <c r="K1598" s="630"/>
      <c r="L1598" s="630"/>
      <c r="M1598" s="630"/>
      <c r="N1598" s="630"/>
      <c r="O1598" s="631"/>
      <c r="Q1598" s="182" t="s">
        <v>156</v>
      </c>
      <c r="R1598" s="183">
        <v>9</v>
      </c>
      <c r="S1598" s="181" t="s">
        <v>480</v>
      </c>
    </row>
    <row r="1599" spans="1:19" ht="15.75" thickBot="1" x14ac:dyDescent="0.3">
      <c r="A1599" s="177" t="s">
        <v>110</v>
      </c>
      <c r="B1599" s="632">
        <v>125</v>
      </c>
      <c r="C1599" s="633"/>
      <c r="D1599" s="633"/>
      <c r="E1599" s="633"/>
      <c r="F1599" s="633"/>
      <c r="G1599" s="633"/>
      <c r="H1599" s="633"/>
      <c r="I1599" s="633"/>
      <c r="J1599" s="633"/>
      <c r="K1599" s="633"/>
      <c r="L1599" s="633"/>
      <c r="M1599" s="633"/>
      <c r="N1599" s="633"/>
      <c r="O1599" s="634"/>
      <c r="Q1599" s="182" t="s">
        <v>158</v>
      </c>
      <c r="R1599" s="183"/>
      <c r="S1599" s="181"/>
    </row>
    <row r="1600" spans="1:19" ht="15.75" thickBot="1" x14ac:dyDescent="0.3">
      <c r="A1600" s="177" t="s">
        <v>111</v>
      </c>
      <c r="B1600" s="635">
        <v>14.5</v>
      </c>
      <c r="C1600" s="636"/>
      <c r="D1600" s="636"/>
      <c r="E1600" s="636"/>
      <c r="F1600" s="636"/>
      <c r="G1600" s="636"/>
      <c r="H1600" s="636"/>
      <c r="I1600" s="636"/>
      <c r="J1600" s="636"/>
      <c r="K1600" s="636"/>
      <c r="L1600" s="636"/>
      <c r="M1600" s="636"/>
      <c r="N1600" s="636"/>
      <c r="O1600" s="637"/>
      <c r="Q1600" s="185" t="s">
        <v>99</v>
      </c>
      <c r="R1600" s="285">
        <f>SUM(R1592:R1599)/70</f>
        <v>0.84285714285714286</v>
      </c>
      <c r="S1600" s="265">
        <v>0.84</v>
      </c>
    </row>
    <row r="1601" spans="1:19" x14ac:dyDescent="0.25">
      <c r="A1601" s="177" t="s">
        <v>273</v>
      </c>
      <c r="B1601" s="638" t="s">
        <v>578</v>
      </c>
      <c r="C1601" s="638"/>
      <c r="D1601" s="638"/>
      <c r="E1601" s="638"/>
      <c r="F1601" s="638"/>
      <c r="G1601" s="638"/>
      <c r="H1601" s="638"/>
      <c r="I1601" s="638"/>
      <c r="J1601" s="638"/>
      <c r="K1601" s="638"/>
      <c r="L1601" s="638"/>
      <c r="M1601" s="638"/>
      <c r="N1601" s="638"/>
      <c r="O1601" s="639"/>
    </row>
    <row r="1602" spans="1:19" x14ac:dyDescent="0.25">
      <c r="A1602" s="177" t="s">
        <v>351</v>
      </c>
      <c r="B1602" s="431"/>
      <c r="C1602" s="431"/>
      <c r="D1602" s="431"/>
      <c r="E1602" s="431"/>
      <c r="F1602" s="431"/>
      <c r="G1602" s="431"/>
      <c r="H1602" s="431"/>
      <c r="I1602" s="431"/>
      <c r="J1602" s="431"/>
      <c r="K1602" s="431"/>
      <c r="L1602" s="431"/>
      <c r="M1602" s="431"/>
      <c r="N1602" s="431"/>
      <c r="O1602" s="432"/>
      <c r="Q1602" s="274"/>
      <c r="R1602" s="275"/>
    </row>
    <row r="1603" spans="1:19" x14ac:dyDescent="0.25">
      <c r="B1603" s="307" t="s">
        <v>98</v>
      </c>
      <c r="C1603" s="365" t="s">
        <v>102</v>
      </c>
      <c r="D1603" s="365" t="s">
        <v>92</v>
      </c>
      <c r="E1603" s="365" t="s">
        <v>93</v>
      </c>
      <c r="F1603" s="365" t="s">
        <v>94</v>
      </c>
      <c r="G1603" s="365" t="s">
        <v>549</v>
      </c>
      <c r="H1603" s="359" t="s">
        <v>99</v>
      </c>
      <c r="I1603" s="307" t="s">
        <v>98</v>
      </c>
      <c r="J1603" s="365" t="s">
        <v>102</v>
      </c>
      <c r="K1603" s="365" t="s">
        <v>92</v>
      </c>
      <c r="L1603" s="365" t="s">
        <v>93</v>
      </c>
      <c r="M1603" s="365" t="s">
        <v>94</v>
      </c>
      <c r="N1603" s="365" t="s">
        <v>549</v>
      </c>
      <c r="O1603" s="359" t="s">
        <v>99</v>
      </c>
      <c r="Q1603" s="10"/>
      <c r="R1603" s="8"/>
    </row>
    <row r="1604" spans="1:19" x14ac:dyDescent="0.25">
      <c r="B1604" s="308">
        <v>975</v>
      </c>
      <c r="C1604" s="365" t="s">
        <v>95</v>
      </c>
      <c r="D1604" s="441">
        <v>1159.42</v>
      </c>
      <c r="E1604" s="441">
        <v>698.33</v>
      </c>
      <c r="F1604" s="441">
        <v>273.14999999999998</v>
      </c>
      <c r="G1604" s="441">
        <v>87.96</v>
      </c>
      <c r="H1604" s="359">
        <f>SUM(D1604:G1604)</f>
        <v>2218.86</v>
      </c>
      <c r="I1604" s="308">
        <v>968</v>
      </c>
      <c r="J1604" s="365" t="s">
        <v>95</v>
      </c>
      <c r="K1604" s="441">
        <v>1286.98</v>
      </c>
      <c r="L1604" s="441">
        <v>764.6</v>
      </c>
      <c r="M1604" s="441">
        <v>342.02</v>
      </c>
      <c r="N1604" s="441">
        <v>473.04</v>
      </c>
      <c r="O1604" s="359">
        <f>SUM(K1604:N1604)</f>
        <v>2866.64</v>
      </c>
      <c r="Q1604" s="10"/>
      <c r="R1604" s="175"/>
    </row>
    <row r="1605" spans="1:19" x14ac:dyDescent="0.25">
      <c r="B1605" s="308">
        <v>100</v>
      </c>
      <c r="C1605" s="365" t="s">
        <v>96</v>
      </c>
      <c r="D1605" s="441">
        <v>144.04</v>
      </c>
      <c r="E1605" s="441">
        <v>166.92</v>
      </c>
      <c r="F1605" s="441">
        <v>3.08</v>
      </c>
      <c r="G1605" s="441">
        <v>12.48</v>
      </c>
      <c r="H1605" s="359">
        <f t="shared" ref="H1605:H1611" si="197">SUM(D1605:G1605)</f>
        <v>326.52</v>
      </c>
      <c r="I1605" s="308">
        <v>100</v>
      </c>
      <c r="J1605" s="365" t="s">
        <v>96</v>
      </c>
      <c r="K1605" s="441">
        <v>137.46</v>
      </c>
      <c r="L1605" s="441">
        <v>131.54</v>
      </c>
      <c r="M1605" s="441">
        <v>41.6</v>
      </c>
      <c r="N1605" s="441">
        <v>45.72</v>
      </c>
      <c r="O1605" s="359">
        <f t="shared" ref="O1605:O1611" si="198">SUM(K1605:N1605)</f>
        <v>356.32000000000005</v>
      </c>
      <c r="Q1605" s="10"/>
      <c r="R1605" s="8"/>
    </row>
    <row r="1606" spans="1:19" x14ac:dyDescent="0.25">
      <c r="B1606" s="307" t="s">
        <v>100</v>
      </c>
      <c r="C1606" s="365" t="s">
        <v>95</v>
      </c>
      <c r="D1606" s="444">
        <f t="shared" ref="D1606:G1607" si="199">D1604/$B1604</f>
        <v>1.1891487179487181</v>
      </c>
      <c r="E1606" s="429">
        <f t="shared" si="199"/>
        <v>0.71623589743589744</v>
      </c>
      <c r="F1606" s="429">
        <f t="shared" si="199"/>
        <v>0.28015384615384614</v>
      </c>
      <c r="G1606" s="429">
        <f t="shared" si="199"/>
        <v>9.0215384615384614E-2</v>
      </c>
      <c r="H1606" s="359">
        <f t="shared" si="197"/>
        <v>2.275753846153846</v>
      </c>
      <c r="I1606" s="307" t="s">
        <v>100</v>
      </c>
      <c r="J1606" s="365" t="s">
        <v>95</v>
      </c>
      <c r="K1606" s="444">
        <f t="shared" ref="K1606:N1607" si="200">K1604/$I1604</f>
        <v>1.3295247933884298</v>
      </c>
      <c r="L1606" s="429">
        <f t="shared" si="200"/>
        <v>0.78987603305785126</v>
      </c>
      <c r="M1606" s="429">
        <f t="shared" si="200"/>
        <v>0.35332644628099169</v>
      </c>
      <c r="N1606" s="429">
        <f t="shared" si="200"/>
        <v>0.48867768595041322</v>
      </c>
      <c r="O1606" s="359">
        <f t="shared" si="198"/>
        <v>2.9614049586776861</v>
      </c>
      <c r="Q1606" s="10"/>
      <c r="R1606" s="8"/>
    </row>
    <row r="1607" spans="1:19" x14ac:dyDescent="0.25">
      <c r="B1607" s="307" t="s">
        <v>100</v>
      </c>
      <c r="C1607" s="438" t="s">
        <v>96</v>
      </c>
      <c r="D1607" s="359">
        <f t="shared" si="199"/>
        <v>1.4403999999999999</v>
      </c>
      <c r="E1607" s="359">
        <f t="shared" si="199"/>
        <v>1.6691999999999998</v>
      </c>
      <c r="F1607" s="359">
        <f t="shared" si="199"/>
        <v>3.0800000000000001E-2</v>
      </c>
      <c r="G1607" s="359">
        <f t="shared" si="199"/>
        <v>0.12480000000000001</v>
      </c>
      <c r="H1607" s="359">
        <f t="shared" si="197"/>
        <v>3.2651999999999997</v>
      </c>
      <c r="I1607" s="307" t="s">
        <v>100</v>
      </c>
      <c r="J1607" s="438" t="s">
        <v>96</v>
      </c>
      <c r="K1607" s="359">
        <f t="shared" si="200"/>
        <v>1.3746</v>
      </c>
      <c r="L1607" s="359">
        <f t="shared" si="200"/>
        <v>1.3153999999999999</v>
      </c>
      <c r="M1607" s="359">
        <f t="shared" si="200"/>
        <v>0.41600000000000004</v>
      </c>
      <c r="N1607" s="359">
        <f t="shared" si="200"/>
        <v>0.4572</v>
      </c>
      <c r="O1607" s="359">
        <f t="shared" si="198"/>
        <v>3.5631999999999997</v>
      </c>
    </row>
    <row r="1608" spans="1:19" x14ac:dyDescent="0.25">
      <c r="B1608" s="307" t="s">
        <v>104</v>
      </c>
      <c r="C1608" s="365" t="s">
        <v>95</v>
      </c>
      <c r="D1608" s="359">
        <f>D1604/($B1604/7.7)</f>
        <v>9.1564451282051298</v>
      </c>
      <c r="E1608" s="359">
        <f>E1604/($B1604/7)</f>
        <v>5.0136512820512831</v>
      </c>
      <c r="F1608" s="359">
        <f>F1604/($B1604/7)</f>
        <v>1.9610769230769229</v>
      </c>
      <c r="G1608" s="359">
        <f>G1604/($B1604/7)</f>
        <v>0.63150769230769233</v>
      </c>
      <c r="H1608" s="359">
        <f t="shared" si="197"/>
        <v>16.762681025641029</v>
      </c>
      <c r="I1608" s="307" t="s">
        <v>104</v>
      </c>
      <c r="J1608" s="365" t="s">
        <v>95</v>
      </c>
      <c r="K1608" s="359">
        <f>K1604/($I1604/7.7)</f>
        <v>10.237340909090909</v>
      </c>
      <c r="L1608" s="359">
        <f>L1604/($I1604/7)</f>
        <v>5.5291322314049589</v>
      </c>
      <c r="M1608" s="359">
        <f>M1604/($I1604/7)</f>
        <v>2.4732851239669422</v>
      </c>
      <c r="N1608" s="359">
        <f>N1604/($I1604/7)</f>
        <v>3.4207438016528928</v>
      </c>
      <c r="O1608" s="359">
        <f t="shared" si="198"/>
        <v>21.660502066115704</v>
      </c>
    </row>
    <row r="1609" spans="1:19" x14ac:dyDescent="0.25">
      <c r="B1609" s="307" t="s">
        <v>104</v>
      </c>
      <c r="C1609" s="438" t="s">
        <v>96</v>
      </c>
      <c r="D1609" s="359">
        <f>D1605/($B1605/7.7)</f>
        <v>11.09108</v>
      </c>
      <c r="E1609" s="359">
        <f>E1605/($B1605/7.7)</f>
        <v>12.852839999999999</v>
      </c>
      <c r="F1609" s="359">
        <f>F1605/($B1605/7.7)</f>
        <v>0.23716000000000001</v>
      </c>
      <c r="G1609" s="359">
        <f>G1605/($B1605/7.7)</f>
        <v>0.96096000000000004</v>
      </c>
      <c r="H1609" s="359">
        <f t="shared" si="197"/>
        <v>25.142039999999998</v>
      </c>
      <c r="I1609" s="307" t="s">
        <v>104</v>
      </c>
      <c r="J1609" s="438" t="s">
        <v>96</v>
      </c>
      <c r="K1609" s="359">
        <f>K1605/($I1605/7.7)</f>
        <v>10.584420000000001</v>
      </c>
      <c r="L1609" s="359">
        <f>L1605/($I1605/7.7)</f>
        <v>10.128579999999999</v>
      </c>
      <c r="M1609" s="359">
        <f>M1605/($I1605/7.7)</f>
        <v>3.2032000000000003</v>
      </c>
      <c r="N1609" s="359">
        <f>N1605/($I1605/7.7)</f>
        <v>3.5204399999999998</v>
      </c>
      <c r="O1609" s="359">
        <f t="shared" si="198"/>
        <v>27.436640000000001</v>
      </c>
    </row>
    <row r="1610" spans="1:19" x14ac:dyDescent="0.25">
      <c r="B1610" s="307" t="s">
        <v>135</v>
      </c>
      <c r="C1610" s="365" t="s">
        <v>95</v>
      </c>
      <c r="D1610" s="359">
        <f>D1604/((($B1604*$B1600)*(1-$B1597))/$B1595)</f>
        <v>0.20518081341095834</v>
      </c>
      <c r="E1610" s="359">
        <f>E1604/((($B1604*$B1600)*(1-$B1597))/$B1595)</f>
        <v>0.1235824096783517</v>
      </c>
      <c r="F1610" s="359">
        <f>F1604/((($B1604*$B1600)*(1-$B1597))/$B1595)</f>
        <v>4.8338944630248973E-2</v>
      </c>
      <c r="G1610" s="359">
        <f>G1604/((($B1604*$B1600)*(1-$B1597))/$B1595)</f>
        <v>1.556614889136628E-2</v>
      </c>
      <c r="H1610" s="359">
        <f t="shared" si="197"/>
        <v>0.39266831661092527</v>
      </c>
      <c r="I1610" s="307" t="s">
        <v>135</v>
      </c>
      <c r="J1610" s="365" t="s">
        <v>95</v>
      </c>
      <c r="K1610" s="359">
        <f>K1604/((($I1604*$B1600)*(1-$B1597))/$B1595)</f>
        <v>0.22940190275615177</v>
      </c>
      <c r="L1610" s="359">
        <f>L1604/((($I1604*$B1600)*(1-$B1597))/$B1595)</f>
        <v>0.13628859410974034</v>
      </c>
      <c r="M1610" s="359">
        <f>M1604/((($I1604*$B1600)*(1-$B1597))/$B1595)</f>
        <v>6.0964458484715392E-2</v>
      </c>
      <c r="N1610" s="359">
        <f>N1604/((($I1604*$B1600)*(1-$B1597))/$B1595)</f>
        <v>8.4318541142651818E-2</v>
      </c>
      <c r="O1610" s="359">
        <f t="shared" si="198"/>
        <v>0.51097349649325929</v>
      </c>
    </row>
    <row r="1611" spans="1:19" x14ac:dyDescent="0.25">
      <c r="B1611" s="307" t="s">
        <v>135</v>
      </c>
      <c r="C1611" s="438" t="s">
        <v>96</v>
      </c>
      <c r="D1611" s="359">
        <f>D1605/((($B1605*$B1600)*(1-$B1597))/$B1595)</f>
        <v>0.24853278582930755</v>
      </c>
      <c r="E1611" s="359">
        <f>E1605/((($B1605*$B1600)*(1-$B1597))/$B1595)</f>
        <v>0.28801091787439609</v>
      </c>
      <c r="F1611" s="359">
        <f>F1605/((($B1605*$B1600)*(1-$B1597))/$B1595)</f>
        <v>5.3143639291465374E-3</v>
      </c>
      <c r="G1611" s="359">
        <f>G1605/((($B1605*$B1600)*(1-$B1597))/$B1595)</f>
        <v>2.1533526570048308E-2</v>
      </c>
      <c r="H1611" s="359">
        <f t="shared" si="197"/>
        <v>0.56339159420289842</v>
      </c>
      <c r="I1611" s="307" t="s">
        <v>135</v>
      </c>
      <c r="J1611" s="438" t="s">
        <v>96</v>
      </c>
      <c r="K1611" s="359">
        <f>K1605/((($I1605*$B1600)*(1-$B1597))/$B1595)</f>
        <v>0.23717937198067635</v>
      </c>
      <c r="L1611" s="359">
        <f>L1605/((($I1605*$B1600)*(1-$B1597))/$B1595)</f>
        <v>0.22696475040257647</v>
      </c>
      <c r="M1611" s="359">
        <f>M1605/((($I1605*$B1600)*(1-$B1597))/$B1595)</f>
        <v>7.1778421900161024E-2</v>
      </c>
      <c r="N1611" s="359">
        <f>N1605/((($I1605*$B1600)*(1-$B1597))/$B1595)</f>
        <v>7.888724637681159E-2</v>
      </c>
      <c r="O1611" s="359">
        <f t="shared" si="198"/>
        <v>0.61480979066022534</v>
      </c>
    </row>
    <row r="1612" spans="1:19" x14ac:dyDescent="0.25">
      <c r="A1612" s="178"/>
      <c r="B1612" s="178"/>
      <c r="C1612" s="178"/>
      <c r="D1612" s="178"/>
      <c r="E1612" s="178"/>
      <c r="F1612" s="178"/>
      <c r="G1612" s="178"/>
      <c r="H1612" s="178"/>
      <c r="I1612" s="178"/>
      <c r="J1612" s="178"/>
      <c r="K1612" s="178"/>
      <c r="L1612" s="178"/>
      <c r="M1612" s="178"/>
      <c r="N1612" s="178"/>
      <c r="O1612" s="178"/>
    </row>
    <row r="1613" spans="1:19" ht="21.75" thickBot="1" x14ac:dyDescent="0.3">
      <c r="A1613" s="305"/>
      <c r="B1613" s="644" t="s">
        <v>495</v>
      </c>
      <c r="C1613" s="645"/>
      <c r="D1613" s="645"/>
      <c r="E1613" s="645"/>
      <c r="F1613" s="645"/>
      <c r="G1613" s="645"/>
      <c r="H1613" s="645"/>
      <c r="I1613" s="645"/>
      <c r="J1613" s="645"/>
      <c r="K1613" s="645"/>
      <c r="L1613" s="645"/>
      <c r="M1613" s="645"/>
      <c r="N1613" s="645"/>
      <c r="O1613" s="646"/>
    </row>
    <row r="1614" spans="1:19" ht="21" x14ac:dyDescent="0.25">
      <c r="A1614" s="177" t="s">
        <v>285</v>
      </c>
      <c r="B1614" s="647">
        <v>44261</v>
      </c>
      <c r="C1614" s="648"/>
      <c r="D1614" s="648"/>
      <c r="E1614" s="648"/>
      <c r="F1614" s="648"/>
      <c r="G1614" s="648"/>
      <c r="H1614" s="648"/>
      <c r="I1614" s="648"/>
      <c r="J1614" s="648"/>
      <c r="K1614" s="648"/>
      <c r="L1614" s="648"/>
      <c r="M1614" s="648"/>
      <c r="N1614" s="648"/>
      <c r="O1614" s="649"/>
      <c r="Q1614" s="683" t="s">
        <v>139</v>
      </c>
      <c r="R1614" s="266" t="s">
        <v>140</v>
      </c>
      <c r="S1614" s="684" t="s">
        <v>142</v>
      </c>
    </row>
    <row r="1615" spans="1:19" ht="15.75" thickBot="1" x14ac:dyDescent="0.3">
      <c r="A1615" s="177"/>
      <c r="B1615" s="650" t="s">
        <v>115</v>
      </c>
      <c r="C1615" s="651"/>
      <c r="D1615" s="651"/>
      <c r="E1615" s="651"/>
      <c r="F1615" s="651"/>
      <c r="G1615" s="651"/>
      <c r="H1615" s="651"/>
      <c r="I1615" s="651"/>
      <c r="J1615" s="651"/>
      <c r="K1615" s="651"/>
      <c r="L1615" s="651"/>
      <c r="M1615" s="651"/>
      <c r="N1615" s="651"/>
      <c r="O1615" s="652"/>
      <c r="Q1615" s="672"/>
      <c r="R1615" s="183" t="s">
        <v>141</v>
      </c>
      <c r="S1615" s="680"/>
    </row>
    <row r="1616" spans="1:19" ht="15.75" thickBot="1" x14ac:dyDescent="0.3">
      <c r="A1616" s="177" t="s">
        <v>106</v>
      </c>
      <c r="B1616" s="629">
        <v>13.5</v>
      </c>
      <c r="C1616" s="630"/>
      <c r="D1616" s="630"/>
      <c r="E1616" s="631"/>
      <c r="F1616" s="365" t="s">
        <v>174</v>
      </c>
      <c r="G1616" s="471"/>
      <c r="H1616" s="653">
        <v>0</v>
      </c>
      <c r="I1616" s="654"/>
      <c r="J1616" s="654"/>
      <c r="K1616" s="654"/>
      <c r="L1616" s="655"/>
      <c r="M1616" s="656">
        <f>SUM(B1616,H1617)</f>
        <v>13.5</v>
      </c>
      <c r="N1616" s="630"/>
      <c r="O1616" s="631"/>
      <c r="Q1616" s="182" t="s">
        <v>143</v>
      </c>
      <c r="R1616" s="183">
        <v>8</v>
      </c>
      <c r="S1616" s="181" t="s">
        <v>517</v>
      </c>
    </row>
    <row r="1617" spans="1:19" ht="15.75" thickBot="1" x14ac:dyDescent="0.3">
      <c r="A1617" s="177" t="s">
        <v>112</v>
      </c>
      <c r="B1617" s="626">
        <v>0.1</v>
      </c>
      <c r="C1617" s="627"/>
      <c r="D1617" s="627"/>
      <c r="E1617" s="628"/>
      <c r="F1617" s="290"/>
      <c r="G1617" s="472"/>
      <c r="H1617" s="626">
        <v>0</v>
      </c>
      <c r="I1617" s="627"/>
      <c r="J1617" s="627"/>
      <c r="K1617" s="627"/>
      <c r="L1617" s="628"/>
      <c r="M1617" s="657">
        <f>B1617</f>
        <v>0.1</v>
      </c>
      <c r="N1617" s="627"/>
      <c r="O1617" s="628"/>
      <c r="Q1617" s="182" t="s">
        <v>145</v>
      </c>
      <c r="R1617" s="183">
        <v>7</v>
      </c>
      <c r="S1617" s="184" t="s">
        <v>478</v>
      </c>
    </row>
    <row r="1618" spans="1:19" ht="15.75" thickBot="1" x14ac:dyDescent="0.3">
      <c r="A1618" s="177" t="s">
        <v>107</v>
      </c>
      <c r="B1618" s="629">
        <f>B1616*(1-B1617)</f>
        <v>12.15</v>
      </c>
      <c r="C1618" s="630"/>
      <c r="D1618" s="630"/>
      <c r="E1618" s="631"/>
      <c r="F1618" s="290"/>
      <c r="G1618" s="472"/>
      <c r="H1618" s="629">
        <f>H1616*(1-H1617)</f>
        <v>0</v>
      </c>
      <c r="I1618" s="630"/>
      <c r="J1618" s="630"/>
      <c r="K1618" s="630"/>
      <c r="L1618" s="631"/>
      <c r="M1618" s="656">
        <f>SUM(B1618,H1618)</f>
        <v>12.15</v>
      </c>
      <c r="N1618" s="630"/>
      <c r="O1618" s="631"/>
      <c r="Q1618" s="182" t="s">
        <v>147</v>
      </c>
      <c r="R1618" s="183">
        <v>8</v>
      </c>
      <c r="S1618" s="181" t="s">
        <v>411</v>
      </c>
    </row>
    <row r="1619" spans="1:19" ht="29.25" thickBot="1" x14ac:dyDescent="0.3">
      <c r="A1619" s="177" t="s">
        <v>108</v>
      </c>
      <c r="B1619" s="626">
        <f>B1622/B1618</f>
        <v>0.77284403292181103</v>
      </c>
      <c r="C1619" s="627"/>
      <c r="D1619" s="627"/>
      <c r="E1619" s="627"/>
      <c r="F1619" s="627"/>
      <c r="G1619" s="627"/>
      <c r="H1619" s="627"/>
      <c r="I1619" s="627"/>
      <c r="J1619" s="627"/>
      <c r="K1619" s="627"/>
      <c r="L1619" s="627"/>
      <c r="M1619" s="627"/>
      <c r="N1619" s="627"/>
      <c r="O1619" s="628"/>
      <c r="Q1619" s="182" t="s">
        <v>82</v>
      </c>
      <c r="R1619" s="183">
        <v>9</v>
      </c>
      <c r="S1619" s="184" t="s">
        <v>527</v>
      </c>
    </row>
    <row r="1620" spans="1:19" ht="15.75" thickBot="1" x14ac:dyDescent="0.3">
      <c r="A1620" s="177" t="s">
        <v>113</v>
      </c>
      <c r="B1620" s="629">
        <f>B1624*(B1628+B1629+I1628+I1629)/1000</f>
        <v>30.290500000000002</v>
      </c>
      <c r="C1620" s="630"/>
      <c r="D1620" s="630"/>
      <c r="E1620" s="630"/>
      <c r="F1620" s="630"/>
      <c r="G1620" s="630"/>
      <c r="H1620" s="630"/>
      <c r="I1620" s="630"/>
      <c r="J1620" s="630"/>
      <c r="K1620" s="630"/>
      <c r="L1620" s="630"/>
      <c r="M1620" s="630"/>
      <c r="N1620" s="630"/>
      <c r="O1620" s="631"/>
      <c r="Q1620" s="182" t="s">
        <v>152</v>
      </c>
      <c r="R1620" s="183">
        <v>8</v>
      </c>
      <c r="S1620" s="184" t="s">
        <v>519</v>
      </c>
    </row>
    <row r="1621" spans="1:19" ht="15.75" thickBot="1" x14ac:dyDescent="0.3">
      <c r="A1621" s="177" t="s">
        <v>109</v>
      </c>
      <c r="B1621" s="626">
        <v>0.69</v>
      </c>
      <c r="C1621" s="627"/>
      <c r="D1621" s="627"/>
      <c r="E1621" s="627"/>
      <c r="F1621" s="627"/>
      <c r="G1621" s="627"/>
      <c r="H1621" s="627"/>
      <c r="I1621" s="627"/>
      <c r="J1621" s="627"/>
      <c r="K1621" s="627"/>
      <c r="L1621" s="627"/>
      <c r="M1621" s="627"/>
      <c r="N1621" s="627"/>
      <c r="O1621" s="628"/>
      <c r="Q1621" s="182" t="s">
        <v>154</v>
      </c>
      <c r="R1621" s="183">
        <v>8</v>
      </c>
      <c r="S1621" s="181" t="s">
        <v>520</v>
      </c>
    </row>
    <row r="1622" spans="1:19" ht="29.25" thickBot="1" x14ac:dyDescent="0.3">
      <c r="A1622" s="177" t="s">
        <v>122</v>
      </c>
      <c r="B1622" s="629">
        <f>B1620-(B1620*B1621)</f>
        <v>9.3900550000000038</v>
      </c>
      <c r="C1622" s="630"/>
      <c r="D1622" s="630"/>
      <c r="E1622" s="630"/>
      <c r="F1622" s="630"/>
      <c r="G1622" s="630"/>
      <c r="H1622" s="630"/>
      <c r="I1622" s="630"/>
      <c r="J1622" s="630"/>
      <c r="K1622" s="630"/>
      <c r="L1622" s="630"/>
      <c r="M1622" s="630"/>
      <c r="N1622" s="630"/>
      <c r="O1622" s="631"/>
      <c r="Q1622" s="182" t="s">
        <v>156</v>
      </c>
      <c r="R1622" s="183">
        <v>8</v>
      </c>
      <c r="S1622" s="181" t="s">
        <v>480</v>
      </c>
    </row>
    <row r="1623" spans="1:19" ht="15.75" thickBot="1" x14ac:dyDescent="0.3">
      <c r="A1623" s="177" t="s">
        <v>110</v>
      </c>
      <c r="B1623" s="632">
        <v>125</v>
      </c>
      <c r="C1623" s="633"/>
      <c r="D1623" s="633"/>
      <c r="E1623" s="633"/>
      <c r="F1623" s="633"/>
      <c r="G1623" s="633"/>
      <c r="H1623" s="633"/>
      <c r="I1623" s="633"/>
      <c r="J1623" s="633"/>
      <c r="K1623" s="633"/>
      <c r="L1623" s="633"/>
      <c r="M1623" s="633"/>
      <c r="N1623" s="633"/>
      <c r="O1623" s="634"/>
      <c r="Q1623" s="182" t="s">
        <v>158</v>
      </c>
      <c r="R1623" s="183"/>
      <c r="S1623" s="181"/>
    </row>
    <row r="1624" spans="1:19" ht="15.75" thickBot="1" x14ac:dyDescent="0.3">
      <c r="A1624" s="177" t="s">
        <v>111</v>
      </c>
      <c r="B1624" s="635">
        <v>14.5</v>
      </c>
      <c r="C1624" s="636"/>
      <c r="D1624" s="636"/>
      <c r="E1624" s="636"/>
      <c r="F1624" s="636"/>
      <c r="G1624" s="636"/>
      <c r="H1624" s="636"/>
      <c r="I1624" s="636"/>
      <c r="J1624" s="636"/>
      <c r="K1624" s="636"/>
      <c r="L1624" s="636"/>
      <c r="M1624" s="636"/>
      <c r="N1624" s="636"/>
      <c r="O1624" s="637"/>
      <c r="Q1624" s="185" t="s">
        <v>99</v>
      </c>
      <c r="R1624" s="285">
        <f>SUM(R1616:R1623)/70</f>
        <v>0.8</v>
      </c>
      <c r="S1624" s="265">
        <v>0.8</v>
      </c>
    </row>
    <row r="1625" spans="1:19" x14ac:dyDescent="0.25">
      <c r="A1625" s="177" t="s">
        <v>273</v>
      </c>
      <c r="B1625" s="638" t="s">
        <v>472</v>
      </c>
      <c r="C1625" s="638"/>
      <c r="D1625" s="638"/>
      <c r="E1625" s="638"/>
      <c r="F1625" s="638"/>
      <c r="G1625" s="638"/>
      <c r="H1625" s="638"/>
      <c r="I1625" s="638"/>
      <c r="J1625" s="638"/>
      <c r="K1625" s="638"/>
      <c r="L1625" s="638"/>
      <c r="M1625" s="638"/>
      <c r="N1625" s="638"/>
      <c r="O1625" s="639"/>
    </row>
    <row r="1626" spans="1:19" x14ac:dyDescent="0.25">
      <c r="A1626" s="177" t="s">
        <v>351</v>
      </c>
      <c r="B1626" s="431"/>
      <c r="C1626" s="431"/>
      <c r="D1626" s="431"/>
      <c r="E1626" s="431"/>
      <c r="F1626" s="431"/>
      <c r="G1626" s="431"/>
      <c r="H1626" s="431"/>
      <c r="I1626" s="431"/>
      <c r="J1626" s="431"/>
      <c r="K1626" s="431"/>
      <c r="L1626" s="431"/>
      <c r="M1626" s="431"/>
      <c r="N1626" s="431"/>
      <c r="O1626" s="432"/>
      <c r="Q1626" s="10"/>
      <c r="R1626" s="8"/>
    </row>
    <row r="1627" spans="1:19" x14ac:dyDescent="0.25">
      <c r="B1627" s="307" t="s">
        <v>98</v>
      </c>
      <c r="C1627" s="365" t="s">
        <v>102</v>
      </c>
      <c r="D1627" s="365" t="s">
        <v>92</v>
      </c>
      <c r="E1627" s="365" t="s">
        <v>93</v>
      </c>
      <c r="F1627" s="365" t="s">
        <v>94</v>
      </c>
      <c r="G1627" s="365" t="s">
        <v>549</v>
      </c>
      <c r="H1627" s="359" t="s">
        <v>99</v>
      </c>
      <c r="I1627" s="307" t="s">
        <v>98</v>
      </c>
      <c r="J1627" s="365" t="s">
        <v>102</v>
      </c>
      <c r="K1627" s="365" t="s">
        <v>92</v>
      </c>
      <c r="L1627" s="365" t="s">
        <v>93</v>
      </c>
      <c r="M1627" s="365" t="s">
        <v>94</v>
      </c>
      <c r="N1627" s="365" t="s">
        <v>549</v>
      </c>
      <c r="O1627" s="359" t="s">
        <v>99</v>
      </c>
      <c r="Q1627" s="10"/>
      <c r="R1627" s="175"/>
    </row>
    <row r="1628" spans="1:19" x14ac:dyDescent="0.25">
      <c r="B1628" s="308">
        <v>944</v>
      </c>
      <c r="C1628" s="365" t="s">
        <v>95</v>
      </c>
      <c r="D1628" s="441">
        <v>1101.26</v>
      </c>
      <c r="E1628" s="441">
        <v>498.72</v>
      </c>
      <c r="F1628" s="441">
        <v>538.51</v>
      </c>
      <c r="G1628" s="441">
        <v>374.51</v>
      </c>
      <c r="H1628" s="359">
        <f>SUM(D1628:G1628)</f>
        <v>2513</v>
      </c>
      <c r="I1628" s="308">
        <v>944</v>
      </c>
      <c r="J1628" s="365" t="s">
        <v>95</v>
      </c>
      <c r="K1628" s="441">
        <v>1312.8</v>
      </c>
      <c r="L1628" s="441">
        <v>988.68</v>
      </c>
      <c r="M1628" s="441">
        <v>247.79</v>
      </c>
      <c r="N1628" s="441">
        <v>225.58</v>
      </c>
      <c r="O1628" s="359">
        <f>SUM(K1628:N1628)</f>
        <v>2774.85</v>
      </c>
      <c r="Q1628" s="10"/>
      <c r="R1628" s="8"/>
    </row>
    <row r="1629" spans="1:19" x14ac:dyDescent="0.25">
      <c r="B1629" s="308">
        <v>100</v>
      </c>
      <c r="C1629" s="365" t="s">
        <v>96</v>
      </c>
      <c r="D1629" s="441">
        <v>87.1</v>
      </c>
      <c r="E1629" s="441">
        <v>70.72</v>
      </c>
      <c r="F1629" s="441">
        <v>79.400000000000006</v>
      </c>
      <c r="G1629" s="441">
        <v>49.32</v>
      </c>
      <c r="H1629" s="359">
        <f t="shared" ref="H1629:H1635" si="201">SUM(D1629:G1629)</f>
        <v>286.54000000000002</v>
      </c>
      <c r="I1629" s="308">
        <v>101</v>
      </c>
      <c r="J1629" s="365" t="s">
        <v>96</v>
      </c>
      <c r="K1629" s="441">
        <v>189.72</v>
      </c>
      <c r="L1629" s="441">
        <v>86.28</v>
      </c>
      <c r="M1629" s="441">
        <v>24.96</v>
      </c>
      <c r="N1629" s="441">
        <v>44.68</v>
      </c>
      <c r="O1629" s="359">
        <f t="shared" ref="O1629:O1635" si="202">SUM(K1629:N1629)</f>
        <v>345.64</v>
      </c>
      <c r="Q1629" s="10"/>
      <c r="R1629" s="8"/>
    </row>
    <row r="1630" spans="1:19" x14ac:dyDescent="0.25">
      <c r="B1630" s="307" t="s">
        <v>100</v>
      </c>
      <c r="C1630" s="365" t="s">
        <v>95</v>
      </c>
      <c r="D1630" s="444">
        <f t="shared" ref="D1630:G1631" si="203">D1628/$B1628</f>
        <v>1.1665889830508474</v>
      </c>
      <c r="E1630" s="429">
        <f t="shared" si="203"/>
        <v>0.52830508474576277</v>
      </c>
      <c r="F1630" s="429">
        <f t="shared" si="203"/>
        <v>0.57045550847457627</v>
      </c>
      <c r="G1630" s="429">
        <f t="shared" si="203"/>
        <v>0.39672669491525425</v>
      </c>
      <c r="H1630" s="359">
        <f t="shared" si="201"/>
        <v>2.6620762711864407</v>
      </c>
      <c r="I1630" s="307" t="s">
        <v>100</v>
      </c>
      <c r="J1630" s="365" t="s">
        <v>95</v>
      </c>
      <c r="K1630" s="444">
        <f t="shared" ref="K1630:N1631" si="204">K1628/$I1628</f>
        <v>1.3906779661016948</v>
      </c>
      <c r="L1630" s="429">
        <f t="shared" si="204"/>
        <v>1.0473305084745763</v>
      </c>
      <c r="M1630" s="429">
        <f t="shared" si="204"/>
        <v>0.26248940677966098</v>
      </c>
      <c r="N1630" s="429">
        <f t="shared" si="204"/>
        <v>0.23896186440677966</v>
      </c>
      <c r="O1630" s="359">
        <f t="shared" si="202"/>
        <v>2.9394597457627119</v>
      </c>
    </row>
    <row r="1631" spans="1:19" x14ac:dyDescent="0.25">
      <c r="B1631" s="307" t="s">
        <v>100</v>
      </c>
      <c r="C1631" s="438" t="s">
        <v>96</v>
      </c>
      <c r="D1631" s="359">
        <f t="shared" si="203"/>
        <v>0.871</v>
      </c>
      <c r="E1631" s="359">
        <f t="shared" si="203"/>
        <v>0.70719999999999994</v>
      </c>
      <c r="F1631" s="359">
        <f t="shared" si="203"/>
        <v>0.79400000000000004</v>
      </c>
      <c r="G1631" s="359">
        <f t="shared" si="203"/>
        <v>0.49320000000000003</v>
      </c>
      <c r="H1631" s="359">
        <f t="shared" si="201"/>
        <v>2.8653999999999997</v>
      </c>
      <c r="I1631" s="307" t="s">
        <v>100</v>
      </c>
      <c r="J1631" s="438" t="s">
        <v>96</v>
      </c>
      <c r="K1631" s="359">
        <f t="shared" si="204"/>
        <v>1.8784158415841583</v>
      </c>
      <c r="L1631" s="359">
        <f t="shared" si="204"/>
        <v>0.85425742574257424</v>
      </c>
      <c r="M1631" s="359">
        <f t="shared" si="204"/>
        <v>0.24712871287128713</v>
      </c>
      <c r="N1631" s="359">
        <f t="shared" si="204"/>
        <v>0.44237623762376238</v>
      </c>
      <c r="O1631" s="359">
        <f t="shared" si="202"/>
        <v>3.4221782178217821</v>
      </c>
    </row>
    <row r="1632" spans="1:19" x14ac:dyDescent="0.25">
      <c r="B1632" s="307" t="s">
        <v>104</v>
      </c>
      <c r="C1632" s="365" t="s">
        <v>95</v>
      </c>
      <c r="D1632" s="359">
        <f>D1628/($B1628/7.7)</f>
        <v>8.9827351694915265</v>
      </c>
      <c r="E1632" s="359">
        <f>E1628/($B1628/7)</f>
        <v>3.6981355932203392</v>
      </c>
      <c r="F1632" s="359">
        <f>F1628/($B1628/7)</f>
        <v>3.9931885593220335</v>
      </c>
      <c r="G1632" s="359">
        <f>G1628/($B1628/7)</f>
        <v>2.7770868644067797</v>
      </c>
      <c r="H1632" s="359">
        <f t="shared" si="201"/>
        <v>19.451146186440678</v>
      </c>
      <c r="I1632" s="307" t="s">
        <v>104</v>
      </c>
      <c r="J1632" s="365" t="s">
        <v>95</v>
      </c>
      <c r="K1632" s="359">
        <f>K1628/($I1628/7.7)</f>
        <v>10.70822033898305</v>
      </c>
      <c r="L1632" s="359">
        <f>L1628/($I1628/7)</f>
        <v>7.3313135593220329</v>
      </c>
      <c r="M1632" s="359">
        <f>M1628/($I1628/7)</f>
        <v>1.837425847457627</v>
      </c>
      <c r="N1632" s="359">
        <f>N1628/($I1628/7)</f>
        <v>1.6727330508474576</v>
      </c>
      <c r="O1632" s="359">
        <f t="shared" si="202"/>
        <v>21.54969279661017</v>
      </c>
    </row>
    <row r="1633" spans="1:19" x14ac:dyDescent="0.25">
      <c r="B1633" s="307" t="s">
        <v>104</v>
      </c>
      <c r="C1633" s="438" t="s">
        <v>96</v>
      </c>
      <c r="D1633" s="359">
        <f>D1629/($B1629/7.7)</f>
        <v>6.7066999999999997</v>
      </c>
      <c r="E1633" s="359">
        <f>E1629/($B1629/7.7)</f>
        <v>5.4454399999999996</v>
      </c>
      <c r="F1633" s="359">
        <f>F1629/($B1629/7.7)</f>
        <v>6.1138000000000003</v>
      </c>
      <c r="G1633" s="359">
        <f>G1629/($B1629/7.7)</f>
        <v>3.7976399999999999</v>
      </c>
      <c r="H1633" s="359">
        <f t="shared" si="201"/>
        <v>22.063580000000002</v>
      </c>
      <c r="I1633" s="307" t="s">
        <v>104</v>
      </c>
      <c r="J1633" s="438" t="s">
        <v>96</v>
      </c>
      <c r="K1633" s="359">
        <f>K1629/($I1629/7.7)</f>
        <v>14.463801980198021</v>
      </c>
      <c r="L1633" s="359">
        <f>L1629/($I1629/7.7)</f>
        <v>6.5777821782178219</v>
      </c>
      <c r="M1633" s="359">
        <f>M1629/($I1629/7.7)</f>
        <v>1.902891089108911</v>
      </c>
      <c r="N1633" s="359">
        <f>N1629/($I1629/7.7)</f>
        <v>3.4062970297029707</v>
      </c>
      <c r="O1633" s="359">
        <f t="shared" si="202"/>
        <v>26.350772277227726</v>
      </c>
    </row>
    <row r="1634" spans="1:19" x14ac:dyDescent="0.25">
      <c r="B1634" s="307" t="s">
        <v>135</v>
      </c>
      <c r="C1634" s="365" t="s">
        <v>95</v>
      </c>
      <c r="D1634" s="359">
        <f>D1628/((($B1628*$B1624)*(1-$B1621))/$B1619)</f>
        <v>0.20057649264141736</v>
      </c>
      <c r="E1634" s="359">
        <f>E1628/((($B1628*$B1624)*(1-$B1621))/$B1619)</f>
        <v>9.0833689056287956E-2</v>
      </c>
      <c r="F1634" s="359">
        <f>F1628/((($B1628*$B1624)*(1-$B1621))/$B1619)</f>
        <v>9.8080786601102074E-2</v>
      </c>
      <c r="G1634" s="359">
        <f>G1628/((($B1628*$B1624)*(1-$B1621))/$B1619)</f>
        <v>6.8210869603124794E-2</v>
      </c>
      <c r="H1634" s="359">
        <f t="shared" si="201"/>
        <v>0.4577018379019322</v>
      </c>
      <c r="I1634" s="307" t="s">
        <v>135</v>
      </c>
      <c r="J1634" s="365" t="s">
        <v>95</v>
      </c>
      <c r="K1634" s="359">
        <f>K1628/((($I1628*$B1624)*(1-$B1621))/$B1619)</f>
        <v>0.2391050428960034</v>
      </c>
      <c r="L1634" s="359">
        <f>L1628/((($I1628*$B1624)*(1-$B1621))/$B1619)</f>
        <v>0.18007188742414734</v>
      </c>
      <c r="M1634" s="359">
        <f>M1628/((($I1628*$B1624)*(1-$B1621))/$B1619)</f>
        <v>4.5130894712980409E-2</v>
      </c>
      <c r="N1634" s="359">
        <f>N1628/((($I1628*$B1624)*(1-$B1621))/$B1619)</f>
        <v>4.1085706563437276E-2</v>
      </c>
      <c r="O1634" s="359">
        <f t="shared" si="202"/>
        <v>0.50539353159656841</v>
      </c>
    </row>
    <row r="1635" spans="1:19" x14ac:dyDescent="0.25">
      <c r="B1635" s="307" t="s">
        <v>135</v>
      </c>
      <c r="C1635" s="438" t="s">
        <v>96</v>
      </c>
      <c r="D1635" s="359">
        <f>D1629/((($B1629*$B1624)*(1-$B1621))/$B1619)</f>
        <v>0.14975465020576134</v>
      </c>
      <c r="E1635" s="359">
        <f>E1629/((($B1629*$B1624)*(1-$B1621))/$B1619)</f>
        <v>0.12159183539094653</v>
      </c>
      <c r="F1635" s="359">
        <f>F1629/((($B1629*$B1624)*(1-$B1621))/$B1619)</f>
        <v>0.13651572016460911</v>
      </c>
      <c r="G1635" s="359">
        <f>G1629/((($B1629*$B1624)*(1-$B1621))/$B1619)</f>
        <v>8.4797925925925943E-2</v>
      </c>
      <c r="H1635" s="359">
        <f t="shared" si="201"/>
        <v>0.49266013168724293</v>
      </c>
      <c r="I1635" s="307" t="s">
        <v>135</v>
      </c>
      <c r="J1635" s="438" t="s">
        <v>96</v>
      </c>
      <c r="K1635" s="359">
        <f>K1629/((($I1629*$B1624)*(1-$B1621))/$B1619)</f>
        <v>0.32296384305097187</v>
      </c>
      <c r="L1635" s="359">
        <f>L1629/((($I1629*$B1624)*(1-$B1621))/$B1619)</f>
        <v>0.14687602982520478</v>
      </c>
      <c r="M1635" s="359">
        <f>M1629/((($I1629*$B1624)*(1-$B1621))/$B1619)</f>
        <v>4.2489866764454237E-2</v>
      </c>
      <c r="N1635" s="359">
        <f>N1629/((($I1629*$B1624)*(1-$B1621))/$B1619)</f>
        <v>7.6059585217781056E-2</v>
      </c>
      <c r="O1635" s="359">
        <f t="shared" si="202"/>
        <v>0.588389324858412</v>
      </c>
    </row>
    <row r="1636" spans="1:19" x14ac:dyDescent="0.25">
      <c r="A1636" s="178"/>
      <c r="B1636" s="178"/>
      <c r="C1636" s="178"/>
      <c r="D1636" s="178"/>
      <c r="E1636" s="178"/>
      <c r="F1636" s="178"/>
      <c r="G1636" s="178"/>
      <c r="H1636" s="178"/>
      <c r="I1636" s="178"/>
      <c r="J1636" s="178"/>
      <c r="K1636" s="178"/>
      <c r="L1636" s="178"/>
      <c r="M1636" s="178"/>
      <c r="N1636" s="178"/>
      <c r="O1636" s="178"/>
    </row>
    <row r="1637" spans="1:19" ht="21.75" thickBot="1" x14ac:dyDescent="0.3">
      <c r="A1637" s="305"/>
      <c r="B1637" s="644" t="s">
        <v>496</v>
      </c>
      <c r="C1637" s="645"/>
      <c r="D1637" s="645"/>
      <c r="E1637" s="645"/>
      <c r="F1637" s="645"/>
      <c r="G1637" s="645"/>
      <c r="H1637" s="645"/>
      <c r="I1637" s="645"/>
      <c r="J1637" s="645"/>
      <c r="K1637" s="645"/>
      <c r="L1637" s="645"/>
      <c r="M1637" s="645"/>
      <c r="N1637" s="645"/>
      <c r="O1637" s="646"/>
    </row>
    <row r="1638" spans="1:19" ht="21" x14ac:dyDescent="0.25">
      <c r="A1638" s="177" t="s">
        <v>285</v>
      </c>
      <c r="B1638" s="647">
        <v>44282</v>
      </c>
      <c r="C1638" s="648"/>
      <c r="D1638" s="648"/>
      <c r="E1638" s="648"/>
      <c r="F1638" s="648"/>
      <c r="G1638" s="648"/>
      <c r="H1638" s="648"/>
      <c r="I1638" s="648"/>
      <c r="J1638" s="648"/>
      <c r="K1638" s="648"/>
      <c r="L1638" s="648"/>
      <c r="M1638" s="648"/>
      <c r="N1638" s="648"/>
      <c r="O1638" s="649"/>
      <c r="Q1638" s="683" t="s">
        <v>139</v>
      </c>
      <c r="R1638" s="266" t="s">
        <v>140</v>
      </c>
      <c r="S1638" s="684" t="s">
        <v>142</v>
      </c>
    </row>
    <row r="1639" spans="1:19" ht="15.75" thickBot="1" x14ac:dyDescent="0.3">
      <c r="A1639" s="177"/>
      <c r="B1639" s="650" t="s">
        <v>115</v>
      </c>
      <c r="C1639" s="651"/>
      <c r="D1639" s="651"/>
      <c r="E1639" s="651"/>
      <c r="F1639" s="651"/>
      <c r="G1639" s="651"/>
      <c r="H1639" s="651"/>
      <c r="I1639" s="651"/>
      <c r="J1639" s="651"/>
      <c r="K1639" s="651"/>
      <c r="L1639" s="651"/>
      <c r="M1639" s="651"/>
      <c r="N1639" s="651"/>
      <c r="O1639" s="652"/>
      <c r="Q1639" s="672"/>
      <c r="R1639" s="183" t="s">
        <v>141</v>
      </c>
      <c r="S1639" s="680"/>
    </row>
    <row r="1640" spans="1:19" ht="15.75" thickBot="1" x14ac:dyDescent="0.3">
      <c r="A1640" s="177" t="s">
        <v>106</v>
      </c>
      <c r="B1640" s="629">
        <v>13.5</v>
      </c>
      <c r="C1640" s="630"/>
      <c r="D1640" s="630"/>
      <c r="E1640" s="631"/>
      <c r="F1640" s="365" t="s">
        <v>174</v>
      </c>
      <c r="G1640" s="471"/>
      <c r="H1640" s="653">
        <v>0</v>
      </c>
      <c r="I1640" s="654"/>
      <c r="J1640" s="654"/>
      <c r="K1640" s="654"/>
      <c r="L1640" s="655"/>
      <c r="M1640" s="656">
        <f>SUM(B1640,H1641)</f>
        <v>13.5</v>
      </c>
      <c r="N1640" s="630"/>
      <c r="O1640" s="631"/>
      <c r="Q1640" s="182" t="s">
        <v>143</v>
      </c>
      <c r="R1640" s="183">
        <v>8</v>
      </c>
      <c r="S1640" s="181" t="s">
        <v>517</v>
      </c>
    </row>
    <row r="1641" spans="1:19" ht="15.75" thickBot="1" x14ac:dyDescent="0.3">
      <c r="A1641" s="177" t="s">
        <v>112</v>
      </c>
      <c r="B1641" s="626">
        <v>0.08</v>
      </c>
      <c r="C1641" s="627"/>
      <c r="D1641" s="627"/>
      <c r="E1641" s="628"/>
      <c r="F1641" s="290"/>
      <c r="G1641" s="472"/>
      <c r="H1641" s="626">
        <v>0</v>
      </c>
      <c r="I1641" s="627"/>
      <c r="J1641" s="627"/>
      <c r="K1641" s="627"/>
      <c r="L1641" s="628"/>
      <c r="M1641" s="657">
        <f>B1641</f>
        <v>0.08</v>
      </c>
      <c r="N1641" s="627"/>
      <c r="O1641" s="628"/>
      <c r="Q1641" s="182" t="s">
        <v>145</v>
      </c>
      <c r="R1641" s="183">
        <v>8</v>
      </c>
      <c r="S1641" s="184" t="s">
        <v>478</v>
      </c>
    </row>
    <row r="1642" spans="1:19" ht="15.75" thickBot="1" x14ac:dyDescent="0.3">
      <c r="A1642" s="177" t="s">
        <v>107</v>
      </c>
      <c r="B1642" s="629">
        <f>B1640*(1-B1641)</f>
        <v>12.42</v>
      </c>
      <c r="C1642" s="630"/>
      <c r="D1642" s="630"/>
      <c r="E1642" s="631"/>
      <c r="F1642" s="290"/>
      <c r="G1642" s="472"/>
      <c r="H1642" s="629">
        <f>H1640*(1-H1641)</f>
        <v>0</v>
      </c>
      <c r="I1642" s="630"/>
      <c r="J1642" s="630"/>
      <c r="K1642" s="630"/>
      <c r="L1642" s="631"/>
      <c r="M1642" s="656">
        <f>SUM(B1642,H1642)</f>
        <v>12.42</v>
      </c>
      <c r="N1642" s="630"/>
      <c r="O1642" s="631"/>
      <c r="Q1642" s="182" t="s">
        <v>147</v>
      </c>
      <c r="R1642" s="183">
        <v>8</v>
      </c>
      <c r="S1642" s="181" t="s">
        <v>411</v>
      </c>
    </row>
    <row r="1643" spans="1:19" ht="17.25" customHeight="1" thickBot="1" x14ac:dyDescent="0.3">
      <c r="A1643" s="177" t="s">
        <v>108</v>
      </c>
      <c r="B1643" s="626">
        <f>B1646/B1642</f>
        <v>0.82638325281803526</v>
      </c>
      <c r="C1643" s="627"/>
      <c r="D1643" s="627"/>
      <c r="E1643" s="627"/>
      <c r="F1643" s="627"/>
      <c r="G1643" s="627"/>
      <c r="H1643" s="627"/>
      <c r="I1643" s="627"/>
      <c r="J1643" s="627"/>
      <c r="K1643" s="627"/>
      <c r="L1643" s="627"/>
      <c r="M1643" s="627"/>
      <c r="N1643" s="627"/>
      <c r="O1643" s="628"/>
      <c r="Q1643" s="182" t="s">
        <v>82</v>
      </c>
      <c r="R1643" s="183">
        <v>8</v>
      </c>
      <c r="S1643" s="289" t="s">
        <v>529</v>
      </c>
    </row>
    <row r="1644" spans="1:19" ht="15.75" thickBot="1" x14ac:dyDescent="0.3">
      <c r="A1644" s="177" t="s">
        <v>113</v>
      </c>
      <c r="B1644" s="629">
        <f>B1648*(B1652+B1653+I1652+I1653)/1000</f>
        <v>32.073999999999998</v>
      </c>
      <c r="C1644" s="630"/>
      <c r="D1644" s="630"/>
      <c r="E1644" s="630"/>
      <c r="F1644" s="630"/>
      <c r="G1644" s="630"/>
      <c r="H1644" s="630"/>
      <c r="I1644" s="630"/>
      <c r="J1644" s="630"/>
      <c r="K1644" s="630"/>
      <c r="L1644" s="630"/>
      <c r="M1644" s="630"/>
      <c r="N1644" s="630"/>
      <c r="O1644" s="631"/>
      <c r="Q1644" s="182" t="s">
        <v>152</v>
      </c>
      <c r="R1644" s="183">
        <v>8</v>
      </c>
      <c r="S1644" s="184" t="s">
        <v>519</v>
      </c>
    </row>
    <row r="1645" spans="1:19" ht="15.75" thickBot="1" x14ac:dyDescent="0.3">
      <c r="A1645" s="177" t="s">
        <v>109</v>
      </c>
      <c r="B1645" s="626">
        <v>0.68</v>
      </c>
      <c r="C1645" s="627"/>
      <c r="D1645" s="627"/>
      <c r="E1645" s="627"/>
      <c r="F1645" s="627"/>
      <c r="G1645" s="627"/>
      <c r="H1645" s="627"/>
      <c r="I1645" s="627"/>
      <c r="J1645" s="627"/>
      <c r="K1645" s="627"/>
      <c r="L1645" s="627"/>
      <c r="M1645" s="627"/>
      <c r="N1645" s="627"/>
      <c r="O1645" s="628"/>
      <c r="Q1645" s="182" t="s">
        <v>154</v>
      </c>
      <c r="R1645" s="183">
        <v>6.5</v>
      </c>
      <c r="S1645" s="181" t="s">
        <v>530</v>
      </c>
    </row>
    <row r="1646" spans="1:19" ht="15.75" thickBot="1" x14ac:dyDescent="0.3">
      <c r="A1646" s="177" t="s">
        <v>122</v>
      </c>
      <c r="B1646" s="629">
        <f>B1644-(B1644*B1645)</f>
        <v>10.263679999999997</v>
      </c>
      <c r="C1646" s="630"/>
      <c r="D1646" s="630"/>
      <c r="E1646" s="630"/>
      <c r="F1646" s="630"/>
      <c r="G1646" s="630"/>
      <c r="H1646" s="630"/>
      <c r="I1646" s="630"/>
      <c r="J1646" s="630"/>
      <c r="K1646" s="630"/>
      <c r="L1646" s="630"/>
      <c r="M1646" s="630"/>
      <c r="N1646" s="630"/>
      <c r="O1646" s="631"/>
      <c r="Q1646" s="182" t="s">
        <v>156</v>
      </c>
      <c r="R1646" s="183">
        <v>8</v>
      </c>
      <c r="S1646" s="181" t="s">
        <v>513</v>
      </c>
    </row>
    <row r="1647" spans="1:19" ht="15.75" thickBot="1" x14ac:dyDescent="0.3">
      <c r="A1647" s="177" t="s">
        <v>110</v>
      </c>
      <c r="B1647" s="632">
        <v>125</v>
      </c>
      <c r="C1647" s="633"/>
      <c r="D1647" s="633"/>
      <c r="E1647" s="633"/>
      <c r="F1647" s="633"/>
      <c r="G1647" s="633"/>
      <c r="H1647" s="633"/>
      <c r="I1647" s="633"/>
      <c r="J1647" s="633"/>
      <c r="K1647" s="633"/>
      <c r="L1647" s="633"/>
      <c r="M1647" s="633"/>
      <c r="N1647" s="633"/>
      <c r="O1647" s="634"/>
      <c r="Q1647" s="182" t="s">
        <v>158</v>
      </c>
      <c r="R1647" s="183"/>
      <c r="S1647" s="181"/>
    </row>
    <row r="1648" spans="1:19" ht="15.75" thickBot="1" x14ac:dyDescent="0.3">
      <c r="A1648" s="177" t="s">
        <v>111</v>
      </c>
      <c r="B1648" s="635">
        <v>14</v>
      </c>
      <c r="C1648" s="636"/>
      <c r="D1648" s="636"/>
      <c r="E1648" s="636"/>
      <c r="F1648" s="636"/>
      <c r="G1648" s="636"/>
      <c r="H1648" s="636"/>
      <c r="I1648" s="636"/>
      <c r="J1648" s="636"/>
      <c r="K1648" s="636"/>
      <c r="L1648" s="636"/>
      <c r="M1648" s="636"/>
      <c r="N1648" s="636"/>
      <c r="O1648" s="637"/>
      <c r="Q1648" s="185" t="s">
        <v>99</v>
      </c>
      <c r="R1648" s="183" t="s">
        <v>531</v>
      </c>
      <c r="S1648" s="186">
        <v>0.77800000000000002</v>
      </c>
    </row>
    <row r="1649" spans="1:19" x14ac:dyDescent="0.25">
      <c r="A1649" s="177" t="s">
        <v>273</v>
      </c>
      <c r="B1649" s="638" t="s">
        <v>472</v>
      </c>
      <c r="C1649" s="638"/>
      <c r="D1649" s="638"/>
      <c r="E1649" s="638"/>
      <c r="F1649" s="638"/>
      <c r="G1649" s="638"/>
      <c r="H1649" s="638"/>
      <c r="I1649" s="638"/>
      <c r="J1649" s="638"/>
      <c r="K1649" s="638"/>
      <c r="L1649" s="638"/>
      <c r="M1649" s="638"/>
      <c r="N1649" s="638"/>
      <c r="O1649" s="639"/>
    </row>
    <row r="1650" spans="1:19" x14ac:dyDescent="0.25">
      <c r="A1650" s="177" t="s">
        <v>351</v>
      </c>
      <c r="B1650" s="431"/>
      <c r="C1650" s="431"/>
      <c r="D1650" s="431"/>
      <c r="E1650" s="431"/>
      <c r="F1650" s="431"/>
      <c r="G1650" s="431"/>
      <c r="H1650" s="431"/>
      <c r="I1650" s="431"/>
      <c r="J1650" s="431"/>
      <c r="K1650" s="431"/>
      <c r="L1650" s="431"/>
      <c r="M1650" s="431"/>
      <c r="N1650" s="431"/>
      <c r="O1650" s="432"/>
    </row>
    <row r="1651" spans="1:19" x14ac:dyDescent="0.25">
      <c r="B1651" s="307" t="s">
        <v>98</v>
      </c>
      <c r="C1651" s="365" t="s">
        <v>102</v>
      </c>
      <c r="D1651" s="365" t="s">
        <v>92</v>
      </c>
      <c r="E1651" s="365" t="s">
        <v>93</v>
      </c>
      <c r="F1651" s="365" t="s">
        <v>94</v>
      </c>
      <c r="G1651" s="365" t="s">
        <v>549</v>
      </c>
      <c r="H1651" s="359" t="s">
        <v>99</v>
      </c>
      <c r="I1651" s="307" t="s">
        <v>98</v>
      </c>
      <c r="J1651" s="365" t="s">
        <v>102</v>
      </c>
      <c r="K1651" s="365" t="s">
        <v>92</v>
      </c>
      <c r="L1651" s="365" t="s">
        <v>93</v>
      </c>
      <c r="M1651" s="365" t="s">
        <v>94</v>
      </c>
      <c r="N1651" s="365" t="s">
        <v>549</v>
      </c>
      <c r="O1651" s="359" t="s">
        <v>99</v>
      </c>
      <c r="Q1651" s="10"/>
      <c r="R1651" s="8"/>
    </row>
    <row r="1652" spans="1:19" x14ac:dyDescent="0.25">
      <c r="B1652" s="308">
        <v>1041</v>
      </c>
      <c r="C1652" s="365" t="s">
        <v>95</v>
      </c>
      <c r="D1652" s="441">
        <v>1433.76</v>
      </c>
      <c r="E1652" s="441">
        <v>355.44</v>
      </c>
      <c r="F1652" s="441">
        <v>297.04000000000002</v>
      </c>
      <c r="G1652" s="441">
        <v>344.04</v>
      </c>
      <c r="H1652" s="359">
        <f>SUM(D1652:G1652)</f>
        <v>2430.2800000000002</v>
      </c>
      <c r="I1652" s="308">
        <v>1048</v>
      </c>
      <c r="J1652" s="365" t="s">
        <v>95</v>
      </c>
      <c r="K1652" s="441">
        <v>1373.27</v>
      </c>
      <c r="L1652" s="441">
        <v>621.96</v>
      </c>
      <c r="M1652" s="441">
        <v>440.04</v>
      </c>
      <c r="N1652" s="441">
        <v>299.91000000000003</v>
      </c>
      <c r="O1652" s="359">
        <f>SUM(K1652:N1652)</f>
        <v>2735.18</v>
      </c>
      <c r="Q1652" s="10"/>
      <c r="R1652" s="175"/>
    </row>
    <row r="1653" spans="1:19" x14ac:dyDescent="0.25">
      <c r="B1653" s="308">
        <v>100</v>
      </c>
      <c r="C1653" s="365" t="s">
        <v>96</v>
      </c>
      <c r="D1653" s="441">
        <v>142.19999999999999</v>
      </c>
      <c r="E1653" s="441">
        <v>49.94</v>
      </c>
      <c r="F1653" s="441">
        <v>33.28</v>
      </c>
      <c r="G1653" s="441">
        <v>0</v>
      </c>
      <c r="H1653" s="359">
        <f t="shared" ref="H1653:H1659" si="205">SUM(D1653:G1653)</f>
        <v>225.42</v>
      </c>
      <c r="I1653" s="308">
        <v>102</v>
      </c>
      <c r="J1653" s="365" t="s">
        <v>96</v>
      </c>
      <c r="K1653" s="441">
        <v>138.41999999999999</v>
      </c>
      <c r="L1653" s="441">
        <v>118.42</v>
      </c>
      <c r="M1653" s="441">
        <v>116.44</v>
      </c>
      <c r="N1653" s="441">
        <v>41.6</v>
      </c>
      <c r="O1653" s="359">
        <f t="shared" ref="O1653:O1659" si="206">SUM(K1653:N1653)</f>
        <v>414.88</v>
      </c>
      <c r="Q1653" s="10"/>
      <c r="R1653" s="175"/>
    </row>
    <row r="1654" spans="1:19" x14ac:dyDescent="0.25">
      <c r="B1654" s="307" t="s">
        <v>100</v>
      </c>
      <c r="C1654" s="365" t="s">
        <v>95</v>
      </c>
      <c r="D1654" s="444">
        <f t="shared" ref="D1654:G1655" si="207">D1652/$B1652</f>
        <v>1.3772910662824207</v>
      </c>
      <c r="E1654" s="429">
        <f t="shared" si="207"/>
        <v>0.34144092219020172</v>
      </c>
      <c r="F1654" s="429">
        <f t="shared" si="207"/>
        <v>0.28534101825168112</v>
      </c>
      <c r="G1654" s="429">
        <f t="shared" si="207"/>
        <v>0.33048991354466861</v>
      </c>
      <c r="H1654" s="359">
        <f t="shared" si="205"/>
        <v>2.3345629202689722</v>
      </c>
      <c r="I1654" s="307" t="s">
        <v>100</v>
      </c>
      <c r="J1654" s="365" t="s">
        <v>95</v>
      </c>
      <c r="K1654" s="444">
        <f t="shared" ref="K1654:N1655" si="208">K1652/$I1652</f>
        <v>1.31037213740458</v>
      </c>
      <c r="L1654" s="429">
        <f t="shared" si="208"/>
        <v>0.59347328244274811</v>
      </c>
      <c r="M1654" s="429">
        <f t="shared" si="208"/>
        <v>0.41988549618320614</v>
      </c>
      <c r="N1654" s="429">
        <f t="shared" si="208"/>
        <v>0.28617366412213741</v>
      </c>
      <c r="O1654" s="359">
        <f t="shared" si="206"/>
        <v>2.6099045801526719</v>
      </c>
      <c r="Q1654" s="10"/>
      <c r="R1654" s="8"/>
    </row>
    <row r="1655" spans="1:19" x14ac:dyDescent="0.25">
      <c r="B1655" s="307" t="s">
        <v>100</v>
      </c>
      <c r="C1655" s="438" t="s">
        <v>96</v>
      </c>
      <c r="D1655" s="359">
        <f t="shared" si="207"/>
        <v>1.4219999999999999</v>
      </c>
      <c r="E1655" s="359">
        <f t="shared" si="207"/>
        <v>0.49939999999999996</v>
      </c>
      <c r="F1655" s="359">
        <f t="shared" si="207"/>
        <v>0.33279999999999998</v>
      </c>
      <c r="G1655" s="359">
        <f t="shared" si="207"/>
        <v>0</v>
      </c>
      <c r="H1655" s="359">
        <f t="shared" si="205"/>
        <v>2.2542</v>
      </c>
      <c r="I1655" s="307" t="s">
        <v>100</v>
      </c>
      <c r="J1655" s="438" t="s">
        <v>96</v>
      </c>
      <c r="K1655" s="359">
        <f t="shared" si="208"/>
        <v>1.3570588235294117</v>
      </c>
      <c r="L1655" s="359">
        <f t="shared" si="208"/>
        <v>1.1609803921568627</v>
      </c>
      <c r="M1655" s="359">
        <f t="shared" si="208"/>
        <v>1.1415686274509804</v>
      </c>
      <c r="N1655" s="359">
        <f t="shared" si="208"/>
        <v>0.40784313725490196</v>
      </c>
      <c r="O1655" s="359">
        <f t="shared" si="206"/>
        <v>4.0674509803921568</v>
      </c>
    </row>
    <row r="1656" spans="1:19" x14ac:dyDescent="0.25">
      <c r="B1656" s="307" t="s">
        <v>104</v>
      </c>
      <c r="C1656" s="365" t="s">
        <v>95</v>
      </c>
      <c r="D1656" s="359">
        <f>D1652/($B1652/7.7)</f>
        <v>10.60514121037464</v>
      </c>
      <c r="E1656" s="359">
        <f>E1652/($B1652/7)</f>
        <v>2.3900864553314118</v>
      </c>
      <c r="F1656" s="359">
        <f>F1652/($B1652/7)</f>
        <v>1.9973871277617676</v>
      </c>
      <c r="G1656" s="359">
        <f>G1652/($B1652/7)</f>
        <v>2.3134293948126801</v>
      </c>
      <c r="H1656" s="359">
        <f t="shared" si="205"/>
        <v>17.306044188280499</v>
      </c>
      <c r="I1656" s="307" t="s">
        <v>104</v>
      </c>
      <c r="J1656" s="365" t="s">
        <v>95</v>
      </c>
      <c r="K1656" s="359">
        <f>K1652/($I1652/7.7)</f>
        <v>10.089865458015268</v>
      </c>
      <c r="L1656" s="359">
        <f>L1652/($I1652/7)</f>
        <v>4.1543129770992371</v>
      </c>
      <c r="M1656" s="359">
        <f>M1652/($I1652/7)</f>
        <v>2.9391984732824428</v>
      </c>
      <c r="N1656" s="359">
        <f>N1652/($I1652/7)</f>
        <v>2.0032156488549617</v>
      </c>
      <c r="O1656" s="359">
        <f t="shared" si="206"/>
        <v>19.18659255725191</v>
      </c>
    </row>
    <row r="1657" spans="1:19" x14ac:dyDescent="0.25">
      <c r="B1657" s="307" t="s">
        <v>104</v>
      </c>
      <c r="C1657" s="438" t="s">
        <v>96</v>
      </c>
      <c r="D1657" s="359">
        <f>D1653/($B1653/7.7)</f>
        <v>10.949399999999999</v>
      </c>
      <c r="E1657" s="359">
        <f>E1653/($B1653/7.7)</f>
        <v>3.84538</v>
      </c>
      <c r="F1657" s="359">
        <f>F1653/($B1653/7.7)</f>
        <v>2.5625599999999999</v>
      </c>
      <c r="G1657" s="359">
        <f>G1653/($B1653/7.7)</f>
        <v>0</v>
      </c>
      <c r="H1657" s="359">
        <f t="shared" si="205"/>
        <v>17.357340000000001</v>
      </c>
      <c r="I1657" s="307" t="s">
        <v>104</v>
      </c>
      <c r="J1657" s="438" t="s">
        <v>96</v>
      </c>
      <c r="K1657" s="359">
        <f>K1653/($I1653/7.7)</f>
        <v>10.449352941176469</v>
      </c>
      <c r="L1657" s="359">
        <f>L1653/($I1653/7.7)</f>
        <v>8.9395490196078438</v>
      </c>
      <c r="M1657" s="359">
        <f>M1653/($I1653/7.7)</f>
        <v>8.7900784313725477</v>
      </c>
      <c r="N1657" s="359">
        <f>N1653/($I1653/7.7)</f>
        <v>3.1403921568627453</v>
      </c>
      <c r="O1657" s="359">
        <f t="shared" si="206"/>
        <v>31.319372549019604</v>
      </c>
    </row>
    <row r="1658" spans="1:19" x14ac:dyDescent="0.25">
      <c r="B1658" s="307" t="s">
        <v>135</v>
      </c>
      <c r="C1658" s="365" t="s">
        <v>95</v>
      </c>
      <c r="D1658" s="359">
        <f>D1652/((($B1652*$B1648)*(1-$B1645))/$B1643)</f>
        <v>0.25405586415885872</v>
      </c>
      <c r="E1658" s="359">
        <f>E1652/((($B1652*$B1648)*(1-$B1645))/$B1643)</f>
        <v>6.2982379447484069E-2</v>
      </c>
      <c r="F1658" s="359">
        <f>F1652/((($B1652*$B1648)*(1-$B1645))/$B1643)</f>
        <v>5.2634160452061297E-2</v>
      </c>
      <c r="G1658" s="359">
        <f>G1652/((($B1652*$B1648)*(1-$B1645))/$B1643)</f>
        <v>6.096235039700771E-2</v>
      </c>
      <c r="H1658" s="359">
        <f t="shared" si="205"/>
        <v>0.43063475445541183</v>
      </c>
      <c r="I1658" s="307" t="s">
        <v>135</v>
      </c>
      <c r="J1658" s="365" t="s">
        <v>95</v>
      </c>
      <c r="K1658" s="359">
        <f>K1652/((($I1652*$B1648)*(1-$B1645))/$B1643)</f>
        <v>0.24171196189966934</v>
      </c>
      <c r="L1658" s="359">
        <f>L1652/((($I1652*$B1648)*(1-$B1645))/$B1643)</f>
        <v>0.10947240660840064</v>
      </c>
      <c r="M1658" s="359">
        <f>M1652/((($I1652*$B1648)*(1-$B1645))/$B1643)</f>
        <v>7.745230851495373E-2</v>
      </c>
      <c r="N1658" s="359">
        <f>N1652/((($I1652*$B1648)*(1-$B1645))/$B1643)</f>
        <v>5.2787750765202646E-2</v>
      </c>
      <c r="O1658" s="359">
        <f t="shared" si="206"/>
        <v>0.48142442778822636</v>
      </c>
    </row>
    <row r="1659" spans="1:19" x14ac:dyDescent="0.25">
      <c r="B1659" s="307" t="s">
        <v>135</v>
      </c>
      <c r="C1659" s="438" t="s">
        <v>96</v>
      </c>
      <c r="D1659" s="359">
        <f>D1653/((($B1653*$B1648)*(1-$B1645))/$B1643)</f>
        <v>0.26230289855072464</v>
      </c>
      <c r="E1659" s="359">
        <f>E1653/((($B1653*$B1648)*(1-$B1645))/$B1643)</f>
        <v>9.211959742351046E-2</v>
      </c>
      <c r="F1659" s="359">
        <f>F1653/((($B1653*$B1648)*(1-$B1645))/$B1643)</f>
        <v>6.1388470209339775E-2</v>
      </c>
      <c r="G1659" s="359">
        <f>G1653/((($B1653*$B1648)*(1-$B1645))/$B1643)</f>
        <v>0</v>
      </c>
      <c r="H1659" s="359">
        <f t="shared" si="205"/>
        <v>0.41581096618357488</v>
      </c>
      <c r="I1659" s="307" t="s">
        <v>135</v>
      </c>
      <c r="J1659" s="438" t="s">
        <v>96</v>
      </c>
      <c r="K1659" s="359">
        <f>K1653/((($I1653*$B1648)*(1-$B1645))/$B1643)</f>
        <v>0.25032381358340433</v>
      </c>
      <c r="L1659" s="359">
        <f>L1653/((($I1653*$B1648)*(1-$B1645))/$B1643)</f>
        <v>0.21415507877869344</v>
      </c>
      <c r="M1659" s="359">
        <f>M1653/((($I1653*$B1648)*(1-$B1645))/$B1643)</f>
        <v>0.21057437403302703</v>
      </c>
      <c r="N1659" s="359">
        <f>N1653/((($I1653*$B1648)*(1-$B1645))/$B1643)</f>
        <v>7.5230968393798739E-2</v>
      </c>
      <c r="O1659" s="359">
        <f t="shared" si="206"/>
        <v>0.75028423478892348</v>
      </c>
    </row>
    <row r="1660" spans="1:19" x14ac:dyDescent="0.25">
      <c r="A1660" s="178"/>
      <c r="B1660" s="178"/>
      <c r="C1660" s="178"/>
      <c r="D1660" s="178"/>
      <c r="E1660" s="178"/>
      <c r="F1660" s="178"/>
      <c r="G1660" s="178"/>
      <c r="H1660" s="178"/>
      <c r="I1660" s="178"/>
      <c r="J1660" s="178"/>
      <c r="K1660" s="178"/>
      <c r="L1660" s="178"/>
      <c r="M1660" s="178"/>
      <c r="N1660" s="178"/>
      <c r="O1660" s="178"/>
    </row>
    <row r="1661" spans="1:19" ht="21.75" thickBot="1" x14ac:dyDescent="0.3">
      <c r="A1661" s="305"/>
      <c r="B1661" s="644" t="s">
        <v>497</v>
      </c>
      <c r="C1661" s="645"/>
      <c r="D1661" s="645"/>
      <c r="E1661" s="645"/>
      <c r="F1661" s="645"/>
      <c r="G1661" s="645"/>
      <c r="H1661" s="645"/>
      <c r="I1661" s="645"/>
      <c r="J1661" s="645"/>
      <c r="K1661" s="645"/>
      <c r="L1661" s="645"/>
      <c r="M1661" s="645"/>
      <c r="N1661" s="645"/>
      <c r="O1661" s="646"/>
    </row>
    <row r="1662" spans="1:19" ht="21" x14ac:dyDescent="0.25">
      <c r="A1662" s="177" t="s">
        <v>285</v>
      </c>
      <c r="B1662" s="647">
        <v>44290</v>
      </c>
      <c r="C1662" s="648"/>
      <c r="D1662" s="648"/>
      <c r="E1662" s="648"/>
      <c r="F1662" s="648"/>
      <c r="G1662" s="648"/>
      <c r="H1662" s="648"/>
      <c r="I1662" s="648"/>
      <c r="J1662" s="648"/>
      <c r="K1662" s="648"/>
      <c r="L1662" s="648"/>
      <c r="M1662" s="648"/>
      <c r="N1662" s="648"/>
      <c r="O1662" s="649"/>
      <c r="Q1662" s="683" t="s">
        <v>139</v>
      </c>
      <c r="R1662" s="266" t="s">
        <v>140</v>
      </c>
      <c r="S1662" s="684" t="s">
        <v>142</v>
      </c>
    </row>
    <row r="1663" spans="1:19" ht="15.75" thickBot="1" x14ac:dyDescent="0.3">
      <c r="A1663" s="177"/>
      <c r="B1663" s="650" t="s">
        <v>115</v>
      </c>
      <c r="C1663" s="651"/>
      <c r="D1663" s="651"/>
      <c r="E1663" s="651"/>
      <c r="F1663" s="651"/>
      <c r="G1663" s="651"/>
      <c r="H1663" s="651"/>
      <c r="I1663" s="651"/>
      <c r="J1663" s="651"/>
      <c r="K1663" s="651"/>
      <c r="L1663" s="651"/>
      <c r="M1663" s="651"/>
      <c r="N1663" s="651"/>
      <c r="O1663" s="652"/>
      <c r="Q1663" s="672"/>
      <c r="R1663" s="183" t="s">
        <v>141</v>
      </c>
      <c r="S1663" s="680"/>
    </row>
    <row r="1664" spans="1:19" ht="15.75" thickBot="1" x14ac:dyDescent="0.3">
      <c r="A1664" s="177" t="s">
        <v>106</v>
      </c>
      <c r="B1664" s="629">
        <v>14.6</v>
      </c>
      <c r="C1664" s="630"/>
      <c r="D1664" s="630"/>
      <c r="E1664" s="631"/>
      <c r="F1664" s="365" t="s">
        <v>174</v>
      </c>
      <c r="G1664" s="471">
        <v>0</v>
      </c>
      <c r="H1664" s="653">
        <v>0</v>
      </c>
      <c r="I1664" s="654"/>
      <c r="J1664" s="654"/>
      <c r="K1664" s="654"/>
      <c r="L1664" s="655"/>
      <c r="M1664" s="656">
        <f>SUM(B1664,H1665)</f>
        <v>14.6</v>
      </c>
      <c r="N1664" s="630"/>
      <c r="O1664" s="631"/>
      <c r="Q1664" s="182" t="s">
        <v>143</v>
      </c>
      <c r="R1664" s="183">
        <v>7</v>
      </c>
      <c r="S1664" s="181" t="s">
        <v>517</v>
      </c>
    </row>
    <row r="1665" spans="1:19" ht="15.75" thickBot="1" x14ac:dyDescent="0.3">
      <c r="A1665" s="177" t="s">
        <v>112</v>
      </c>
      <c r="B1665" s="626">
        <v>0.2</v>
      </c>
      <c r="C1665" s="627"/>
      <c r="D1665" s="627"/>
      <c r="E1665" s="628"/>
      <c r="F1665" s="290">
        <v>0</v>
      </c>
      <c r="G1665" s="472">
        <v>0</v>
      </c>
      <c r="H1665" s="626">
        <v>0</v>
      </c>
      <c r="I1665" s="627"/>
      <c r="J1665" s="627"/>
      <c r="K1665" s="627"/>
      <c r="L1665" s="628"/>
      <c r="M1665" s="657">
        <f>B1665</f>
        <v>0.2</v>
      </c>
      <c r="N1665" s="627"/>
      <c r="O1665" s="628"/>
      <c r="Q1665" s="182" t="s">
        <v>145</v>
      </c>
      <c r="R1665" s="183">
        <v>6.5</v>
      </c>
      <c r="S1665" s="184" t="s">
        <v>532</v>
      </c>
    </row>
    <row r="1666" spans="1:19" ht="15.75" thickBot="1" x14ac:dyDescent="0.3">
      <c r="A1666" s="177" t="s">
        <v>107</v>
      </c>
      <c r="B1666" s="629">
        <f>B1664*(1-B1665)</f>
        <v>11.68</v>
      </c>
      <c r="C1666" s="630"/>
      <c r="D1666" s="630"/>
      <c r="E1666" s="631"/>
      <c r="F1666" s="290"/>
      <c r="G1666" s="472"/>
      <c r="H1666" s="629">
        <f>H1664*(1-H1665)</f>
        <v>0</v>
      </c>
      <c r="I1666" s="630"/>
      <c r="J1666" s="630"/>
      <c r="K1666" s="630"/>
      <c r="L1666" s="631"/>
      <c r="M1666" s="656">
        <f>SUM(B1666,H1666)</f>
        <v>11.68</v>
      </c>
      <c r="N1666" s="630"/>
      <c r="O1666" s="631"/>
      <c r="Q1666" s="182" t="s">
        <v>147</v>
      </c>
      <c r="R1666" s="183">
        <v>8</v>
      </c>
      <c r="S1666" s="181" t="s">
        <v>411</v>
      </c>
    </row>
    <row r="1667" spans="1:19" ht="29.25" thickBot="1" x14ac:dyDescent="0.3">
      <c r="A1667" s="177" t="s">
        <v>108</v>
      </c>
      <c r="B1667" s="626">
        <f>B1670/B1666</f>
        <v>0.68809931506849342</v>
      </c>
      <c r="C1667" s="627"/>
      <c r="D1667" s="627"/>
      <c r="E1667" s="627"/>
      <c r="F1667" s="627"/>
      <c r="G1667" s="627"/>
      <c r="H1667" s="627"/>
      <c r="I1667" s="627"/>
      <c r="J1667" s="627"/>
      <c r="K1667" s="627"/>
      <c r="L1667" s="627"/>
      <c r="M1667" s="627"/>
      <c r="N1667" s="627"/>
      <c r="O1667" s="628"/>
      <c r="Q1667" s="182" t="s">
        <v>82</v>
      </c>
      <c r="R1667" s="183">
        <v>7</v>
      </c>
      <c r="S1667" s="184" t="s">
        <v>533</v>
      </c>
    </row>
    <row r="1668" spans="1:19" ht="15.75" thickBot="1" x14ac:dyDescent="0.3">
      <c r="A1668" s="177" t="s">
        <v>113</v>
      </c>
      <c r="B1668" s="629">
        <f>B1672*(B1676+B1677+I1676+I1677)/1000</f>
        <v>26.79</v>
      </c>
      <c r="C1668" s="630"/>
      <c r="D1668" s="630"/>
      <c r="E1668" s="630"/>
      <c r="F1668" s="630"/>
      <c r="G1668" s="630"/>
      <c r="H1668" s="630"/>
      <c r="I1668" s="630"/>
      <c r="J1668" s="630"/>
      <c r="K1668" s="630"/>
      <c r="L1668" s="630"/>
      <c r="M1668" s="630"/>
      <c r="N1668" s="630"/>
      <c r="O1668" s="631"/>
      <c r="Q1668" s="182" t="s">
        <v>152</v>
      </c>
      <c r="R1668" s="183">
        <v>6</v>
      </c>
      <c r="S1668" s="184" t="s">
        <v>519</v>
      </c>
    </row>
    <row r="1669" spans="1:19" ht="15.75" thickBot="1" x14ac:dyDescent="0.3">
      <c r="A1669" s="177" t="s">
        <v>109</v>
      </c>
      <c r="B1669" s="626">
        <v>0.7</v>
      </c>
      <c r="C1669" s="627"/>
      <c r="D1669" s="627"/>
      <c r="E1669" s="627"/>
      <c r="F1669" s="627"/>
      <c r="G1669" s="627"/>
      <c r="H1669" s="627"/>
      <c r="I1669" s="627"/>
      <c r="J1669" s="627"/>
      <c r="K1669" s="627"/>
      <c r="L1669" s="627"/>
      <c r="M1669" s="627"/>
      <c r="N1669" s="627"/>
      <c r="O1669" s="628"/>
      <c r="Q1669" s="182" t="s">
        <v>154</v>
      </c>
      <c r="R1669" s="183">
        <v>7</v>
      </c>
      <c r="S1669" s="181" t="s">
        <v>530</v>
      </c>
    </row>
    <row r="1670" spans="1:19" ht="15.75" thickBot="1" x14ac:dyDescent="0.3">
      <c r="A1670" s="177" t="s">
        <v>122</v>
      </c>
      <c r="B1670" s="629">
        <f>B1668-(B1668*B1669)</f>
        <v>8.0370000000000026</v>
      </c>
      <c r="C1670" s="630"/>
      <c r="D1670" s="630"/>
      <c r="E1670" s="630"/>
      <c r="F1670" s="630"/>
      <c r="G1670" s="630"/>
      <c r="H1670" s="630"/>
      <c r="I1670" s="630"/>
      <c r="J1670" s="630"/>
      <c r="K1670" s="630"/>
      <c r="L1670" s="630"/>
      <c r="M1670" s="630"/>
      <c r="N1670" s="630"/>
      <c r="O1670" s="631"/>
      <c r="Q1670" s="182" t="s">
        <v>156</v>
      </c>
      <c r="R1670" s="183">
        <v>8</v>
      </c>
      <c r="S1670" s="181" t="s">
        <v>513</v>
      </c>
    </row>
    <row r="1671" spans="1:19" ht="15.75" thickBot="1" x14ac:dyDescent="0.3">
      <c r="A1671" s="177" t="s">
        <v>110</v>
      </c>
      <c r="B1671" s="632">
        <v>125</v>
      </c>
      <c r="C1671" s="633"/>
      <c r="D1671" s="633"/>
      <c r="E1671" s="633"/>
      <c r="F1671" s="633"/>
      <c r="G1671" s="633"/>
      <c r="H1671" s="633"/>
      <c r="I1671" s="633"/>
      <c r="J1671" s="633"/>
      <c r="K1671" s="633"/>
      <c r="L1671" s="633"/>
      <c r="M1671" s="633"/>
      <c r="N1671" s="633"/>
      <c r="O1671" s="634"/>
      <c r="Q1671" s="182" t="s">
        <v>158</v>
      </c>
      <c r="R1671" s="183"/>
      <c r="S1671" s="181"/>
    </row>
    <row r="1672" spans="1:19" ht="15.75" thickBot="1" x14ac:dyDescent="0.3">
      <c r="A1672" s="177" t="s">
        <v>111</v>
      </c>
      <c r="B1672" s="635">
        <v>15</v>
      </c>
      <c r="C1672" s="636"/>
      <c r="D1672" s="636"/>
      <c r="E1672" s="636"/>
      <c r="F1672" s="636"/>
      <c r="G1672" s="636"/>
      <c r="H1672" s="636"/>
      <c r="I1672" s="636"/>
      <c r="J1672" s="636"/>
      <c r="K1672" s="636"/>
      <c r="L1672" s="636"/>
      <c r="M1672" s="636"/>
      <c r="N1672" s="636"/>
      <c r="O1672" s="637"/>
      <c r="Q1672" s="185" t="s">
        <v>99</v>
      </c>
      <c r="R1672" s="183" t="s">
        <v>323</v>
      </c>
      <c r="S1672" s="186">
        <v>0.70699999999999996</v>
      </c>
    </row>
    <row r="1673" spans="1:19" x14ac:dyDescent="0.25">
      <c r="A1673" s="177" t="s">
        <v>273</v>
      </c>
      <c r="B1673" s="638" t="s">
        <v>472</v>
      </c>
      <c r="C1673" s="638"/>
      <c r="D1673" s="638"/>
      <c r="E1673" s="638"/>
      <c r="F1673" s="638"/>
      <c r="G1673" s="638"/>
      <c r="H1673" s="638"/>
      <c r="I1673" s="638"/>
      <c r="J1673" s="638"/>
      <c r="K1673" s="638"/>
      <c r="L1673" s="638"/>
      <c r="M1673" s="638"/>
      <c r="N1673" s="638"/>
      <c r="O1673" s="639"/>
    </row>
    <row r="1674" spans="1:19" x14ac:dyDescent="0.25">
      <c r="A1674" s="177" t="s">
        <v>351</v>
      </c>
      <c r="B1674" s="431"/>
      <c r="C1674" s="431"/>
      <c r="D1674" s="431"/>
      <c r="E1674" s="431"/>
      <c r="F1674" s="431"/>
      <c r="G1674" s="431"/>
      <c r="H1674" s="431"/>
      <c r="I1674" s="431"/>
      <c r="J1674" s="431"/>
      <c r="K1674" s="431"/>
      <c r="L1674" s="431"/>
      <c r="M1674" s="431"/>
      <c r="N1674" s="431"/>
      <c r="O1674" s="432"/>
      <c r="Q1674" s="10"/>
      <c r="R1674" s="8"/>
    </row>
    <row r="1675" spans="1:19" x14ac:dyDescent="0.25">
      <c r="B1675" s="307" t="s">
        <v>98</v>
      </c>
      <c r="C1675" s="365" t="s">
        <v>102</v>
      </c>
      <c r="D1675" s="365" t="s">
        <v>92</v>
      </c>
      <c r="E1675" s="365" t="s">
        <v>93</v>
      </c>
      <c r="F1675" s="365" t="s">
        <v>94</v>
      </c>
      <c r="G1675" s="365" t="s">
        <v>549</v>
      </c>
      <c r="H1675" s="359" t="s">
        <v>99</v>
      </c>
      <c r="I1675" s="307" t="s">
        <v>98</v>
      </c>
      <c r="J1675" s="365" t="s">
        <v>102</v>
      </c>
      <c r="K1675" s="365" t="s">
        <v>92</v>
      </c>
      <c r="L1675" s="365" t="s">
        <v>93</v>
      </c>
      <c r="M1675" s="365" t="s">
        <v>94</v>
      </c>
      <c r="N1675" s="365" t="s">
        <v>549</v>
      </c>
      <c r="O1675" s="359" t="s">
        <v>99</v>
      </c>
      <c r="Q1675" s="10"/>
      <c r="R1675" s="175"/>
    </row>
    <row r="1676" spans="1:19" x14ac:dyDescent="0.25">
      <c r="B1676" s="308">
        <v>613</v>
      </c>
      <c r="C1676" s="365" t="s">
        <v>95</v>
      </c>
      <c r="D1676" s="441">
        <v>777.52</v>
      </c>
      <c r="E1676" s="441">
        <v>350.74</v>
      </c>
      <c r="F1676" s="441">
        <v>137.80000000000001</v>
      </c>
      <c r="G1676" s="441">
        <v>131.47999999999999</v>
      </c>
      <c r="H1676" s="359">
        <f>SUM(D1676:G1676)</f>
        <v>1397.54</v>
      </c>
      <c r="I1676" s="308">
        <v>818</v>
      </c>
      <c r="J1676" s="365" t="s">
        <v>95</v>
      </c>
      <c r="K1676" s="441">
        <v>1066.18</v>
      </c>
      <c r="L1676" s="441">
        <v>495.82</v>
      </c>
      <c r="M1676" s="441">
        <v>376.38</v>
      </c>
      <c r="N1676" s="441">
        <v>182.34</v>
      </c>
      <c r="O1676" s="359">
        <f>SUM(K1676:N1676)</f>
        <v>2120.7200000000003</v>
      </c>
      <c r="Q1676" s="10"/>
      <c r="R1676" s="8"/>
    </row>
    <row r="1677" spans="1:19" x14ac:dyDescent="0.25">
      <c r="B1677" s="308">
        <v>178</v>
      </c>
      <c r="C1677" s="365" t="s">
        <v>96</v>
      </c>
      <c r="D1677" s="441">
        <v>215.88</v>
      </c>
      <c r="E1677" s="441">
        <v>54.08</v>
      </c>
      <c r="F1677" s="441">
        <v>29.64</v>
      </c>
      <c r="G1677" s="441">
        <v>0</v>
      </c>
      <c r="H1677" s="359">
        <f t="shared" ref="H1677:H1683" si="209">SUM(D1677:G1677)</f>
        <v>299.59999999999997</v>
      </c>
      <c r="I1677" s="308">
        <v>177</v>
      </c>
      <c r="J1677" s="365" t="s">
        <v>96</v>
      </c>
      <c r="K1677" s="441">
        <v>136.32</v>
      </c>
      <c r="L1677" s="441">
        <v>199.22</v>
      </c>
      <c r="M1677" s="441">
        <v>75.75</v>
      </c>
      <c r="N1677" s="441">
        <v>89.44</v>
      </c>
      <c r="O1677" s="359">
        <f t="shared" ref="O1677:O1683" si="210">SUM(K1677:N1677)</f>
        <v>500.72999999999996</v>
      </c>
      <c r="Q1677" s="10"/>
      <c r="R1677" s="8"/>
    </row>
    <row r="1678" spans="1:19" x14ac:dyDescent="0.25">
      <c r="B1678" s="307" t="s">
        <v>100</v>
      </c>
      <c r="C1678" s="365" t="s">
        <v>95</v>
      </c>
      <c r="D1678" s="444">
        <f t="shared" ref="D1678:G1679" si="211">D1676/$B1676</f>
        <v>1.2683849918433932</v>
      </c>
      <c r="E1678" s="429">
        <f t="shared" si="211"/>
        <v>0.57216965742251225</v>
      </c>
      <c r="F1678" s="429">
        <f t="shared" si="211"/>
        <v>0.22479608482871127</v>
      </c>
      <c r="G1678" s="429">
        <f t="shared" si="211"/>
        <v>0.21448613376835235</v>
      </c>
      <c r="H1678" s="359">
        <f t="shared" si="209"/>
        <v>2.279836867862969</v>
      </c>
      <c r="I1678" s="307" t="s">
        <v>100</v>
      </c>
      <c r="J1678" s="365" t="s">
        <v>95</v>
      </c>
      <c r="K1678" s="444">
        <f t="shared" ref="K1678:N1679" si="212">K1676/$I1676</f>
        <v>1.303398533007335</v>
      </c>
      <c r="L1678" s="429">
        <f t="shared" si="212"/>
        <v>0.60613691931540337</v>
      </c>
      <c r="M1678" s="429">
        <f t="shared" si="212"/>
        <v>0.46012224938875307</v>
      </c>
      <c r="N1678" s="429">
        <f t="shared" si="212"/>
        <v>0.22290953545232275</v>
      </c>
      <c r="O1678" s="359">
        <f t="shared" si="210"/>
        <v>2.5925672371638142</v>
      </c>
    </row>
    <row r="1679" spans="1:19" x14ac:dyDescent="0.25">
      <c r="B1679" s="307" t="s">
        <v>100</v>
      </c>
      <c r="C1679" s="438" t="s">
        <v>96</v>
      </c>
      <c r="D1679" s="359">
        <f t="shared" si="211"/>
        <v>1.212808988764045</v>
      </c>
      <c r="E1679" s="359">
        <f t="shared" si="211"/>
        <v>0.30382022471910114</v>
      </c>
      <c r="F1679" s="359">
        <f t="shared" si="211"/>
        <v>0.16651685393258428</v>
      </c>
      <c r="G1679" s="359">
        <f t="shared" si="211"/>
        <v>0</v>
      </c>
      <c r="H1679" s="359">
        <f t="shared" si="209"/>
        <v>1.6831460674157304</v>
      </c>
      <c r="I1679" s="307" t="s">
        <v>100</v>
      </c>
      <c r="J1679" s="438" t="s">
        <v>96</v>
      </c>
      <c r="K1679" s="359">
        <f t="shared" si="212"/>
        <v>0.77016949152542369</v>
      </c>
      <c r="L1679" s="359">
        <f t="shared" si="212"/>
        <v>1.1255367231638418</v>
      </c>
      <c r="M1679" s="359">
        <f t="shared" si="212"/>
        <v>0.42796610169491528</v>
      </c>
      <c r="N1679" s="359">
        <f t="shared" si="212"/>
        <v>0.50531073446327679</v>
      </c>
      <c r="O1679" s="359">
        <f t="shared" si="210"/>
        <v>2.8289830508474578</v>
      </c>
    </row>
    <row r="1680" spans="1:19" x14ac:dyDescent="0.25">
      <c r="B1680" s="307" t="s">
        <v>104</v>
      </c>
      <c r="C1680" s="365" t="s">
        <v>95</v>
      </c>
      <c r="D1680" s="359">
        <f>D1676/($B1676/7.7)</f>
        <v>9.7665644371941287</v>
      </c>
      <c r="E1680" s="359">
        <f>E1676/($B1676/7)</f>
        <v>4.0051876019575863</v>
      </c>
      <c r="F1680" s="359">
        <f>F1676/($B1676/7)</f>
        <v>1.573572593800979</v>
      </c>
      <c r="G1680" s="359">
        <f>G1676/($B1676/7)</f>
        <v>1.5014029363784664</v>
      </c>
      <c r="H1680" s="359">
        <f t="shared" si="209"/>
        <v>16.846727569331158</v>
      </c>
      <c r="I1680" s="307" t="s">
        <v>104</v>
      </c>
      <c r="J1680" s="365" t="s">
        <v>95</v>
      </c>
      <c r="K1680" s="359">
        <f>K1676/($I1676/7.7)</f>
        <v>10.036168704156481</v>
      </c>
      <c r="L1680" s="359">
        <f>L1676/($I1676/7)</f>
        <v>4.2429584352078233</v>
      </c>
      <c r="M1680" s="359">
        <f>M1676/($I1676/7)</f>
        <v>3.2208557457212712</v>
      </c>
      <c r="N1680" s="359">
        <f>N1676/($I1676/7)</f>
        <v>1.5603667481662591</v>
      </c>
      <c r="O1680" s="359">
        <f t="shared" si="210"/>
        <v>19.060349633251835</v>
      </c>
    </row>
    <row r="1681" spans="1:19" x14ac:dyDescent="0.25">
      <c r="B1681" s="307" t="s">
        <v>104</v>
      </c>
      <c r="C1681" s="438" t="s">
        <v>96</v>
      </c>
      <c r="D1681" s="359">
        <f>D1677/($B1677/7.7)</f>
        <v>9.3386292134831468</v>
      </c>
      <c r="E1681" s="359">
        <f>E1677/($B1677/7.7)</f>
        <v>2.3394157303370786</v>
      </c>
      <c r="F1681" s="359">
        <f>F1677/($B1677/7.7)</f>
        <v>1.282179775280899</v>
      </c>
      <c r="G1681" s="359">
        <f>G1677/($B1677/7.7)</f>
        <v>0</v>
      </c>
      <c r="H1681" s="359">
        <f t="shared" si="209"/>
        <v>12.960224719101124</v>
      </c>
      <c r="I1681" s="307" t="s">
        <v>104</v>
      </c>
      <c r="J1681" s="438" t="s">
        <v>96</v>
      </c>
      <c r="K1681" s="359">
        <f>K1677/($I1677/7.7)</f>
        <v>5.930305084745763</v>
      </c>
      <c r="L1681" s="359">
        <f>L1677/($I1677/7.7)</f>
        <v>8.6666327683615823</v>
      </c>
      <c r="M1681" s="359">
        <f>M1677/($I1677/7.7)</f>
        <v>3.2953389830508479</v>
      </c>
      <c r="N1681" s="359">
        <f>N1677/($I1677/7.7)</f>
        <v>3.8908926553672321</v>
      </c>
      <c r="O1681" s="359">
        <f t="shared" si="210"/>
        <v>21.783169491525424</v>
      </c>
    </row>
    <row r="1682" spans="1:19" x14ac:dyDescent="0.25">
      <c r="B1682" s="307" t="s">
        <v>135</v>
      </c>
      <c r="C1682" s="365" t="s">
        <v>95</v>
      </c>
      <c r="D1682" s="359">
        <f>D1676/((($B1676*$B1672)*(1-$B1669))/$B1667)</f>
        <v>0.19394996536235451</v>
      </c>
      <c r="E1682" s="359">
        <f>E1676/((($B1676*$B1672)*(1-$B1669))/$B1667)</f>
        <v>8.7491010972312253E-2</v>
      </c>
      <c r="F1682" s="359">
        <f>F1676/((($B1676*$B1672)*(1-$B1669))/$B1667)</f>
        <v>3.4373784889047812E-2</v>
      </c>
      <c r="G1682" s="359">
        <f>G1676/((($B1676*$B1672)*(1-$B1669))/$B1667)</f>
        <v>3.2797280386153885E-2</v>
      </c>
      <c r="H1682" s="359">
        <f t="shared" si="209"/>
        <v>0.34861204160986842</v>
      </c>
      <c r="I1682" s="307" t="s">
        <v>135</v>
      </c>
      <c r="J1682" s="365" t="s">
        <v>95</v>
      </c>
      <c r="K1682" s="359">
        <f>K1676/((($I1676*$B1672)*(1-$B1669))/$B1667)</f>
        <v>0.19930391951636139</v>
      </c>
      <c r="L1682" s="359">
        <f>L1676/((($I1676*$B1672)*(1-$B1669))/$B1667)</f>
        <v>9.2684977559701259E-2</v>
      </c>
      <c r="M1682" s="359">
        <f>M1676/((($I1676*$B1672)*(1-$B1669))/$B1667)</f>
        <v>7.0357734367150093E-2</v>
      </c>
      <c r="N1682" s="359">
        <f>N1676/((($I1676*$B1672)*(1-$B1669))/$B1667)</f>
        <v>3.4085310814884293E-2</v>
      </c>
      <c r="O1682" s="359">
        <f t="shared" si="210"/>
        <v>0.39643194225809708</v>
      </c>
    </row>
    <row r="1683" spans="1:19" x14ac:dyDescent="0.25">
      <c r="B1683" s="307" t="s">
        <v>135</v>
      </c>
      <c r="C1683" s="438" t="s">
        <v>96</v>
      </c>
      <c r="D1683" s="359">
        <f>D1677/((($B1677*$B1672)*(1-$B1669))/$B1667)</f>
        <v>0.18545178543943364</v>
      </c>
      <c r="E1683" s="359">
        <f>E1677/((($B1677*$B1672)*(1-$B1669))/$B1667)</f>
        <v>4.6457441896259825E-2</v>
      </c>
      <c r="F1683" s="359">
        <f>F1677/((($B1677*$B1672)*(1-$B1669))/$B1667)</f>
        <v>2.5462251808527021E-2</v>
      </c>
      <c r="G1683" s="359">
        <f>G1677/((($B1677*$B1672)*(1-$B1669))/$B1667)</f>
        <v>0</v>
      </c>
      <c r="H1683" s="359">
        <f t="shared" si="209"/>
        <v>0.25737147914422048</v>
      </c>
      <c r="I1683" s="307" t="s">
        <v>135</v>
      </c>
      <c r="J1683" s="438" t="s">
        <v>96</v>
      </c>
      <c r="K1683" s="359">
        <f>K1677/((($I1677*$B1672)*(1-$B1669))/$B1667)</f>
        <v>0.11776735546784306</v>
      </c>
      <c r="L1683" s="359">
        <f>L1677/((($I1677*$B1672)*(1-$B1669))/$B1667)</f>
        <v>0.17210689962077241</v>
      </c>
      <c r="M1683" s="359">
        <f>M1677/((($I1677*$B1672)*(1-$B1669))/$B1667)</f>
        <v>6.5440706988623185E-2</v>
      </c>
      <c r="N1683" s="359">
        <f>N1677/((($I1677*$B1672)*(1-$B1669))/$B1667)</f>
        <v>7.726754895131957E-2</v>
      </c>
      <c r="O1683" s="359">
        <f t="shared" si="210"/>
        <v>0.43258251102855827</v>
      </c>
    </row>
    <row r="1684" spans="1:19" x14ac:dyDescent="0.25">
      <c r="A1684" s="178"/>
      <c r="B1684" s="178"/>
      <c r="C1684" s="178"/>
      <c r="D1684" s="178"/>
      <c r="E1684" s="178"/>
      <c r="F1684" s="178"/>
      <c r="G1684" s="178"/>
      <c r="H1684" s="178"/>
      <c r="I1684" s="178"/>
      <c r="J1684" s="178"/>
      <c r="K1684" s="178"/>
      <c r="L1684" s="178"/>
      <c r="M1684" s="178"/>
      <c r="N1684" s="178"/>
      <c r="O1684" s="178"/>
    </row>
    <row r="1685" spans="1:19" ht="21.75" thickBot="1" x14ac:dyDescent="0.3">
      <c r="A1685" s="305"/>
      <c r="B1685" s="644" t="s">
        <v>498</v>
      </c>
      <c r="C1685" s="645"/>
      <c r="D1685" s="645"/>
      <c r="E1685" s="645"/>
      <c r="F1685" s="645"/>
      <c r="G1685" s="645"/>
      <c r="H1685" s="645"/>
      <c r="I1685" s="645"/>
      <c r="J1685" s="645"/>
      <c r="K1685" s="645"/>
      <c r="L1685" s="645"/>
      <c r="M1685" s="645"/>
      <c r="N1685" s="645"/>
      <c r="O1685" s="646"/>
    </row>
    <row r="1686" spans="1:19" ht="21" x14ac:dyDescent="0.25">
      <c r="A1686" s="177" t="s">
        <v>285</v>
      </c>
      <c r="B1686" s="647">
        <v>44307</v>
      </c>
      <c r="C1686" s="648"/>
      <c r="D1686" s="648"/>
      <c r="E1686" s="648"/>
      <c r="F1686" s="648"/>
      <c r="G1686" s="648"/>
      <c r="H1686" s="648"/>
      <c r="I1686" s="648"/>
      <c r="J1686" s="648"/>
      <c r="K1686" s="648"/>
      <c r="L1686" s="648"/>
      <c r="M1686" s="648"/>
      <c r="N1686" s="648"/>
      <c r="O1686" s="649"/>
      <c r="Q1686" s="683" t="s">
        <v>139</v>
      </c>
      <c r="R1686" s="266" t="s">
        <v>140</v>
      </c>
      <c r="S1686" s="684" t="s">
        <v>142</v>
      </c>
    </row>
    <row r="1687" spans="1:19" ht="15.75" thickBot="1" x14ac:dyDescent="0.3">
      <c r="A1687" s="177"/>
      <c r="B1687" s="650" t="s">
        <v>115</v>
      </c>
      <c r="C1687" s="651"/>
      <c r="D1687" s="651"/>
      <c r="E1687" s="651"/>
      <c r="F1687" s="651"/>
      <c r="G1687" s="651"/>
      <c r="H1687" s="651"/>
      <c r="I1687" s="651"/>
      <c r="J1687" s="651"/>
      <c r="K1687" s="651"/>
      <c r="L1687" s="651"/>
      <c r="M1687" s="651"/>
      <c r="N1687" s="651"/>
      <c r="O1687" s="652"/>
      <c r="Q1687" s="672"/>
      <c r="R1687" s="183" t="s">
        <v>141</v>
      </c>
      <c r="S1687" s="680"/>
    </row>
    <row r="1688" spans="1:19" ht="15.75" thickBot="1" x14ac:dyDescent="0.3">
      <c r="A1688" s="177" t="s">
        <v>106</v>
      </c>
      <c r="B1688" s="629">
        <v>18.5</v>
      </c>
      <c r="C1688" s="630"/>
      <c r="D1688" s="630"/>
      <c r="E1688" s="631"/>
      <c r="F1688" s="365" t="s">
        <v>174</v>
      </c>
      <c r="G1688" s="471"/>
      <c r="H1688" s="653">
        <v>0</v>
      </c>
      <c r="I1688" s="654"/>
      <c r="J1688" s="654"/>
      <c r="K1688" s="654"/>
      <c r="L1688" s="655"/>
      <c r="M1688" s="656">
        <f>SUM(B1688,H1689)</f>
        <v>18.5</v>
      </c>
      <c r="N1688" s="630"/>
      <c r="O1688" s="631"/>
      <c r="Q1688" s="182" t="s">
        <v>143</v>
      </c>
      <c r="R1688" s="183">
        <v>7</v>
      </c>
      <c r="S1688" s="181" t="s">
        <v>517</v>
      </c>
    </row>
    <row r="1689" spans="1:19" ht="15.75" thickBot="1" x14ac:dyDescent="0.3">
      <c r="A1689" s="177" t="s">
        <v>112</v>
      </c>
      <c r="B1689" s="626">
        <v>0.2</v>
      </c>
      <c r="C1689" s="627"/>
      <c r="D1689" s="627"/>
      <c r="E1689" s="628"/>
      <c r="F1689" s="290"/>
      <c r="G1689" s="472"/>
      <c r="H1689" s="626">
        <v>0</v>
      </c>
      <c r="I1689" s="627"/>
      <c r="J1689" s="627"/>
      <c r="K1689" s="627"/>
      <c r="L1689" s="628"/>
      <c r="M1689" s="657">
        <f>B1689</f>
        <v>0.2</v>
      </c>
      <c r="N1689" s="627"/>
      <c r="O1689" s="628"/>
      <c r="Q1689" s="182" t="s">
        <v>145</v>
      </c>
      <c r="R1689" s="183">
        <v>7</v>
      </c>
      <c r="S1689" s="184" t="s">
        <v>534</v>
      </c>
    </row>
    <row r="1690" spans="1:19" ht="43.5" thickBot="1" x14ac:dyDescent="0.3">
      <c r="A1690" s="177" t="s">
        <v>107</v>
      </c>
      <c r="B1690" s="629">
        <f>B1688*(1-B1689)</f>
        <v>14.8</v>
      </c>
      <c r="C1690" s="630"/>
      <c r="D1690" s="630"/>
      <c r="E1690" s="631"/>
      <c r="F1690" s="290"/>
      <c r="G1690" s="472"/>
      <c r="H1690" s="629">
        <f>H1688*(1-H1689)</f>
        <v>0</v>
      </c>
      <c r="I1690" s="630"/>
      <c r="J1690" s="630"/>
      <c r="K1690" s="630"/>
      <c r="L1690" s="631"/>
      <c r="M1690" s="656">
        <f>SUM(B1690,H1690)</f>
        <v>14.8</v>
      </c>
      <c r="N1690" s="630"/>
      <c r="O1690" s="631"/>
      <c r="Q1690" s="182" t="s">
        <v>147</v>
      </c>
      <c r="R1690" s="183">
        <v>7</v>
      </c>
      <c r="S1690" s="484" t="s">
        <v>535</v>
      </c>
    </row>
    <row r="1691" spans="1:19" ht="29.25" thickBot="1" x14ac:dyDescent="0.3">
      <c r="A1691" s="177" t="s">
        <v>108</v>
      </c>
      <c r="B1691" s="626">
        <f>B1694/B1690</f>
        <v>0.67248648648648668</v>
      </c>
      <c r="C1691" s="627"/>
      <c r="D1691" s="627"/>
      <c r="E1691" s="627"/>
      <c r="F1691" s="627"/>
      <c r="G1691" s="627"/>
      <c r="H1691" s="627"/>
      <c r="I1691" s="627"/>
      <c r="J1691" s="627"/>
      <c r="K1691" s="627"/>
      <c r="L1691" s="627"/>
      <c r="M1691" s="627"/>
      <c r="N1691" s="627"/>
      <c r="O1691" s="628"/>
      <c r="Q1691" s="182" t="s">
        <v>82</v>
      </c>
      <c r="R1691" s="183">
        <v>7</v>
      </c>
      <c r="S1691" s="184" t="s">
        <v>533</v>
      </c>
    </row>
    <row r="1692" spans="1:19" ht="15.75" thickBot="1" x14ac:dyDescent="0.3">
      <c r="A1692" s="177" t="s">
        <v>113</v>
      </c>
      <c r="B1692" s="629">
        <f>B1696*(B1700+B1701+I1700+I1701)/1000</f>
        <v>33.176000000000002</v>
      </c>
      <c r="C1692" s="630"/>
      <c r="D1692" s="630"/>
      <c r="E1692" s="630"/>
      <c r="F1692" s="630"/>
      <c r="G1692" s="630"/>
      <c r="H1692" s="630"/>
      <c r="I1692" s="630"/>
      <c r="J1692" s="630"/>
      <c r="K1692" s="630"/>
      <c r="L1692" s="630"/>
      <c r="M1692" s="630"/>
      <c r="N1692" s="630"/>
      <c r="O1692" s="631"/>
      <c r="Q1692" s="182" t="s">
        <v>152</v>
      </c>
      <c r="R1692" s="183">
        <v>7</v>
      </c>
      <c r="S1692" s="184" t="s">
        <v>519</v>
      </c>
    </row>
    <row r="1693" spans="1:19" ht="15.75" thickBot="1" x14ac:dyDescent="0.3">
      <c r="A1693" s="177" t="s">
        <v>109</v>
      </c>
      <c r="B1693" s="626">
        <v>0.7</v>
      </c>
      <c r="C1693" s="627"/>
      <c r="D1693" s="627"/>
      <c r="E1693" s="627"/>
      <c r="F1693" s="627"/>
      <c r="G1693" s="627"/>
      <c r="H1693" s="627"/>
      <c r="I1693" s="627"/>
      <c r="J1693" s="627"/>
      <c r="K1693" s="627"/>
      <c r="L1693" s="627"/>
      <c r="M1693" s="627"/>
      <c r="N1693" s="627"/>
      <c r="O1693" s="628"/>
      <c r="Q1693" s="182" t="s">
        <v>154</v>
      </c>
      <c r="R1693" s="183">
        <v>0</v>
      </c>
      <c r="S1693" s="181" t="s">
        <v>536</v>
      </c>
    </row>
    <row r="1694" spans="1:19" ht="15.75" thickBot="1" x14ac:dyDescent="0.3">
      <c r="A1694" s="177" t="s">
        <v>122</v>
      </c>
      <c r="B1694" s="629">
        <f>B1692-(B1692*B1693)</f>
        <v>9.9528000000000034</v>
      </c>
      <c r="C1694" s="630"/>
      <c r="D1694" s="630"/>
      <c r="E1694" s="630"/>
      <c r="F1694" s="630"/>
      <c r="G1694" s="630"/>
      <c r="H1694" s="630"/>
      <c r="I1694" s="630"/>
      <c r="J1694" s="630"/>
      <c r="K1694" s="630"/>
      <c r="L1694" s="630"/>
      <c r="M1694" s="630"/>
      <c r="N1694" s="630"/>
      <c r="O1694" s="631"/>
      <c r="Q1694" s="182" t="s">
        <v>156</v>
      </c>
      <c r="R1694" s="183">
        <v>0</v>
      </c>
      <c r="S1694" s="181" t="s">
        <v>537</v>
      </c>
    </row>
    <row r="1695" spans="1:19" ht="15.75" thickBot="1" x14ac:dyDescent="0.3">
      <c r="A1695" s="177" t="s">
        <v>110</v>
      </c>
      <c r="B1695" s="632">
        <v>125</v>
      </c>
      <c r="C1695" s="633"/>
      <c r="D1695" s="633"/>
      <c r="E1695" s="633"/>
      <c r="F1695" s="633"/>
      <c r="G1695" s="633"/>
      <c r="H1695" s="633"/>
      <c r="I1695" s="633"/>
      <c r="J1695" s="633"/>
      <c r="K1695" s="633"/>
      <c r="L1695" s="633"/>
      <c r="M1695" s="633"/>
      <c r="N1695" s="633"/>
      <c r="O1695" s="634"/>
      <c r="Q1695" s="182" t="s">
        <v>158</v>
      </c>
      <c r="R1695" s="183"/>
      <c r="S1695" s="181"/>
    </row>
    <row r="1696" spans="1:19" ht="15.75" thickBot="1" x14ac:dyDescent="0.3">
      <c r="A1696" s="177" t="s">
        <v>111</v>
      </c>
      <c r="B1696" s="635">
        <v>14.5</v>
      </c>
      <c r="C1696" s="636"/>
      <c r="D1696" s="636"/>
      <c r="E1696" s="636"/>
      <c r="F1696" s="636"/>
      <c r="G1696" s="636"/>
      <c r="H1696" s="636"/>
      <c r="I1696" s="636"/>
      <c r="J1696" s="636"/>
      <c r="K1696" s="636"/>
      <c r="L1696" s="636"/>
      <c r="M1696" s="636"/>
      <c r="N1696" s="636"/>
      <c r="O1696" s="637"/>
      <c r="Q1696" s="185" t="s">
        <v>99</v>
      </c>
      <c r="R1696" s="183" t="s">
        <v>400</v>
      </c>
      <c r="S1696" s="265">
        <v>0.5</v>
      </c>
    </row>
    <row r="1697" spans="1:19" x14ac:dyDescent="0.25">
      <c r="A1697" s="177" t="s">
        <v>273</v>
      </c>
      <c r="B1697" s="638" t="s">
        <v>472</v>
      </c>
      <c r="C1697" s="638"/>
      <c r="D1697" s="638"/>
      <c r="E1697" s="638"/>
      <c r="F1697" s="638"/>
      <c r="G1697" s="638"/>
      <c r="H1697" s="638"/>
      <c r="I1697" s="638"/>
      <c r="J1697" s="638"/>
      <c r="K1697" s="638"/>
      <c r="L1697" s="638"/>
      <c r="M1697" s="638"/>
      <c r="N1697" s="638"/>
      <c r="O1697" s="639"/>
    </row>
    <row r="1698" spans="1:19" x14ac:dyDescent="0.25">
      <c r="A1698" s="177" t="s">
        <v>351</v>
      </c>
      <c r="B1698" s="431"/>
      <c r="C1698" s="431"/>
      <c r="D1698" s="431"/>
      <c r="E1698" s="431"/>
      <c r="F1698" s="431"/>
      <c r="G1698" s="431"/>
      <c r="H1698" s="431"/>
      <c r="I1698" s="431"/>
      <c r="J1698" s="431"/>
      <c r="K1698" s="431"/>
      <c r="L1698" s="431"/>
      <c r="M1698" s="431"/>
      <c r="N1698" s="431"/>
      <c r="O1698" s="432"/>
    </row>
    <row r="1699" spans="1:19" x14ac:dyDescent="0.25">
      <c r="B1699" s="307" t="s">
        <v>98</v>
      </c>
      <c r="C1699" s="365" t="s">
        <v>102</v>
      </c>
      <c r="D1699" s="365" t="s">
        <v>92</v>
      </c>
      <c r="E1699" s="365" t="s">
        <v>93</v>
      </c>
      <c r="F1699" s="365" t="s">
        <v>94</v>
      </c>
      <c r="G1699" s="365" t="s">
        <v>549</v>
      </c>
      <c r="H1699" s="359" t="s">
        <v>99</v>
      </c>
      <c r="I1699" s="307" t="s">
        <v>98</v>
      </c>
      <c r="J1699" s="365" t="s">
        <v>102</v>
      </c>
      <c r="K1699" s="365" t="s">
        <v>92</v>
      </c>
      <c r="L1699" s="365" t="s">
        <v>93</v>
      </c>
      <c r="M1699" s="365" t="s">
        <v>94</v>
      </c>
      <c r="N1699" s="365" t="s">
        <v>549</v>
      </c>
      <c r="O1699" s="359" t="s">
        <v>99</v>
      </c>
      <c r="Q1699" s="10"/>
      <c r="R1699" s="8"/>
    </row>
    <row r="1700" spans="1:19" x14ac:dyDescent="0.25">
      <c r="B1700" s="308">
        <v>1031</v>
      </c>
      <c r="C1700" s="365" t="s">
        <v>95</v>
      </c>
      <c r="D1700" s="441">
        <v>994.24</v>
      </c>
      <c r="E1700" s="441">
        <v>638.94000000000005</v>
      </c>
      <c r="F1700" s="441">
        <v>302.79000000000002</v>
      </c>
      <c r="G1700" s="441">
        <v>0</v>
      </c>
      <c r="H1700" s="359">
        <f>SUM(D1700:G1700)</f>
        <v>1935.97</v>
      </c>
      <c r="I1700" s="308">
        <v>908</v>
      </c>
      <c r="J1700" s="365" t="s">
        <v>95</v>
      </c>
      <c r="K1700" s="441">
        <v>1016.74</v>
      </c>
      <c r="L1700" s="441">
        <v>595.4</v>
      </c>
      <c r="M1700" s="441">
        <v>471.33</v>
      </c>
      <c r="N1700" s="441">
        <v>265.73</v>
      </c>
      <c r="O1700" s="359">
        <f>SUM(K1700:N1700)</f>
        <v>2349.1999999999998</v>
      </c>
      <c r="Q1700" s="10"/>
      <c r="R1700" s="175"/>
    </row>
    <row r="1701" spans="1:19" x14ac:dyDescent="0.25">
      <c r="B1701" s="308">
        <v>175</v>
      </c>
      <c r="C1701" s="365" t="s">
        <v>96</v>
      </c>
      <c r="D1701" s="441">
        <v>137.28</v>
      </c>
      <c r="E1701" s="441">
        <v>131.16</v>
      </c>
      <c r="F1701" s="441">
        <v>8.58</v>
      </c>
      <c r="G1701" s="441">
        <v>0</v>
      </c>
      <c r="H1701" s="359">
        <f t="shared" ref="H1701:H1707" si="213">SUM(D1701:G1701)</f>
        <v>277.02</v>
      </c>
      <c r="I1701" s="308">
        <v>174</v>
      </c>
      <c r="J1701" s="365" t="s">
        <v>96</v>
      </c>
      <c r="K1701" s="441">
        <v>146.44</v>
      </c>
      <c r="L1701" s="441">
        <v>175.76</v>
      </c>
      <c r="M1701" s="441">
        <v>89.54</v>
      </c>
      <c r="N1701" s="441">
        <v>59.12</v>
      </c>
      <c r="O1701" s="359">
        <f t="shared" ref="O1701:O1707" si="214">SUM(K1701:N1701)</f>
        <v>470.86</v>
      </c>
      <c r="Q1701" s="10"/>
      <c r="R1701" s="8"/>
    </row>
    <row r="1702" spans="1:19" x14ac:dyDescent="0.25">
      <c r="B1702" s="307" t="s">
        <v>100</v>
      </c>
      <c r="C1702" s="365" t="s">
        <v>95</v>
      </c>
      <c r="D1702" s="444">
        <f t="shared" ref="D1702:G1703" si="215">D1700/$B1700</f>
        <v>0.96434529582929196</v>
      </c>
      <c r="E1702" s="429">
        <f t="shared" si="215"/>
        <v>0.61972841901066933</v>
      </c>
      <c r="F1702" s="429">
        <f t="shared" si="215"/>
        <v>0.29368574199806013</v>
      </c>
      <c r="G1702" s="429">
        <f t="shared" si="215"/>
        <v>0</v>
      </c>
      <c r="H1702" s="359">
        <f t="shared" si="213"/>
        <v>1.8777594568380214</v>
      </c>
      <c r="I1702" s="307" t="s">
        <v>100</v>
      </c>
      <c r="J1702" s="365" t="s">
        <v>95</v>
      </c>
      <c r="K1702" s="444">
        <f t="shared" ref="K1702:N1703" si="216">K1700/$I1700</f>
        <v>1.1197577092511013</v>
      </c>
      <c r="L1702" s="429">
        <f t="shared" si="216"/>
        <v>0.65572687224669601</v>
      </c>
      <c r="M1702" s="429">
        <f t="shared" si="216"/>
        <v>0.5190859030837004</v>
      </c>
      <c r="N1702" s="429">
        <f t="shared" si="216"/>
        <v>0.29265418502202645</v>
      </c>
      <c r="O1702" s="359">
        <f t="shared" si="214"/>
        <v>2.5872246696035242</v>
      </c>
      <c r="Q1702" s="10"/>
      <c r="R1702" s="8"/>
    </row>
    <row r="1703" spans="1:19" x14ac:dyDescent="0.25">
      <c r="B1703" s="307" t="s">
        <v>100</v>
      </c>
      <c r="C1703" s="438" t="s">
        <v>96</v>
      </c>
      <c r="D1703" s="359">
        <f t="shared" si="215"/>
        <v>0.78445714285714285</v>
      </c>
      <c r="E1703" s="359">
        <f t="shared" si="215"/>
        <v>0.74948571428571431</v>
      </c>
      <c r="F1703" s="359">
        <f t="shared" si="215"/>
        <v>4.9028571428571428E-2</v>
      </c>
      <c r="G1703" s="359">
        <f t="shared" si="215"/>
        <v>0</v>
      </c>
      <c r="H1703" s="359">
        <f t="shared" si="213"/>
        <v>1.5829714285714287</v>
      </c>
      <c r="I1703" s="307" t="s">
        <v>100</v>
      </c>
      <c r="J1703" s="438" t="s">
        <v>96</v>
      </c>
      <c r="K1703" s="359">
        <f t="shared" si="216"/>
        <v>0.84160919540229884</v>
      </c>
      <c r="L1703" s="359">
        <f t="shared" si="216"/>
        <v>1.0101149425287357</v>
      </c>
      <c r="M1703" s="359">
        <f t="shared" si="216"/>
        <v>0.51459770114942527</v>
      </c>
      <c r="N1703" s="359">
        <f t="shared" si="216"/>
        <v>0.33977011494252873</v>
      </c>
      <c r="O1703" s="359">
        <f t="shared" si="214"/>
        <v>2.7060919540229884</v>
      </c>
    </row>
    <row r="1704" spans="1:19" x14ac:dyDescent="0.25">
      <c r="B1704" s="307" t="s">
        <v>104</v>
      </c>
      <c r="C1704" s="365" t="s">
        <v>95</v>
      </c>
      <c r="D1704" s="359">
        <f>D1700/($B1700/7.7)</f>
        <v>7.4254587778855488</v>
      </c>
      <c r="E1704" s="359">
        <f>E1700/($B1700/7)</f>
        <v>4.3380989330746855</v>
      </c>
      <c r="F1704" s="359">
        <f>F1700/($B1700/7)</f>
        <v>2.0558001939864212</v>
      </c>
      <c r="G1704" s="359">
        <f>G1700/($B1700/7)</f>
        <v>0</v>
      </c>
      <c r="H1704" s="359">
        <f t="shared" si="213"/>
        <v>13.819357904946656</v>
      </c>
      <c r="I1704" s="307" t="s">
        <v>104</v>
      </c>
      <c r="J1704" s="365" t="s">
        <v>95</v>
      </c>
      <c r="K1704" s="359">
        <f>K1700/($I1700/7.7)</f>
        <v>8.6221343612334813</v>
      </c>
      <c r="L1704" s="359">
        <f>L1700/($I1700/7)</f>
        <v>4.5900881057268714</v>
      </c>
      <c r="M1704" s="359">
        <f>M1700/($I1700/7)</f>
        <v>3.6336013215859029</v>
      </c>
      <c r="N1704" s="359">
        <f>N1700/($I1700/7)</f>
        <v>2.0485792951541852</v>
      </c>
      <c r="O1704" s="359">
        <f t="shared" si="214"/>
        <v>18.894403083700439</v>
      </c>
    </row>
    <row r="1705" spans="1:19" x14ac:dyDescent="0.25">
      <c r="B1705" s="307" t="s">
        <v>104</v>
      </c>
      <c r="C1705" s="438" t="s">
        <v>96</v>
      </c>
      <c r="D1705" s="359">
        <f>D1701/($B1701/7.7)</f>
        <v>6.0403200000000004</v>
      </c>
      <c r="E1705" s="359">
        <f>E1701/($B1701/7.7)</f>
        <v>5.7710400000000002</v>
      </c>
      <c r="F1705" s="359">
        <f>F1701/($B1701/7.7)</f>
        <v>0.37752000000000002</v>
      </c>
      <c r="G1705" s="359">
        <f>G1701/($B1701/7.7)</f>
        <v>0</v>
      </c>
      <c r="H1705" s="359">
        <f t="shared" si="213"/>
        <v>12.188880000000001</v>
      </c>
      <c r="I1705" s="307" t="s">
        <v>104</v>
      </c>
      <c r="J1705" s="438" t="s">
        <v>96</v>
      </c>
      <c r="K1705" s="359">
        <f>K1701/($I1701/7.7)</f>
        <v>6.4803908045977012</v>
      </c>
      <c r="L1705" s="359">
        <f>L1701/($I1701/7.7)</f>
        <v>7.7778850574712646</v>
      </c>
      <c r="M1705" s="359">
        <f>M1701/($I1701/7.7)</f>
        <v>3.9624022988505754</v>
      </c>
      <c r="N1705" s="359">
        <f>N1701/($I1701/7.7)</f>
        <v>2.6162298850574714</v>
      </c>
      <c r="O1705" s="359">
        <f t="shared" si="214"/>
        <v>20.836908045977012</v>
      </c>
    </row>
    <row r="1706" spans="1:19" x14ac:dyDescent="0.25">
      <c r="B1706" s="307" t="s">
        <v>135</v>
      </c>
      <c r="C1706" s="365" t="s">
        <v>95</v>
      </c>
      <c r="D1706" s="359">
        <f>D1700/((($B1700*$B1696)*(1-$B1693))/$B1691)</f>
        <v>0.14908257005793382</v>
      </c>
      <c r="E1706" s="359">
        <f>E1700/((($B1700*$B1696)*(1-$B1693))/$B1691)</f>
        <v>9.5806663695703495E-2</v>
      </c>
      <c r="F1706" s="359">
        <f>F1700/((($B1700*$B1696)*(1-$B1693))/$B1691)</f>
        <v>4.5402228222402821E-2</v>
      </c>
      <c r="G1706" s="359">
        <f>G1700/((($B1700*$B1696)*(1-$B1693))/$B1691)</f>
        <v>0</v>
      </c>
      <c r="H1706" s="359">
        <f t="shared" si="213"/>
        <v>0.29029146197604011</v>
      </c>
      <c r="I1706" s="307" t="s">
        <v>135</v>
      </c>
      <c r="J1706" s="365" t="s">
        <v>95</v>
      </c>
      <c r="K1706" s="359">
        <f>K1700/((($I1700*$B1696)*(1-$B1693))/$B1691)</f>
        <v>0.17310848910584595</v>
      </c>
      <c r="L1706" s="359">
        <f>L1700/((($I1700*$B1696)*(1-$B1693))/$B1691)</f>
        <v>0.10137182997975951</v>
      </c>
      <c r="M1706" s="359">
        <f>M1700/((($I1700*$B1696)*(1-$B1693))/$B1691)</f>
        <v>8.02478747469937E-2</v>
      </c>
      <c r="N1706" s="359">
        <f>N1700/((($I1700*$B1696)*(1-$B1693))/$B1691)</f>
        <v>4.5242755089891659E-2</v>
      </c>
      <c r="O1706" s="359">
        <f t="shared" si="214"/>
        <v>0.3999709489224908</v>
      </c>
    </row>
    <row r="1707" spans="1:19" x14ac:dyDescent="0.25">
      <c r="B1707" s="307" t="s">
        <v>135</v>
      </c>
      <c r="C1707" s="438" t="s">
        <v>96</v>
      </c>
      <c r="D1707" s="359">
        <f>D1701/((($B1701*$B1696)*(1-$B1693))/$B1691)</f>
        <v>0.12127283397683399</v>
      </c>
      <c r="E1707" s="359">
        <f>E1701/((($B1701*$B1696)*(1-$B1693))/$B1691)</f>
        <v>0.11586644015444016</v>
      </c>
      <c r="F1707" s="359">
        <f>F1701/((($B1701*$B1696)*(1-$B1693))/$B1691)</f>
        <v>7.5795521235521241E-3</v>
      </c>
      <c r="G1707" s="359">
        <f>G1701/((($B1701*$B1696)*(1-$B1693))/$B1691)</f>
        <v>0</v>
      </c>
      <c r="H1707" s="359">
        <f t="shared" si="213"/>
        <v>0.24471882625482627</v>
      </c>
      <c r="I1707" s="307" t="s">
        <v>135</v>
      </c>
      <c r="J1707" s="438" t="s">
        <v>96</v>
      </c>
      <c r="K1707" s="359">
        <f>K1701/((($I1701*$B1696)*(1-$B1693))/$B1691)</f>
        <v>0.13010823237030136</v>
      </c>
      <c r="L1707" s="359">
        <f>L1701/((($I1701*$B1696)*(1-$B1693))/$B1691)</f>
        <v>0.15615831003417213</v>
      </c>
      <c r="M1707" s="359">
        <f>M1701/((($I1701*$B1696)*(1-$B1693))/$B1691)</f>
        <v>7.9554022988505765E-2</v>
      </c>
      <c r="N1707" s="359">
        <f>N1701/((($I1701*$B1696)*(1-$B1693))/$B1691)</f>
        <v>5.2526623174899048E-2</v>
      </c>
      <c r="O1707" s="359">
        <f t="shared" si="214"/>
        <v>0.41834718856787828</v>
      </c>
    </row>
    <row r="1708" spans="1:19" x14ac:dyDescent="0.25">
      <c r="A1708" s="178"/>
      <c r="B1708" s="178"/>
      <c r="C1708" s="178"/>
      <c r="D1708" s="178"/>
      <c r="E1708" s="178"/>
      <c r="F1708" s="178"/>
      <c r="G1708" s="178"/>
      <c r="H1708" s="178"/>
      <c r="I1708" s="178"/>
      <c r="J1708" s="178"/>
      <c r="K1708" s="178"/>
      <c r="L1708" s="178"/>
      <c r="M1708" s="178"/>
      <c r="N1708" s="178"/>
      <c r="O1708" s="178"/>
    </row>
    <row r="1709" spans="1:19" ht="21.75" thickBot="1" x14ac:dyDescent="0.3">
      <c r="A1709" s="305"/>
      <c r="B1709" s="644" t="s">
        <v>499</v>
      </c>
      <c r="C1709" s="645"/>
      <c r="D1709" s="645"/>
      <c r="E1709" s="645"/>
      <c r="F1709" s="645"/>
      <c r="G1709" s="645"/>
      <c r="H1709" s="645"/>
      <c r="I1709" s="645"/>
      <c r="J1709" s="645"/>
      <c r="K1709" s="645"/>
      <c r="L1709" s="645"/>
      <c r="M1709" s="645"/>
      <c r="N1709" s="645"/>
      <c r="O1709" s="646"/>
    </row>
    <row r="1710" spans="1:19" ht="21" x14ac:dyDescent="0.25">
      <c r="A1710" s="177" t="s">
        <v>285</v>
      </c>
      <c r="B1710" s="647">
        <v>44322</v>
      </c>
      <c r="C1710" s="648"/>
      <c r="D1710" s="648"/>
      <c r="E1710" s="648"/>
      <c r="F1710" s="648"/>
      <c r="G1710" s="648"/>
      <c r="H1710" s="648"/>
      <c r="I1710" s="648"/>
      <c r="J1710" s="648"/>
      <c r="K1710" s="648"/>
      <c r="L1710" s="648"/>
      <c r="M1710" s="648"/>
      <c r="N1710" s="648"/>
      <c r="O1710" s="649"/>
      <c r="Q1710" s="683" t="s">
        <v>139</v>
      </c>
      <c r="R1710" s="180" t="s">
        <v>140</v>
      </c>
      <c r="S1710" s="684" t="s">
        <v>142</v>
      </c>
    </row>
    <row r="1711" spans="1:19" ht="15.75" thickBot="1" x14ac:dyDescent="0.3">
      <c r="A1711" s="177"/>
      <c r="B1711" s="650" t="s">
        <v>115</v>
      </c>
      <c r="C1711" s="651"/>
      <c r="D1711" s="651"/>
      <c r="E1711" s="651"/>
      <c r="F1711" s="651"/>
      <c r="G1711" s="651"/>
      <c r="H1711" s="651"/>
      <c r="I1711" s="651"/>
      <c r="J1711" s="651"/>
      <c r="K1711" s="651"/>
      <c r="L1711" s="651"/>
      <c r="M1711" s="651"/>
      <c r="N1711" s="651"/>
      <c r="O1711" s="652"/>
      <c r="Q1711" s="672"/>
      <c r="R1711" s="181" t="s">
        <v>141</v>
      </c>
      <c r="S1711" s="680"/>
    </row>
    <row r="1712" spans="1:19" ht="15.75" thickBot="1" x14ac:dyDescent="0.3">
      <c r="A1712" s="177" t="s">
        <v>106</v>
      </c>
      <c r="B1712" s="629">
        <v>15</v>
      </c>
      <c r="C1712" s="630"/>
      <c r="D1712" s="630"/>
      <c r="E1712" s="631"/>
      <c r="F1712" s="365" t="s">
        <v>174</v>
      </c>
      <c r="G1712" s="471"/>
      <c r="H1712" s="653">
        <v>0</v>
      </c>
      <c r="I1712" s="654"/>
      <c r="J1712" s="654"/>
      <c r="K1712" s="654"/>
      <c r="L1712" s="655"/>
      <c r="M1712" s="656">
        <f>SUM(B1712,H1713)</f>
        <v>15</v>
      </c>
      <c r="N1712" s="630"/>
      <c r="O1712" s="631"/>
      <c r="Q1712" s="182" t="s">
        <v>143</v>
      </c>
      <c r="R1712" s="183">
        <v>3</v>
      </c>
      <c r="S1712" s="181" t="s">
        <v>517</v>
      </c>
    </row>
    <row r="1713" spans="1:19" ht="15.75" thickBot="1" x14ac:dyDescent="0.3">
      <c r="A1713" s="177" t="s">
        <v>112</v>
      </c>
      <c r="B1713" s="626">
        <v>0.15</v>
      </c>
      <c r="C1713" s="627"/>
      <c r="D1713" s="627"/>
      <c r="E1713" s="628"/>
      <c r="F1713" s="290"/>
      <c r="G1713" s="472"/>
      <c r="H1713" s="626">
        <v>0</v>
      </c>
      <c r="I1713" s="627"/>
      <c r="J1713" s="627"/>
      <c r="K1713" s="627"/>
      <c r="L1713" s="628"/>
      <c r="M1713" s="657">
        <f>B1713</f>
        <v>0.15</v>
      </c>
      <c r="N1713" s="627"/>
      <c r="O1713" s="628"/>
      <c r="Q1713" s="182" t="s">
        <v>145</v>
      </c>
      <c r="R1713" s="183">
        <v>7</v>
      </c>
      <c r="S1713" s="184" t="s">
        <v>534</v>
      </c>
    </row>
    <row r="1714" spans="1:19" ht="34.5" customHeight="1" thickBot="1" x14ac:dyDescent="0.3">
      <c r="A1714" s="177" t="s">
        <v>107</v>
      </c>
      <c r="B1714" s="629">
        <f>B1712*(1-B1713)</f>
        <v>12.75</v>
      </c>
      <c r="C1714" s="630"/>
      <c r="D1714" s="630"/>
      <c r="E1714" s="631"/>
      <c r="F1714" s="290"/>
      <c r="G1714" s="472"/>
      <c r="H1714" s="629">
        <f>H1712*(1-H1713)</f>
        <v>0</v>
      </c>
      <c r="I1714" s="630"/>
      <c r="J1714" s="630"/>
      <c r="K1714" s="630"/>
      <c r="L1714" s="631"/>
      <c r="M1714" s="656">
        <f>SUM(B1714,H1714)</f>
        <v>12.75</v>
      </c>
      <c r="N1714" s="630"/>
      <c r="O1714" s="631"/>
      <c r="Q1714" s="182" t="s">
        <v>147</v>
      </c>
      <c r="R1714" s="183">
        <v>7</v>
      </c>
      <c r="S1714" s="484" t="s">
        <v>535</v>
      </c>
    </row>
    <row r="1715" spans="1:19" ht="29.25" thickBot="1" x14ac:dyDescent="0.3">
      <c r="A1715" s="177" t="s">
        <v>108</v>
      </c>
      <c r="B1715" s="626">
        <f>B1718/B1714</f>
        <v>0.59508000000000005</v>
      </c>
      <c r="C1715" s="627"/>
      <c r="D1715" s="627"/>
      <c r="E1715" s="627"/>
      <c r="F1715" s="627"/>
      <c r="G1715" s="627"/>
      <c r="H1715" s="627"/>
      <c r="I1715" s="627"/>
      <c r="J1715" s="627"/>
      <c r="K1715" s="627"/>
      <c r="L1715" s="627"/>
      <c r="M1715" s="627"/>
      <c r="N1715" s="627"/>
      <c r="O1715" s="628"/>
      <c r="Q1715" s="182" t="s">
        <v>82</v>
      </c>
      <c r="R1715" s="183">
        <v>4</v>
      </c>
      <c r="S1715" s="184" t="s">
        <v>538</v>
      </c>
    </row>
    <row r="1716" spans="1:19" ht="15.75" thickBot="1" x14ac:dyDescent="0.3">
      <c r="A1716" s="177" t="s">
        <v>113</v>
      </c>
      <c r="B1716" s="629">
        <f>B1720*(B1724+B1725+I1724+I1725)/1000</f>
        <v>26.622</v>
      </c>
      <c r="C1716" s="630"/>
      <c r="D1716" s="630"/>
      <c r="E1716" s="630"/>
      <c r="F1716" s="630"/>
      <c r="G1716" s="630"/>
      <c r="H1716" s="630"/>
      <c r="I1716" s="630"/>
      <c r="J1716" s="630"/>
      <c r="K1716" s="630"/>
      <c r="L1716" s="630"/>
      <c r="M1716" s="630"/>
      <c r="N1716" s="630"/>
      <c r="O1716" s="631"/>
      <c r="Q1716" s="182" t="s">
        <v>152</v>
      </c>
      <c r="R1716" s="181">
        <v>7</v>
      </c>
      <c r="S1716" s="184" t="s">
        <v>519</v>
      </c>
    </row>
    <row r="1717" spans="1:19" ht="15.75" thickBot="1" x14ac:dyDescent="0.3">
      <c r="A1717" s="177" t="s">
        <v>109</v>
      </c>
      <c r="B1717" s="626">
        <v>0.71499999999999997</v>
      </c>
      <c r="C1717" s="627"/>
      <c r="D1717" s="627"/>
      <c r="E1717" s="627"/>
      <c r="F1717" s="627"/>
      <c r="G1717" s="627"/>
      <c r="H1717" s="627"/>
      <c r="I1717" s="627"/>
      <c r="J1717" s="627"/>
      <c r="K1717" s="627"/>
      <c r="L1717" s="627"/>
      <c r="M1717" s="627"/>
      <c r="N1717" s="627"/>
      <c r="O1717" s="628"/>
      <c r="Q1717" s="182" t="s">
        <v>154</v>
      </c>
      <c r="R1717" s="183">
        <v>3</v>
      </c>
      <c r="S1717" s="181" t="s">
        <v>536</v>
      </c>
    </row>
    <row r="1718" spans="1:19" ht="15.75" thickBot="1" x14ac:dyDescent="0.3">
      <c r="A1718" s="177" t="s">
        <v>122</v>
      </c>
      <c r="B1718" s="629">
        <f>B1716-(B1716*B1717)</f>
        <v>7.5872700000000002</v>
      </c>
      <c r="C1718" s="630"/>
      <c r="D1718" s="630"/>
      <c r="E1718" s="630"/>
      <c r="F1718" s="630"/>
      <c r="G1718" s="630"/>
      <c r="H1718" s="630"/>
      <c r="I1718" s="630"/>
      <c r="J1718" s="630"/>
      <c r="K1718" s="630"/>
      <c r="L1718" s="630"/>
      <c r="M1718" s="630"/>
      <c r="N1718" s="630"/>
      <c r="O1718" s="631"/>
      <c r="Q1718" s="182" t="s">
        <v>156</v>
      </c>
      <c r="R1718" s="183">
        <v>3</v>
      </c>
      <c r="S1718" s="181" t="s">
        <v>539</v>
      </c>
    </row>
    <row r="1719" spans="1:19" ht="15.75" thickBot="1" x14ac:dyDescent="0.3">
      <c r="A1719" s="177" t="s">
        <v>110</v>
      </c>
      <c r="B1719" s="632">
        <v>125</v>
      </c>
      <c r="C1719" s="633"/>
      <c r="D1719" s="633"/>
      <c r="E1719" s="633"/>
      <c r="F1719" s="633"/>
      <c r="G1719" s="633"/>
      <c r="H1719" s="633"/>
      <c r="I1719" s="633"/>
      <c r="J1719" s="633"/>
      <c r="K1719" s="633"/>
      <c r="L1719" s="633"/>
      <c r="M1719" s="633"/>
      <c r="N1719" s="633"/>
      <c r="O1719" s="634"/>
      <c r="Q1719" s="182" t="s">
        <v>158</v>
      </c>
      <c r="R1719" s="183"/>
      <c r="S1719" s="181"/>
    </row>
    <row r="1720" spans="1:19" ht="15.75" thickBot="1" x14ac:dyDescent="0.3">
      <c r="A1720" s="177" t="s">
        <v>111</v>
      </c>
      <c r="B1720" s="635">
        <v>14.5</v>
      </c>
      <c r="C1720" s="636"/>
      <c r="D1720" s="636"/>
      <c r="E1720" s="636"/>
      <c r="F1720" s="636"/>
      <c r="G1720" s="636"/>
      <c r="H1720" s="636"/>
      <c r="I1720" s="636"/>
      <c r="J1720" s="636"/>
      <c r="K1720" s="636"/>
      <c r="L1720" s="636"/>
      <c r="M1720" s="636"/>
      <c r="N1720" s="636"/>
      <c r="O1720" s="637"/>
      <c r="Q1720" s="185" t="s">
        <v>99</v>
      </c>
      <c r="R1720" s="181" t="s">
        <v>540</v>
      </c>
      <c r="S1720" s="186">
        <v>0.48499999999999999</v>
      </c>
    </row>
    <row r="1721" spans="1:19" x14ac:dyDescent="0.25">
      <c r="A1721" s="177" t="s">
        <v>273</v>
      </c>
      <c r="B1721" s="638" t="s">
        <v>472</v>
      </c>
      <c r="C1721" s="638"/>
      <c r="D1721" s="638"/>
      <c r="E1721" s="638"/>
      <c r="F1721" s="638"/>
      <c r="G1721" s="638"/>
      <c r="H1721" s="638"/>
      <c r="I1721" s="638"/>
      <c r="J1721" s="638"/>
      <c r="K1721" s="638"/>
      <c r="L1721" s="638"/>
      <c r="M1721" s="638"/>
      <c r="N1721" s="638"/>
      <c r="O1721" s="639"/>
    </row>
    <row r="1722" spans="1:19" x14ac:dyDescent="0.25">
      <c r="A1722" s="177" t="s">
        <v>351</v>
      </c>
      <c r="B1722" s="431"/>
      <c r="C1722" s="431"/>
      <c r="D1722" s="431"/>
      <c r="E1722" s="431"/>
      <c r="F1722" s="431"/>
      <c r="G1722" s="431"/>
      <c r="H1722" s="431"/>
      <c r="I1722" s="431"/>
      <c r="J1722" s="431"/>
      <c r="K1722" s="431"/>
      <c r="L1722" s="431"/>
      <c r="M1722" s="431"/>
      <c r="N1722" s="431"/>
      <c r="O1722" s="432"/>
      <c r="Q1722" s="10"/>
      <c r="R1722" s="8"/>
    </row>
    <row r="1723" spans="1:19" x14ac:dyDescent="0.25">
      <c r="B1723" s="307" t="s">
        <v>98</v>
      </c>
      <c r="C1723" s="365" t="s">
        <v>102</v>
      </c>
      <c r="D1723" s="365" t="s">
        <v>92</v>
      </c>
      <c r="E1723" s="365" t="s">
        <v>93</v>
      </c>
      <c r="F1723" s="365" t="s">
        <v>94</v>
      </c>
      <c r="G1723" s="365" t="s">
        <v>549</v>
      </c>
      <c r="H1723" s="359" t="s">
        <v>99</v>
      </c>
      <c r="I1723" s="307" t="s">
        <v>98</v>
      </c>
      <c r="J1723" s="365" t="s">
        <v>102</v>
      </c>
      <c r="K1723" s="365" t="s">
        <v>92</v>
      </c>
      <c r="L1723" s="365" t="s">
        <v>93</v>
      </c>
      <c r="M1723" s="365" t="s">
        <v>94</v>
      </c>
      <c r="N1723" s="365" t="s">
        <v>549</v>
      </c>
      <c r="O1723" s="359" t="s">
        <v>99</v>
      </c>
      <c r="Q1723" s="10"/>
      <c r="R1723" s="175"/>
    </row>
    <row r="1724" spans="1:19" x14ac:dyDescent="0.25">
      <c r="B1724" s="308">
        <v>804</v>
      </c>
      <c r="C1724" s="365" t="s">
        <v>95</v>
      </c>
      <c r="D1724" s="441">
        <v>668.36</v>
      </c>
      <c r="E1724" s="441">
        <v>646.53</v>
      </c>
      <c r="F1724" s="441">
        <v>151.44</v>
      </c>
      <c r="G1724" s="441">
        <v>203.76</v>
      </c>
      <c r="H1724" s="359">
        <f>SUM(D1724:G1724)</f>
        <v>1670.09</v>
      </c>
      <c r="I1724" s="308">
        <v>834</v>
      </c>
      <c r="J1724" s="365" t="s">
        <v>95</v>
      </c>
      <c r="K1724" s="441">
        <v>794.82</v>
      </c>
      <c r="L1724" s="441">
        <v>386.88</v>
      </c>
      <c r="M1724" s="441">
        <v>352.27</v>
      </c>
      <c r="N1724" s="441">
        <v>220.48</v>
      </c>
      <c r="O1724" s="359">
        <f>SUM(K1724:N1724)</f>
        <v>1754.45</v>
      </c>
      <c r="Q1724" s="10"/>
      <c r="R1724" s="175"/>
    </row>
    <row r="1725" spans="1:19" x14ac:dyDescent="0.25">
      <c r="B1725" s="308">
        <v>99</v>
      </c>
      <c r="C1725" s="365" t="s">
        <v>96</v>
      </c>
      <c r="D1725" s="441">
        <v>91.52</v>
      </c>
      <c r="E1725" s="441">
        <v>134.19</v>
      </c>
      <c r="F1725" s="441">
        <v>83.2</v>
      </c>
      <c r="G1725" s="441">
        <v>20.8</v>
      </c>
      <c r="H1725" s="359">
        <f t="shared" ref="H1725:H1731" si="217">SUM(D1725:G1725)</f>
        <v>329.71</v>
      </c>
      <c r="I1725" s="308">
        <v>99</v>
      </c>
      <c r="J1725" s="365" t="s">
        <v>96</v>
      </c>
      <c r="K1725" s="441">
        <v>107.44</v>
      </c>
      <c r="L1725" s="441">
        <v>20.8</v>
      </c>
      <c r="M1725" s="441">
        <v>16.64</v>
      </c>
      <c r="N1725" s="441">
        <v>0</v>
      </c>
      <c r="O1725" s="359">
        <f t="shared" ref="O1725:O1731" si="218">SUM(K1725:N1725)</f>
        <v>144.88</v>
      </c>
      <c r="Q1725" s="10"/>
      <c r="R1725" s="8"/>
    </row>
    <row r="1726" spans="1:19" x14ac:dyDescent="0.25">
      <c r="B1726" s="307" t="s">
        <v>100</v>
      </c>
      <c r="C1726" s="365" t="s">
        <v>95</v>
      </c>
      <c r="D1726" s="444">
        <f t="shared" ref="D1726:G1727" si="219">D1724/$B1724</f>
        <v>0.83129353233830849</v>
      </c>
      <c r="E1726" s="429">
        <f t="shared" si="219"/>
        <v>0.80414179104477612</v>
      </c>
      <c r="F1726" s="429">
        <f t="shared" si="219"/>
        <v>0.18835820895522387</v>
      </c>
      <c r="G1726" s="429">
        <f t="shared" si="219"/>
        <v>0.25343283582089549</v>
      </c>
      <c r="H1726" s="359">
        <f t="shared" si="217"/>
        <v>2.077226368159204</v>
      </c>
      <c r="I1726" s="307" t="s">
        <v>100</v>
      </c>
      <c r="J1726" s="365" t="s">
        <v>95</v>
      </c>
      <c r="K1726" s="444">
        <f t="shared" ref="K1726:N1727" si="220">K1724/$I1724</f>
        <v>0.95302158273381299</v>
      </c>
      <c r="L1726" s="429">
        <f t="shared" si="220"/>
        <v>0.46388489208633094</v>
      </c>
      <c r="M1726" s="429">
        <f t="shared" si="220"/>
        <v>0.4223860911270983</v>
      </c>
      <c r="N1726" s="429">
        <f t="shared" si="220"/>
        <v>0.26436450839328535</v>
      </c>
      <c r="O1726" s="359">
        <f t="shared" si="218"/>
        <v>2.1036570743405276</v>
      </c>
    </row>
    <row r="1727" spans="1:19" x14ac:dyDescent="0.25">
      <c r="B1727" s="307" t="s">
        <v>100</v>
      </c>
      <c r="C1727" s="438" t="s">
        <v>96</v>
      </c>
      <c r="D1727" s="359">
        <f t="shared" si="219"/>
        <v>0.9244444444444444</v>
      </c>
      <c r="E1727" s="359">
        <f t="shared" si="219"/>
        <v>1.3554545454545455</v>
      </c>
      <c r="F1727" s="359">
        <f t="shared" si="219"/>
        <v>0.84040404040404049</v>
      </c>
      <c r="G1727" s="359">
        <f t="shared" si="219"/>
        <v>0.21010101010101012</v>
      </c>
      <c r="H1727" s="359">
        <f t="shared" si="217"/>
        <v>3.3304040404040403</v>
      </c>
      <c r="I1727" s="307" t="s">
        <v>100</v>
      </c>
      <c r="J1727" s="438" t="s">
        <v>96</v>
      </c>
      <c r="K1727" s="359">
        <f t="shared" si="220"/>
        <v>1.0852525252525251</v>
      </c>
      <c r="L1727" s="359">
        <f t="shared" si="220"/>
        <v>0.21010101010101012</v>
      </c>
      <c r="M1727" s="359">
        <f t="shared" si="220"/>
        <v>0.16808080808080808</v>
      </c>
      <c r="N1727" s="359">
        <f t="shared" si="220"/>
        <v>0</v>
      </c>
      <c r="O1727" s="359">
        <f t="shared" si="218"/>
        <v>1.4634343434343433</v>
      </c>
    </row>
    <row r="1728" spans="1:19" x14ac:dyDescent="0.25">
      <c r="B1728" s="307" t="s">
        <v>104</v>
      </c>
      <c r="C1728" s="365" t="s">
        <v>95</v>
      </c>
      <c r="D1728" s="359">
        <f>D1724/($B1724/7.7)</f>
        <v>6.4009601990049747</v>
      </c>
      <c r="E1728" s="359">
        <f>E1724/($B1724/7)</f>
        <v>5.6289925373134322</v>
      </c>
      <c r="F1728" s="359">
        <f>F1724/($B1724/7)</f>
        <v>1.3185074626865672</v>
      </c>
      <c r="G1728" s="359">
        <f>G1724/($B1724/7)</f>
        <v>1.7740298507462686</v>
      </c>
      <c r="H1728" s="359">
        <f t="shared" si="217"/>
        <v>15.122490049751242</v>
      </c>
      <c r="I1728" s="307" t="s">
        <v>104</v>
      </c>
      <c r="J1728" s="365" t="s">
        <v>95</v>
      </c>
      <c r="K1728" s="359">
        <f>K1724/($I1724/7.7)</f>
        <v>7.33826618705036</v>
      </c>
      <c r="L1728" s="359">
        <f>L1724/($I1724/7)</f>
        <v>3.2471942446043167</v>
      </c>
      <c r="M1728" s="359">
        <f>M1724/($I1724/7)</f>
        <v>2.9567026378896881</v>
      </c>
      <c r="N1728" s="359">
        <f>N1724/($I1724/7)</f>
        <v>1.8505515587529975</v>
      </c>
      <c r="O1728" s="359">
        <f t="shared" si="218"/>
        <v>15.392714628297362</v>
      </c>
    </row>
    <row r="1729" spans="1:19" x14ac:dyDescent="0.25">
      <c r="B1729" s="307" t="s">
        <v>104</v>
      </c>
      <c r="C1729" s="438" t="s">
        <v>96</v>
      </c>
      <c r="D1729" s="359">
        <f>D1725/($B1725/7.7)</f>
        <v>7.1182222222222213</v>
      </c>
      <c r="E1729" s="359">
        <f>E1725/($B1725/7.7)</f>
        <v>10.436999999999999</v>
      </c>
      <c r="F1729" s="359">
        <f>F1725/($B1725/7.7)</f>
        <v>6.471111111111111</v>
      </c>
      <c r="G1729" s="359">
        <f>G1725/($B1725/7.7)</f>
        <v>1.6177777777777778</v>
      </c>
      <c r="H1729" s="359">
        <f t="shared" si="217"/>
        <v>25.644111111111108</v>
      </c>
      <c r="I1729" s="307" t="s">
        <v>104</v>
      </c>
      <c r="J1729" s="438" t="s">
        <v>96</v>
      </c>
      <c r="K1729" s="359">
        <f>K1725/($I1725/7.7)</f>
        <v>8.3564444444444437</v>
      </c>
      <c r="L1729" s="359">
        <f>L1725/($I1725/7.7)</f>
        <v>1.6177777777777778</v>
      </c>
      <c r="M1729" s="359">
        <f>M1725/($I1725/7.7)</f>
        <v>1.2942222222222222</v>
      </c>
      <c r="N1729" s="359">
        <f>N1725/($I1725/7.7)</f>
        <v>0</v>
      </c>
      <c r="O1729" s="359">
        <f t="shared" si="218"/>
        <v>11.268444444444444</v>
      </c>
    </row>
    <row r="1730" spans="1:19" x14ac:dyDescent="0.25">
      <c r="B1730" s="307" t="s">
        <v>135</v>
      </c>
      <c r="C1730" s="365" t="s">
        <v>95</v>
      </c>
      <c r="D1730" s="359">
        <f>D1724/((($B1724*$B1720)*(1-$B1717))/$B1715)</f>
        <v>0.11970626865671642</v>
      </c>
      <c r="E1730" s="359">
        <f>E1724/((($B1724*$B1720)*(1-$B1717))/$B1715)</f>
        <v>0.11579641791044776</v>
      </c>
      <c r="F1730" s="359">
        <f>F1724/((($B1724*$B1720)*(1-$B1717))/$B1715)</f>
        <v>2.7123582089552241E-2</v>
      </c>
      <c r="G1730" s="359">
        <f>G1724/((($B1724*$B1720)*(1-$B1717))/$B1715)</f>
        <v>3.6494328358208955E-2</v>
      </c>
      <c r="H1730" s="359">
        <f t="shared" si="217"/>
        <v>0.29912059701492533</v>
      </c>
      <c r="I1730" s="307" t="s">
        <v>135</v>
      </c>
      <c r="J1730" s="365" t="s">
        <v>95</v>
      </c>
      <c r="K1730" s="359">
        <f>K1724/((($I1724*$B1720)*(1-$B1717))/$B1715)</f>
        <v>0.13723510791366908</v>
      </c>
      <c r="L1730" s="359">
        <f>L1724/((($I1724*$B1720)*(1-$B1717))/$B1715)</f>
        <v>6.6799424460431647E-2</v>
      </c>
      <c r="M1730" s="359">
        <f>M1724/((($I1724*$B1720)*(1-$B1717))/$B1715)</f>
        <v>6.0823597122302155E-2</v>
      </c>
      <c r="N1730" s="359">
        <f>N1724/((($I1724*$B1720)*(1-$B1717))/$B1715)</f>
        <v>3.8068489208633087E-2</v>
      </c>
      <c r="O1730" s="359">
        <f t="shared" si="218"/>
        <v>0.30292661870503601</v>
      </c>
    </row>
    <row r="1731" spans="1:19" x14ac:dyDescent="0.25">
      <c r="B1731" s="307" t="s">
        <v>135</v>
      </c>
      <c r="C1731" s="438" t="s">
        <v>96</v>
      </c>
      <c r="D1731" s="359">
        <f>D1725/((($B1725*$B1720)*(1-$B1717))/$B1715)</f>
        <v>0.13311999999999999</v>
      </c>
      <c r="E1731" s="359">
        <f>E1725/((($B1725*$B1720)*(1-$B1717))/$B1715)</f>
        <v>0.19518545454545455</v>
      </c>
      <c r="F1731" s="359">
        <f>F1725/((($B1725*$B1720)*(1-$B1717))/$B1715)</f>
        <v>0.12101818181818182</v>
      </c>
      <c r="G1731" s="359">
        <f>G1725/((($B1725*$B1720)*(1-$B1717))/$B1715)</f>
        <v>3.0254545454545454E-2</v>
      </c>
      <c r="H1731" s="359">
        <f t="shared" si="217"/>
        <v>0.47957818181818185</v>
      </c>
      <c r="I1731" s="307" t="s">
        <v>135</v>
      </c>
      <c r="J1731" s="438" t="s">
        <v>96</v>
      </c>
      <c r="K1731" s="359">
        <f>K1725/((($I1725*$B1720)*(1-$B1717))/$B1715)</f>
        <v>0.15627636363636363</v>
      </c>
      <c r="L1731" s="359">
        <f>L1725/((($I1725*$B1720)*(1-$B1717))/$B1715)</f>
        <v>3.0254545454545454E-2</v>
      </c>
      <c r="M1731" s="359">
        <f>M1725/((($I1725*$B1720)*(1-$B1717))/$B1715)</f>
        <v>2.4203636363636365E-2</v>
      </c>
      <c r="N1731" s="359">
        <f>N1725/((($I1725*$B1720)*(1-$B1717))/$B1715)</f>
        <v>0</v>
      </c>
      <c r="O1731" s="359">
        <f t="shared" si="218"/>
        <v>0.21073454545454545</v>
      </c>
    </row>
    <row r="1732" spans="1:19" x14ac:dyDescent="0.25">
      <c r="A1732" s="178"/>
      <c r="B1732" s="178"/>
      <c r="C1732" s="178"/>
      <c r="D1732" s="178"/>
      <c r="E1732" s="178"/>
      <c r="F1732" s="178"/>
      <c r="G1732" s="178"/>
      <c r="H1732" s="178"/>
      <c r="I1732" s="178"/>
      <c r="J1732" s="178"/>
      <c r="K1732" s="178"/>
      <c r="L1732" s="178"/>
      <c r="M1732" s="178"/>
      <c r="N1732" s="178"/>
      <c r="O1732" s="178"/>
    </row>
    <row r="1733" spans="1:19" ht="21.75" thickBot="1" x14ac:dyDescent="0.3">
      <c r="A1733" s="305"/>
      <c r="B1733" s="644" t="s">
        <v>500</v>
      </c>
      <c r="C1733" s="645"/>
      <c r="D1733" s="645"/>
      <c r="E1733" s="645"/>
      <c r="F1733" s="645"/>
      <c r="G1733" s="645"/>
      <c r="H1733" s="645"/>
      <c r="I1733" s="645"/>
      <c r="J1733" s="645"/>
      <c r="K1733" s="645"/>
      <c r="L1733" s="645"/>
      <c r="M1733" s="645"/>
      <c r="N1733" s="645"/>
      <c r="O1733" s="646"/>
    </row>
    <row r="1734" spans="1:19" ht="21" x14ac:dyDescent="0.25">
      <c r="A1734" s="177" t="s">
        <v>285</v>
      </c>
      <c r="B1734" s="647">
        <v>44333</v>
      </c>
      <c r="C1734" s="648"/>
      <c r="D1734" s="648"/>
      <c r="E1734" s="648"/>
      <c r="F1734" s="648"/>
      <c r="G1734" s="648"/>
      <c r="H1734" s="648"/>
      <c r="I1734" s="648"/>
      <c r="J1734" s="648"/>
      <c r="K1734" s="648"/>
      <c r="L1734" s="648"/>
      <c r="M1734" s="648"/>
      <c r="N1734" s="648"/>
      <c r="O1734" s="649"/>
      <c r="Q1734" s="662" t="s">
        <v>139</v>
      </c>
      <c r="R1734" s="176" t="s">
        <v>140</v>
      </c>
      <c r="S1734" s="663" t="s">
        <v>142</v>
      </c>
    </row>
    <row r="1735" spans="1:19" ht="15.75" thickBot="1" x14ac:dyDescent="0.3">
      <c r="A1735" s="177"/>
      <c r="B1735" s="650" t="s">
        <v>115</v>
      </c>
      <c r="C1735" s="651"/>
      <c r="D1735" s="651"/>
      <c r="E1735" s="651"/>
      <c r="F1735" s="651"/>
      <c r="G1735" s="651"/>
      <c r="H1735" s="651"/>
      <c r="I1735" s="651"/>
      <c r="J1735" s="651"/>
      <c r="K1735" s="651"/>
      <c r="L1735" s="651"/>
      <c r="M1735" s="651"/>
      <c r="N1735" s="651"/>
      <c r="O1735" s="652"/>
      <c r="Q1735" s="641"/>
      <c r="R1735" s="87" t="s">
        <v>141</v>
      </c>
      <c r="S1735" s="643"/>
    </row>
    <row r="1736" spans="1:19" ht="15.75" thickBot="1" x14ac:dyDescent="0.3">
      <c r="A1736" s="177" t="s">
        <v>106</v>
      </c>
      <c r="B1736" s="629">
        <v>21</v>
      </c>
      <c r="C1736" s="630"/>
      <c r="D1736" s="630"/>
      <c r="E1736" s="631"/>
      <c r="F1736" s="365" t="s">
        <v>174</v>
      </c>
      <c r="G1736" s="471"/>
      <c r="H1736" s="653">
        <v>0</v>
      </c>
      <c r="I1736" s="654"/>
      <c r="J1736" s="654"/>
      <c r="K1736" s="654"/>
      <c r="L1736" s="655"/>
      <c r="M1736" s="656">
        <f>SUM(B1736,H1737)</f>
        <v>21</v>
      </c>
      <c r="N1736" s="630"/>
      <c r="O1736" s="631"/>
      <c r="Q1736" s="147" t="s">
        <v>143</v>
      </c>
      <c r="R1736" s="88">
        <v>8.5</v>
      </c>
      <c r="S1736" s="87" t="s">
        <v>517</v>
      </c>
    </row>
    <row r="1737" spans="1:19" ht="15.75" thickBot="1" x14ac:dyDescent="0.3">
      <c r="A1737" s="177" t="s">
        <v>112</v>
      </c>
      <c r="B1737" s="626">
        <v>0.2</v>
      </c>
      <c r="C1737" s="627"/>
      <c r="D1737" s="627"/>
      <c r="E1737" s="628"/>
      <c r="F1737" s="290"/>
      <c r="G1737" s="472"/>
      <c r="H1737" s="626">
        <v>0</v>
      </c>
      <c r="I1737" s="627"/>
      <c r="J1737" s="627"/>
      <c r="K1737" s="627"/>
      <c r="L1737" s="628"/>
      <c r="M1737" s="657">
        <f>B1737</f>
        <v>0.2</v>
      </c>
      <c r="N1737" s="627"/>
      <c r="O1737" s="628"/>
      <c r="Q1737" s="147" t="s">
        <v>145</v>
      </c>
      <c r="R1737" s="88">
        <v>7.5</v>
      </c>
      <c r="S1737" s="89" t="s">
        <v>478</v>
      </c>
    </row>
    <row r="1738" spans="1:19" ht="15.75" thickBot="1" x14ac:dyDescent="0.3">
      <c r="A1738" s="177" t="s">
        <v>107</v>
      </c>
      <c r="B1738" s="629">
        <f>B1736*(1-B1737)</f>
        <v>16.8</v>
      </c>
      <c r="C1738" s="630"/>
      <c r="D1738" s="630"/>
      <c r="E1738" s="631"/>
      <c r="F1738" s="290"/>
      <c r="G1738" s="472"/>
      <c r="H1738" s="629">
        <f>H1736*(1-H1737)</f>
        <v>0</v>
      </c>
      <c r="I1738" s="630"/>
      <c r="J1738" s="630"/>
      <c r="K1738" s="630"/>
      <c r="L1738" s="631"/>
      <c r="M1738" s="656">
        <f>SUM(B1738,H1738)</f>
        <v>16.8</v>
      </c>
      <c r="N1738" s="630"/>
      <c r="O1738" s="631"/>
      <c r="Q1738" s="147" t="s">
        <v>147</v>
      </c>
      <c r="R1738" s="88">
        <v>9</v>
      </c>
      <c r="S1738" s="87" t="s">
        <v>411</v>
      </c>
    </row>
    <row r="1739" spans="1:19" ht="29.25" thickBot="1" x14ac:dyDescent="0.3">
      <c r="A1739" s="177" t="s">
        <v>108</v>
      </c>
      <c r="B1739" s="626">
        <f>B1742/B1738</f>
        <v>0.60575476190476196</v>
      </c>
      <c r="C1739" s="627"/>
      <c r="D1739" s="627"/>
      <c r="E1739" s="627"/>
      <c r="F1739" s="627"/>
      <c r="G1739" s="627"/>
      <c r="H1739" s="627"/>
      <c r="I1739" s="627"/>
      <c r="J1739" s="627"/>
      <c r="K1739" s="627"/>
      <c r="L1739" s="627"/>
      <c r="M1739" s="627"/>
      <c r="N1739" s="627"/>
      <c r="O1739" s="628"/>
      <c r="Q1739" s="147" t="s">
        <v>82</v>
      </c>
      <c r="R1739" s="88">
        <v>9</v>
      </c>
      <c r="S1739" s="89" t="s">
        <v>527</v>
      </c>
    </row>
    <row r="1740" spans="1:19" ht="15.75" thickBot="1" x14ac:dyDescent="0.3">
      <c r="A1740" s="177" t="s">
        <v>113</v>
      </c>
      <c r="B1740" s="629">
        <f>B1744*(B1748+B1749+I1748+I1749)/1000</f>
        <v>32.828000000000003</v>
      </c>
      <c r="C1740" s="630"/>
      <c r="D1740" s="630"/>
      <c r="E1740" s="630"/>
      <c r="F1740" s="630"/>
      <c r="G1740" s="630"/>
      <c r="H1740" s="630"/>
      <c r="I1740" s="630"/>
      <c r="J1740" s="630"/>
      <c r="K1740" s="630"/>
      <c r="L1740" s="630"/>
      <c r="M1740" s="630"/>
      <c r="N1740" s="630"/>
      <c r="O1740" s="631"/>
      <c r="Q1740" s="147" t="s">
        <v>152</v>
      </c>
      <c r="R1740" s="88">
        <v>8</v>
      </c>
      <c r="S1740" s="89" t="s">
        <v>519</v>
      </c>
    </row>
    <row r="1741" spans="1:19" ht="15.75" thickBot="1" x14ac:dyDescent="0.3">
      <c r="A1741" s="177" t="s">
        <v>109</v>
      </c>
      <c r="B1741" s="626">
        <v>0.69</v>
      </c>
      <c r="C1741" s="627"/>
      <c r="D1741" s="627"/>
      <c r="E1741" s="627"/>
      <c r="F1741" s="627"/>
      <c r="G1741" s="627"/>
      <c r="H1741" s="627"/>
      <c r="I1741" s="627"/>
      <c r="J1741" s="627"/>
      <c r="K1741" s="627"/>
      <c r="L1741" s="627"/>
      <c r="M1741" s="627"/>
      <c r="N1741" s="627"/>
      <c r="O1741" s="628"/>
      <c r="Q1741" s="147" t="s">
        <v>154</v>
      </c>
      <c r="R1741" s="88">
        <v>9</v>
      </c>
      <c r="S1741" s="87" t="s">
        <v>520</v>
      </c>
    </row>
    <row r="1742" spans="1:19" ht="29.25" thickBot="1" x14ac:dyDescent="0.3">
      <c r="A1742" s="177" t="s">
        <v>122</v>
      </c>
      <c r="B1742" s="629">
        <f>B1740-(B1740*B1741)</f>
        <v>10.176680000000001</v>
      </c>
      <c r="C1742" s="630"/>
      <c r="D1742" s="630"/>
      <c r="E1742" s="630"/>
      <c r="F1742" s="630"/>
      <c r="G1742" s="630"/>
      <c r="H1742" s="630"/>
      <c r="I1742" s="630"/>
      <c r="J1742" s="630"/>
      <c r="K1742" s="630"/>
      <c r="L1742" s="630"/>
      <c r="M1742" s="630"/>
      <c r="N1742" s="630"/>
      <c r="O1742" s="631"/>
      <c r="Q1742" s="147" t="s">
        <v>156</v>
      </c>
      <c r="R1742" s="88">
        <v>9</v>
      </c>
      <c r="S1742" s="87" t="s">
        <v>480</v>
      </c>
    </row>
    <row r="1743" spans="1:19" ht="15.75" thickBot="1" x14ac:dyDescent="0.3">
      <c r="A1743" s="177" t="s">
        <v>110</v>
      </c>
      <c r="B1743" s="632">
        <v>125</v>
      </c>
      <c r="C1743" s="633"/>
      <c r="D1743" s="633"/>
      <c r="E1743" s="633"/>
      <c r="F1743" s="633"/>
      <c r="G1743" s="633"/>
      <c r="H1743" s="633"/>
      <c r="I1743" s="633"/>
      <c r="J1743" s="633"/>
      <c r="K1743" s="633"/>
      <c r="L1743" s="633"/>
      <c r="M1743" s="633"/>
      <c r="N1743" s="633"/>
      <c r="O1743" s="634"/>
      <c r="Q1743" s="147" t="s">
        <v>158</v>
      </c>
      <c r="R1743" s="88"/>
      <c r="S1743" s="87"/>
    </row>
    <row r="1744" spans="1:19" ht="15.75" thickBot="1" x14ac:dyDescent="0.3">
      <c r="A1744" s="177" t="s">
        <v>111</v>
      </c>
      <c r="B1744" s="635">
        <v>14.5</v>
      </c>
      <c r="C1744" s="636"/>
      <c r="D1744" s="636"/>
      <c r="E1744" s="636"/>
      <c r="F1744" s="636"/>
      <c r="G1744" s="636"/>
      <c r="H1744" s="636"/>
      <c r="I1744" s="636"/>
      <c r="J1744" s="636"/>
      <c r="K1744" s="636"/>
      <c r="L1744" s="636"/>
      <c r="M1744" s="636"/>
      <c r="N1744" s="636"/>
      <c r="O1744" s="637"/>
      <c r="Q1744" s="174" t="s">
        <v>99</v>
      </c>
      <c r="R1744" s="87" t="s">
        <v>541</v>
      </c>
      <c r="S1744" s="117">
        <v>0.85699999999999998</v>
      </c>
    </row>
    <row r="1745" spans="1:19" x14ac:dyDescent="0.25">
      <c r="A1745" s="177" t="s">
        <v>273</v>
      </c>
      <c r="B1745" s="638" t="s">
        <v>472</v>
      </c>
      <c r="C1745" s="638"/>
      <c r="D1745" s="638"/>
      <c r="E1745" s="638"/>
      <c r="F1745" s="638"/>
      <c r="G1745" s="638"/>
      <c r="H1745" s="638"/>
      <c r="I1745" s="638"/>
      <c r="J1745" s="638"/>
      <c r="K1745" s="638"/>
      <c r="L1745" s="638"/>
      <c r="M1745" s="638"/>
      <c r="N1745" s="638"/>
      <c r="O1745" s="639"/>
    </row>
    <row r="1746" spans="1:19" x14ac:dyDescent="0.25">
      <c r="A1746" s="177" t="s">
        <v>351</v>
      </c>
      <c r="B1746" s="431"/>
      <c r="C1746" s="431"/>
      <c r="D1746" s="431"/>
      <c r="E1746" s="431"/>
      <c r="F1746" s="431"/>
      <c r="G1746" s="431"/>
      <c r="H1746" s="431"/>
      <c r="I1746" s="431"/>
      <c r="J1746" s="431"/>
      <c r="K1746" s="431"/>
      <c r="L1746" s="431"/>
      <c r="M1746" s="431"/>
      <c r="N1746" s="431"/>
      <c r="O1746" s="432"/>
    </row>
    <row r="1747" spans="1:19" x14ac:dyDescent="0.25">
      <c r="B1747" s="307" t="s">
        <v>98</v>
      </c>
      <c r="C1747" s="365" t="s">
        <v>102</v>
      </c>
      <c r="D1747" s="365" t="s">
        <v>92</v>
      </c>
      <c r="E1747" s="365" t="s">
        <v>93</v>
      </c>
      <c r="F1747" s="365" t="s">
        <v>94</v>
      </c>
      <c r="G1747" s="365" t="s">
        <v>549</v>
      </c>
      <c r="H1747" s="359" t="s">
        <v>99</v>
      </c>
      <c r="I1747" s="307" t="s">
        <v>98</v>
      </c>
      <c r="J1747" s="365" t="s">
        <v>102</v>
      </c>
      <c r="K1747" s="365" t="s">
        <v>92</v>
      </c>
      <c r="L1747" s="365" t="s">
        <v>93</v>
      </c>
      <c r="M1747" s="365" t="s">
        <v>94</v>
      </c>
      <c r="N1747" s="365" t="s">
        <v>549</v>
      </c>
      <c r="O1747" s="359" t="s">
        <v>99</v>
      </c>
    </row>
    <row r="1748" spans="1:19" x14ac:dyDescent="0.25">
      <c r="B1748" s="308">
        <v>973</v>
      </c>
      <c r="C1748" s="365" t="s">
        <v>95</v>
      </c>
      <c r="D1748" s="441">
        <v>1019.64</v>
      </c>
      <c r="E1748" s="441">
        <v>752.57</v>
      </c>
      <c r="F1748" s="441">
        <v>363.89</v>
      </c>
      <c r="G1748" s="441">
        <v>88.4</v>
      </c>
      <c r="H1748" s="359">
        <f>SUM(D1748:G1748)</f>
        <v>2224.5</v>
      </c>
      <c r="I1748" s="308">
        <v>966</v>
      </c>
      <c r="J1748" s="365" t="s">
        <v>95</v>
      </c>
      <c r="K1748" s="441">
        <v>780.52</v>
      </c>
      <c r="L1748" s="441">
        <v>1375.34</v>
      </c>
      <c r="M1748" s="441">
        <v>282.76</v>
      </c>
      <c r="N1748" s="441">
        <v>263.27999999999997</v>
      </c>
      <c r="O1748" s="359">
        <f>SUM(K1748:N1748)</f>
        <v>2701.8999999999996</v>
      </c>
      <c r="Q1748" s="10"/>
      <c r="R1748" s="8"/>
    </row>
    <row r="1749" spans="1:19" x14ac:dyDescent="0.25">
      <c r="B1749" s="308">
        <v>163</v>
      </c>
      <c r="C1749" s="365" t="s">
        <v>96</v>
      </c>
      <c r="D1749" s="441">
        <v>186.44</v>
      </c>
      <c r="E1749" s="441">
        <v>33.78</v>
      </c>
      <c r="F1749" s="441">
        <v>43.42</v>
      </c>
      <c r="G1749" s="441">
        <v>16.64</v>
      </c>
      <c r="H1749" s="359">
        <f t="shared" ref="H1749:H1755" si="221">SUM(D1749:G1749)</f>
        <v>280.27999999999997</v>
      </c>
      <c r="I1749" s="308">
        <v>162</v>
      </c>
      <c r="J1749" s="365" t="s">
        <v>96</v>
      </c>
      <c r="K1749" s="441">
        <v>118.94</v>
      </c>
      <c r="L1749" s="441">
        <v>218.4</v>
      </c>
      <c r="M1749" s="441">
        <v>64.680000000000007</v>
      </c>
      <c r="N1749" s="441">
        <v>75.95</v>
      </c>
      <c r="O1749" s="359">
        <f t="shared" ref="O1749:O1755" si="222">SUM(K1749:N1749)</f>
        <v>477.97</v>
      </c>
      <c r="Q1749" s="10"/>
      <c r="R1749" s="175"/>
    </row>
    <row r="1750" spans="1:19" x14ac:dyDescent="0.25">
      <c r="B1750" s="307" t="s">
        <v>100</v>
      </c>
      <c r="C1750" s="365" t="s">
        <v>95</v>
      </c>
      <c r="D1750" s="444">
        <f t="shared" ref="D1750:G1751" si="223">D1748/$B1748</f>
        <v>1.0479342240493319</v>
      </c>
      <c r="E1750" s="429">
        <f t="shared" si="223"/>
        <v>0.77345323741007199</v>
      </c>
      <c r="F1750" s="429">
        <f t="shared" si="223"/>
        <v>0.37398766700924974</v>
      </c>
      <c r="G1750" s="429">
        <f t="shared" si="223"/>
        <v>9.0853031860226113E-2</v>
      </c>
      <c r="H1750" s="359">
        <f t="shared" si="221"/>
        <v>2.2862281603288799</v>
      </c>
      <c r="I1750" s="307" t="s">
        <v>100</v>
      </c>
      <c r="J1750" s="365" t="s">
        <v>95</v>
      </c>
      <c r="K1750" s="444">
        <f t="shared" ref="K1750:N1751" si="224">K1748/$I1748</f>
        <v>0.80799171842650097</v>
      </c>
      <c r="L1750" s="429">
        <f t="shared" si="224"/>
        <v>1.4237474120082816</v>
      </c>
      <c r="M1750" s="429">
        <f t="shared" si="224"/>
        <v>0.29271221532091096</v>
      </c>
      <c r="N1750" s="429">
        <f t="shared" si="224"/>
        <v>0.27254658385093167</v>
      </c>
      <c r="O1750" s="359">
        <f t="shared" si="222"/>
        <v>2.7969979296066252</v>
      </c>
      <c r="Q1750" s="10"/>
      <c r="R1750" s="8"/>
    </row>
    <row r="1751" spans="1:19" x14ac:dyDescent="0.25">
      <c r="B1751" s="307" t="s">
        <v>100</v>
      </c>
      <c r="C1751" s="438" t="s">
        <v>96</v>
      </c>
      <c r="D1751" s="359">
        <f t="shared" si="223"/>
        <v>1.143803680981595</v>
      </c>
      <c r="E1751" s="359">
        <f t="shared" si="223"/>
        <v>0.20723926380368099</v>
      </c>
      <c r="F1751" s="359">
        <f t="shared" si="223"/>
        <v>0.26638036809815951</v>
      </c>
      <c r="G1751" s="359">
        <f t="shared" si="223"/>
        <v>0.10208588957055215</v>
      </c>
      <c r="H1751" s="359">
        <f t="shared" si="221"/>
        <v>1.7195092024539878</v>
      </c>
      <c r="I1751" s="307" t="s">
        <v>100</v>
      </c>
      <c r="J1751" s="438" t="s">
        <v>96</v>
      </c>
      <c r="K1751" s="359">
        <f t="shared" si="224"/>
        <v>0.73419753086419748</v>
      </c>
      <c r="L1751" s="359">
        <f t="shared" si="224"/>
        <v>1.3481481481481481</v>
      </c>
      <c r="M1751" s="359">
        <f t="shared" si="224"/>
        <v>0.39925925925925931</v>
      </c>
      <c r="N1751" s="359">
        <f t="shared" si="224"/>
        <v>0.46882716049382717</v>
      </c>
      <c r="O1751" s="359">
        <f t="shared" si="222"/>
        <v>2.950432098765432</v>
      </c>
      <c r="Q1751" s="10"/>
      <c r="R1751" s="8"/>
    </row>
    <row r="1752" spans="1:19" x14ac:dyDescent="0.25">
      <c r="B1752" s="307" t="s">
        <v>104</v>
      </c>
      <c r="C1752" s="365" t="s">
        <v>95</v>
      </c>
      <c r="D1752" s="359">
        <f>D1748/($B1748/7.7)</f>
        <v>8.0690935251798557</v>
      </c>
      <c r="E1752" s="359">
        <f>E1748/($B1748/7)</f>
        <v>5.4141726618705039</v>
      </c>
      <c r="F1752" s="359">
        <f>F1748/($B1748/7)</f>
        <v>2.6179136690647482</v>
      </c>
      <c r="G1752" s="359">
        <f>G1748/($B1748/7)</f>
        <v>0.63597122302158282</v>
      </c>
      <c r="H1752" s="359">
        <f t="shared" si="221"/>
        <v>16.737151079136691</v>
      </c>
      <c r="I1752" s="307" t="s">
        <v>104</v>
      </c>
      <c r="J1752" s="365" t="s">
        <v>95</v>
      </c>
      <c r="K1752" s="359">
        <f>K1748/($I1748/7.7)</f>
        <v>6.2215362318840581</v>
      </c>
      <c r="L1752" s="359">
        <f>L1748/($I1748/7)</f>
        <v>9.9662318840579704</v>
      </c>
      <c r="M1752" s="359">
        <f>M1748/($I1748/7)</f>
        <v>2.048985507246377</v>
      </c>
      <c r="N1752" s="359">
        <f>N1748/($I1748/7)</f>
        <v>1.9078260869565216</v>
      </c>
      <c r="O1752" s="359">
        <f t="shared" si="222"/>
        <v>20.144579710144928</v>
      </c>
    </row>
    <row r="1753" spans="1:19" x14ac:dyDescent="0.25">
      <c r="B1753" s="307" t="s">
        <v>104</v>
      </c>
      <c r="C1753" s="438" t="s">
        <v>96</v>
      </c>
      <c r="D1753" s="359">
        <f>D1749/($B1749/7.7)</f>
        <v>8.8072883435582821</v>
      </c>
      <c r="E1753" s="359">
        <f>E1749/($B1749/7.7)</f>
        <v>1.5957423312883436</v>
      </c>
      <c r="F1753" s="359">
        <f>F1749/($B1749/7.7)</f>
        <v>2.0511288343558283</v>
      </c>
      <c r="G1753" s="359">
        <f>G1749/($B1749/7.7)</f>
        <v>0.78606134969325159</v>
      </c>
      <c r="H1753" s="359">
        <f t="shared" si="221"/>
        <v>13.240220858895707</v>
      </c>
      <c r="I1753" s="307" t="s">
        <v>104</v>
      </c>
      <c r="J1753" s="438" t="s">
        <v>96</v>
      </c>
      <c r="K1753" s="359">
        <f>K1749/($I1749/7.7)</f>
        <v>5.6533209876543209</v>
      </c>
      <c r="L1753" s="359">
        <f>L1749/($I1749/7.7)</f>
        <v>10.380740740740741</v>
      </c>
      <c r="M1753" s="359">
        <f>M1749/($I1749/7.7)</f>
        <v>3.0742962962962967</v>
      </c>
      <c r="N1753" s="359">
        <f>N1749/($I1749/7.7)</f>
        <v>3.6099691358024697</v>
      </c>
      <c r="O1753" s="359">
        <f t="shared" si="222"/>
        <v>22.718327160493828</v>
      </c>
    </row>
    <row r="1754" spans="1:19" x14ac:dyDescent="0.25">
      <c r="B1754" s="307" t="s">
        <v>135</v>
      </c>
      <c r="C1754" s="365" t="s">
        <v>95</v>
      </c>
      <c r="D1754" s="359">
        <f>D1748/((($B1748*$B1744)*(1-$B1741))/$B1739)</f>
        <v>0.14122161209807663</v>
      </c>
      <c r="E1754" s="359">
        <f>E1748/((($B1748*$B1744)*(1-$B1741))/$B1739)</f>
        <v>0.10423203151764301</v>
      </c>
      <c r="F1754" s="359">
        <f>F1748/((($B1748*$B1744)*(1-$B1741))/$B1739)</f>
        <v>5.0399290363627454E-2</v>
      </c>
      <c r="G1754" s="359">
        <f>G1748/((($B1748*$B1744)*(1-$B1741))/$B1739)</f>
        <v>1.2243527626878088E-2</v>
      </c>
      <c r="H1754" s="359">
        <f t="shared" si="221"/>
        <v>0.30809646160622517</v>
      </c>
      <c r="I1754" s="307" t="s">
        <v>135</v>
      </c>
      <c r="J1754" s="365" t="s">
        <v>95</v>
      </c>
      <c r="K1754" s="359">
        <f>K1748/((($I1748*$B1744)*(1-$B1741))/$B1739)</f>
        <v>0.1088865030069999</v>
      </c>
      <c r="L1754" s="359">
        <f>L1748/((($I1748*$B1744)*(1-$B1741))/$B1739)</f>
        <v>0.19186691314206838</v>
      </c>
      <c r="M1754" s="359">
        <f>M1748/((($I1748*$B1744)*(1-$B1741))/$B1739)</f>
        <v>3.9446455683722757E-2</v>
      </c>
      <c r="N1754" s="359">
        <f>N1748/((($I1748*$B1744)*(1-$B1741))/$B1739)</f>
        <v>3.6728896776101735E-2</v>
      </c>
      <c r="O1754" s="359">
        <f t="shared" si="222"/>
        <v>0.37692876860889274</v>
      </c>
    </row>
    <row r="1755" spans="1:19" x14ac:dyDescent="0.25">
      <c r="B1755" s="307" t="s">
        <v>135</v>
      </c>
      <c r="C1755" s="438" t="s">
        <v>96</v>
      </c>
      <c r="D1755" s="359">
        <f>D1749/((($B1749*$B1744)*(1-$B1741))/$B1739)</f>
        <v>0.15414116272275777</v>
      </c>
      <c r="E1755" s="359">
        <f>E1749/((($B1749*$B1744)*(1-$B1741))/$B1739)</f>
        <v>2.7927957931638908E-2</v>
      </c>
      <c r="F1755" s="359">
        <f>F1749/((($B1749*$B1744)*(1-$B1741))/$B1739)</f>
        <v>3.5897925796085299E-2</v>
      </c>
      <c r="G1755" s="359">
        <f>G1749/((($B1749*$B1744)*(1-$B1741))/$B1739)</f>
        <v>1.3757288927841073E-2</v>
      </c>
      <c r="H1755" s="359">
        <f t="shared" si="221"/>
        <v>0.23172433537832304</v>
      </c>
      <c r="I1755" s="307" t="s">
        <v>135</v>
      </c>
      <c r="J1755" s="438" t="s">
        <v>96</v>
      </c>
      <c r="K1755" s="359">
        <f>K1749/((($I1749*$B1744)*(1-$B1741))/$B1739)</f>
        <v>9.8941857730746596E-2</v>
      </c>
      <c r="L1755" s="359">
        <f>L1749/((($I1749*$B1744)*(1-$B1741))/$B1739)</f>
        <v>0.18167901234567899</v>
      </c>
      <c r="M1755" s="359">
        <f>M1749/((($I1749*$B1744)*(1-$B1741))/$B1739)</f>
        <v>5.3804938271604937E-2</v>
      </c>
      <c r="N1755" s="359">
        <f>N1749/((($I1749*$B1744)*(1-$B1741))/$B1739)</f>
        <v>6.3180041152263361E-2</v>
      </c>
      <c r="O1755" s="359">
        <f t="shared" si="222"/>
        <v>0.39760584950029387</v>
      </c>
    </row>
    <row r="1756" spans="1:19" x14ac:dyDescent="0.25">
      <c r="A1756" s="178"/>
      <c r="B1756" s="178"/>
      <c r="C1756" s="178"/>
      <c r="D1756" s="178"/>
      <c r="E1756" s="178"/>
      <c r="F1756" s="178"/>
      <c r="G1756" s="178"/>
      <c r="H1756" s="178"/>
      <c r="I1756" s="178"/>
      <c r="J1756" s="178"/>
      <c r="K1756" s="178"/>
      <c r="L1756" s="178"/>
      <c r="M1756" s="178"/>
      <c r="N1756" s="178"/>
      <c r="O1756" s="178"/>
    </row>
    <row r="1757" spans="1:19" ht="21.75" thickBot="1" x14ac:dyDescent="0.3">
      <c r="A1757" s="305"/>
      <c r="B1757" s="644" t="s">
        <v>501</v>
      </c>
      <c r="C1757" s="645"/>
      <c r="D1757" s="645"/>
      <c r="E1757" s="645"/>
      <c r="F1757" s="645"/>
      <c r="G1757" s="645"/>
      <c r="H1757" s="645"/>
      <c r="I1757" s="645"/>
      <c r="J1757" s="645"/>
      <c r="K1757" s="645"/>
      <c r="L1757" s="645"/>
      <c r="M1757" s="645"/>
      <c r="N1757" s="645"/>
      <c r="O1757" s="646"/>
    </row>
    <row r="1758" spans="1:19" ht="21" x14ac:dyDescent="0.25">
      <c r="A1758" s="177" t="s">
        <v>285</v>
      </c>
      <c r="B1758" s="647">
        <v>44347</v>
      </c>
      <c r="C1758" s="648"/>
      <c r="D1758" s="648"/>
      <c r="E1758" s="648"/>
      <c r="F1758" s="648"/>
      <c r="G1758" s="648"/>
      <c r="H1758" s="648"/>
      <c r="I1758" s="648"/>
      <c r="J1758" s="648"/>
      <c r="K1758" s="648"/>
      <c r="L1758" s="648"/>
      <c r="M1758" s="648"/>
      <c r="N1758" s="648"/>
      <c r="O1758" s="649"/>
      <c r="Q1758" s="662" t="s">
        <v>139</v>
      </c>
      <c r="R1758" s="176" t="s">
        <v>140</v>
      </c>
      <c r="S1758" s="663" t="s">
        <v>142</v>
      </c>
    </row>
    <row r="1759" spans="1:19" ht="15.75" thickBot="1" x14ac:dyDescent="0.3">
      <c r="A1759" s="177"/>
      <c r="B1759" s="650" t="s">
        <v>115</v>
      </c>
      <c r="C1759" s="651"/>
      <c r="D1759" s="651"/>
      <c r="E1759" s="651"/>
      <c r="F1759" s="651"/>
      <c r="G1759" s="651"/>
      <c r="H1759" s="651"/>
      <c r="I1759" s="651"/>
      <c r="J1759" s="651"/>
      <c r="K1759" s="651"/>
      <c r="L1759" s="651"/>
      <c r="M1759" s="651"/>
      <c r="N1759" s="651"/>
      <c r="O1759" s="652"/>
      <c r="Q1759" s="641"/>
      <c r="R1759" s="87" t="s">
        <v>141</v>
      </c>
      <c r="S1759" s="643"/>
    </row>
    <row r="1760" spans="1:19" ht="15.75" thickBot="1" x14ac:dyDescent="0.3">
      <c r="A1760" s="177" t="s">
        <v>106</v>
      </c>
      <c r="B1760" s="629">
        <v>21.5</v>
      </c>
      <c r="C1760" s="630"/>
      <c r="D1760" s="630"/>
      <c r="E1760" s="631"/>
      <c r="F1760" s="365" t="s">
        <v>174</v>
      </c>
      <c r="G1760" s="471"/>
      <c r="H1760" s="653">
        <v>0</v>
      </c>
      <c r="I1760" s="654"/>
      <c r="J1760" s="654"/>
      <c r="K1760" s="654"/>
      <c r="L1760" s="655"/>
      <c r="M1760" s="656">
        <f>SUM(B1760,H1761)</f>
        <v>21.5</v>
      </c>
      <c r="N1760" s="630"/>
      <c r="O1760" s="631"/>
      <c r="Q1760" s="147" t="s">
        <v>143</v>
      </c>
      <c r="R1760" s="88">
        <v>8</v>
      </c>
      <c r="S1760" s="87" t="s">
        <v>517</v>
      </c>
    </row>
    <row r="1761" spans="1:19" ht="15.75" thickBot="1" x14ac:dyDescent="0.3">
      <c r="A1761" s="177" t="s">
        <v>112</v>
      </c>
      <c r="B1761" s="626">
        <v>0.2</v>
      </c>
      <c r="C1761" s="627"/>
      <c r="D1761" s="627"/>
      <c r="E1761" s="628"/>
      <c r="F1761" s="290"/>
      <c r="G1761" s="472"/>
      <c r="H1761" s="626">
        <v>0</v>
      </c>
      <c r="I1761" s="627"/>
      <c r="J1761" s="627"/>
      <c r="K1761" s="627"/>
      <c r="L1761" s="628"/>
      <c r="M1761" s="657">
        <f>B1761</f>
        <v>0.2</v>
      </c>
      <c r="N1761" s="627"/>
      <c r="O1761" s="628"/>
      <c r="Q1761" s="147" t="s">
        <v>145</v>
      </c>
      <c r="R1761" s="88">
        <v>8</v>
      </c>
      <c r="S1761" s="89" t="s">
        <v>478</v>
      </c>
    </row>
    <row r="1762" spans="1:19" ht="15.75" thickBot="1" x14ac:dyDescent="0.3">
      <c r="A1762" s="177" t="s">
        <v>107</v>
      </c>
      <c r="B1762" s="629">
        <f>B1760*(1-B1761)</f>
        <v>17.2</v>
      </c>
      <c r="C1762" s="630"/>
      <c r="D1762" s="630"/>
      <c r="E1762" s="631"/>
      <c r="F1762" s="290"/>
      <c r="G1762" s="472"/>
      <c r="H1762" s="629">
        <f>H1760*(1-H1761)</f>
        <v>0</v>
      </c>
      <c r="I1762" s="630"/>
      <c r="J1762" s="630"/>
      <c r="K1762" s="630"/>
      <c r="L1762" s="631"/>
      <c r="M1762" s="656">
        <f>SUM(B1762,H1762)</f>
        <v>17.2</v>
      </c>
      <c r="N1762" s="630"/>
      <c r="O1762" s="631"/>
      <c r="Q1762" s="147" t="s">
        <v>147</v>
      </c>
      <c r="R1762" s="88">
        <v>9</v>
      </c>
      <c r="S1762" s="87" t="s">
        <v>411</v>
      </c>
    </row>
    <row r="1763" spans="1:19" ht="29.25" thickBot="1" x14ac:dyDescent="0.3">
      <c r="A1763" s="177" t="s">
        <v>108</v>
      </c>
      <c r="B1763" s="626">
        <f>B1766/B1762</f>
        <v>0.72162790697674417</v>
      </c>
      <c r="C1763" s="627"/>
      <c r="D1763" s="627"/>
      <c r="E1763" s="627"/>
      <c r="F1763" s="627"/>
      <c r="G1763" s="627"/>
      <c r="H1763" s="627"/>
      <c r="I1763" s="627"/>
      <c r="J1763" s="627"/>
      <c r="K1763" s="627"/>
      <c r="L1763" s="627"/>
      <c r="M1763" s="627"/>
      <c r="N1763" s="627"/>
      <c r="O1763" s="628"/>
      <c r="Q1763" s="147" t="s">
        <v>82</v>
      </c>
      <c r="R1763" s="88">
        <v>8</v>
      </c>
      <c r="S1763" s="89" t="s">
        <v>542</v>
      </c>
    </row>
    <row r="1764" spans="1:19" ht="15.75" thickBot="1" x14ac:dyDescent="0.3">
      <c r="A1764" s="177" t="s">
        <v>113</v>
      </c>
      <c r="B1764" s="629">
        <f>B1768*(B1772+B1773+I1772+I1773)/1000</f>
        <v>38.787500000000001</v>
      </c>
      <c r="C1764" s="630"/>
      <c r="D1764" s="630"/>
      <c r="E1764" s="630"/>
      <c r="F1764" s="630"/>
      <c r="G1764" s="630"/>
      <c r="H1764" s="630"/>
      <c r="I1764" s="630"/>
      <c r="J1764" s="630"/>
      <c r="K1764" s="630"/>
      <c r="L1764" s="630"/>
      <c r="M1764" s="630"/>
      <c r="N1764" s="630"/>
      <c r="O1764" s="631"/>
      <c r="Q1764" s="147" t="s">
        <v>152</v>
      </c>
      <c r="R1764" s="88">
        <v>8</v>
      </c>
      <c r="S1764" s="89" t="s">
        <v>519</v>
      </c>
    </row>
    <row r="1765" spans="1:19" ht="15.75" thickBot="1" x14ac:dyDescent="0.3">
      <c r="A1765" s="177" t="s">
        <v>109</v>
      </c>
      <c r="B1765" s="626">
        <v>0.68</v>
      </c>
      <c r="C1765" s="627"/>
      <c r="D1765" s="627"/>
      <c r="E1765" s="627"/>
      <c r="F1765" s="627"/>
      <c r="G1765" s="627"/>
      <c r="H1765" s="627"/>
      <c r="I1765" s="627"/>
      <c r="J1765" s="627"/>
      <c r="K1765" s="627"/>
      <c r="L1765" s="627"/>
      <c r="M1765" s="627"/>
      <c r="N1765" s="627"/>
      <c r="O1765" s="628"/>
      <c r="Q1765" s="147" t="s">
        <v>154</v>
      </c>
      <c r="R1765" s="88">
        <v>9</v>
      </c>
      <c r="S1765" s="87" t="s">
        <v>520</v>
      </c>
    </row>
    <row r="1766" spans="1:19" ht="29.25" thickBot="1" x14ac:dyDescent="0.3">
      <c r="A1766" s="177" t="s">
        <v>122</v>
      </c>
      <c r="B1766" s="629">
        <f>B1764-(B1764*B1765)</f>
        <v>12.411999999999999</v>
      </c>
      <c r="C1766" s="630"/>
      <c r="D1766" s="630"/>
      <c r="E1766" s="630"/>
      <c r="F1766" s="630"/>
      <c r="G1766" s="630"/>
      <c r="H1766" s="630"/>
      <c r="I1766" s="630"/>
      <c r="J1766" s="630"/>
      <c r="K1766" s="630"/>
      <c r="L1766" s="630"/>
      <c r="M1766" s="630"/>
      <c r="N1766" s="630"/>
      <c r="O1766" s="631"/>
      <c r="Q1766" s="147" t="s">
        <v>156</v>
      </c>
      <c r="R1766" s="88">
        <v>9</v>
      </c>
      <c r="S1766" s="87" t="s">
        <v>480</v>
      </c>
    </row>
    <row r="1767" spans="1:19" ht="15.75" thickBot="1" x14ac:dyDescent="0.3">
      <c r="A1767" s="177" t="s">
        <v>110</v>
      </c>
      <c r="B1767" s="632">
        <v>125</v>
      </c>
      <c r="C1767" s="633"/>
      <c r="D1767" s="633"/>
      <c r="E1767" s="633"/>
      <c r="F1767" s="633"/>
      <c r="G1767" s="633"/>
      <c r="H1767" s="633"/>
      <c r="I1767" s="633"/>
      <c r="J1767" s="633"/>
      <c r="K1767" s="633"/>
      <c r="L1767" s="633"/>
      <c r="M1767" s="633"/>
      <c r="N1767" s="633"/>
      <c r="O1767" s="634"/>
      <c r="Q1767" s="147" t="s">
        <v>158</v>
      </c>
      <c r="R1767" s="88"/>
      <c r="S1767" s="87"/>
    </row>
    <row r="1768" spans="1:19" ht="15.75" thickBot="1" x14ac:dyDescent="0.3">
      <c r="A1768" s="177" t="s">
        <v>111</v>
      </c>
      <c r="B1768" s="635">
        <v>14.5</v>
      </c>
      <c r="C1768" s="636"/>
      <c r="D1768" s="636"/>
      <c r="E1768" s="636"/>
      <c r="F1768" s="636"/>
      <c r="G1768" s="636"/>
      <c r="H1768" s="636"/>
      <c r="I1768" s="636"/>
      <c r="J1768" s="636"/>
      <c r="K1768" s="636"/>
      <c r="L1768" s="636"/>
      <c r="M1768" s="636"/>
      <c r="N1768" s="636"/>
      <c r="O1768" s="637"/>
      <c r="Q1768" s="174" t="s">
        <v>99</v>
      </c>
      <c r="R1768" s="87" t="s">
        <v>543</v>
      </c>
      <c r="S1768" s="148">
        <v>0.84</v>
      </c>
    </row>
    <row r="1769" spans="1:19" x14ac:dyDescent="0.25">
      <c r="A1769" s="177" t="s">
        <v>273</v>
      </c>
      <c r="B1769" s="638" t="s">
        <v>472</v>
      </c>
      <c r="C1769" s="638"/>
      <c r="D1769" s="638"/>
      <c r="E1769" s="638"/>
      <c r="F1769" s="638"/>
      <c r="G1769" s="638"/>
      <c r="H1769" s="638"/>
      <c r="I1769" s="638"/>
      <c r="J1769" s="638"/>
      <c r="K1769" s="638"/>
      <c r="L1769" s="638"/>
      <c r="M1769" s="638"/>
      <c r="N1769" s="638"/>
      <c r="O1769" s="639"/>
    </row>
    <row r="1770" spans="1:19" x14ac:dyDescent="0.25">
      <c r="A1770" s="177" t="s">
        <v>351</v>
      </c>
      <c r="B1770" s="431"/>
      <c r="C1770" s="431"/>
      <c r="D1770" s="431"/>
      <c r="E1770" s="431"/>
      <c r="F1770" s="431"/>
      <c r="G1770" s="431"/>
      <c r="H1770" s="431"/>
      <c r="I1770" s="431"/>
      <c r="J1770" s="431"/>
      <c r="K1770" s="431"/>
      <c r="L1770" s="431"/>
      <c r="M1770" s="431"/>
      <c r="N1770" s="431"/>
      <c r="O1770" s="432"/>
    </row>
    <row r="1771" spans="1:19" x14ac:dyDescent="0.25">
      <c r="B1771" s="307" t="s">
        <v>98</v>
      </c>
      <c r="C1771" s="365" t="s">
        <v>102</v>
      </c>
      <c r="D1771" s="365" t="s">
        <v>92</v>
      </c>
      <c r="E1771" s="365" t="s">
        <v>93</v>
      </c>
      <c r="F1771" s="365" t="s">
        <v>94</v>
      </c>
      <c r="G1771" s="365" t="s">
        <v>549</v>
      </c>
      <c r="H1771" s="359" t="s">
        <v>99</v>
      </c>
      <c r="I1771" s="307" t="s">
        <v>98</v>
      </c>
      <c r="J1771" s="365" t="s">
        <v>102</v>
      </c>
      <c r="K1771" s="365" t="s">
        <v>92</v>
      </c>
      <c r="L1771" s="365" t="s">
        <v>93</v>
      </c>
      <c r="M1771" s="365" t="s">
        <v>94</v>
      </c>
      <c r="N1771" s="365" t="s">
        <v>549</v>
      </c>
      <c r="O1771" s="359" t="s">
        <v>99</v>
      </c>
      <c r="Q1771" s="10"/>
      <c r="R1771" s="8"/>
    </row>
    <row r="1772" spans="1:19" x14ac:dyDescent="0.25">
      <c r="B1772" s="308">
        <v>1159</v>
      </c>
      <c r="C1772" s="365" t="s">
        <v>95</v>
      </c>
      <c r="D1772" s="441">
        <v>1716.21</v>
      </c>
      <c r="E1772" s="441">
        <v>758.34</v>
      </c>
      <c r="F1772" s="441">
        <v>783.93</v>
      </c>
      <c r="G1772" s="441">
        <v>162.38999999999999</v>
      </c>
      <c r="H1772" s="359">
        <f>SUM(D1772:G1772)</f>
        <v>3420.87</v>
      </c>
      <c r="I1772" s="308">
        <v>1165</v>
      </c>
      <c r="J1772" s="365" t="s">
        <v>95</v>
      </c>
      <c r="K1772" s="441">
        <v>1656.32</v>
      </c>
      <c r="L1772" s="441">
        <v>1019.64</v>
      </c>
      <c r="M1772" s="441">
        <v>668.66</v>
      </c>
      <c r="N1772" s="441">
        <v>396.28</v>
      </c>
      <c r="O1772" s="359">
        <f>SUM(K1772:N1772)</f>
        <v>3740.8999999999996</v>
      </c>
      <c r="Q1772" s="10"/>
      <c r="R1772" s="175"/>
    </row>
    <row r="1773" spans="1:19" x14ac:dyDescent="0.25">
      <c r="B1773" s="308">
        <v>175</v>
      </c>
      <c r="C1773" s="365" t="s">
        <v>96</v>
      </c>
      <c r="D1773" s="441">
        <v>195.9</v>
      </c>
      <c r="E1773" s="441">
        <v>68.08</v>
      </c>
      <c r="F1773" s="441">
        <v>94.02</v>
      </c>
      <c r="G1773" s="441">
        <v>47.6</v>
      </c>
      <c r="H1773" s="359">
        <f t="shared" ref="H1773:H1779" si="225">SUM(D1773:G1773)</f>
        <v>405.6</v>
      </c>
      <c r="I1773" s="308">
        <v>176</v>
      </c>
      <c r="J1773" s="365" t="s">
        <v>96</v>
      </c>
      <c r="K1773" s="441">
        <v>194.56</v>
      </c>
      <c r="L1773" s="441">
        <v>312.39999999999998</v>
      </c>
      <c r="M1773" s="441">
        <v>6.16</v>
      </c>
      <c r="N1773" s="441">
        <v>24.89</v>
      </c>
      <c r="O1773" s="359">
        <f t="shared" ref="O1773:O1779" si="226">SUM(K1773:N1773)</f>
        <v>538.01</v>
      </c>
      <c r="Q1773" s="10"/>
      <c r="R1773" s="8"/>
    </row>
    <row r="1774" spans="1:19" x14ac:dyDescent="0.25">
      <c r="B1774" s="307" t="s">
        <v>100</v>
      </c>
      <c r="C1774" s="365" t="s">
        <v>95</v>
      </c>
      <c r="D1774" s="444">
        <f t="shared" ref="D1774:G1775" si="227">D1772/$B1772</f>
        <v>1.4807679033649699</v>
      </c>
      <c r="E1774" s="429">
        <f t="shared" si="227"/>
        <v>0.65430543572044864</v>
      </c>
      <c r="F1774" s="429">
        <f t="shared" si="227"/>
        <v>0.67638481449525445</v>
      </c>
      <c r="G1774" s="429">
        <f t="shared" si="227"/>
        <v>0.14011216566005175</v>
      </c>
      <c r="H1774" s="359">
        <f t="shared" si="225"/>
        <v>2.9515703192407248</v>
      </c>
      <c r="I1774" s="307" t="s">
        <v>100</v>
      </c>
      <c r="J1774" s="365" t="s">
        <v>95</v>
      </c>
      <c r="K1774" s="444">
        <f t="shared" ref="K1774:N1775" si="228">K1772/$I1772</f>
        <v>1.4217339055793992</v>
      </c>
      <c r="L1774" s="429">
        <f t="shared" si="228"/>
        <v>0.87522746781115879</v>
      </c>
      <c r="M1774" s="429">
        <f t="shared" si="228"/>
        <v>0.57395708154506431</v>
      </c>
      <c r="N1774" s="429">
        <f t="shared" si="228"/>
        <v>0.34015450643776823</v>
      </c>
      <c r="O1774" s="359">
        <f t="shared" si="226"/>
        <v>3.2110729613733904</v>
      </c>
      <c r="Q1774" s="10"/>
      <c r="R1774" s="8"/>
    </row>
    <row r="1775" spans="1:19" x14ac:dyDescent="0.25">
      <c r="B1775" s="307" t="s">
        <v>100</v>
      </c>
      <c r="C1775" s="438" t="s">
        <v>96</v>
      </c>
      <c r="D1775" s="359">
        <f t="shared" si="227"/>
        <v>1.1194285714285714</v>
      </c>
      <c r="E1775" s="359">
        <f t="shared" si="227"/>
        <v>0.38902857142857145</v>
      </c>
      <c r="F1775" s="359">
        <f t="shared" si="227"/>
        <v>0.53725714285714288</v>
      </c>
      <c r="G1775" s="359">
        <f t="shared" si="227"/>
        <v>0.27200000000000002</v>
      </c>
      <c r="H1775" s="359">
        <f t="shared" si="225"/>
        <v>2.3177142857142856</v>
      </c>
      <c r="I1775" s="307" t="s">
        <v>100</v>
      </c>
      <c r="J1775" s="438" t="s">
        <v>96</v>
      </c>
      <c r="K1775" s="359">
        <f t="shared" si="228"/>
        <v>1.1054545454545455</v>
      </c>
      <c r="L1775" s="359">
        <f t="shared" si="228"/>
        <v>1.7749999999999999</v>
      </c>
      <c r="M1775" s="359">
        <f t="shared" si="228"/>
        <v>3.5000000000000003E-2</v>
      </c>
      <c r="N1775" s="359">
        <f t="shared" si="228"/>
        <v>0.14142045454545454</v>
      </c>
      <c r="O1775" s="359">
        <f t="shared" si="226"/>
        <v>3.0568750000000002</v>
      </c>
    </row>
    <row r="1776" spans="1:19" x14ac:dyDescent="0.25">
      <c r="B1776" s="307" t="s">
        <v>104</v>
      </c>
      <c r="C1776" s="365" t="s">
        <v>95</v>
      </c>
      <c r="D1776" s="359">
        <f>D1772/($B1772/7.7)</f>
        <v>11.401912855910268</v>
      </c>
      <c r="E1776" s="359">
        <f>E1772/($B1772/7)</f>
        <v>4.5801380500431401</v>
      </c>
      <c r="F1776" s="359">
        <f>F1772/($B1772/7)</f>
        <v>4.7346937014667807</v>
      </c>
      <c r="G1776" s="359">
        <f>G1772/($B1772/7)</f>
        <v>0.98078515962036228</v>
      </c>
      <c r="H1776" s="359">
        <f t="shared" si="225"/>
        <v>21.69752976704055</v>
      </c>
      <c r="I1776" s="307" t="s">
        <v>104</v>
      </c>
      <c r="J1776" s="365" t="s">
        <v>95</v>
      </c>
      <c r="K1776" s="359">
        <f>K1772/($I1772/7.7)</f>
        <v>10.947351072961373</v>
      </c>
      <c r="L1776" s="359">
        <f>L1772/($I1772/7)</f>
        <v>6.1265922746781118</v>
      </c>
      <c r="M1776" s="359">
        <f>M1772/($I1772/7)</f>
        <v>4.0176995708154504</v>
      </c>
      <c r="N1776" s="359">
        <f>N1772/($I1772/7)</f>
        <v>2.3810815450643776</v>
      </c>
      <c r="O1776" s="359">
        <f t="shared" si="226"/>
        <v>23.472724463519313</v>
      </c>
    </row>
    <row r="1777" spans="1:19" x14ac:dyDescent="0.25">
      <c r="B1777" s="307" t="s">
        <v>104</v>
      </c>
      <c r="C1777" s="438" t="s">
        <v>96</v>
      </c>
      <c r="D1777" s="359">
        <f>D1773/($B1773/7.7)</f>
        <v>8.6196000000000002</v>
      </c>
      <c r="E1777" s="359">
        <f>E1773/($B1773/7.7)</f>
        <v>2.99552</v>
      </c>
      <c r="F1777" s="359">
        <f>F1773/($B1773/7.7)</f>
        <v>4.1368799999999997</v>
      </c>
      <c r="G1777" s="359">
        <f>G1773/($B1773/7.7)</f>
        <v>2.0944000000000003</v>
      </c>
      <c r="H1777" s="359">
        <f t="shared" si="225"/>
        <v>17.846400000000003</v>
      </c>
      <c r="I1777" s="307" t="s">
        <v>104</v>
      </c>
      <c r="J1777" s="438" t="s">
        <v>96</v>
      </c>
      <c r="K1777" s="359">
        <f>K1773/($I1773/7.7)</f>
        <v>8.5120000000000005</v>
      </c>
      <c r="L1777" s="359">
        <f>L1773/($I1773/7.7)</f>
        <v>13.667499999999999</v>
      </c>
      <c r="M1777" s="359">
        <f>M1773/($I1773/7.7)</f>
        <v>0.26950000000000002</v>
      </c>
      <c r="N1777" s="359">
        <f>N1773/($I1773/7.7)</f>
        <v>1.0889374999999999</v>
      </c>
      <c r="O1777" s="359">
        <f t="shared" si="226"/>
        <v>23.537937499999998</v>
      </c>
    </row>
    <row r="1778" spans="1:19" x14ac:dyDescent="0.25">
      <c r="B1778" s="307" t="s">
        <v>135</v>
      </c>
      <c r="C1778" s="365" t="s">
        <v>95</v>
      </c>
      <c r="D1778" s="359">
        <f>D1772/((($B1772*$B1768)*(1-$B1765))/$B1763)</f>
        <v>0.23029384543612177</v>
      </c>
      <c r="E1778" s="359">
        <f>E1772/((($B1772*$B1768)*(1-$B1765))/$B1763)</f>
        <v>0.10175971166001165</v>
      </c>
      <c r="F1778" s="359">
        <f>F1772/((($B1772*$B1768)*(1-$B1765))/$B1763)</f>
        <v>0.10519356853341895</v>
      </c>
      <c r="G1778" s="359">
        <f>G1772/((($B1772*$B1768)*(1-$B1765))/$B1763)</f>
        <v>2.1790700182595261E-2</v>
      </c>
      <c r="H1778" s="359">
        <f t="shared" si="225"/>
        <v>0.45903782581214764</v>
      </c>
      <c r="I1778" s="307" t="s">
        <v>135</v>
      </c>
      <c r="J1778" s="365" t="s">
        <v>95</v>
      </c>
      <c r="K1778" s="359">
        <f>K1772/((($I1772*$B1768)*(1-$B1765))/$B1763)</f>
        <v>0.22111268589679609</v>
      </c>
      <c r="L1778" s="359">
        <f>L1772/((($I1772*$B1768)*(1-$B1765))/$B1763)</f>
        <v>0.13611822537179361</v>
      </c>
      <c r="M1778" s="359">
        <f>M1772/((($I1772*$B1768)*(1-$B1765))/$B1763)</f>
        <v>8.9263674019363207E-2</v>
      </c>
      <c r="N1778" s="359">
        <f>N1772/((($I1772*$B1768)*(1-$B1765))/$B1763)</f>
        <v>5.290193632099012E-2</v>
      </c>
      <c r="O1778" s="359">
        <f t="shared" si="226"/>
        <v>0.49939652160894299</v>
      </c>
    </row>
    <row r="1779" spans="1:19" x14ac:dyDescent="0.25">
      <c r="B1779" s="307" t="s">
        <v>135</v>
      </c>
      <c r="C1779" s="438" t="s">
        <v>96</v>
      </c>
      <c r="D1779" s="359">
        <f>D1773/((($B1773*$B1768)*(1-$B1765))/$B1763)</f>
        <v>0.17409717607973424</v>
      </c>
      <c r="E1779" s="359">
        <f>E1773/((($B1773*$B1768)*(1-$B1765))/$B1763)</f>
        <v>6.0502990033222591E-2</v>
      </c>
      <c r="F1779" s="359">
        <f>F1773/((($B1773*$B1768)*(1-$B1765))/$B1763)</f>
        <v>8.3555980066445185E-2</v>
      </c>
      <c r="G1779" s="359">
        <f>G1773/((($B1773*$B1768)*(1-$B1765))/$B1763)</f>
        <v>4.230232558139535E-2</v>
      </c>
      <c r="H1779" s="359">
        <f t="shared" si="225"/>
        <v>0.36045847176079737</v>
      </c>
      <c r="I1779" s="307" t="s">
        <v>135</v>
      </c>
      <c r="J1779" s="438" t="s">
        <v>96</v>
      </c>
      <c r="K1779" s="359">
        <f>K1773/((($I1773*$B1768)*(1-$B1765))/$B1763)</f>
        <v>0.17192389006342498</v>
      </c>
      <c r="L1779" s="359">
        <f>L1773/((($I1773*$B1768)*(1-$B1765))/$B1763)</f>
        <v>0.27605377906976747</v>
      </c>
      <c r="M1779" s="359">
        <f>M1773/((($I1773*$B1768)*(1-$B1765))/$B1763)</f>
        <v>5.4433139534883733E-3</v>
      </c>
      <c r="N1779" s="359">
        <f>N1773/((($I1773*$B1768)*(1-$B1765))/$B1763)</f>
        <v>2.1994169529598314E-2</v>
      </c>
      <c r="O1779" s="359">
        <f t="shared" si="226"/>
        <v>0.47541515261627915</v>
      </c>
    </row>
    <row r="1780" spans="1:19" x14ac:dyDescent="0.25">
      <c r="A1780" s="178"/>
      <c r="B1780" s="178"/>
      <c r="C1780" s="178"/>
      <c r="D1780" s="178"/>
      <c r="E1780" s="178"/>
      <c r="F1780" s="178"/>
      <c r="G1780" s="178"/>
      <c r="H1780" s="178"/>
      <c r="I1780" s="178"/>
      <c r="J1780" s="178"/>
      <c r="K1780" s="178"/>
      <c r="L1780" s="178"/>
      <c r="M1780" s="178"/>
      <c r="N1780" s="178"/>
      <c r="O1780" s="178"/>
    </row>
    <row r="1781" spans="1:19" ht="21.75" thickBot="1" x14ac:dyDescent="0.3">
      <c r="A1781" s="305"/>
      <c r="B1781" s="644" t="s">
        <v>502</v>
      </c>
      <c r="C1781" s="645"/>
      <c r="D1781" s="645"/>
      <c r="E1781" s="645"/>
      <c r="F1781" s="645"/>
      <c r="G1781" s="645"/>
      <c r="H1781" s="645"/>
      <c r="I1781" s="645"/>
      <c r="J1781" s="645"/>
      <c r="K1781" s="645"/>
      <c r="L1781" s="645"/>
      <c r="M1781" s="645"/>
      <c r="N1781" s="645"/>
      <c r="O1781" s="646"/>
    </row>
    <row r="1782" spans="1:19" ht="21" x14ac:dyDescent="0.25">
      <c r="A1782" s="177" t="s">
        <v>285</v>
      </c>
      <c r="B1782" s="647">
        <v>44362</v>
      </c>
      <c r="C1782" s="648"/>
      <c r="D1782" s="648"/>
      <c r="E1782" s="648"/>
      <c r="F1782" s="648"/>
      <c r="G1782" s="648"/>
      <c r="H1782" s="648"/>
      <c r="I1782" s="648"/>
      <c r="J1782" s="648"/>
      <c r="K1782" s="648"/>
      <c r="L1782" s="648"/>
      <c r="M1782" s="648"/>
      <c r="N1782" s="648"/>
      <c r="O1782" s="649"/>
      <c r="Q1782" s="662" t="s">
        <v>139</v>
      </c>
      <c r="R1782" s="176" t="s">
        <v>140</v>
      </c>
      <c r="S1782" s="663" t="s">
        <v>142</v>
      </c>
    </row>
    <row r="1783" spans="1:19" ht="15.75" thickBot="1" x14ac:dyDescent="0.3">
      <c r="A1783" s="177"/>
      <c r="B1783" s="650" t="s">
        <v>115</v>
      </c>
      <c r="C1783" s="651"/>
      <c r="D1783" s="651"/>
      <c r="E1783" s="651"/>
      <c r="F1783" s="651"/>
      <c r="G1783" s="651"/>
      <c r="H1783" s="651"/>
      <c r="I1783" s="651"/>
      <c r="J1783" s="651"/>
      <c r="K1783" s="651"/>
      <c r="L1783" s="651"/>
      <c r="M1783" s="651"/>
      <c r="N1783" s="651"/>
      <c r="O1783" s="652"/>
      <c r="Q1783" s="641"/>
      <c r="R1783" s="87" t="s">
        <v>141</v>
      </c>
      <c r="S1783" s="643"/>
    </row>
    <row r="1784" spans="1:19" ht="15.75" thickBot="1" x14ac:dyDescent="0.3">
      <c r="A1784" s="177" t="s">
        <v>106</v>
      </c>
      <c r="B1784" s="629">
        <v>18</v>
      </c>
      <c r="C1784" s="630"/>
      <c r="D1784" s="630"/>
      <c r="E1784" s="631"/>
      <c r="F1784" s="365" t="s">
        <v>174</v>
      </c>
      <c r="G1784" s="471"/>
      <c r="H1784" s="653">
        <v>0</v>
      </c>
      <c r="I1784" s="654"/>
      <c r="J1784" s="654"/>
      <c r="K1784" s="654"/>
      <c r="L1784" s="655"/>
      <c r="M1784" s="656">
        <f>SUM(B1784,H1785)</f>
        <v>18</v>
      </c>
      <c r="N1784" s="630"/>
      <c r="O1784" s="631"/>
      <c r="Q1784" s="147" t="s">
        <v>143</v>
      </c>
      <c r="R1784" s="88">
        <v>8</v>
      </c>
      <c r="S1784" s="87" t="s">
        <v>517</v>
      </c>
    </row>
    <row r="1785" spans="1:19" ht="15.75" thickBot="1" x14ac:dyDescent="0.3">
      <c r="A1785" s="177" t="s">
        <v>112</v>
      </c>
      <c r="B1785" s="626">
        <v>0.17</v>
      </c>
      <c r="C1785" s="627"/>
      <c r="D1785" s="627"/>
      <c r="E1785" s="628"/>
      <c r="F1785" s="290"/>
      <c r="G1785" s="472"/>
      <c r="H1785" s="626">
        <v>0</v>
      </c>
      <c r="I1785" s="627"/>
      <c r="J1785" s="627"/>
      <c r="K1785" s="627"/>
      <c r="L1785" s="628"/>
      <c r="M1785" s="657">
        <f>B1785</f>
        <v>0.17</v>
      </c>
      <c r="N1785" s="627"/>
      <c r="O1785" s="628"/>
      <c r="Q1785" s="147" t="s">
        <v>145</v>
      </c>
      <c r="R1785" s="88">
        <v>8</v>
      </c>
      <c r="S1785" s="89" t="s">
        <v>478</v>
      </c>
    </row>
    <row r="1786" spans="1:19" ht="15.75" thickBot="1" x14ac:dyDescent="0.3">
      <c r="A1786" s="177" t="s">
        <v>107</v>
      </c>
      <c r="B1786" s="629">
        <f>B1784*(1-B1785)</f>
        <v>14.94</v>
      </c>
      <c r="C1786" s="630"/>
      <c r="D1786" s="630"/>
      <c r="E1786" s="631"/>
      <c r="F1786" s="290"/>
      <c r="G1786" s="472"/>
      <c r="H1786" s="629">
        <f>H1784*(1-H1785)</f>
        <v>0</v>
      </c>
      <c r="I1786" s="630"/>
      <c r="J1786" s="630"/>
      <c r="K1786" s="630"/>
      <c r="L1786" s="631"/>
      <c r="M1786" s="656">
        <f>SUM(B1786,H1786)</f>
        <v>14.94</v>
      </c>
      <c r="N1786" s="630"/>
      <c r="O1786" s="631"/>
      <c r="Q1786" s="147" t="s">
        <v>147</v>
      </c>
      <c r="R1786" s="88">
        <v>8</v>
      </c>
      <c r="S1786" s="87" t="s">
        <v>411</v>
      </c>
    </row>
    <row r="1787" spans="1:19" ht="29.25" thickBot="1" x14ac:dyDescent="0.3">
      <c r="A1787" s="177" t="s">
        <v>108</v>
      </c>
      <c r="B1787" s="626">
        <f>B1790/B1786</f>
        <v>0.83296385542168672</v>
      </c>
      <c r="C1787" s="627"/>
      <c r="D1787" s="627"/>
      <c r="E1787" s="627"/>
      <c r="F1787" s="627"/>
      <c r="G1787" s="627"/>
      <c r="H1787" s="627"/>
      <c r="I1787" s="627"/>
      <c r="J1787" s="627"/>
      <c r="K1787" s="627"/>
      <c r="L1787" s="627"/>
      <c r="M1787" s="627"/>
      <c r="N1787" s="627"/>
      <c r="O1787" s="628"/>
      <c r="Q1787" s="147" t="s">
        <v>82</v>
      </c>
      <c r="R1787" s="88">
        <v>8</v>
      </c>
      <c r="S1787" s="89" t="s">
        <v>542</v>
      </c>
    </row>
    <row r="1788" spans="1:19" ht="15.75" thickBot="1" x14ac:dyDescent="0.3">
      <c r="A1788" s="177" t="s">
        <v>113</v>
      </c>
      <c r="B1788" s="629">
        <f>B1792*(B1796+B1797+I1796+I1797)/1000</f>
        <v>38.889000000000003</v>
      </c>
      <c r="C1788" s="630"/>
      <c r="D1788" s="630"/>
      <c r="E1788" s="630"/>
      <c r="F1788" s="630"/>
      <c r="G1788" s="630"/>
      <c r="H1788" s="630"/>
      <c r="I1788" s="630"/>
      <c r="J1788" s="630"/>
      <c r="K1788" s="630"/>
      <c r="L1788" s="630"/>
      <c r="M1788" s="630"/>
      <c r="N1788" s="630"/>
      <c r="O1788" s="631"/>
      <c r="Q1788" s="147" t="s">
        <v>152</v>
      </c>
      <c r="R1788" s="88">
        <v>8</v>
      </c>
      <c r="S1788" s="89" t="s">
        <v>519</v>
      </c>
    </row>
    <row r="1789" spans="1:19" ht="15.75" thickBot="1" x14ac:dyDescent="0.3">
      <c r="A1789" s="177" t="s">
        <v>109</v>
      </c>
      <c r="B1789" s="626">
        <v>0.68</v>
      </c>
      <c r="C1789" s="627"/>
      <c r="D1789" s="627"/>
      <c r="E1789" s="627"/>
      <c r="F1789" s="627"/>
      <c r="G1789" s="627"/>
      <c r="H1789" s="627"/>
      <c r="I1789" s="627"/>
      <c r="J1789" s="627"/>
      <c r="K1789" s="627"/>
      <c r="L1789" s="627"/>
      <c r="M1789" s="627"/>
      <c r="N1789" s="627"/>
      <c r="O1789" s="628"/>
      <c r="Q1789" s="147" t="s">
        <v>154</v>
      </c>
      <c r="R1789" s="88">
        <v>9</v>
      </c>
      <c r="S1789" s="87" t="s">
        <v>520</v>
      </c>
    </row>
    <row r="1790" spans="1:19" ht="29.25" thickBot="1" x14ac:dyDescent="0.3">
      <c r="A1790" s="177" t="s">
        <v>122</v>
      </c>
      <c r="B1790" s="629">
        <f>B1788-(B1788*B1789)</f>
        <v>12.444479999999999</v>
      </c>
      <c r="C1790" s="630"/>
      <c r="D1790" s="630"/>
      <c r="E1790" s="630"/>
      <c r="F1790" s="630"/>
      <c r="G1790" s="630"/>
      <c r="H1790" s="630"/>
      <c r="I1790" s="630"/>
      <c r="J1790" s="630"/>
      <c r="K1790" s="630"/>
      <c r="L1790" s="630"/>
      <c r="M1790" s="630"/>
      <c r="N1790" s="630"/>
      <c r="O1790" s="631"/>
      <c r="Q1790" s="147" t="s">
        <v>156</v>
      </c>
      <c r="R1790" s="88">
        <v>9</v>
      </c>
      <c r="S1790" s="87" t="s">
        <v>480</v>
      </c>
    </row>
    <row r="1791" spans="1:19" ht="15.75" thickBot="1" x14ac:dyDescent="0.3">
      <c r="A1791" s="177" t="s">
        <v>110</v>
      </c>
      <c r="B1791" s="632">
        <v>125</v>
      </c>
      <c r="C1791" s="633"/>
      <c r="D1791" s="633"/>
      <c r="E1791" s="633"/>
      <c r="F1791" s="633"/>
      <c r="G1791" s="633"/>
      <c r="H1791" s="633"/>
      <c r="I1791" s="633"/>
      <c r="J1791" s="633"/>
      <c r="K1791" s="633"/>
      <c r="L1791" s="633"/>
      <c r="M1791" s="633"/>
      <c r="N1791" s="633"/>
      <c r="O1791" s="634"/>
      <c r="Q1791" s="147" t="s">
        <v>158</v>
      </c>
      <c r="R1791" s="88"/>
      <c r="S1791" s="87"/>
    </row>
    <row r="1792" spans="1:19" ht="15.75" thickBot="1" x14ac:dyDescent="0.3">
      <c r="A1792" s="177" t="s">
        <v>111</v>
      </c>
      <c r="B1792" s="635">
        <v>14.5</v>
      </c>
      <c r="C1792" s="636"/>
      <c r="D1792" s="636"/>
      <c r="E1792" s="636"/>
      <c r="F1792" s="636"/>
      <c r="G1792" s="636"/>
      <c r="H1792" s="636"/>
      <c r="I1792" s="636"/>
      <c r="J1792" s="636"/>
      <c r="K1792" s="636"/>
      <c r="L1792" s="636"/>
      <c r="M1792" s="636"/>
      <c r="N1792" s="636"/>
      <c r="O1792" s="637"/>
      <c r="Q1792" s="174" t="s">
        <v>99</v>
      </c>
      <c r="R1792" s="87" t="s">
        <v>544</v>
      </c>
      <c r="S1792" s="148">
        <v>0.83</v>
      </c>
    </row>
    <row r="1793" spans="1:19" x14ac:dyDescent="0.25">
      <c r="A1793" s="177" t="s">
        <v>273</v>
      </c>
      <c r="B1793" s="638" t="s">
        <v>579</v>
      </c>
      <c r="C1793" s="638"/>
      <c r="D1793" s="638"/>
      <c r="E1793" s="638"/>
      <c r="F1793" s="638"/>
      <c r="G1793" s="638"/>
      <c r="H1793" s="638"/>
      <c r="I1793" s="638"/>
      <c r="J1793" s="638"/>
      <c r="K1793" s="638"/>
      <c r="L1793" s="638"/>
      <c r="M1793" s="638"/>
      <c r="N1793" s="638"/>
      <c r="O1793" s="639"/>
    </row>
    <row r="1794" spans="1:19" x14ac:dyDescent="0.25">
      <c r="A1794" s="177" t="s">
        <v>351</v>
      </c>
      <c r="B1794" s="431"/>
      <c r="C1794" s="431"/>
      <c r="D1794" s="431"/>
      <c r="E1794" s="431"/>
      <c r="F1794" s="431"/>
      <c r="G1794" s="431"/>
      <c r="H1794" s="431"/>
      <c r="I1794" s="431"/>
      <c r="J1794" s="431"/>
      <c r="K1794" s="431"/>
      <c r="L1794" s="431"/>
      <c r="M1794" s="431"/>
      <c r="N1794" s="431"/>
      <c r="O1794" s="432"/>
    </row>
    <row r="1795" spans="1:19" x14ac:dyDescent="0.25">
      <c r="B1795" s="307" t="s">
        <v>98</v>
      </c>
      <c r="C1795" s="365" t="s">
        <v>102</v>
      </c>
      <c r="D1795" s="365" t="s">
        <v>92</v>
      </c>
      <c r="E1795" s="365" t="s">
        <v>93</v>
      </c>
      <c r="F1795" s="365" t="s">
        <v>94</v>
      </c>
      <c r="G1795" s="365" t="s">
        <v>549</v>
      </c>
      <c r="H1795" s="359" t="s">
        <v>99</v>
      </c>
      <c r="I1795" s="307" t="s">
        <v>98</v>
      </c>
      <c r="J1795" s="365" t="s">
        <v>102</v>
      </c>
      <c r="K1795" s="365" t="s">
        <v>92</v>
      </c>
      <c r="L1795" s="365" t="s">
        <v>93</v>
      </c>
      <c r="M1795" s="365" t="s">
        <v>94</v>
      </c>
      <c r="N1795" s="365" t="s">
        <v>549</v>
      </c>
      <c r="O1795" s="359" t="s">
        <v>99</v>
      </c>
    </row>
    <row r="1796" spans="1:19" x14ac:dyDescent="0.25">
      <c r="B1796" s="308">
        <v>1166</v>
      </c>
      <c r="C1796" s="365" t="s">
        <v>95</v>
      </c>
      <c r="D1796" s="441">
        <v>1379.56</v>
      </c>
      <c r="E1796" s="441">
        <v>759.79</v>
      </c>
      <c r="F1796" s="441">
        <v>620.09</v>
      </c>
      <c r="G1796" s="441">
        <v>428.84</v>
      </c>
      <c r="H1796" s="359">
        <f>SUM(D1796:G1796)</f>
        <v>3188.28</v>
      </c>
      <c r="I1796" s="308">
        <v>1166</v>
      </c>
      <c r="J1796" s="365" t="s">
        <v>95</v>
      </c>
      <c r="K1796" s="441">
        <v>1343.32</v>
      </c>
      <c r="L1796" s="441">
        <v>1458.11</v>
      </c>
      <c r="M1796" s="441">
        <v>973.79</v>
      </c>
      <c r="N1796" s="441">
        <v>161.43</v>
      </c>
      <c r="O1796" s="359">
        <f>SUM(K1796:N1796)</f>
        <v>3936.6499999999996</v>
      </c>
      <c r="Q1796" s="10"/>
      <c r="R1796" s="8"/>
    </row>
    <row r="1797" spans="1:19" x14ac:dyDescent="0.25">
      <c r="B1797" s="308">
        <v>175</v>
      </c>
      <c r="C1797" s="365" t="s">
        <v>96</v>
      </c>
      <c r="D1797" s="441">
        <v>251.36</v>
      </c>
      <c r="E1797" s="441">
        <v>127.92</v>
      </c>
      <c r="F1797" s="441">
        <v>60.24</v>
      </c>
      <c r="G1797" s="441">
        <v>64.400000000000006</v>
      </c>
      <c r="H1797" s="359">
        <f t="shared" ref="H1797:H1803" si="229">SUM(D1797:G1797)</f>
        <v>503.92000000000007</v>
      </c>
      <c r="I1797" s="308">
        <v>175</v>
      </c>
      <c r="J1797" s="365" t="s">
        <v>96</v>
      </c>
      <c r="K1797" s="441">
        <v>227.16</v>
      </c>
      <c r="L1797" s="441">
        <v>262.92</v>
      </c>
      <c r="M1797" s="441">
        <v>23.11</v>
      </c>
      <c r="N1797" s="441">
        <v>51.63</v>
      </c>
      <c r="O1797" s="359">
        <f t="shared" ref="O1797:O1803" si="230">SUM(K1797:N1797)</f>
        <v>564.82000000000005</v>
      </c>
      <c r="Q1797" s="10"/>
      <c r="R1797" s="175"/>
    </row>
    <row r="1798" spans="1:19" x14ac:dyDescent="0.25">
      <c r="B1798" s="307" t="s">
        <v>100</v>
      </c>
      <c r="C1798" s="365" t="s">
        <v>95</v>
      </c>
      <c r="D1798" s="444">
        <f t="shared" ref="D1798:G1799" si="231">D1796/$B1796</f>
        <v>1.1831560891938251</v>
      </c>
      <c r="E1798" s="429">
        <f t="shared" si="231"/>
        <v>0.65162092624356771</v>
      </c>
      <c r="F1798" s="429">
        <f t="shared" si="231"/>
        <v>0.53180960548885081</v>
      </c>
      <c r="G1798" s="429">
        <f t="shared" si="231"/>
        <v>0.36778730703259005</v>
      </c>
      <c r="H1798" s="359">
        <f t="shared" si="229"/>
        <v>2.7343739279588335</v>
      </c>
      <c r="I1798" s="307" t="s">
        <v>100</v>
      </c>
      <c r="J1798" s="365" t="s">
        <v>95</v>
      </c>
      <c r="K1798" s="444">
        <f t="shared" ref="K1798:N1799" si="232">K1796/$I1796</f>
        <v>1.1520754716981132</v>
      </c>
      <c r="L1798" s="429">
        <f t="shared" si="232"/>
        <v>1.2505231560891938</v>
      </c>
      <c r="M1798" s="429">
        <f t="shared" si="232"/>
        <v>0.83515437392795877</v>
      </c>
      <c r="N1798" s="429">
        <f t="shared" si="232"/>
        <v>0.13844768439108063</v>
      </c>
      <c r="O1798" s="359">
        <f t="shared" si="230"/>
        <v>3.3762006861063463</v>
      </c>
      <c r="Q1798" s="10"/>
      <c r="R1798" s="8"/>
    </row>
    <row r="1799" spans="1:19" x14ac:dyDescent="0.25">
      <c r="B1799" s="307" t="s">
        <v>100</v>
      </c>
      <c r="C1799" s="438" t="s">
        <v>96</v>
      </c>
      <c r="D1799" s="359">
        <f t="shared" si="231"/>
        <v>1.4363428571428571</v>
      </c>
      <c r="E1799" s="359">
        <f t="shared" si="231"/>
        <v>0.73097142857142861</v>
      </c>
      <c r="F1799" s="359">
        <f t="shared" si="231"/>
        <v>0.34422857142857144</v>
      </c>
      <c r="G1799" s="359">
        <f t="shared" si="231"/>
        <v>0.36800000000000005</v>
      </c>
      <c r="H1799" s="359">
        <f t="shared" si="229"/>
        <v>2.879542857142857</v>
      </c>
      <c r="I1799" s="307" t="s">
        <v>100</v>
      </c>
      <c r="J1799" s="438" t="s">
        <v>96</v>
      </c>
      <c r="K1799" s="359">
        <f t="shared" si="232"/>
        <v>1.2980571428571428</v>
      </c>
      <c r="L1799" s="359">
        <f t="shared" si="232"/>
        <v>1.5024000000000002</v>
      </c>
      <c r="M1799" s="359">
        <f t="shared" si="232"/>
        <v>0.13205714285714285</v>
      </c>
      <c r="N1799" s="359">
        <f t="shared" si="232"/>
        <v>0.29502857142857142</v>
      </c>
      <c r="O1799" s="359">
        <f t="shared" si="230"/>
        <v>3.2275428571428568</v>
      </c>
      <c r="Q1799" s="10"/>
      <c r="R1799" s="8"/>
    </row>
    <row r="1800" spans="1:19" x14ac:dyDescent="0.25">
      <c r="B1800" s="307" t="s">
        <v>104</v>
      </c>
      <c r="C1800" s="365" t="s">
        <v>95</v>
      </c>
      <c r="D1800" s="359">
        <f>D1796/($B1796/7.7)</f>
        <v>9.1103018867924526</v>
      </c>
      <c r="E1800" s="359">
        <f>E1796/($B1796/7)</f>
        <v>4.5613464837049733</v>
      </c>
      <c r="F1800" s="359">
        <f>F1796/($B1796/7)</f>
        <v>3.7226672384219555</v>
      </c>
      <c r="G1800" s="359">
        <f>G1796/($B1796/7)</f>
        <v>2.5745111492281301</v>
      </c>
      <c r="H1800" s="359">
        <f t="shared" si="229"/>
        <v>19.968826758147511</v>
      </c>
      <c r="I1800" s="307" t="s">
        <v>104</v>
      </c>
      <c r="J1800" s="365" t="s">
        <v>95</v>
      </c>
      <c r="K1800" s="359">
        <f>K1796/($I1796/7.7)</f>
        <v>8.8709811320754728</v>
      </c>
      <c r="L1800" s="359">
        <f>L1796/($I1796/7)</f>
        <v>8.7536620926243547</v>
      </c>
      <c r="M1800" s="359">
        <f>M1796/($I1796/7)</f>
        <v>5.8460806174957112</v>
      </c>
      <c r="N1800" s="359">
        <f>N1796/($I1796/7)</f>
        <v>0.96913379073756434</v>
      </c>
      <c r="O1800" s="359">
        <f t="shared" si="230"/>
        <v>24.439857632933105</v>
      </c>
    </row>
    <row r="1801" spans="1:19" x14ac:dyDescent="0.25">
      <c r="B1801" s="307" t="s">
        <v>104</v>
      </c>
      <c r="C1801" s="438" t="s">
        <v>96</v>
      </c>
      <c r="D1801" s="359">
        <f>D1797/($B1797/7.7)</f>
        <v>11.059840000000001</v>
      </c>
      <c r="E1801" s="359">
        <f>E1797/($B1797/7.7)</f>
        <v>5.6284800000000006</v>
      </c>
      <c r="F1801" s="359">
        <f>F1797/($B1797/7.7)</f>
        <v>2.65056</v>
      </c>
      <c r="G1801" s="359">
        <f>G1797/($B1797/7.7)</f>
        <v>2.8336000000000001</v>
      </c>
      <c r="H1801" s="359">
        <f t="shared" si="229"/>
        <v>22.17248</v>
      </c>
      <c r="I1801" s="307" t="s">
        <v>104</v>
      </c>
      <c r="J1801" s="438" t="s">
        <v>96</v>
      </c>
      <c r="K1801" s="359">
        <f>K1797/($I1797/7.7)</f>
        <v>9.9950399999999995</v>
      </c>
      <c r="L1801" s="359">
        <f>L1797/($I1797/7.7)</f>
        <v>11.568480000000001</v>
      </c>
      <c r="M1801" s="359">
        <f>M1797/($I1797/7.7)</f>
        <v>1.01684</v>
      </c>
      <c r="N1801" s="359">
        <f>N1797/($I1797/7.7)</f>
        <v>2.2717200000000002</v>
      </c>
      <c r="O1801" s="359">
        <f t="shared" si="230"/>
        <v>24.852080000000001</v>
      </c>
    </row>
    <row r="1802" spans="1:19" x14ac:dyDescent="0.25">
      <c r="B1802" s="307" t="s">
        <v>135</v>
      </c>
      <c r="C1802" s="365" t="s">
        <v>95</v>
      </c>
      <c r="D1802" s="359">
        <f>D1796/((($B1796*$B1792)*(1-$B1789))/$B1787)</f>
        <v>0.21239790034925296</v>
      </c>
      <c r="E1802" s="359">
        <f>E1796/((($B1796*$B1792)*(1-$B1789))/$B1787)</f>
        <v>0.11697773254252</v>
      </c>
      <c r="F1802" s="359">
        <f>F1796/((($B1796*$B1792)*(1-$B1789))/$B1787)</f>
        <v>9.5469435202215402E-2</v>
      </c>
      <c r="G1802" s="359">
        <f>G1796/((($B1796*$B1792)*(1-$B1789))/$B1787)</f>
        <v>6.6024468370910749E-2</v>
      </c>
      <c r="H1802" s="359">
        <f t="shared" si="229"/>
        <v>0.49086953646489911</v>
      </c>
      <c r="I1802" s="307" t="s">
        <v>135</v>
      </c>
      <c r="J1802" s="365" t="s">
        <v>95</v>
      </c>
      <c r="K1802" s="359">
        <f>K1796/((($I1796*$B1792)*(1-$B1789))/$B1787)</f>
        <v>0.20681836781086613</v>
      </c>
      <c r="L1802" s="359">
        <f>L1796/((($I1796*$B1792)*(1-$B1789))/$B1787)</f>
        <v>0.22449150633408421</v>
      </c>
      <c r="M1802" s="359">
        <f>M1796/((($I1796*$B1792)*(1-$B1789))/$B1787)</f>
        <v>0.14992530327140466</v>
      </c>
      <c r="N1802" s="359">
        <f>N1796/((($I1796*$B1792)*(1-$B1789))/$B1787)</f>
        <v>2.4853861414784358E-2</v>
      </c>
      <c r="O1802" s="359">
        <f t="shared" si="230"/>
        <v>0.6060890388311394</v>
      </c>
    </row>
    <row r="1803" spans="1:19" x14ac:dyDescent="0.25">
      <c r="B1803" s="307" t="s">
        <v>135</v>
      </c>
      <c r="C1803" s="438" t="s">
        <v>96</v>
      </c>
      <c r="D1803" s="359">
        <f>D1797/((($B1797*$B1792)*(1-$B1789))/$B1787)</f>
        <v>0.25784950086058522</v>
      </c>
      <c r="E1803" s="359">
        <f>E1797/((($B1797*$B1792)*(1-$B1789))/$B1787)</f>
        <v>0.13122258175559381</v>
      </c>
      <c r="F1803" s="359">
        <f>F1797/((($B1797*$B1792)*(1-$B1789))/$B1787)</f>
        <v>6.179524956970741E-2</v>
      </c>
      <c r="G1803" s="359">
        <f>G1797/((($B1797*$B1792)*(1-$B1789))/$B1787)</f>
        <v>6.606265060240965E-2</v>
      </c>
      <c r="H1803" s="359">
        <f t="shared" si="229"/>
        <v>0.51692998278829605</v>
      </c>
      <c r="I1803" s="307" t="s">
        <v>135</v>
      </c>
      <c r="J1803" s="438" t="s">
        <v>96</v>
      </c>
      <c r="K1803" s="359">
        <f>K1797/((($I1797*$B1792)*(1-$B1789))/$B1787)</f>
        <v>0.23302471600688468</v>
      </c>
      <c r="L1803" s="359">
        <f>L1797/((($I1797*$B1792)*(1-$B1789))/$B1787)</f>
        <v>0.26970795180722895</v>
      </c>
      <c r="M1803" s="359">
        <f>M1797/((($I1797*$B1792)*(1-$B1789))/$B1787)</f>
        <v>2.3706643717728057E-2</v>
      </c>
      <c r="N1803" s="359">
        <f>N1797/((($I1797*$B1792)*(1-$B1789))/$B1787)</f>
        <v>5.2962960413080899E-2</v>
      </c>
      <c r="O1803" s="359">
        <f t="shared" si="230"/>
        <v>0.57940227194492255</v>
      </c>
    </row>
    <row r="1804" spans="1:19" x14ac:dyDescent="0.25">
      <c r="A1804" s="178"/>
      <c r="B1804" s="178"/>
      <c r="C1804" s="178"/>
      <c r="D1804" s="178"/>
      <c r="E1804" s="178"/>
      <c r="F1804" s="178"/>
      <c r="G1804" s="178"/>
      <c r="H1804" s="178"/>
      <c r="I1804" s="178"/>
      <c r="J1804" s="178"/>
      <c r="K1804" s="178"/>
      <c r="L1804" s="178"/>
      <c r="M1804" s="178"/>
      <c r="N1804" s="178"/>
      <c r="O1804" s="178"/>
    </row>
    <row r="1805" spans="1:19" ht="21.75" thickBot="1" x14ac:dyDescent="0.3">
      <c r="A1805" s="305"/>
      <c r="B1805" s="644" t="s">
        <v>503</v>
      </c>
      <c r="C1805" s="645"/>
      <c r="D1805" s="645"/>
      <c r="E1805" s="645"/>
      <c r="F1805" s="645"/>
      <c r="G1805" s="645"/>
      <c r="H1805" s="645"/>
      <c r="I1805" s="645"/>
      <c r="J1805" s="645"/>
      <c r="K1805" s="645"/>
      <c r="L1805" s="645"/>
      <c r="M1805" s="645"/>
      <c r="N1805" s="645"/>
      <c r="O1805" s="646"/>
    </row>
    <row r="1806" spans="1:19" ht="21" x14ac:dyDescent="0.25">
      <c r="A1806" s="177" t="s">
        <v>285</v>
      </c>
      <c r="B1806" s="647">
        <v>44376</v>
      </c>
      <c r="C1806" s="648"/>
      <c r="D1806" s="648"/>
      <c r="E1806" s="648"/>
      <c r="F1806" s="648"/>
      <c r="G1806" s="648"/>
      <c r="H1806" s="648"/>
      <c r="I1806" s="648"/>
      <c r="J1806" s="648"/>
      <c r="K1806" s="648"/>
      <c r="L1806" s="648"/>
      <c r="M1806" s="648"/>
      <c r="N1806" s="648"/>
      <c r="O1806" s="649"/>
      <c r="Q1806" s="662" t="s">
        <v>139</v>
      </c>
      <c r="R1806" s="176" t="s">
        <v>140</v>
      </c>
      <c r="S1806" s="663" t="s">
        <v>142</v>
      </c>
    </row>
    <row r="1807" spans="1:19" ht="15.75" thickBot="1" x14ac:dyDescent="0.3">
      <c r="A1807" s="177"/>
      <c r="B1807" s="650" t="s">
        <v>115</v>
      </c>
      <c r="C1807" s="651"/>
      <c r="D1807" s="651"/>
      <c r="E1807" s="651"/>
      <c r="F1807" s="651"/>
      <c r="G1807" s="651"/>
      <c r="H1807" s="651"/>
      <c r="I1807" s="651"/>
      <c r="J1807" s="651"/>
      <c r="K1807" s="651"/>
      <c r="L1807" s="651"/>
      <c r="M1807" s="651"/>
      <c r="N1807" s="651"/>
      <c r="O1807" s="652"/>
      <c r="Q1807" s="641"/>
      <c r="R1807" s="87" t="s">
        <v>141</v>
      </c>
      <c r="S1807" s="643"/>
    </row>
    <row r="1808" spans="1:19" ht="15.75" thickBot="1" x14ac:dyDescent="0.3">
      <c r="A1808" s="177" t="s">
        <v>106</v>
      </c>
      <c r="B1808" s="629">
        <v>18.5</v>
      </c>
      <c r="C1808" s="630"/>
      <c r="D1808" s="630"/>
      <c r="E1808" s="631"/>
      <c r="F1808" s="365" t="s">
        <v>174</v>
      </c>
      <c r="G1808" s="471"/>
      <c r="H1808" s="653">
        <v>0</v>
      </c>
      <c r="I1808" s="654"/>
      <c r="J1808" s="654"/>
      <c r="K1808" s="654"/>
      <c r="L1808" s="655"/>
      <c r="M1808" s="656">
        <f>SUM(B1808,H1809)</f>
        <v>18.5</v>
      </c>
      <c r="N1808" s="630"/>
      <c r="O1808" s="631"/>
      <c r="Q1808" s="147" t="s">
        <v>143</v>
      </c>
      <c r="R1808" s="88">
        <v>8</v>
      </c>
      <c r="S1808" s="87" t="s">
        <v>517</v>
      </c>
    </row>
    <row r="1809" spans="1:19" ht="15.75" thickBot="1" x14ac:dyDescent="0.3">
      <c r="A1809" s="177" t="s">
        <v>112</v>
      </c>
      <c r="B1809" s="626">
        <v>0.17</v>
      </c>
      <c r="C1809" s="627"/>
      <c r="D1809" s="627"/>
      <c r="E1809" s="628"/>
      <c r="F1809" s="290"/>
      <c r="G1809" s="472"/>
      <c r="H1809" s="626">
        <v>0</v>
      </c>
      <c r="I1809" s="627"/>
      <c r="J1809" s="627"/>
      <c r="K1809" s="627"/>
      <c r="L1809" s="628"/>
      <c r="M1809" s="657">
        <f>B1809</f>
        <v>0.17</v>
      </c>
      <c r="N1809" s="627"/>
      <c r="O1809" s="628"/>
      <c r="Q1809" s="147" t="s">
        <v>145</v>
      </c>
      <c r="R1809" s="88">
        <v>7</v>
      </c>
      <c r="S1809" s="89" t="s">
        <v>545</v>
      </c>
    </row>
    <row r="1810" spans="1:19" ht="15.75" thickBot="1" x14ac:dyDescent="0.3">
      <c r="A1810" s="177" t="s">
        <v>107</v>
      </c>
      <c r="B1810" s="629">
        <f>B1808*(1-B1809)</f>
        <v>15.354999999999999</v>
      </c>
      <c r="C1810" s="630"/>
      <c r="D1810" s="630"/>
      <c r="E1810" s="631"/>
      <c r="F1810" s="290"/>
      <c r="G1810" s="472"/>
      <c r="H1810" s="629">
        <f>H1808*(1-H1809)</f>
        <v>0</v>
      </c>
      <c r="I1810" s="630"/>
      <c r="J1810" s="630"/>
      <c r="K1810" s="630"/>
      <c r="L1810" s="631"/>
      <c r="M1810" s="656">
        <f>SUM(B1810,H1810)</f>
        <v>15.354999999999999</v>
      </c>
      <c r="N1810" s="630"/>
      <c r="O1810" s="631"/>
      <c r="Q1810" s="147" t="s">
        <v>147</v>
      </c>
      <c r="R1810" s="88">
        <v>7</v>
      </c>
      <c r="S1810" s="87" t="s">
        <v>411</v>
      </c>
    </row>
    <row r="1811" spans="1:19" ht="29.25" thickBot="1" x14ac:dyDescent="0.3">
      <c r="A1811" s="177" t="s">
        <v>108</v>
      </c>
      <c r="B1811" s="626">
        <f>B1814/B1810</f>
        <v>0.80427548029957707</v>
      </c>
      <c r="C1811" s="627"/>
      <c r="D1811" s="627"/>
      <c r="E1811" s="627"/>
      <c r="F1811" s="627"/>
      <c r="G1811" s="627"/>
      <c r="H1811" s="627"/>
      <c r="I1811" s="627"/>
      <c r="J1811" s="627"/>
      <c r="K1811" s="627"/>
      <c r="L1811" s="627"/>
      <c r="M1811" s="627"/>
      <c r="N1811" s="627"/>
      <c r="O1811" s="628"/>
      <c r="Q1811" s="147" t="s">
        <v>82</v>
      </c>
      <c r="R1811" s="88">
        <v>8</v>
      </c>
      <c r="S1811" s="89" t="s">
        <v>518</v>
      </c>
    </row>
    <row r="1812" spans="1:19" ht="15.75" thickBot="1" x14ac:dyDescent="0.3">
      <c r="A1812" s="177" t="s">
        <v>113</v>
      </c>
      <c r="B1812" s="629">
        <f>B1816*(B1820+B1821+I1820+I1821)/1000</f>
        <v>41.165500000000002</v>
      </c>
      <c r="C1812" s="630"/>
      <c r="D1812" s="630"/>
      <c r="E1812" s="630"/>
      <c r="F1812" s="630"/>
      <c r="G1812" s="630"/>
      <c r="H1812" s="630"/>
      <c r="I1812" s="630"/>
      <c r="J1812" s="630"/>
      <c r="K1812" s="630"/>
      <c r="L1812" s="630"/>
      <c r="M1812" s="630"/>
      <c r="N1812" s="630"/>
      <c r="O1812" s="631"/>
      <c r="Q1812" s="147" t="s">
        <v>152</v>
      </c>
      <c r="R1812" s="88">
        <v>8</v>
      </c>
      <c r="S1812" s="89" t="s">
        <v>519</v>
      </c>
    </row>
    <row r="1813" spans="1:19" ht="15.75" thickBot="1" x14ac:dyDescent="0.3">
      <c r="A1813" s="177" t="s">
        <v>109</v>
      </c>
      <c r="B1813" s="626">
        <v>0.7</v>
      </c>
      <c r="C1813" s="627"/>
      <c r="D1813" s="627"/>
      <c r="E1813" s="627"/>
      <c r="F1813" s="627"/>
      <c r="G1813" s="627"/>
      <c r="H1813" s="627"/>
      <c r="I1813" s="627"/>
      <c r="J1813" s="627"/>
      <c r="K1813" s="627"/>
      <c r="L1813" s="627"/>
      <c r="M1813" s="627"/>
      <c r="N1813" s="627"/>
      <c r="O1813" s="628"/>
      <c r="Q1813" s="147" t="s">
        <v>154</v>
      </c>
      <c r="R1813" s="88">
        <v>8</v>
      </c>
      <c r="S1813" s="87" t="s">
        <v>520</v>
      </c>
    </row>
    <row r="1814" spans="1:19" ht="29.25" thickBot="1" x14ac:dyDescent="0.3">
      <c r="A1814" s="177" t="s">
        <v>122</v>
      </c>
      <c r="B1814" s="629">
        <f>B1812-(B1812*B1813)</f>
        <v>12.349650000000004</v>
      </c>
      <c r="C1814" s="630"/>
      <c r="D1814" s="630"/>
      <c r="E1814" s="630"/>
      <c r="F1814" s="630"/>
      <c r="G1814" s="630"/>
      <c r="H1814" s="630"/>
      <c r="I1814" s="630"/>
      <c r="J1814" s="630"/>
      <c r="K1814" s="630"/>
      <c r="L1814" s="630"/>
      <c r="M1814" s="630"/>
      <c r="N1814" s="630"/>
      <c r="O1814" s="631"/>
      <c r="Q1814" s="147" t="s">
        <v>156</v>
      </c>
      <c r="R1814" s="88">
        <v>8</v>
      </c>
      <c r="S1814" s="87" t="s">
        <v>480</v>
      </c>
    </row>
    <row r="1815" spans="1:19" ht="15.75" thickBot="1" x14ac:dyDescent="0.3">
      <c r="A1815" s="177" t="s">
        <v>110</v>
      </c>
      <c r="B1815" s="632">
        <v>125</v>
      </c>
      <c r="C1815" s="633"/>
      <c r="D1815" s="633"/>
      <c r="E1815" s="633"/>
      <c r="F1815" s="633"/>
      <c r="G1815" s="633"/>
      <c r="H1815" s="633"/>
      <c r="I1815" s="633"/>
      <c r="J1815" s="633"/>
      <c r="K1815" s="633"/>
      <c r="L1815" s="633"/>
      <c r="M1815" s="633"/>
      <c r="N1815" s="633"/>
      <c r="O1815" s="634"/>
      <c r="Q1815" s="147" t="s">
        <v>158</v>
      </c>
      <c r="R1815" s="88"/>
      <c r="S1815" s="87"/>
    </row>
    <row r="1816" spans="1:19" ht="15.75" thickBot="1" x14ac:dyDescent="0.3">
      <c r="A1816" s="177" t="s">
        <v>111</v>
      </c>
      <c r="B1816" s="635">
        <v>14.5</v>
      </c>
      <c r="C1816" s="636"/>
      <c r="D1816" s="636"/>
      <c r="E1816" s="636"/>
      <c r="F1816" s="636"/>
      <c r="G1816" s="636"/>
      <c r="H1816" s="636"/>
      <c r="I1816" s="636"/>
      <c r="J1816" s="636"/>
      <c r="K1816" s="636"/>
      <c r="L1816" s="636"/>
      <c r="M1816" s="636"/>
      <c r="N1816" s="636"/>
      <c r="O1816" s="637"/>
      <c r="Q1816" s="174" t="s">
        <v>99</v>
      </c>
      <c r="R1816" s="87" t="s">
        <v>546</v>
      </c>
      <c r="S1816" s="148">
        <v>0.77</v>
      </c>
    </row>
    <row r="1817" spans="1:19" x14ac:dyDescent="0.25">
      <c r="A1817" s="177" t="s">
        <v>273</v>
      </c>
      <c r="B1817" s="638" t="s">
        <v>472</v>
      </c>
      <c r="C1817" s="638"/>
      <c r="D1817" s="638"/>
      <c r="E1817" s="638"/>
      <c r="F1817" s="638"/>
      <c r="G1817" s="638"/>
      <c r="H1817" s="638"/>
      <c r="I1817" s="638"/>
      <c r="J1817" s="638"/>
      <c r="K1817" s="638"/>
      <c r="L1817" s="638"/>
      <c r="M1817" s="638"/>
      <c r="N1817" s="638"/>
      <c r="O1817" s="639"/>
    </row>
    <row r="1818" spans="1:19" x14ac:dyDescent="0.25">
      <c r="A1818" s="177" t="s">
        <v>351</v>
      </c>
      <c r="B1818" s="431"/>
      <c r="C1818" s="431"/>
      <c r="D1818" s="431"/>
      <c r="E1818" s="431"/>
      <c r="F1818" s="431"/>
      <c r="G1818" s="431"/>
      <c r="H1818" s="431"/>
      <c r="I1818" s="431"/>
      <c r="J1818" s="431"/>
      <c r="K1818" s="431"/>
      <c r="L1818" s="431"/>
      <c r="M1818" s="431"/>
      <c r="N1818" s="431"/>
      <c r="O1818" s="432"/>
      <c r="Q1818" s="10"/>
      <c r="R1818" s="8"/>
    </row>
    <row r="1819" spans="1:19" x14ac:dyDescent="0.25">
      <c r="B1819" s="307" t="s">
        <v>98</v>
      </c>
      <c r="C1819" s="365" t="s">
        <v>102</v>
      </c>
      <c r="D1819" s="365" t="s">
        <v>92</v>
      </c>
      <c r="E1819" s="365" t="s">
        <v>93</v>
      </c>
      <c r="F1819" s="365" t="s">
        <v>94</v>
      </c>
      <c r="G1819" s="365" t="s">
        <v>549</v>
      </c>
      <c r="H1819" s="359" t="s">
        <v>99</v>
      </c>
      <c r="I1819" s="307" t="s">
        <v>98</v>
      </c>
      <c r="J1819" s="365" t="s">
        <v>102</v>
      </c>
      <c r="K1819" s="365" t="s">
        <v>92</v>
      </c>
      <c r="L1819" s="365" t="s">
        <v>93</v>
      </c>
      <c r="M1819" s="365" t="s">
        <v>94</v>
      </c>
      <c r="N1819" s="365" t="s">
        <v>549</v>
      </c>
      <c r="O1819" s="359" t="s">
        <v>99</v>
      </c>
      <c r="Q1819" s="10"/>
      <c r="R1819" s="175"/>
    </row>
    <row r="1820" spans="1:19" x14ac:dyDescent="0.25">
      <c r="B1820" s="308">
        <v>1183</v>
      </c>
      <c r="C1820" s="365" t="s">
        <v>95</v>
      </c>
      <c r="D1820" s="441">
        <v>1232.58</v>
      </c>
      <c r="E1820" s="441">
        <v>685.73</v>
      </c>
      <c r="F1820" s="441">
        <v>543.42999999999995</v>
      </c>
      <c r="G1820" s="441">
        <v>359.95</v>
      </c>
      <c r="H1820" s="359">
        <f>SUM(D1820:G1820)</f>
        <v>2821.6899999999996</v>
      </c>
      <c r="I1820" s="308">
        <v>1250</v>
      </c>
      <c r="J1820" s="365" t="s">
        <v>95</v>
      </c>
      <c r="K1820" s="441">
        <v>1409.04</v>
      </c>
      <c r="L1820" s="441">
        <v>669.19</v>
      </c>
      <c r="M1820" s="441">
        <v>469.18</v>
      </c>
      <c r="N1820" s="441">
        <v>878.52</v>
      </c>
      <c r="O1820" s="359">
        <f>SUM(K1820:N1820)</f>
        <v>3425.93</v>
      </c>
      <c r="Q1820" s="10"/>
      <c r="R1820" s="8"/>
    </row>
    <row r="1821" spans="1:19" x14ac:dyDescent="0.25">
      <c r="B1821" s="308">
        <v>206</v>
      </c>
      <c r="C1821" s="365" t="s">
        <v>96</v>
      </c>
      <c r="D1821" s="441">
        <v>258.10000000000002</v>
      </c>
      <c r="E1821" s="441">
        <v>91.23</v>
      </c>
      <c r="F1821" s="441">
        <v>31.12</v>
      </c>
      <c r="G1821" s="441">
        <v>46.2</v>
      </c>
      <c r="H1821" s="359">
        <f t="shared" ref="H1821:H1827" si="233">SUM(D1821:G1821)</f>
        <v>426.65000000000003</v>
      </c>
      <c r="I1821" s="308">
        <v>200</v>
      </c>
      <c r="J1821" s="365" t="s">
        <v>96</v>
      </c>
      <c r="K1821" s="441">
        <v>183.2</v>
      </c>
      <c r="L1821" s="441">
        <v>100.72</v>
      </c>
      <c r="M1821" s="441">
        <v>149.16</v>
      </c>
      <c r="N1821" s="441">
        <v>117.84</v>
      </c>
      <c r="O1821" s="359">
        <f t="shared" ref="O1821:O1827" si="234">SUM(K1821:N1821)</f>
        <v>550.91999999999996</v>
      </c>
      <c r="Q1821" s="10"/>
      <c r="R1821" s="8"/>
    </row>
    <row r="1822" spans="1:19" x14ac:dyDescent="0.25">
      <c r="B1822" s="307" t="s">
        <v>100</v>
      </c>
      <c r="C1822" s="365" t="s">
        <v>95</v>
      </c>
      <c r="D1822" s="444">
        <f t="shared" ref="D1822:G1823" si="235">D1820/$B1820</f>
        <v>1.0419103972950126</v>
      </c>
      <c r="E1822" s="429">
        <f t="shared" si="235"/>
        <v>0.57965342349957738</v>
      </c>
      <c r="F1822" s="429">
        <f t="shared" si="235"/>
        <v>0.45936601859678777</v>
      </c>
      <c r="G1822" s="429">
        <f t="shared" si="235"/>
        <v>0.30426880811496193</v>
      </c>
      <c r="H1822" s="359">
        <f t="shared" si="233"/>
        <v>2.3851986475063396</v>
      </c>
      <c r="I1822" s="307" t="s">
        <v>100</v>
      </c>
      <c r="J1822" s="365" t="s">
        <v>95</v>
      </c>
      <c r="K1822" s="444">
        <f t="shared" ref="K1822:N1823" si="236">K1820/$I1820</f>
        <v>1.127232</v>
      </c>
      <c r="L1822" s="429">
        <f t="shared" si="236"/>
        <v>0.53535200000000005</v>
      </c>
      <c r="M1822" s="429">
        <f t="shared" si="236"/>
        <v>0.37534400000000001</v>
      </c>
      <c r="N1822" s="429">
        <f t="shared" si="236"/>
        <v>0.702816</v>
      </c>
      <c r="O1822" s="359">
        <f t="shared" si="234"/>
        <v>2.7407439999999998</v>
      </c>
    </row>
    <row r="1823" spans="1:19" x14ac:dyDescent="0.25">
      <c r="B1823" s="307" t="s">
        <v>100</v>
      </c>
      <c r="C1823" s="438" t="s">
        <v>96</v>
      </c>
      <c r="D1823" s="359">
        <f t="shared" si="235"/>
        <v>1.2529126213592234</v>
      </c>
      <c r="E1823" s="359">
        <f t="shared" si="235"/>
        <v>0.44286407766990293</v>
      </c>
      <c r="F1823" s="359">
        <f t="shared" si="235"/>
        <v>0.15106796116504856</v>
      </c>
      <c r="G1823" s="359">
        <f t="shared" si="235"/>
        <v>0.22427184466019418</v>
      </c>
      <c r="H1823" s="359">
        <f t="shared" si="233"/>
        <v>2.0711165048543689</v>
      </c>
      <c r="I1823" s="307" t="s">
        <v>100</v>
      </c>
      <c r="J1823" s="438" t="s">
        <v>96</v>
      </c>
      <c r="K1823" s="359">
        <f t="shared" si="236"/>
        <v>0.91599999999999993</v>
      </c>
      <c r="L1823" s="359">
        <f t="shared" si="236"/>
        <v>0.50360000000000005</v>
      </c>
      <c r="M1823" s="359">
        <f t="shared" si="236"/>
        <v>0.74580000000000002</v>
      </c>
      <c r="N1823" s="359">
        <f t="shared" si="236"/>
        <v>0.58920000000000006</v>
      </c>
      <c r="O1823" s="359">
        <f t="shared" si="234"/>
        <v>2.7545999999999999</v>
      </c>
    </row>
    <row r="1824" spans="1:19" x14ac:dyDescent="0.25">
      <c r="B1824" s="307" t="s">
        <v>104</v>
      </c>
      <c r="C1824" s="365" t="s">
        <v>95</v>
      </c>
      <c r="D1824" s="359">
        <f>D1820/($B1820/7.7)</f>
        <v>8.0227100591715974</v>
      </c>
      <c r="E1824" s="359">
        <f>E1820/($B1820/7)</f>
        <v>4.0575739644970419</v>
      </c>
      <c r="F1824" s="359">
        <f>F1820/($B1820/7)</f>
        <v>3.2155621301775144</v>
      </c>
      <c r="G1824" s="359">
        <f>G1820/($B1820/7)</f>
        <v>2.1298816568047338</v>
      </c>
      <c r="H1824" s="359">
        <f t="shared" si="233"/>
        <v>17.425727810650887</v>
      </c>
      <c r="I1824" s="307" t="s">
        <v>104</v>
      </c>
      <c r="J1824" s="365" t="s">
        <v>95</v>
      </c>
      <c r="K1824" s="359">
        <f>K1820/($I1820/7.7)</f>
        <v>8.6796864000000014</v>
      </c>
      <c r="L1824" s="359">
        <f>L1820/($I1820/7)</f>
        <v>3.7474639999999999</v>
      </c>
      <c r="M1824" s="359">
        <f>M1820/($I1820/7)</f>
        <v>2.627408</v>
      </c>
      <c r="N1824" s="359">
        <f>N1820/($I1820/7)</f>
        <v>4.9197119999999996</v>
      </c>
      <c r="O1824" s="359">
        <f t="shared" si="234"/>
        <v>19.974270400000002</v>
      </c>
    </row>
    <row r="1825" spans="1:19" x14ac:dyDescent="0.25">
      <c r="B1825" s="307" t="s">
        <v>104</v>
      </c>
      <c r="C1825" s="438" t="s">
        <v>96</v>
      </c>
      <c r="D1825" s="359">
        <f>D1821/($B1821/7.7)</f>
        <v>9.6474271844660198</v>
      </c>
      <c r="E1825" s="359">
        <f>E1821/($B1821/7.7)</f>
        <v>3.4100533980582526</v>
      </c>
      <c r="F1825" s="359">
        <f>F1821/($B1821/7.7)</f>
        <v>1.1632233009708739</v>
      </c>
      <c r="G1825" s="359">
        <f>G1821/($B1821/7.7)</f>
        <v>1.7268932038834952</v>
      </c>
      <c r="H1825" s="359">
        <f t="shared" si="233"/>
        <v>15.947597087378641</v>
      </c>
      <c r="I1825" s="307" t="s">
        <v>104</v>
      </c>
      <c r="J1825" s="438" t="s">
        <v>96</v>
      </c>
      <c r="K1825" s="359">
        <f>K1821/($I1821/7.7)</f>
        <v>7.0531999999999995</v>
      </c>
      <c r="L1825" s="359">
        <f>L1821/($I1821/7.7)</f>
        <v>3.8777200000000001</v>
      </c>
      <c r="M1825" s="359">
        <f>M1821/($I1821/7.7)</f>
        <v>5.7426599999999999</v>
      </c>
      <c r="N1825" s="359">
        <f>N1821/($I1821/7.7)</f>
        <v>4.5368399999999998</v>
      </c>
      <c r="O1825" s="359">
        <f t="shared" si="234"/>
        <v>21.210419999999999</v>
      </c>
      <c r="Q1825" s="485" t="s">
        <v>580</v>
      </c>
    </row>
    <row r="1826" spans="1:19" x14ac:dyDescent="0.25">
      <c r="B1826" s="307" t="s">
        <v>135</v>
      </c>
      <c r="C1826" s="365" t="s">
        <v>95</v>
      </c>
      <c r="D1826" s="359">
        <f>D1820/((($B1820*$B1816)*(1-$B1813))/$B1811)</f>
        <v>0.19263976671576305</v>
      </c>
      <c r="E1826" s="359">
        <f>E1820/((($B1820*$B1816)*(1-$B1813))/$B1811)</f>
        <v>0.10717265186032567</v>
      </c>
      <c r="F1826" s="359">
        <f>F1820/((($B1820*$B1816)*(1-$B1813))/$B1811)</f>
        <v>8.4932603503502499E-2</v>
      </c>
      <c r="G1826" s="359">
        <f>G1820/((($B1820*$B1816)*(1-$B1813))/$B1811)</f>
        <v>5.6256538341802491E-2</v>
      </c>
      <c r="H1826" s="359">
        <f t="shared" si="233"/>
        <v>0.44100156042139371</v>
      </c>
      <c r="I1826" s="307" t="s">
        <v>135</v>
      </c>
      <c r="J1826" s="365" t="s">
        <v>95</v>
      </c>
      <c r="K1826" s="359">
        <f>K1820/((($I1820*$B1816)*(1-$B1813))/$B1811)</f>
        <v>0.20841495591012704</v>
      </c>
      <c r="L1826" s="359">
        <f>L1820/((($I1820*$B1816)*(1-$B1813))/$B1811)</f>
        <v>9.8981721133181405E-2</v>
      </c>
      <c r="M1826" s="359">
        <f>M1820/((($I1820*$B1816)*(1-$B1813))/$B1811)</f>
        <v>6.9397695604037787E-2</v>
      </c>
      <c r="N1826" s="359">
        <f>N1820/((($I1820*$B1816)*(1-$B1813))/$B1811)</f>
        <v>0.12994429332464999</v>
      </c>
      <c r="O1826" s="359">
        <f t="shared" si="234"/>
        <v>0.50673866597199624</v>
      </c>
    </row>
    <row r="1827" spans="1:19" x14ac:dyDescent="0.25">
      <c r="B1827" s="307" t="s">
        <v>135</v>
      </c>
      <c r="C1827" s="438" t="s">
        <v>96</v>
      </c>
      <c r="D1827" s="359">
        <f>D1821/((($B1821*$B1816)*(1-$B1813))/$B1811)</f>
        <v>0.23165216099243482</v>
      </c>
      <c r="E1827" s="359">
        <f>E1821/((($B1821*$B1816)*(1-$B1813))/$B1811)</f>
        <v>8.1881544546066748E-2</v>
      </c>
      <c r="F1827" s="359">
        <f>F1821/((($B1821*$B1816)*(1-$B1813))/$B1811)</f>
        <v>2.7931093568712016E-2</v>
      </c>
      <c r="G1827" s="359">
        <f>G1821/((($B1821*$B1816)*(1-$B1813))/$B1811)</f>
        <v>4.1465826570517193E-2</v>
      </c>
      <c r="H1827" s="359">
        <f t="shared" si="233"/>
        <v>0.38293062567773078</v>
      </c>
      <c r="I1827" s="307" t="s">
        <v>135</v>
      </c>
      <c r="J1827" s="438" t="s">
        <v>96</v>
      </c>
      <c r="K1827" s="359">
        <f>K1821/((($I1821*$B1816)*(1-$B1813))/$B1811)</f>
        <v>0.16936007815043966</v>
      </c>
      <c r="L1827" s="359">
        <f>L1821/((($I1821*$B1816)*(1-$B1813))/$B1811)</f>
        <v>9.3111064799739532E-2</v>
      </c>
      <c r="M1827" s="359">
        <f>M1821/((($I1821*$B1816)*(1-$B1813))/$B1811)</f>
        <v>0.13789164441549989</v>
      </c>
      <c r="N1827" s="359">
        <f>N1821/((($I1821*$B1816)*(1-$B1813))/$B1811)</f>
        <v>0.10893772712471511</v>
      </c>
      <c r="O1827" s="359">
        <f t="shared" si="234"/>
        <v>0.50930051449039415</v>
      </c>
    </row>
    <row r="1828" spans="1:19" ht="15.75" thickBot="1" x14ac:dyDescent="0.3">
      <c r="A1828" s="178"/>
      <c r="B1828" s="178"/>
      <c r="C1828" s="178"/>
      <c r="D1828" s="178"/>
      <c r="E1828" s="178"/>
      <c r="F1828" s="178"/>
      <c r="G1828" s="178"/>
      <c r="H1828" s="178"/>
      <c r="I1828" s="178"/>
      <c r="J1828" s="178"/>
      <c r="K1828" s="178"/>
      <c r="L1828" s="178"/>
      <c r="M1828" s="178"/>
      <c r="N1828" s="178"/>
      <c r="O1828" s="178"/>
    </row>
    <row r="1829" spans="1:19" ht="21" x14ac:dyDescent="0.25">
      <c r="A1829" s="305"/>
      <c r="B1829" s="644" t="s">
        <v>504</v>
      </c>
      <c r="C1829" s="645"/>
      <c r="D1829" s="645"/>
      <c r="E1829" s="645"/>
      <c r="F1829" s="645"/>
      <c r="G1829" s="645"/>
      <c r="H1829" s="645"/>
      <c r="I1829" s="645"/>
      <c r="J1829" s="645"/>
      <c r="K1829" s="645"/>
      <c r="L1829" s="645"/>
      <c r="M1829" s="645"/>
      <c r="N1829" s="645"/>
      <c r="O1829" s="646"/>
      <c r="Q1829" s="662" t="s">
        <v>139</v>
      </c>
      <c r="R1829" s="176" t="s">
        <v>140</v>
      </c>
      <c r="S1829" s="663" t="s">
        <v>142</v>
      </c>
    </row>
    <row r="1830" spans="1:19" ht="21.75" thickBot="1" x14ac:dyDescent="0.3">
      <c r="A1830" s="177" t="s">
        <v>285</v>
      </c>
      <c r="B1830" s="647">
        <v>44389</v>
      </c>
      <c r="C1830" s="648"/>
      <c r="D1830" s="648"/>
      <c r="E1830" s="648"/>
      <c r="F1830" s="648"/>
      <c r="G1830" s="648"/>
      <c r="H1830" s="648"/>
      <c r="I1830" s="648"/>
      <c r="J1830" s="648"/>
      <c r="K1830" s="648"/>
      <c r="L1830" s="648"/>
      <c r="M1830" s="648"/>
      <c r="N1830" s="648"/>
      <c r="O1830" s="649"/>
      <c r="Q1830" s="641"/>
      <c r="R1830" s="87" t="s">
        <v>141</v>
      </c>
      <c r="S1830" s="643"/>
    </row>
    <row r="1831" spans="1:19" ht="15.75" thickBot="1" x14ac:dyDescent="0.3">
      <c r="A1831" s="177"/>
      <c r="B1831" s="650" t="s">
        <v>115</v>
      </c>
      <c r="C1831" s="651"/>
      <c r="D1831" s="651"/>
      <c r="E1831" s="651"/>
      <c r="F1831" s="651"/>
      <c r="G1831" s="651"/>
      <c r="H1831" s="651"/>
      <c r="I1831" s="651"/>
      <c r="J1831" s="651"/>
      <c r="K1831" s="651"/>
      <c r="L1831" s="651"/>
      <c r="M1831" s="651"/>
      <c r="N1831" s="651"/>
      <c r="O1831" s="652"/>
      <c r="Q1831" s="147" t="s">
        <v>143</v>
      </c>
      <c r="R1831" s="88">
        <v>8</v>
      </c>
      <c r="S1831" s="87" t="s">
        <v>547</v>
      </c>
    </row>
    <row r="1832" spans="1:19" ht="15.75" thickBot="1" x14ac:dyDescent="0.3">
      <c r="A1832" s="177" t="s">
        <v>106</v>
      </c>
      <c r="B1832" s="629">
        <v>18.5</v>
      </c>
      <c r="C1832" s="630"/>
      <c r="D1832" s="630"/>
      <c r="E1832" s="631"/>
      <c r="F1832" s="365" t="s">
        <v>174</v>
      </c>
      <c r="G1832" s="471"/>
      <c r="H1832" s="653">
        <v>0</v>
      </c>
      <c r="I1832" s="654"/>
      <c r="J1832" s="654"/>
      <c r="K1832" s="654"/>
      <c r="L1832" s="655"/>
      <c r="M1832" s="656">
        <f>SUM(B1832,H1833)</f>
        <v>18.5</v>
      </c>
      <c r="N1832" s="630"/>
      <c r="O1832" s="631"/>
      <c r="Q1832" s="147" t="s">
        <v>145</v>
      </c>
      <c r="R1832" s="88">
        <v>8</v>
      </c>
      <c r="S1832" s="89" t="s">
        <v>548</v>
      </c>
    </row>
    <row r="1833" spans="1:19" ht="15.75" thickBot="1" x14ac:dyDescent="0.3">
      <c r="A1833" s="177" t="s">
        <v>112</v>
      </c>
      <c r="B1833" s="626">
        <v>0.17</v>
      </c>
      <c r="C1833" s="627"/>
      <c r="D1833" s="627"/>
      <c r="E1833" s="628"/>
      <c r="F1833" s="290"/>
      <c r="G1833" s="472"/>
      <c r="H1833" s="626">
        <v>0</v>
      </c>
      <c r="I1833" s="627"/>
      <c r="J1833" s="627"/>
      <c r="K1833" s="627"/>
      <c r="L1833" s="628"/>
      <c r="M1833" s="657">
        <f>B1833</f>
        <v>0.17</v>
      </c>
      <c r="N1833" s="627"/>
      <c r="O1833" s="628"/>
      <c r="Q1833" s="147" t="s">
        <v>147</v>
      </c>
      <c r="R1833" s="88">
        <v>8</v>
      </c>
      <c r="S1833" s="87" t="s">
        <v>411</v>
      </c>
    </row>
    <row r="1834" spans="1:19" ht="29.25" thickBot="1" x14ac:dyDescent="0.3">
      <c r="A1834" s="177" t="s">
        <v>107</v>
      </c>
      <c r="B1834" s="629">
        <f>B1832*(1-B1833)</f>
        <v>15.354999999999999</v>
      </c>
      <c r="C1834" s="630"/>
      <c r="D1834" s="630"/>
      <c r="E1834" s="631"/>
      <c r="F1834" s="290"/>
      <c r="G1834" s="472"/>
      <c r="H1834" s="629">
        <f>H1832*(1-H1833)</f>
        <v>0</v>
      </c>
      <c r="I1834" s="630"/>
      <c r="J1834" s="630"/>
      <c r="K1834" s="630"/>
      <c r="L1834" s="631"/>
      <c r="M1834" s="656">
        <f>SUM(B1834,H1834)</f>
        <v>15.354999999999999</v>
      </c>
      <c r="N1834" s="630"/>
      <c r="O1834" s="631"/>
      <c r="Q1834" s="147" t="s">
        <v>82</v>
      </c>
      <c r="R1834" s="88">
        <v>8</v>
      </c>
      <c r="S1834" s="89" t="s">
        <v>521</v>
      </c>
    </row>
    <row r="1835" spans="1:19" ht="15.75" thickBot="1" x14ac:dyDescent="0.3">
      <c r="A1835" s="177" t="s">
        <v>108</v>
      </c>
      <c r="B1835" s="626">
        <f>B1838/B1834</f>
        <v>0.78863757733637274</v>
      </c>
      <c r="C1835" s="627"/>
      <c r="D1835" s="627"/>
      <c r="E1835" s="627"/>
      <c r="F1835" s="627"/>
      <c r="G1835" s="627"/>
      <c r="H1835" s="627"/>
      <c r="I1835" s="627"/>
      <c r="J1835" s="627"/>
      <c r="K1835" s="627"/>
      <c r="L1835" s="627"/>
      <c r="M1835" s="627"/>
      <c r="N1835" s="627"/>
      <c r="O1835" s="628"/>
      <c r="Q1835" s="147" t="s">
        <v>152</v>
      </c>
      <c r="R1835" s="88">
        <v>8</v>
      </c>
      <c r="S1835" s="89" t="s">
        <v>519</v>
      </c>
    </row>
    <row r="1836" spans="1:19" ht="15.75" thickBot="1" x14ac:dyDescent="0.3">
      <c r="A1836" s="177" t="s">
        <v>113</v>
      </c>
      <c r="B1836" s="629">
        <f>B1840*(B1844+B1845+I1844+I1845)/1000</f>
        <v>39.063000000000002</v>
      </c>
      <c r="C1836" s="630"/>
      <c r="D1836" s="630"/>
      <c r="E1836" s="630"/>
      <c r="F1836" s="630"/>
      <c r="G1836" s="630"/>
      <c r="H1836" s="630"/>
      <c r="I1836" s="630"/>
      <c r="J1836" s="630"/>
      <c r="K1836" s="630"/>
      <c r="L1836" s="630"/>
      <c r="M1836" s="630"/>
      <c r="N1836" s="630"/>
      <c r="O1836" s="631"/>
      <c r="Q1836" s="147" t="s">
        <v>154</v>
      </c>
      <c r="R1836" s="88">
        <v>9</v>
      </c>
      <c r="S1836" s="87" t="s">
        <v>520</v>
      </c>
    </row>
    <row r="1837" spans="1:19" ht="29.25" thickBot="1" x14ac:dyDescent="0.3">
      <c r="A1837" s="177" t="s">
        <v>109</v>
      </c>
      <c r="B1837" s="626">
        <v>0.69</v>
      </c>
      <c r="C1837" s="627"/>
      <c r="D1837" s="627"/>
      <c r="E1837" s="627"/>
      <c r="F1837" s="627"/>
      <c r="G1837" s="627"/>
      <c r="H1837" s="627"/>
      <c r="I1837" s="627"/>
      <c r="J1837" s="627"/>
      <c r="K1837" s="627"/>
      <c r="L1837" s="627"/>
      <c r="M1837" s="627"/>
      <c r="N1837" s="627"/>
      <c r="O1837" s="628"/>
      <c r="Q1837" s="147" t="s">
        <v>156</v>
      </c>
      <c r="R1837" s="88">
        <v>9</v>
      </c>
      <c r="S1837" s="87" t="s">
        <v>480</v>
      </c>
    </row>
    <row r="1838" spans="1:19" ht="15.75" thickBot="1" x14ac:dyDescent="0.3">
      <c r="A1838" s="177" t="s">
        <v>122</v>
      </c>
      <c r="B1838" s="629">
        <f>B1836-(B1836*B1837)</f>
        <v>12.109530000000003</v>
      </c>
      <c r="C1838" s="630"/>
      <c r="D1838" s="630"/>
      <c r="E1838" s="630"/>
      <c r="F1838" s="630"/>
      <c r="G1838" s="630"/>
      <c r="H1838" s="630"/>
      <c r="I1838" s="630"/>
      <c r="J1838" s="630"/>
      <c r="K1838" s="630"/>
      <c r="L1838" s="630"/>
      <c r="M1838" s="630"/>
      <c r="N1838" s="630"/>
      <c r="O1838" s="631"/>
      <c r="Q1838" s="147" t="s">
        <v>158</v>
      </c>
      <c r="R1838" s="88"/>
      <c r="S1838" s="87"/>
    </row>
    <row r="1839" spans="1:19" ht="15.75" thickBot="1" x14ac:dyDescent="0.3">
      <c r="A1839" s="177" t="s">
        <v>110</v>
      </c>
      <c r="B1839" s="632">
        <v>125</v>
      </c>
      <c r="C1839" s="633"/>
      <c r="D1839" s="633"/>
      <c r="E1839" s="633"/>
      <c r="F1839" s="633"/>
      <c r="G1839" s="633"/>
      <c r="H1839" s="633"/>
      <c r="I1839" s="633"/>
      <c r="J1839" s="633"/>
      <c r="K1839" s="633"/>
      <c r="L1839" s="633"/>
      <c r="M1839" s="633"/>
      <c r="N1839" s="633"/>
      <c r="O1839" s="634"/>
      <c r="Q1839" s="174" t="s">
        <v>99</v>
      </c>
      <c r="R1839" s="87" t="s">
        <v>544</v>
      </c>
      <c r="S1839" s="148">
        <v>0.82</v>
      </c>
    </row>
    <row r="1840" spans="1:19" x14ac:dyDescent="0.25">
      <c r="A1840" s="177" t="s">
        <v>111</v>
      </c>
      <c r="B1840" s="635">
        <v>14.5</v>
      </c>
      <c r="C1840" s="636"/>
      <c r="D1840" s="636"/>
      <c r="E1840" s="636"/>
      <c r="F1840" s="636"/>
      <c r="G1840" s="636"/>
      <c r="H1840" s="636"/>
      <c r="I1840" s="636"/>
      <c r="J1840" s="636"/>
      <c r="K1840" s="636"/>
      <c r="L1840" s="636"/>
      <c r="M1840" s="636"/>
      <c r="N1840" s="636"/>
      <c r="O1840" s="637"/>
    </row>
    <row r="1841" spans="1:19" x14ac:dyDescent="0.25">
      <c r="A1841" s="177" t="s">
        <v>273</v>
      </c>
      <c r="B1841" s="638" t="s">
        <v>472</v>
      </c>
      <c r="C1841" s="638"/>
      <c r="D1841" s="638"/>
      <c r="E1841" s="638"/>
      <c r="F1841" s="638"/>
      <c r="G1841" s="638"/>
      <c r="H1841" s="638"/>
      <c r="I1841" s="638"/>
      <c r="J1841" s="638"/>
      <c r="K1841" s="638"/>
      <c r="L1841" s="638"/>
      <c r="M1841" s="638"/>
      <c r="N1841" s="638"/>
      <c r="O1841" s="639"/>
    </row>
    <row r="1842" spans="1:19" x14ac:dyDescent="0.25">
      <c r="A1842" s="177" t="s">
        <v>351</v>
      </c>
      <c r="B1842" s="431"/>
      <c r="C1842" s="431"/>
      <c r="D1842" s="431"/>
      <c r="E1842" s="431"/>
      <c r="F1842" s="431"/>
      <c r="G1842" s="431"/>
      <c r="H1842" s="431"/>
      <c r="I1842" s="431"/>
      <c r="J1842" s="431"/>
      <c r="K1842" s="431"/>
      <c r="L1842" s="431"/>
      <c r="M1842" s="431"/>
      <c r="N1842" s="431"/>
      <c r="O1842" s="432"/>
    </row>
    <row r="1843" spans="1:19" x14ac:dyDescent="0.25">
      <c r="B1843" s="307" t="s">
        <v>98</v>
      </c>
      <c r="C1843" s="365" t="s">
        <v>102</v>
      </c>
      <c r="D1843" s="365" t="s">
        <v>92</v>
      </c>
      <c r="E1843" s="365" t="s">
        <v>93</v>
      </c>
      <c r="F1843" s="365" t="s">
        <v>94</v>
      </c>
      <c r="G1843" s="365" t="s">
        <v>549</v>
      </c>
      <c r="H1843" s="359" t="s">
        <v>99</v>
      </c>
      <c r="I1843" s="307" t="s">
        <v>98</v>
      </c>
      <c r="J1843" s="365" t="s">
        <v>102</v>
      </c>
      <c r="K1843" s="365" t="s">
        <v>92</v>
      </c>
      <c r="L1843" s="365" t="s">
        <v>93</v>
      </c>
      <c r="M1843" s="365" t="s">
        <v>94</v>
      </c>
      <c r="N1843" s="365" t="s">
        <v>549</v>
      </c>
      <c r="O1843" s="359" t="s">
        <v>99</v>
      </c>
    </row>
    <row r="1844" spans="1:19" x14ac:dyDescent="0.25">
      <c r="B1844" s="308">
        <v>1234</v>
      </c>
      <c r="C1844" s="365" t="s">
        <v>95</v>
      </c>
      <c r="D1844" s="441">
        <v>1263.7</v>
      </c>
      <c r="E1844" s="441">
        <v>825.24</v>
      </c>
      <c r="F1844" s="441">
        <v>616.21</v>
      </c>
      <c r="G1844" s="441">
        <v>188.76</v>
      </c>
      <c r="H1844" s="359">
        <f>SUM(D1844:G1844)</f>
        <v>2893.91</v>
      </c>
      <c r="I1844" s="308">
        <v>1059</v>
      </c>
      <c r="J1844" s="365" t="s">
        <v>95</v>
      </c>
      <c r="K1844" s="441">
        <v>1174.8</v>
      </c>
      <c r="L1844" s="441">
        <v>1056.82</v>
      </c>
      <c r="M1844" s="441">
        <v>330.38</v>
      </c>
      <c r="N1844" s="441">
        <v>225.27</v>
      </c>
      <c r="O1844" s="359">
        <f>SUM(K1844:N1844)</f>
        <v>2787.27</v>
      </c>
    </row>
    <row r="1845" spans="1:19" x14ac:dyDescent="0.25">
      <c r="B1845" s="308">
        <v>201</v>
      </c>
      <c r="C1845" s="365" t="s">
        <v>96</v>
      </c>
      <c r="D1845" s="441">
        <v>178.96</v>
      </c>
      <c r="E1845" s="441">
        <v>36.26</v>
      </c>
      <c r="F1845" s="441">
        <v>79.52</v>
      </c>
      <c r="G1845" s="441">
        <v>20.8</v>
      </c>
      <c r="H1845" s="359">
        <f t="shared" ref="H1845:H1851" si="237">SUM(D1845:G1845)</f>
        <v>315.54000000000002</v>
      </c>
      <c r="I1845" s="308">
        <v>200</v>
      </c>
      <c r="J1845" s="365" t="s">
        <v>96</v>
      </c>
      <c r="K1845" s="441">
        <v>170.56</v>
      </c>
      <c r="L1845" s="441">
        <v>176.44</v>
      </c>
      <c r="M1845" s="441">
        <v>80.819999999999993</v>
      </c>
      <c r="N1845" s="441">
        <v>20.8</v>
      </c>
      <c r="O1845" s="359">
        <f t="shared" ref="O1845:O1851" si="238">SUM(K1845:N1845)</f>
        <v>448.62</v>
      </c>
      <c r="Q1845" s="10"/>
      <c r="R1845" s="8"/>
    </row>
    <row r="1846" spans="1:19" x14ac:dyDescent="0.25">
      <c r="B1846" s="307" t="s">
        <v>100</v>
      </c>
      <c r="C1846" s="365" t="s">
        <v>95</v>
      </c>
      <c r="D1846" s="444">
        <f t="shared" ref="D1846:G1847" si="239">D1844/$B1844</f>
        <v>1.0240680713128039</v>
      </c>
      <c r="E1846" s="429">
        <f t="shared" si="239"/>
        <v>0.66875202593192873</v>
      </c>
      <c r="F1846" s="429">
        <f t="shared" si="239"/>
        <v>0.49935980551053488</v>
      </c>
      <c r="G1846" s="429">
        <f t="shared" si="239"/>
        <v>0.15296596434359805</v>
      </c>
      <c r="H1846" s="359">
        <f t="shared" si="237"/>
        <v>2.3451458670988652</v>
      </c>
      <c r="I1846" s="307" t="s">
        <v>100</v>
      </c>
      <c r="J1846" s="365" t="s">
        <v>95</v>
      </c>
      <c r="K1846" s="444">
        <f t="shared" ref="K1846:N1847" si="240">K1844/$I1844</f>
        <v>1.1093484419263455</v>
      </c>
      <c r="L1846" s="429">
        <f t="shared" si="240"/>
        <v>0.99794145420207736</v>
      </c>
      <c r="M1846" s="429">
        <f t="shared" si="240"/>
        <v>0.31197355996222853</v>
      </c>
      <c r="N1846" s="429">
        <f t="shared" si="240"/>
        <v>0.21271954674220964</v>
      </c>
      <c r="O1846" s="359">
        <f t="shared" si="238"/>
        <v>2.631983002832861</v>
      </c>
      <c r="Q1846" s="10"/>
      <c r="R1846" s="175"/>
    </row>
    <row r="1847" spans="1:19" x14ac:dyDescent="0.25">
      <c r="B1847" s="307" t="s">
        <v>100</v>
      </c>
      <c r="C1847" s="438" t="s">
        <v>96</v>
      </c>
      <c r="D1847" s="359">
        <f t="shared" si="239"/>
        <v>0.89034825870646772</v>
      </c>
      <c r="E1847" s="359">
        <f t="shared" si="239"/>
        <v>0.18039800995024874</v>
      </c>
      <c r="F1847" s="359">
        <f t="shared" si="239"/>
        <v>0.39562189054726365</v>
      </c>
      <c r="G1847" s="359">
        <f t="shared" si="239"/>
        <v>0.10348258706467663</v>
      </c>
      <c r="H1847" s="359">
        <f t="shared" si="237"/>
        <v>1.5698507462686568</v>
      </c>
      <c r="I1847" s="307" t="s">
        <v>100</v>
      </c>
      <c r="J1847" s="438" t="s">
        <v>96</v>
      </c>
      <c r="K1847" s="359">
        <f t="shared" si="240"/>
        <v>0.8528</v>
      </c>
      <c r="L1847" s="359">
        <f t="shared" si="240"/>
        <v>0.88219999999999998</v>
      </c>
      <c r="M1847" s="359">
        <f t="shared" si="240"/>
        <v>0.40409999999999996</v>
      </c>
      <c r="N1847" s="359">
        <f t="shared" si="240"/>
        <v>0.10400000000000001</v>
      </c>
      <c r="O1847" s="359">
        <f t="shared" si="238"/>
        <v>2.2431000000000001</v>
      </c>
      <c r="Q1847" s="10"/>
      <c r="R1847" s="8"/>
    </row>
    <row r="1848" spans="1:19" x14ac:dyDescent="0.25">
      <c r="B1848" s="307" t="s">
        <v>104</v>
      </c>
      <c r="C1848" s="365" t="s">
        <v>95</v>
      </c>
      <c r="D1848" s="359">
        <f>D1844/($B1844/7.7)</f>
        <v>7.8853241491085901</v>
      </c>
      <c r="E1848" s="359">
        <f>E1844/($B1844/7)</f>
        <v>4.6812641815235008</v>
      </c>
      <c r="F1848" s="359">
        <f>F1844/($B1844/7)</f>
        <v>3.4955186385737442</v>
      </c>
      <c r="G1848" s="359">
        <f>G1844/($B1844/7)</f>
        <v>1.0707617504051863</v>
      </c>
      <c r="H1848" s="359">
        <f t="shared" si="237"/>
        <v>17.132868719611022</v>
      </c>
      <c r="I1848" s="307" t="s">
        <v>104</v>
      </c>
      <c r="J1848" s="365" t="s">
        <v>95</v>
      </c>
      <c r="K1848" s="359">
        <f>K1844/($I1844/7.7)</f>
        <v>8.5419830028328612</v>
      </c>
      <c r="L1848" s="359">
        <f>L1844/($I1844/7)</f>
        <v>6.9855901794145421</v>
      </c>
      <c r="M1848" s="359">
        <f>M1844/($I1844/7)</f>
        <v>2.1838149197355996</v>
      </c>
      <c r="N1848" s="359">
        <f>N1844/($I1844/7)</f>
        <v>1.4890368271954675</v>
      </c>
      <c r="O1848" s="359">
        <f t="shared" si="238"/>
        <v>19.200424929178471</v>
      </c>
      <c r="Q1848" s="10"/>
      <c r="R1848" s="10"/>
    </row>
    <row r="1849" spans="1:19" x14ac:dyDescent="0.25">
      <c r="B1849" s="307" t="s">
        <v>104</v>
      </c>
      <c r="C1849" s="438" t="s">
        <v>96</v>
      </c>
      <c r="D1849" s="359">
        <f>D1845/($B1845/7.7)</f>
        <v>6.8556815920398009</v>
      </c>
      <c r="E1849" s="359">
        <f>E1845/($B1845/7.7)</f>
        <v>1.3890646766169152</v>
      </c>
      <c r="F1849" s="359">
        <f>F1845/($B1845/7.7)</f>
        <v>3.0462885572139302</v>
      </c>
      <c r="G1849" s="359">
        <f>G1845/($B1845/7.7)</f>
        <v>0.79681592039800997</v>
      </c>
      <c r="H1849" s="359">
        <f t="shared" si="237"/>
        <v>12.087850746268657</v>
      </c>
      <c r="I1849" s="307" t="s">
        <v>104</v>
      </c>
      <c r="J1849" s="438" t="s">
        <v>96</v>
      </c>
      <c r="K1849" s="359">
        <f>K1845/($I1845/7.7)</f>
        <v>6.56656</v>
      </c>
      <c r="L1849" s="359">
        <f>L1845/($I1845/7.7)</f>
        <v>6.7929399999999998</v>
      </c>
      <c r="M1849" s="359">
        <f>M1845/($I1845/7.7)</f>
        <v>3.1115699999999999</v>
      </c>
      <c r="N1849" s="359">
        <f>N1845/($I1845/7.7)</f>
        <v>0.80080000000000007</v>
      </c>
      <c r="O1849" s="359">
        <f t="shared" si="238"/>
        <v>17.27187</v>
      </c>
    </row>
    <row r="1850" spans="1:19" x14ac:dyDescent="0.25">
      <c r="B1850" s="307" t="s">
        <v>135</v>
      </c>
      <c r="C1850" s="365" t="s">
        <v>95</v>
      </c>
      <c r="D1850" s="359">
        <f>D1844/((($B1844*$B1840)*(1-$B1837))/$B1835)</f>
        <v>0.17967042553674337</v>
      </c>
      <c r="E1850" s="359">
        <f>E1844/((($B1844*$B1840)*(1-$B1837))/$B1835)</f>
        <v>0.11733102949271353</v>
      </c>
      <c r="F1850" s="359">
        <f>F1844/((($B1844*$B1840)*(1-$B1837))/$B1835)</f>
        <v>8.7611547772411674E-2</v>
      </c>
      <c r="G1850" s="359">
        <f>G1844/((($B1844*$B1840)*(1-$B1837))/$B1835)</f>
        <v>2.6837532265819159E-2</v>
      </c>
      <c r="H1850" s="359">
        <f t="shared" si="237"/>
        <v>0.41145053506768775</v>
      </c>
      <c r="I1850" s="307" t="s">
        <v>135</v>
      </c>
      <c r="J1850" s="365" t="s">
        <v>95</v>
      </c>
      <c r="K1850" s="359">
        <f>K1844/((($I1844*$B1840)*(1-$B1837))/$B1835)</f>
        <v>0.19463267356232986</v>
      </c>
      <c r="L1850" s="359">
        <f>L1844/((($I1844*$B1840)*(1-$B1837))/$B1835)</f>
        <v>0.17508656969198283</v>
      </c>
      <c r="M1850" s="359">
        <f>M1844/((($I1844*$B1840)*(1-$B1837))/$B1835)</f>
        <v>5.4735055065987866E-2</v>
      </c>
      <c r="N1850" s="359">
        <f>N1844/((($I1844*$B1840)*(1-$B1837))/$B1835)</f>
        <v>3.7321163068936035E-2</v>
      </c>
      <c r="O1850" s="359">
        <f t="shared" si="238"/>
        <v>0.46177546138923659</v>
      </c>
    </row>
    <row r="1851" spans="1:19" x14ac:dyDescent="0.25">
      <c r="B1851" s="307" t="s">
        <v>135</v>
      </c>
      <c r="C1851" s="438" t="s">
        <v>96</v>
      </c>
      <c r="D1851" s="359">
        <f>D1845/((($B1845*$B1840)*(1-$B1837))/$B1835)</f>
        <v>0.15620958703713608</v>
      </c>
      <c r="E1851" s="359">
        <f>E1845/((($B1845*$B1840)*(1-$B1837))/$B1835)</f>
        <v>3.1650422585865853E-2</v>
      </c>
      <c r="F1851" s="359">
        <f>F1845/((($B1845*$B1840)*(1-$B1837))/$B1835)</f>
        <v>6.9410965362053309E-2</v>
      </c>
      <c r="G1851" s="359">
        <f>G1845/((($B1845*$B1840)*(1-$B1837))/$B1835)</f>
        <v>1.8155785708384168E-2</v>
      </c>
      <c r="H1851" s="359">
        <f t="shared" si="237"/>
        <v>0.27542676069343941</v>
      </c>
      <c r="I1851" s="307" t="s">
        <v>135</v>
      </c>
      <c r="J1851" s="438" t="s">
        <v>96</v>
      </c>
      <c r="K1851" s="359">
        <f>K1845/((($I1845*$B1840)*(1-$B1837))/$B1835)</f>
        <v>0.14962183002279392</v>
      </c>
      <c r="L1851" s="359">
        <f>L1845/((($I1845*$B1840)*(1-$B1837))/$B1835)</f>
        <v>0.15477999348746341</v>
      </c>
      <c r="M1851" s="359">
        <f>M1845/((($I1845*$B1840)*(1-$B1837))/$B1835)</f>
        <v>7.0898430478671448E-2</v>
      </c>
      <c r="N1851" s="359">
        <f>N1845/((($I1845*$B1840)*(1-$B1837))/$B1835)</f>
        <v>1.8246564636926088E-2</v>
      </c>
      <c r="O1851" s="359">
        <f t="shared" si="238"/>
        <v>0.39354681862585489</v>
      </c>
    </row>
    <row r="1852" spans="1:19" ht="15.75" thickBot="1" x14ac:dyDescent="0.3">
      <c r="A1852" s="178"/>
      <c r="B1852" s="178"/>
      <c r="C1852" s="178"/>
      <c r="D1852" s="178"/>
      <c r="E1852" s="178"/>
      <c r="F1852" s="178"/>
      <c r="G1852" s="178"/>
      <c r="H1852" s="178"/>
      <c r="I1852" s="178"/>
      <c r="J1852" s="178"/>
      <c r="K1852" s="178"/>
      <c r="L1852" s="178"/>
      <c r="M1852" s="178"/>
      <c r="N1852" s="178"/>
      <c r="O1852" s="178"/>
    </row>
    <row r="1853" spans="1:19" ht="21" x14ac:dyDescent="0.25">
      <c r="A1853" s="305"/>
      <c r="B1853" s="644" t="s">
        <v>505</v>
      </c>
      <c r="C1853" s="645"/>
      <c r="D1853" s="645"/>
      <c r="E1853" s="645"/>
      <c r="F1853" s="645"/>
      <c r="G1853" s="645"/>
      <c r="H1853" s="645"/>
      <c r="I1853" s="645"/>
      <c r="J1853" s="645"/>
      <c r="K1853" s="645"/>
      <c r="L1853" s="645"/>
      <c r="M1853" s="645"/>
      <c r="N1853" s="645"/>
      <c r="O1853" s="646"/>
      <c r="Q1853" s="662" t="s">
        <v>139</v>
      </c>
      <c r="R1853" s="176" t="s">
        <v>140</v>
      </c>
      <c r="S1853" s="663" t="s">
        <v>142</v>
      </c>
    </row>
    <row r="1854" spans="1:19" ht="21.75" thickBot="1" x14ac:dyDescent="0.3">
      <c r="A1854" s="177" t="s">
        <v>285</v>
      </c>
      <c r="B1854" s="647">
        <v>44404</v>
      </c>
      <c r="C1854" s="648"/>
      <c r="D1854" s="648"/>
      <c r="E1854" s="648"/>
      <c r="F1854" s="648"/>
      <c r="G1854" s="648"/>
      <c r="H1854" s="648"/>
      <c r="I1854" s="648"/>
      <c r="J1854" s="648"/>
      <c r="K1854" s="648"/>
      <c r="L1854" s="648"/>
      <c r="M1854" s="648"/>
      <c r="N1854" s="648"/>
      <c r="O1854" s="649"/>
      <c r="Q1854" s="641"/>
      <c r="R1854" s="87" t="s">
        <v>141</v>
      </c>
      <c r="S1854" s="643"/>
    </row>
    <row r="1855" spans="1:19" ht="15.75" thickBot="1" x14ac:dyDescent="0.3">
      <c r="A1855" s="177"/>
      <c r="B1855" s="650" t="s">
        <v>115</v>
      </c>
      <c r="C1855" s="651"/>
      <c r="D1855" s="651"/>
      <c r="E1855" s="651"/>
      <c r="F1855" s="651"/>
      <c r="G1855" s="651"/>
      <c r="H1855" s="651"/>
      <c r="I1855" s="651"/>
      <c r="J1855" s="651"/>
      <c r="K1855" s="651"/>
      <c r="L1855" s="651"/>
      <c r="M1855" s="651"/>
      <c r="N1855" s="651"/>
      <c r="O1855" s="652"/>
      <c r="Q1855" s="147" t="s">
        <v>143</v>
      </c>
      <c r="R1855" s="88">
        <v>8</v>
      </c>
      <c r="S1855" s="87" t="s">
        <v>547</v>
      </c>
    </row>
    <row r="1856" spans="1:19" ht="15.75" thickBot="1" x14ac:dyDescent="0.3">
      <c r="A1856" s="177" t="s">
        <v>106</v>
      </c>
      <c r="B1856" s="629">
        <v>18.5</v>
      </c>
      <c r="C1856" s="630"/>
      <c r="D1856" s="630"/>
      <c r="E1856" s="631"/>
      <c r="F1856" s="365" t="s">
        <v>174</v>
      </c>
      <c r="G1856" s="471"/>
      <c r="H1856" s="653">
        <v>0</v>
      </c>
      <c r="I1856" s="654"/>
      <c r="J1856" s="654"/>
      <c r="K1856" s="654"/>
      <c r="L1856" s="655"/>
      <c r="M1856" s="656">
        <f>SUM(B1856,H1857)</f>
        <v>18.5</v>
      </c>
      <c r="N1856" s="630"/>
      <c r="O1856" s="631"/>
      <c r="Q1856" s="147" t="s">
        <v>145</v>
      </c>
      <c r="R1856" s="88">
        <v>8</v>
      </c>
      <c r="S1856" s="89" t="s">
        <v>548</v>
      </c>
    </row>
    <row r="1857" spans="1:19" ht="15.75" thickBot="1" x14ac:dyDescent="0.3">
      <c r="A1857" s="177" t="s">
        <v>112</v>
      </c>
      <c r="B1857" s="626">
        <v>0.17</v>
      </c>
      <c r="C1857" s="627"/>
      <c r="D1857" s="627"/>
      <c r="E1857" s="628"/>
      <c r="F1857" s="290"/>
      <c r="G1857" s="472"/>
      <c r="H1857" s="626">
        <v>0</v>
      </c>
      <c r="I1857" s="627"/>
      <c r="J1857" s="627"/>
      <c r="K1857" s="627"/>
      <c r="L1857" s="628"/>
      <c r="M1857" s="657">
        <f>B1857</f>
        <v>0.17</v>
      </c>
      <c r="N1857" s="627"/>
      <c r="O1857" s="628"/>
      <c r="Q1857" s="147" t="s">
        <v>147</v>
      </c>
      <c r="R1857" s="88">
        <v>9</v>
      </c>
      <c r="S1857" s="87" t="s">
        <v>411</v>
      </c>
    </row>
    <row r="1858" spans="1:19" ht="29.25" thickBot="1" x14ac:dyDescent="0.3">
      <c r="A1858" s="177" t="s">
        <v>107</v>
      </c>
      <c r="B1858" s="629">
        <f>B1856*(1-B1857)</f>
        <v>15.354999999999999</v>
      </c>
      <c r="C1858" s="630"/>
      <c r="D1858" s="630"/>
      <c r="E1858" s="631"/>
      <c r="F1858" s="290"/>
      <c r="G1858" s="472"/>
      <c r="H1858" s="629">
        <f>H1856*(1-H1857)</f>
        <v>0</v>
      </c>
      <c r="I1858" s="630"/>
      <c r="J1858" s="630"/>
      <c r="K1858" s="630"/>
      <c r="L1858" s="631"/>
      <c r="M1858" s="656">
        <f>SUM(B1858,H1858)</f>
        <v>15.354999999999999</v>
      </c>
      <c r="N1858" s="630"/>
      <c r="O1858" s="631"/>
      <c r="Q1858" s="147" t="s">
        <v>82</v>
      </c>
      <c r="R1858" s="88">
        <v>8</v>
      </c>
      <c r="S1858" s="89" t="s">
        <v>563</v>
      </c>
    </row>
    <row r="1859" spans="1:19" ht="15.75" thickBot="1" x14ac:dyDescent="0.3">
      <c r="A1859" s="177" t="s">
        <v>108</v>
      </c>
      <c r="B1859" s="626">
        <f>B1862/B1858</f>
        <v>0.73826766525561727</v>
      </c>
      <c r="C1859" s="627"/>
      <c r="D1859" s="627"/>
      <c r="E1859" s="627"/>
      <c r="F1859" s="627"/>
      <c r="G1859" s="627"/>
      <c r="H1859" s="627"/>
      <c r="I1859" s="627"/>
      <c r="J1859" s="627"/>
      <c r="K1859" s="627"/>
      <c r="L1859" s="627"/>
      <c r="M1859" s="627"/>
      <c r="N1859" s="627"/>
      <c r="O1859" s="628"/>
      <c r="Q1859" s="147" t="s">
        <v>152</v>
      </c>
      <c r="R1859" s="88">
        <v>8</v>
      </c>
      <c r="S1859" s="89" t="s">
        <v>519</v>
      </c>
    </row>
    <row r="1860" spans="1:19" ht="15.75" thickBot="1" x14ac:dyDescent="0.3">
      <c r="A1860" s="177" t="s">
        <v>113</v>
      </c>
      <c r="B1860" s="629">
        <f>B1864*(B1868+B1869+I1868+I1869)/1000</f>
        <v>37.786999999999999</v>
      </c>
      <c r="C1860" s="630"/>
      <c r="D1860" s="630"/>
      <c r="E1860" s="630"/>
      <c r="F1860" s="630"/>
      <c r="G1860" s="630"/>
      <c r="H1860" s="630"/>
      <c r="I1860" s="630"/>
      <c r="J1860" s="630"/>
      <c r="K1860" s="630"/>
      <c r="L1860" s="630"/>
      <c r="M1860" s="630"/>
      <c r="N1860" s="630"/>
      <c r="O1860" s="631"/>
      <c r="Q1860" s="147" t="s">
        <v>154</v>
      </c>
      <c r="R1860" s="88">
        <v>8</v>
      </c>
      <c r="S1860" s="87" t="s">
        <v>520</v>
      </c>
    </row>
    <row r="1861" spans="1:19" ht="29.25" thickBot="1" x14ac:dyDescent="0.3">
      <c r="A1861" s="177" t="s">
        <v>109</v>
      </c>
      <c r="B1861" s="626">
        <v>0.7</v>
      </c>
      <c r="C1861" s="627"/>
      <c r="D1861" s="627"/>
      <c r="E1861" s="627"/>
      <c r="F1861" s="627"/>
      <c r="G1861" s="627"/>
      <c r="H1861" s="627"/>
      <c r="I1861" s="627"/>
      <c r="J1861" s="627"/>
      <c r="K1861" s="627"/>
      <c r="L1861" s="627"/>
      <c r="M1861" s="627"/>
      <c r="N1861" s="627"/>
      <c r="O1861" s="628"/>
      <c r="Q1861" s="147" t="s">
        <v>156</v>
      </c>
      <c r="R1861" s="88">
        <v>8</v>
      </c>
      <c r="S1861" s="87" t="s">
        <v>480</v>
      </c>
    </row>
    <row r="1862" spans="1:19" ht="15.75" thickBot="1" x14ac:dyDescent="0.3">
      <c r="A1862" s="177" t="s">
        <v>122</v>
      </c>
      <c r="B1862" s="629">
        <f>B1860-(B1860*B1861)</f>
        <v>11.336100000000002</v>
      </c>
      <c r="C1862" s="630"/>
      <c r="D1862" s="630"/>
      <c r="E1862" s="630"/>
      <c r="F1862" s="630"/>
      <c r="G1862" s="630"/>
      <c r="H1862" s="630"/>
      <c r="I1862" s="630"/>
      <c r="J1862" s="630"/>
      <c r="K1862" s="630"/>
      <c r="L1862" s="630"/>
      <c r="M1862" s="630"/>
      <c r="N1862" s="630"/>
      <c r="O1862" s="631"/>
      <c r="Q1862" s="147" t="s">
        <v>158</v>
      </c>
      <c r="R1862" s="88"/>
      <c r="S1862" s="87"/>
    </row>
    <row r="1863" spans="1:19" ht="15.75" thickBot="1" x14ac:dyDescent="0.3">
      <c r="A1863" s="177" t="s">
        <v>110</v>
      </c>
      <c r="B1863" s="632">
        <v>125</v>
      </c>
      <c r="C1863" s="633"/>
      <c r="D1863" s="633"/>
      <c r="E1863" s="633"/>
      <c r="F1863" s="633"/>
      <c r="G1863" s="633"/>
      <c r="H1863" s="633"/>
      <c r="I1863" s="633"/>
      <c r="J1863" s="633"/>
      <c r="K1863" s="633"/>
      <c r="L1863" s="633"/>
      <c r="M1863" s="633"/>
      <c r="N1863" s="633"/>
      <c r="O1863" s="634"/>
      <c r="Q1863" s="451" t="s">
        <v>99</v>
      </c>
      <c r="R1863" s="87" t="s">
        <v>544</v>
      </c>
      <c r="S1863" s="148">
        <v>0.82</v>
      </c>
    </row>
    <row r="1864" spans="1:19" x14ac:dyDescent="0.25">
      <c r="A1864" s="177" t="s">
        <v>111</v>
      </c>
      <c r="B1864" s="635">
        <v>14.5</v>
      </c>
      <c r="C1864" s="636"/>
      <c r="D1864" s="636"/>
      <c r="E1864" s="636"/>
      <c r="F1864" s="636"/>
      <c r="G1864" s="636"/>
      <c r="H1864" s="636"/>
      <c r="I1864" s="636"/>
      <c r="J1864" s="636"/>
      <c r="K1864" s="636"/>
      <c r="L1864" s="636"/>
      <c r="M1864" s="636"/>
      <c r="N1864" s="636"/>
      <c r="O1864" s="637"/>
    </row>
    <row r="1865" spans="1:19" x14ac:dyDescent="0.25">
      <c r="A1865" s="177" t="s">
        <v>273</v>
      </c>
      <c r="B1865" s="638" t="s">
        <v>555</v>
      </c>
      <c r="C1865" s="638"/>
      <c r="D1865" s="638"/>
      <c r="E1865" s="638"/>
      <c r="F1865" s="638"/>
      <c r="G1865" s="638"/>
      <c r="H1865" s="638"/>
      <c r="I1865" s="638"/>
      <c r="J1865" s="638"/>
      <c r="K1865" s="638"/>
      <c r="L1865" s="638"/>
      <c r="M1865" s="638"/>
      <c r="N1865" s="638"/>
      <c r="O1865" s="639"/>
    </row>
    <row r="1866" spans="1:19" x14ac:dyDescent="0.25">
      <c r="A1866" s="177" t="s">
        <v>351</v>
      </c>
      <c r="B1866" s="431"/>
      <c r="C1866" s="431"/>
      <c r="D1866" s="431"/>
      <c r="E1866" s="431"/>
      <c r="F1866" s="431"/>
      <c r="G1866" s="431"/>
      <c r="H1866" s="431"/>
      <c r="I1866" s="431"/>
      <c r="J1866" s="431"/>
      <c r="K1866" s="431"/>
      <c r="L1866" s="431"/>
      <c r="M1866" s="431"/>
      <c r="N1866" s="431"/>
      <c r="O1866" s="432"/>
    </row>
    <row r="1867" spans="1:19" x14ac:dyDescent="0.25">
      <c r="B1867" s="307" t="s">
        <v>98</v>
      </c>
      <c r="C1867" s="365" t="s">
        <v>102</v>
      </c>
      <c r="D1867" s="365" t="s">
        <v>92</v>
      </c>
      <c r="E1867" s="365" t="s">
        <v>93</v>
      </c>
      <c r="F1867" s="365" t="s">
        <v>94</v>
      </c>
      <c r="G1867" s="365" t="s">
        <v>549</v>
      </c>
      <c r="H1867" s="359" t="s">
        <v>99</v>
      </c>
      <c r="I1867" s="307" t="s">
        <v>98</v>
      </c>
      <c r="J1867" s="365" t="s">
        <v>102</v>
      </c>
      <c r="K1867" s="365" t="s">
        <v>92</v>
      </c>
      <c r="L1867" s="365" t="s">
        <v>93</v>
      </c>
      <c r="M1867" s="365" t="s">
        <v>94</v>
      </c>
      <c r="N1867" s="365"/>
      <c r="O1867" s="359" t="s">
        <v>99</v>
      </c>
    </row>
    <row r="1868" spans="1:19" x14ac:dyDescent="0.25">
      <c r="B1868" s="308">
        <v>1126</v>
      </c>
      <c r="C1868" s="365" t="s">
        <v>95</v>
      </c>
      <c r="D1868" s="441">
        <v>1315.28</v>
      </c>
      <c r="E1868" s="441">
        <v>726.89</v>
      </c>
      <c r="F1868" s="441">
        <v>641.24</v>
      </c>
      <c r="G1868" s="441">
        <v>0</v>
      </c>
      <c r="H1868" s="359">
        <f>SUM(D1868:G1868)</f>
        <v>2683.41</v>
      </c>
      <c r="I1868" s="308">
        <v>1130</v>
      </c>
      <c r="J1868" s="365" t="s">
        <v>95</v>
      </c>
      <c r="K1868" s="441">
        <v>1307.92</v>
      </c>
      <c r="L1868" s="441">
        <v>775.31</v>
      </c>
      <c r="M1868" s="441">
        <v>438.34</v>
      </c>
      <c r="N1868" s="441">
        <v>176.24</v>
      </c>
      <c r="O1868" s="359">
        <f>SUM(K1868:N1868)</f>
        <v>2697.8100000000004</v>
      </c>
    </row>
    <row r="1869" spans="1:19" x14ac:dyDescent="0.25">
      <c r="B1869" s="308">
        <v>175</v>
      </c>
      <c r="C1869" s="365" t="s">
        <v>96</v>
      </c>
      <c r="D1869" s="441">
        <v>205.52</v>
      </c>
      <c r="E1869" s="441">
        <v>193.12</v>
      </c>
      <c r="F1869" s="441">
        <v>70.599999999999994</v>
      </c>
      <c r="G1869" s="441">
        <v>0</v>
      </c>
      <c r="H1869" s="359">
        <f t="shared" ref="H1869:H1875" si="241">SUM(D1869:G1869)</f>
        <v>469.24</v>
      </c>
      <c r="I1869" s="308">
        <v>175</v>
      </c>
      <c r="J1869" s="365" t="s">
        <v>96</v>
      </c>
      <c r="K1869" s="441">
        <v>147.80000000000001</v>
      </c>
      <c r="L1869" s="441">
        <v>190.22</v>
      </c>
      <c r="M1869" s="441">
        <v>31.32</v>
      </c>
      <c r="N1869" s="441">
        <v>10.220000000000001</v>
      </c>
      <c r="O1869" s="359">
        <f t="shared" ref="O1869:O1875" si="242">SUM(K1869:N1869)</f>
        <v>379.56</v>
      </c>
    </row>
    <row r="1870" spans="1:19" x14ac:dyDescent="0.25">
      <c r="B1870" s="307" t="s">
        <v>100</v>
      </c>
      <c r="C1870" s="365" t="s">
        <v>95</v>
      </c>
      <c r="D1870" s="444">
        <f t="shared" ref="D1870:G1871" si="243">D1868/$B1868</f>
        <v>1.1680994671403198</v>
      </c>
      <c r="E1870" s="429">
        <f t="shared" si="243"/>
        <v>0.64555062166962696</v>
      </c>
      <c r="F1870" s="429">
        <f t="shared" si="243"/>
        <v>0.56948490230905857</v>
      </c>
      <c r="G1870" s="429">
        <f t="shared" si="243"/>
        <v>0</v>
      </c>
      <c r="H1870" s="359">
        <f t="shared" si="241"/>
        <v>2.3831349911190052</v>
      </c>
      <c r="I1870" s="307" t="s">
        <v>100</v>
      </c>
      <c r="J1870" s="365" t="s">
        <v>95</v>
      </c>
      <c r="K1870" s="444">
        <f t="shared" ref="K1870:N1871" si="244">K1868/$I1868</f>
        <v>1.1574513274336284</v>
      </c>
      <c r="L1870" s="429">
        <f t="shared" si="244"/>
        <v>0.68611504424778758</v>
      </c>
      <c r="M1870" s="429">
        <f t="shared" si="244"/>
        <v>0.38791150442477873</v>
      </c>
      <c r="N1870" s="429">
        <f t="shared" si="244"/>
        <v>0.1559646017699115</v>
      </c>
      <c r="O1870" s="359">
        <f t="shared" si="242"/>
        <v>2.3874424778761063</v>
      </c>
    </row>
    <row r="1871" spans="1:19" x14ac:dyDescent="0.25">
      <c r="B1871" s="307" t="s">
        <v>100</v>
      </c>
      <c r="C1871" s="438" t="s">
        <v>96</v>
      </c>
      <c r="D1871" s="359">
        <f t="shared" si="243"/>
        <v>1.1744000000000001</v>
      </c>
      <c r="E1871" s="359">
        <f t="shared" si="243"/>
        <v>1.1035428571428572</v>
      </c>
      <c r="F1871" s="359">
        <f t="shared" si="243"/>
        <v>0.40342857142857141</v>
      </c>
      <c r="G1871" s="359">
        <f t="shared" si="243"/>
        <v>0</v>
      </c>
      <c r="H1871" s="359">
        <f t="shared" si="241"/>
        <v>2.681371428571429</v>
      </c>
      <c r="I1871" s="307" t="s">
        <v>100</v>
      </c>
      <c r="J1871" s="438" t="s">
        <v>96</v>
      </c>
      <c r="K1871" s="359">
        <f t="shared" si="244"/>
        <v>0.84457142857142864</v>
      </c>
      <c r="L1871" s="359">
        <f t="shared" si="244"/>
        <v>1.0869714285714285</v>
      </c>
      <c r="M1871" s="359">
        <f t="shared" si="244"/>
        <v>0.17897142857142859</v>
      </c>
      <c r="N1871" s="359">
        <f t="shared" si="244"/>
        <v>5.8400000000000001E-2</v>
      </c>
      <c r="O1871" s="359">
        <f t="shared" si="242"/>
        <v>2.1689142857142856</v>
      </c>
    </row>
    <row r="1872" spans="1:19" x14ac:dyDescent="0.25">
      <c r="B1872" s="307" t="s">
        <v>104</v>
      </c>
      <c r="C1872" s="365" t="s">
        <v>95</v>
      </c>
      <c r="D1872" s="359">
        <f>D1868/($B1868/7.7)</f>
        <v>8.9943658969804616</v>
      </c>
      <c r="E1872" s="359">
        <f>E1868/($B1868/7)</f>
        <v>4.5188543516873887</v>
      </c>
      <c r="F1872" s="359">
        <f>F1868/($B1868/7)</f>
        <v>3.9863943161634103</v>
      </c>
      <c r="G1872" s="359">
        <f>G1868/($B1868/7)</f>
        <v>0</v>
      </c>
      <c r="H1872" s="359">
        <f t="shared" si="241"/>
        <v>17.499614564831258</v>
      </c>
      <c r="I1872" s="307" t="s">
        <v>104</v>
      </c>
      <c r="J1872" s="365" t="s">
        <v>95</v>
      </c>
      <c r="K1872" s="359">
        <f>K1868/($I1868/7.7)</f>
        <v>8.9123752212389391</v>
      </c>
      <c r="L1872" s="359">
        <f>L1868/($I1868/7)</f>
        <v>4.8028053097345129</v>
      </c>
      <c r="M1872" s="359">
        <f>M1868/($I1868/7)</f>
        <v>2.7153805309734516</v>
      </c>
      <c r="N1872" s="359">
        <f>N1868/($I1868/7)</f>
        <v>1.0917522123893806</v>
      </c>
      <c r="O1872" s="359">
        <f t="shared" si="242"/>
        <v>17.522313274336284</v>
      </c>
    </row>
    <row r="1873" spans="1:19" x14ac:dyDescent="0.25">
      <c r="B1873" s="307" t="s">
        <v>104</v>
      </c>
      <c r="C1873" s="438" t="s">
        <v>96</v>
      </c>
      <c r="D1873" s="359">
        <f>D1869/($B1869/7.7)</f>
        <v>9.0428800000000003</v>
      </c>
      <c r="E1873" s="359">
        <f>E1869/($B1869/7.7)</f>
        <v>8.4972799999999999</v>
      </c>
      <c r="F1873" s="359">
        <f>F1869/($B1869/7.7)</f>
        <v>3.1063999999999998</v>
      </c>
      <c r="G1873" s="359">
        <f>G1869/($B1869/7.7)</f>
        <v>0</v>
      </c>
      <c r="H1873" s="359">
        <f t="shared" si="241"/>
        <v>20.646560000000001</v>
      </c>
      <c r="I1873" s="307" t="s">
        <v>104</v>
      </c>
      <c r="J1873" s="438" t="s">
        <v>96</v>
      </c>
      <c r="K1873" s="359">
        <f>K1869/($I1869/7.7)</f>
        <v>6.5032000000000005</v>
      </c>
      <c r="L1873" s="359">
        <f>L1869/($I1869/7.7)</f>
        <v>8.3696800000000007</v>
      </c>
      <c r="M1873" s="359">
        <f>M1869/($I1869/7.7)</f>
        <v>1.37808</v>
      </c>
      <c r="N1873" s="359">
        <f>N1869/($I1869/7.7)</f>
        <v>0.44968000000000002</v>
      </c>
      <c r="O1873" s="359">
        <f t="shared" si="242"/>
        <v>16.700640000000003</v>
      </c>
    </row>
    <row r="1874" spans="1:19" x14ac:dyDescent="0.25">
      <c r="B1874" s="307" t="s">
        <v>135</v>
      </c>
      <c r="C1874" s="365" t="s">
        <v>95</v>
      </c>
      <c r="D1874" s="359">
        <f>D1868/((($B1868*$B1864)*(1-$B1861))/$B1859)</f>
        <v>0.19824599227402628</v>
      </c>
      <c r="E1874" s="359">
        <f>E1868/((($B1868*$B1864)*(1-$B1861))/$B1859)</f>
        <v>0.10956072419870064</v>
      </c>
      <c r="F1874" s="359">
        <f>F1868/((($B1868*$B1864)*(1-$B1861))/$B1859)</f>
        <v>9.6651100971501605E-2</v>
      </c>
      <c r="G1874" s="359">
        <f>G1868/((($B1868*$B1864)*(1-$B1861))/$B1859)</f>
        <v>0</v>
      </c>
      <c r="H1874" s="359">
        <f t="shared" si="241"/>
        <v>0.40445781744422854</v>
      </c>
      <c r="I1874" s="307" t="s">
        <v>135</v>
      </c>
      <c r="J1874" s="365" t="s">
        <v>95</v>
      </c>
      <c r="K1874" s="359">
        <f>K1868/((($I1868*$B1864)*(1-$B1861))/$B1859)</f>
        <v>0.19643882509228497</v>
      </c>
      <c r="L1874" s="359">
        <f>L1868/((($I1868*$B1864)*(1-$B1861))/$B1859)</f>
        <v>0.11644518432495829</v>
      </c>
      <c r="M1874" s="359">
        <f>M1868/((($I1868*$B1864)*(1-$B1861))/$B1859)</f>
        <v>6.5835062229304686E-2</v>
      </c>
      <c r="N1874" s="359">
        <f>N1868/((($I1868*$B1864)*(1-$B1861))/$B1859)</f>
        <v>2.6469798255447048E-2</v>
      </c>
      <c r="O1874" s="359">
        <f t="shared" si="242"/>
        <v>0.40518886990199499</v>
      </c>
    </row>
    <row r="1875" spans="1:19" x14ac:dyDescent="0.25">
      <c r="B1875" s="307" t="s">
        <v>135</v>
      </c>
      <c r="C1875" s="438" t="s">
        <v>96</v>
      </c>
      <c r="D1875" s="359">
        <f>D1869/((($B1869*$B1864)*(1-$B1861))/$B1859)</f>
        <v>0.19931529794855099</v>
      </c>
      <c r="E1875" s="359">
        <f>E1869/((($B1869*$B1864)*(1-$B1861))/$B1859)</f>
        <v>0.18728965716146442</v>
      </c>
      <c r="F1875" s="359">
        <f>F1869/((($B1869*$B1864)*(1-$B1861))/$B1859)</f>
        <v>6.8468567707121925E-2</v>
      </c>
      <c r="G1875" s="359">
        <f>G1869/((($B1869*$B1864)*(1-$B1861))/$B1859)</f>
        <v>0</v>
      </c>
      <c r="H1875" s="359">
        <f t="shared" si="241"/>
        <v>0.45507352281713731</v>
      </c>
      <c r="I1875" s="307" t="s">
        <v>135</v>
      </c>
      <c r="J1875" s="438" t="s">
        <v>96</v>
      </c>
      <c r="K1875" s="359">
        <f>K1869/((($I1869*$B1864)*(1-$B1861))/$B1859)</f>
        <v>0.1433378797041448</v>
      </c>
      <c r="L1875" s="359">
        <f>L1869/((($I1869*$B1864)*(1-$B1861))/$B1859)</f>
        <v>0.18447720891287159</v>
      </c>
      <c r="M1875" s="359">
        <f>M1869/((($I1869*$B1864)*(1-$B1861))/$B1859)</f>
        <v>3.0374441084802535E-2</v>
      </c>
      <c r="N1875" s="359">
        <f>N1869/((($I1869*$B1864)*(1-$B1861))/$B1859)</f>
        <v>9.9114555519374814E-3</v>
      </c>
      <c r="O1875" s="359">
        <f t="shared" si="242"/>
        <v>0.36810098525375634</v>
      </c>
    </row>
    <row r="1876" spans="1:19" ht="15.75" thickBot="1" x14ac:dyDescent="0.3">
      <c r="A1876" s="178"/>
      <c r="B1876" s="178"/>
      <c r="C1876" s="178"/>
      <c r="D1876" s="178"/>
      <c r="E1876" s="178"/>
      <c r="F1876" s="178"/>
      <c r="G1876" s="178"/>
      <c r="H1876" s="178"/>
      <c r="I1876" s="178"/>
      <c r="J1876" s="178"/>
      <c r="K1876" s="178"/>
      <c r="L1876" s="178"/>
      <c r="M1876" s="178"/>
      <c r="N1876" s="178"/>
      <c r="O1876" s="178"/>
    </row>
    <row r="1877" spans="1:19" ht="21" x14ac:dyDescent="0.25">
      <c r="A1877" s="305"/>
      <c r="B1877" s="644" t="s">
        <v>506</v>
      </c>
      <c r="C1877" s="645"/>
      <c r="D1877" s="645"/>
      <c r="E1877" s="645"/>
      <c r="F1877" s="645"/>
      <c r="G1877" s="645"/>
      <c r="H1877" s="645"/>
      <c r="I1877" s="645"/>
      <c r="J1877" s="645"/>
      <c r="K1877" s="645"/>
      <c r="L1877" s="645"/>
      <c r="M1877" s="645"/>
      <c r="N1877" s="645"/>
      <c r="O1877" s="646"/>
      <c r="Q1877" s="662" t="s">
        <v>139</v>
      </c>
      <c r="R1877" s="176" t="s">
        <v>140</v>
      </c>
      <c r="S1877" s="663" t="s">
        <v>142</v>
      </c>
    </row>
    <row r="1878" spans="1:19" ht="21.75" thickBot="1" x14ac:dyDescent="0.3">
      <c r="A1878" s="177" t="s">
        <v>285</v>
      </c>
      <c r="B1878" s="647">
        <v>44417</v>
      </c>
      <c r="C1878" s="648"/>
      <c r="D1878" s="648"/>
      <c r="E1878" s="648"/>
      <c r="F1878" s="648"/>
      <c r="G1878" s="648"/>
      <c r="H1878" s="648"/>
      <c r="I1878" s="648"/>
      <c r="J1878" s="648"/>
      <c r="K1878" s="648"/>
      <c r="L1878" s="648"/>
      <c r="M1878" s="648"/>
      <c r="N1878" s="648"/>
      <c r="O1878" s="649"/>
      <c r="Q1878" s="641"/>
      <c r="R1878" s="87" t="s">
        <v>141</v>
      </c>
      <c r="S1878" s="643"/>
    </row>
    <row r="1879" spans="1:19" ht="15.75" thickBot="1" x14ac:dyDescent="0.3">
      <c r="A1879" s="177"/>
      <c r="B1879" s="650" t="s">
        <v>115</v>
      </c>
      <c r="C1879" s="651"/>
      <c r="D1879" s="651"/>
      <c r="E1879" s="651"/>
      <c r="F1879" s="651"/>
      <c r="G1879" s="651"/>
      <c r="H1879" s="651"/>
      <c r="I1879" s="651"/>
      <c r="J1879" s="651"/>
      <c r="K1879" s="651"/>
      <c r="L1879" s="651"/>
      <c r="M1879" s="651"/>
      <c r="N1879" s="651"/>
      <c r="O1879" s="652"/>
      <c r="Q1879" s="147" t="s">
        <v>143</v>
      </c>
      <c r="R1879" s="88">
        <v>8</v>
      </c>
      <c r="S1879" s="87" t="s">
        <v>547</v>
      </c>
    </row>
    <row r="1880" spans="1:19" ht="15.75" thickBot="1" x14ac:dyDescent="0.3">
      <c r="A1880" s="177" t="s">
        <v>106</v>
      </c>
      <c r="B1880" s="629">
        <v>17.5</v>
      </c>
      <c r="C1880" s="630"/>
      <c r="D1880" s="630"/>
      <c r="E1880" s="631"/>
      <c r="F1880" s="365" t="s">
        <v>174</v>
      </c>
      <c r="G1880" s="471"/>
      <c r="H1880" s="653">
        <v>0</v>
      </c>
      <c r="I1880" s="654"/>
      <c r="J1880" s="654"/>
      <c r="K1880" s="654"/>
      <c r="L1880" s="655"/>
      <c r="M1880" s="656">
        <f>SUM(B1880,H1881)</f>
        <v>17.5</v>
      </c>
      <c r="N1880" s="630"/>
      <c r="O1880" s="631"/>
      <c r="Q1880" s="147" t="s">
        <v>145</v>
      </c>
      <c r="R1880" s="88">
        <v>7</v>
      </c>
      <c r="S1880" s="89" t="s">
        <v>509</v>
      </c>
    </row>
    <row r="1881" spans="1:19" ht="15.75" thickBot="1" x14ac:dyDescent="0.3">
      <c r="A1881" s="177" t="s">
        <v>112</v>
      </c>
      <c r="B1881" s="626">
        <v>0.21</v>
      </c>
      <c r="C1881" s="627"/>
      <c r="D1881" s="627"/>
      <c r="E1881" s="628"/>
      <c r="F1881" s="290"/>
      <c r="G1881" s="472"/>
      <c r="H1881" s="626">
        <v>0</v>
      </c>
      <c r="I1881" s="627"/>
      <c r="J1881" s="627"/>
      <c r="K1881" s="627"/>
      <c r="L1881" s="628"/>
      <c r="M1881" s="657">
        <f>B1881</f>
        <v>0.21</v>
      </c>
      <c r="N1881" s="627"/>
      <c r="O1881" s="628"/>
      <c r="Q1881" s="147" t="s">
        <v>147</v>
      </c>
      <c r="R1881" s="88">
        <v>8</v>
      </c>
      <c r="S1881" s="87" t="s">
        <v>411</v>
      </c>
    </row>
    <row r="1882" spans="1:19" ht="29.25" thickBot="1" x14ac:dyDescent="0.3">
      <c r="A1882" s="177" t="s">
        <v>107</v>
      </c>
      <c r="B1882" s="629">
        <f>B1880*(1-B1881)</f>
        <v>13.825000000000001</v>
      </c>
      <c r="C1882" s="630"/>
      <c r="D1882" s="630"/>
      <c r="E1882" s="631"/>
      <c r="F1882" s="290"/>
      <c r="G1882" s="472"/>
      <c r="H1882" s="629">
        <f>H1880*(1-H1881)</f>
        <v>0</v>
      </c>
      <c r="I1882" s="630"/>
      <c r="J1882" s="630"/>
      <c r="K1882" s="630"/>
      <c r="L1882" s="631"/>
      <c r="M1882" s="656">
        <f>SUM(B1882,H1882)</f>
        <v>13.825000000000001</v>
      </c>
      <c r="N1882" s="630"/>
      <c r="O1882" s="631"/>
      <c r="Q1882" s="147" t="s">
        <v>82</v>
      </c>
      <c r="R1882" s="88">
        <v>6</v>
      </c>
      <c r="S1882" s="89" t="s">
        <v>564</v>
      </c>
    </row>
    <row r="1883" spans="1:19" ht="15.75" thickBot="1" x14ac:dyDescent="0.3">
      <c r="A1883" s="177" t="s">
        <v>108</v>
      </c>
      <c r="B1883" s="626">
        <f>B1886/B1882</f>
        <v>0.76941772151898724</v>
      </c>
      <c r="C1883" s="627"/>
      <c r="D1883" s="627"/>
      <c r="E1883" s="627"/>
      <c r="F1883" s="627"/>
      <c r="G1883" s="627"/>
      <c r="H1883" s="627"/>
      <c r="I1883" s="627"/>
      <c r="J1883" s="627"/>
      <c r="K1883" s="627"/>
      <c r="L1883" s="627"/>
      <c r="M1883" s="627"/>
      <c r="N1883" s="627"/>
      <c r="O1883" s="628"/>
      <c r="Q1883" s="147" t="s">
        <v>152</v>
      </c>
      <c r="R1883" s="88">
        <v>7</v>
      </c>
      <c r="S1883" s="89" t="s">
        <v>519</v>
      </c>
    </row>
    <row r="1884" spans="1:19" ht="15.75" thickBot="1" x14ac:dyDescent="0.3">
      <c r="A1884" s="177" t="s">
        <v>113</v>
      </c>
      <c r="B1884" s="629">
        <f>B1888*(B1892+B1893+I1892+I1893)/1000</f>
        <v>37.99</v>
      </c>
      <c r="C1884" s="630"/>
      <c r="D1884" s="630"/>
      <c r="E1884" s="630"/>
      <c r="F1884" s="630"/>
      <c r="G1884" s="630"/>
      <c r="H1884" s="630"/>
      <c r="I1884" s="630"/>
      <c r="J1884" s="630"/>
      <c r="K1884" s="630"/>
      <c r="L1884" s="630"/>
      <c r="M1884" s="630"/>
      <c r="N1884" s="630"/>
      <c r="O1884" s="631"/>
      <c r="Q1884" s="147" t="s">
        <v>154</v>
      </c>
      <c r="R1884" s="88">
        <v>8</v>
      </c>
      <c r="S1884" s="87" t="s">
        <v>520</v>
      </c>
    </row>
    <row r="1885" spans="1:19" ht="29.25" thickBot="1" x14ac:dyDescent="0.3">
      <c r="A1885" s="177" t="s">
        <v>109</v>
      </c>
      <c r="B1885" s="626">
        <v>0.72</v>
      </c>
      <c r="C1885" s="627"/>
      <c r="D1885" s="627"/>
      <c r="E1885" s="627"/>
      <c r="F1885" s="627"/>
      <c r="G1885" s="627"/>
      <c r="H1885" s="627"/>
      <c r="I1885" s="627"/>
      <c r="J1885" s="627"/>
      <c r="K1885" s="627"/>
      <c r="L1885" s="627"/>
      <c r="M1885" s="627"/>
      <c r="N1885" s="627"/>
      <c r="O1885" s="628"/>
      <c r="Q1885" s="147" t="s">
        <v>156</v>
      </c>
      <c r="R1885" s="88">
        <v>9</v>
      </c>
      <c r="S1885" s="87" t="s">
        <v>480</v>
      </c>
    </row>
    <row r="1886" spans="1:19" ht="15.75" thickBot="1" x14ac:dyDescent="0.3">
      <c r="A1886" s="177" t="s">
        <v>122</v>
      </c>
      <c r="B1886" s="629">
        <f>B1884-(B1884*B1885)</f>
        <v>10.6372</v>
      </c>
      <c r="C1886" s="630"/>
      <c r="D1886" s="630"/>
      <c r="E1886" s="630"/>
      <c r="F1886" s="630"/>
      <c r="G1886" s="630"/>
      <c r="H1886" s="630"/>
      <c r="I1886" s="630"/>
      <c r="J1886" s="630"/>
      <c r="K1886" s="630"/>
      <c r="L1886" s="630"/>
      <c r="M1886" s="630"/>
      <c r="N1886" s="630"/>
      <c r="O1886" s="631"/>
      <c r="Q1886" s="147" t="s">
        <v>158</v>
      </c>
      <c r="R1886" s="88"/>
      <c r="S1886" s="87"/>
    </row>
    <row r="1887" spans="1:19" ht="15.75" thickBot="1" x14ac:dyDescent="0.3">
      <c r="A1887" s="177" t="s">
        <v>110</v>
      </c>
      <c r="B1887" s="632">
        <v>125</v>
      </c>
      <c r="C1887" s="633"/>
      <c r="D1887" s="633"/>
      <c r="E1887" s="633"/>
      <c r="F1887" s="633"/>
      <c r="G1887" s="633"/>
      <c r="H1887" s="633"/>
      <c r="I1887" s="633"/>
      <c r="J1887" s="633"/>
      <c r="K1887" s="633"/>
      <c r="L1887" s="633"/>
      <c r="M1887" s="633"/>
      <c r="N1887" s="633"/>
      <c r="O1887" s="634"/>
      <c r="Q1887" s="451" t="s">
        <v>99</v>
      </c>
      <c r="R1887" s="87" t="s">
        <v>565</v>
      </c>
      <c r="S1887" s="117">
        <v>0.75700000000000001</v>
      </c>
    </row>
    <row r="1888" spans="1:19" x14ac:dyDescent="0.25">
      <c r="A1888" s="177" t="s">
        <v>111</v>
      </c>
      <c r="B1888" s="635">
        <v>14.5</v>
      </c>
      <c r="C1888" s="636"/>
      <c r="D1888" s="636"/>
      <c r="E1888" s="636"/>
      <c r="F1888" s="636"/>
      <c r="G1888" s="636"/>
      <c r="H1888" s="636"/>
      <c r="I1888" s="636"/>
      <c r="J1888" s="636"/>
      <c r="K1888" s="636"/>
      <c r="L1888" s="636"/>
      <c r="M1888" s="636"/>
      <c r="N1888" s="636"/>
      <c r="O1888" s="637"/>
    </row>
    <row r="1889" spans="1:19" x14ac:dyDescent="0.25">
      <c r="A1889" s="177" t="s">
        <v>273</v>
      </c>
      <c r="B1889" s="638" t="s">
        <v>554</v>
      </c>
      <c r="C1889" s="638"/>
      <c r="D1889" s="638"/>
      <c r="E1889" s="638"/>
      <c r="F1889" s="638"/>
      <c r="G1889" s="638"/>
      <c r="H1889" s="638"/>
      <c r="I1889" s="638"/>
      <c r="J1889" s="638"/>
      <c r="K1889" s="638"/>
      <c r="L1889" s="638"/>
      <c r="M1889" s="638"/>
      <c r="N1889" s="638"/>
      <c r="O1889" s="639"/>
    </row>
    <row r="1890" spans="1:19" x14ac:dyDescent="0.25">
      <c r="A1890" s="177" t="s">
        <v>351</v>
      </c>
      <c r="B1890" s="431"/>
      <c r="C1890" s="431"/>
      <c r="D1890" s="431"/>
      <c r="E1890" s="431"/>
      <c r="F1890" s="431"/>
      <c r="G1890" s="431"/>
      <c r="H1890" s="431"/>
      <c r="I1890" s="431"/>
      <c r="J1890" s="431"/>
      <c r="K1890" s="431"/>
      <c r="L1890" s="431"/>
      <c r="M1890" s="431"/>
      <c r="N1890" s="431"/>
      <c r="O1890" s="432"/>
    </row>
    <row r="1891" spans="1:19" x14ac:dyDescent="0.25">
      <c r="B1891" s="307" t="s">
        <v>98</v>
      </c>
      <c r="C1891" s="365" t="s">
        <v>102</v>
      </c>
      <c r="D1891" s="365" t="s">
        <v>92</v>
      </c>
      <c r="E1891" s="365" t="s">
        <v>93</v>
      </c>
      <c r="F1891" s="365" t="s">
        <v>94</v>
      </c>
      <c r="G1891" s="365" t="s">
        <v>549</v>
      </c>
      <c r="H1891" s="359" t="s">
        <v>99</v>
      </c>
      <c r="I1891" s="307" t="s">
        <v>98</v>
      </c>
      <c r="J1891" s="365" t="s">
        <v>102</v>
      </c>
      <c r="K1891" s="365" t="s">
        <v>92</v>
      </c>
      <c r="L1891" s="365" t="s">
        <v>93</v>
      </c>
      <c r="M1891" s="365" t="s">
        <v>94</v>
      </c>
      <c r="N1891" s="365" t="s">
        <v>549</v>
      </c>
      <c r="O1891" s="359" t="s">
        <v>99</v>
      </c>
    </row>
    <row r="1892" spans="1:19" x14ac:dyDescent="0.25">
      <c r="B1892" s="308">
        <v>1134</v>
      </c>
      <c r="C1892" s="365" t="s">
        <v>95</v>
      </c>
      <c r="D1892" s="441">
        <v>1416.48</v>
      </c>
      <c r="E1892" s="441">
        <v>661.29</v>
      </c>
      <c r="F1892" s="441">
        <v>564.92999999999995</v>
      </c>
      <c r="G1892" s="441">
        <v>0</v>
      </c>
      <c r="H1892" s="359">
        <f>SUM(D1892:G1892)</f>
        <v>2642.7</v>
      </c>
      <c r="I1892" s="308">
        <v>1136</v>
      </c>
      <c r="J1892" s="365" t="s">
        <v>95</v>
      </c>
      <c r="K1892" s="441">
        <v>1234.3599999999999</v>
      </c>
      <c r="L1892" s="441">
        <v>539.4</v>
      </c>
      <c r="M1892" s="441">
        <v>742.9</v>
      </c>
      <c r="N1892" s="441">
        <v>362.29</v>
      </c>
      <c r="O1892" s="359">
        <f>SUM(K1892:N1892)</f>
        <v>2878.95</v>
      </c>
    </row>
    <row r="1893" spans="1:19" x14ac:dyDescent="0.25">
      <c r="B1893" s="308">
        <v>175</v>
      </c>
      <c r="C1893" s="365" t="s">
        <v>96</v>
      </c>
      <c r="D1893" s="441">
        <v>144.87</v>
      </c>
      <c r="E1893" s="441">
        <v>162.58000000000001</v>
      </c>
      <c r="F1893" s="441">
        <v>52.22</v>
      </c>
      <c r="G1893" s="441">
        <v>0</v>
      </c>
      <c r="H1893" s="359">
        <f t="shared" ref="H1893:H1899" si="245">SUM(D1893:G1893)</f>
        <v>359.67000000000007</v>
      </c>
      <c r="I1893" s="308">
        <v>175</v>
      </c>
      <c r="J1893" s="365" t="s">
        <v>96</v>
      </c>
      <c r="K1893" s="441">
        <v>101.35</v>
      </c>
      <c r="L1893" s="441">
        <v>184.45</v>
      </c>
      <c r="M1893" s="441">
        <v>123.58</v>
      </c>
      <c r="N1893" s="441">
        <v>8.19</v>
      </c>
      <c r="O1893" s="359">
        <f t="shared" ref="O1893:O1899" si="246">SUM(K1893:N1893)</f>
        <v>417.56999999999994</v>
      </c>
    </row>
    <row r="1894" spans="1:19" x14ac:dyDescent="0.25">
      <c r="B1894" s="307" t="s">
        <v>100</v>
      </c>
      <c r="C1894" s="365" t="s">
        <v>95</v>
      </c>
      <c r="D1894" s="444">
        <f t="shared" ref="D1894:G1895" si="247">D1892/$B1892</f>
        <v>1.249100529100529</v>
      </c>
      <c r="E1894" s="429">
        <f t="shared" si="247"/>
        <v>0.58314814814814808</v>
      </c>
      <c r="F1894" s="429">
        <f t="shared" si="247"/>
        <v>0.4981746031746031</v>
      </c>
      <c r="G1894" s="429">
        <f t="shared" si="247"/>
        <v>0</v>
      </c>
      <c r="H1894" s="359">
        <f t="shared" si="245"/>
        <v>2.3304232804232803</v>
      </c>
      <c r="I1894" s="307" t="s">
        <v>100</v>
      </c>
      <c r="J1894" s="365" t="s">
        <v>95</v>
      </c>
      <c r="K1894" s="444">
        <f t="shared" ref="K1894:N1895" si="248">K1892/$I1892</f>
        <v>1.0865845070422535</v>
      </c>
      <c r="L1894" s="429">
        <f t="shared" si="248"/>
        <v>0.47482394366197184</v>
      </c>
      <c r="M1894" s="429">
        <f t="shared" si="248"/>
        <v>0.65396126760563378</v>
      </c>
      <c r="N1894" s="429">
        <f t="shared" si="248"/>
        <v>0.31891725352112676</v>
      </c>
      <c r="O1894" s="359">
        <f t="shared" si="246"/>
        <v>2.5342869718309857</v>
      </c>
    </row>
    <row r="1895" spans="1:19" x14ac:dyDescent="0.25">
      <c r="B1895" s="307" t="s">
        <v>100</v>
      </c>
      <c r="C1895" s="438" t="s">
        <v>96</v>
      </c>
      <c r="D1895" s="359">
        <f t="shared" si="247"/>
        <v>0.82782857142857147</v>
      </c>
      <c r="E1895" s="359">
        <f t="shared" si="247"/>
        <v>0.92902857142857154</v>
      </c>
      <c r="F1895" s="359">
        <f t="shared" si="247"/>
        <v>0.2984</v>
      </c>
      <c r="G1895" s="359">
        <f t="shared" si="247"/>
        <v>0</v>
      </c>
      <c r="H1895" s="359">
        <f t="shared" si="245"/>
        <v>2.0552571428571431</v>
      </c>
      <c r="I1895" s="307" t="s">
        <v>100</v>
      </c>
      <c r="J1895" s="438" t="s">
        <v>96</v>
      </c>
      <c r="K1895" s="359">
        <f t="shared" si="248"/>
        <v>0.57914285714285707</v>
      </c>
      <c r="L1895" s="359">
        <f t="shared" si="248"/>
        <v>1.0539999999999998</v>
      </c>
      <c r="M1895" s="359">
        <f t="shared" si="248"/>
        <v>0.70617142857142856</v>
      </c>
      <c r="N1895" s="359">
        <f t="shared" si="248"/>
        <v>4.6799999999999994E-2</v>
      </c>
      <c r="O1895" s="359">
        <f t="shared" si="246"/>
        <v>2.3861142857142856</v>
      </c>
    </row>
    <row r="1896" spans="1:19" x14ac:dyDescent="0.25">
      <c r="B1896" s="307" t="s">
        <v>104</v>
      </c>
      <c r="C1896" s="365" t="s">
        <v>95</v>
      </c>
      <c r="D1896" s="359">
        <f>D1892/($B1892/7.7)</f>
        <v>9.6180740740740731</v>
      </c>
      <c r="E1896" s="359">
        <f>E1892/($B1892/7)</f>
        <v>4.0820370370370371</v>
      </c>
      <c r="F1896" s="359">
        <f>F1892/($B1892/7)</f>
        <v>3.487222222222222</v>
      </c>
      <c r="G1896" s="359">
        <f>G1892/($B1892/7)</f>
        <v>0</v>
      </c>
      <c r="H1896" s="359">
        <f t="shared" si="245"/>
        <v>17.187333333333331</v>
      </c>
      <c r="I1896" s="307" t="s">
        <v>104</v>
      </c>
      <c r="J1896" s="365" t="s">
        <v>95</v>
      </c>
      <c r="K1896" s="359">
        <f>K1892/($I1892/7.7)</f>
        <v>8.3667007042253516</v>
      </c>
      <c r="L1896" s="359">
        <f>L1892/($I1892/7)</f>
        <v>3.3237676056338028</v>
      </c>
      <c r="M1896" s="359">
        <f>M1892/($I1892/7)</f>
        <v>4.5777288732394368</v>
      </c>
      <c r="N1896" s="359">
        <f>N1892/($I1892/7)</f>
        <v>2.2324207746478875</v>
      </c>
      <c r="O1896" s="359">
        <f t="shared" si="246"/>
        <v>18.500617957746481</v>
      </c>
    </row>
    <row r="1897" spans="1:19" x14ac:dyDescent="0.25">
      <c r="B1897" s="307" t="s">
        <v>104</v>
      </c>
      <c r="C1897" s="438" t="s">
        <v>96</v>
      </c>
      <c r="D1897" s="359">
        <f>D1893/($B1893/7.7)</f>
        <v>6.3742800000000006</v>
      </c>
      <c r="E1897" s="359">
        <f>E1893/($B1893/7.7)</f>
        <v>7.1535200000000003</v>
      </c>
      <c r="F1897" s="359">
        <f>F1893/($B1893/7.7)</f>
        <v>2.2976800000000002</v>
      </c>
      <c r="G1897" s="359">
        <f>G1893/($B1893/7.7)</f>
        <v>0</v>
      </c>
      <c r="H1897" s="359">
        <f t="shared" si="245"/>
        <v>15.825480000000001</v>
      </c>
      <c r="I1897" s="307" t="s">
        <v>104</v>
      </c>
      <c r="J1897" s="438" t="s">
        <v>96</v>
      </c>
      <c r="K1897" s="359">
        <f>K1893/($I1893/7.7)</f>
        <v>4.4593999999999996</v>
      </c>
      <c r="L1897" s="359">
        <f>L1893/($I1893/7.7)</f>
        <v>8.1158000000000001</v>
      </c>
      <c r="M1897" s="359">
        <f>M1893/($I1893/7.7)</f>
        <v>5.4375200000000001</v>
      </c>
      <c r="N1897" s="359">
        <f>N1893/($I1893/7.7)</f>
        <v>0.36036000000000001</v>
      </c>
      <c r="O1897" s="359">
        <f t="shared" si="246"/>
        <v>18.373079999999998</v>
      </c>
    </row>
    <row r="1898" spans="1:19" x14ac:dyDescent="0.25">
      <c r="B1898" s="307" t="s">
        <v>135</v>
      </c>
      <c r="C1898" s="365" t="s">
        <v>95</v>
      </c>
      <c r="D1898" s="359">
        <f>D1892/((($B1892*$B1888)*(1-$B1885))/$B1883)</f>
        <v>0.23671923227800254</v>
      </c>
      <c r="E1898" s="359">
        <f>E1892/((($B1892*$B1888)*(1-$B1885))/$B1883)</f>
        <v>0.11051342843747904</v>
      </c>
      <c r="F1898" s="359">
        <f>F1892/((($B1892*$B1888)*(1-$B1885))/$B1883)</f>
        <v>9.4409942880105596E-2</v>
      </c>
      <c r="G1898" s="359">
        <f>G1892/((($B1892*$B1888)*(1-$B1885))/$B1883)</f>
        <v>0</v>
      </c>
      <c r="H1898" s="359">
        <f t="shared" si="245"/>
        <v>0.44164260359558716</v>
      </c>
      <c r="I1898" s="307" t="s">
        <v>135</v>
      </c>
      <c r="J1898" s="365" t="s">
        <v>95</v>
      </c>
      <c r="K1898" s="359">
        <f>K1892/((($I1892*$B1888)*(1-$B1885))/$B1883)</f>
        <v>0.20592053587346859</v>
      </c>
      <c r="L1898" s="359">
        <f>L1892/((($I1892*$B1888)*(1-$B1885))/$B1883)</f>
        <v>8.9984718437205485E-2</v>
      </c>
      <c r="M1898" s="359">
        <f>M1892/((($I1892*$B1888)*(1-$B1885))/$B1883)</f>
        <v>0.12393334691694467</v>
      </c>
      <c r="N1898" s="359">
        <f>N1892/((($I1892*$B1888)*(1-$B1885))/$B1883)</f>
        <v>6.0438568117566149E-2</v>
      </c>
      <c r="O1898" s="359">
        <f t="shared" si="246"/>
        <v>0.48027716934518488</v>
      </c>
    </row>
    <row r="1899" spans="1:19" x14ac:dyDescent="0.25">
      <c r="B1899" s="307" t="s">
        <v>135</v>
      </c>
      <c r="C1899" s="438" t="s">
        <v>96</v>
      </c>
      <c r="D1899" s="359">
        <f>D1893/((($B1893*$B1888)*(1-$B1885))/$B1883)</f>
        <v>0.15688324463962797</v>
      </c>
      <c r="E1899" s="359">
        <f>E1893/((($B1893*$B1888)*(1-$B1885))/$B1883)</f>
        <v>0.17606183415138205</v>
      </c>
      <c r="F1899" s="359">
        <f>F1893/((($B1893*$B1888)*(1-$B1885))/$B1883)</f>
        <v>5.6550307414104869E-2</v>
      </c>
      <c r="G1899" s="359">
        <f>G1893/((($B1893*$B1888)*(1-$B1885))/$B1883)</f>
        <v>0</v>
      </c>
      <c r="H1899" s="359">
        <f t="shared" si="245"/>
        <v>0.38949538620511487</v>
      </c>
      <c r="I1899" s="307" t="s">
        <v>135</v>
      </c>
      <c r="J1899" s="438" t="s">
        <v>96</v>
      </c>
      <c r="K1899" s="359">
        <f>K1893/((($I1893*$B1888)*(1-$B1885))/$B1883)</f>
        <v>0.10975437871351068</v>
      </c>
      <c r="L1899" s="359">
        <f>L1893/((($I1893*$B1888)*(1-$B1885))/$B1883)</f>
        <v>0.19974538878842671</v>
      </c>
      <c r="M1899" s="359">
        <f>M1893/((($I1893*$B1888)*(1-$B1885))/$B1883)</f>
        <v>0.13382778610178245</v>
      </c>
      <c r="N1899" s="359">
        <f>N1893/((($I1893*$B1888)*(1-$B1885))/$B1883)</f>
        <v>8.8691500904159101E-3</v>
      </c>
      <c r="O1899" s="359">
        <f t="shared" si="246"/>
        <v>0.45219670369413578</v>
      </c>
    </row>
    <row r="1900" spans="1:19" ht="15.75" thickBot="1" x14ac:dyDescent="0.3">
      <c r="A1900" s="178"/>
      <c r="B1900" s="178"/>
      <c r="C1900" s="178"/>
      <c r="D1900" s="178"/>
      <c r="E1900" s="178"/>
      <c r="F1900" s="178"/>
      <c r="G1900" s="178"/>
      <c r="H1900" s="178"/>
      <c r="I1900" s="178"/>
      <c r="J1900" s="178"/>
      <c r="K1900" s="178"/>
      <c r="L1900" s="178"/>
      <c r="M1900" s="178"/>
      <c r="N1900" s="178"/>
      <c r="O1900" s="178"/>
    </row>
    <row r="1901" spans="1:19" ht="21" x14ac:dyDescent="0.25">
      <c r="A1901" s="305"/>
      <c r="B1901" s="644" t="s">
        <v>507</v>
      </c>
      <c r="C1901" s="645"/>
      <c r="D1901" s="645"/>
      <c r="E1901" s="645"/>
      <c r="F1901" s="645"/>
      <c r="G1901" s="645"/>
      <c r="H1901" s="645"/>
      <c r="I1901" s="645"/>
      <c r="J1901" s="645"/>
      <c r="K1901" s="645"/>
      <c r="L1901" s="645"/>
      <c r="M1901" s="645"/>
      <c r="N1901" s="645"/>
      <c r="O1901" s="646"/>
      <c r="Q1901" s="662" t="s">
        <v>139</v>
      </c>
      <c r="R1901" s="176" t="s">
        <v>140</v>
      </c>
      <c r="S1901" s="663" t="s">
        <v>142</v>
      </c>
    </row>
    <row r="1902" spans="1:19" ht="21.75" thickBot="1" x14ac:dyDescent="0.3">
      <c r="A1902" s="177" t="s">
        <v>285</v>
      </c>
      <c r="B1902" s="647">
        <v>44433</v>
      </c>
      <c r="C1902" s="648"/>
      <c r="D1902" s="648"/>
      <c r="E1902" s="648"/>
      <c r="F1902" s="648"/>
      <c r="G1902" s="648"/>
      <c r="H1902" s="648"/>
      <c r="I1902" s="648"/>
      <c r="J1902" s="648"/>
      <c r="K1902" s="648"/>
      <c r="L1902" s="648"/>
      <c r="M1902" s="648"/>
      <c r="N1902" s="648"/>
      <c r="O1902" s="649"/>
      <c r="Q1902" s="641"/>
      <c r="R1902" s="87" t="s">
        <v>141</v>
      </c>
      <c r="S1902" s="643"/>
    </row>
    <row r="1903" spans="1:19" ht="15.75" thickBot="1" x14ac:dyDescent="0.3">
      <c r="A1903" s="177"/>
      <c r="B1903" s="650" t="s">
        <v>115</v>
      </c>
      <c r="C1903" s="651"/>
      <c r="D1903" s="651"/>
      <c r="E1903" s="651"/>
      <c r="F1903" s="651"/>
      <c r="G1903" s="651"/>
      <c r="H1903" s="651"/>
      <c r="I1903" s="651"/>
      <c r="J1903" s="651"/>
      <c r="K1903" s="651"/>
      <c r="L1903" s="651"/>
      <c r="M1903" s="651"/>
      <c r="N1903" s="651"/>
      <c r="O1903" s="652"/>
      <c r="Q1903" s="147" t="s">
        <v>143</v>
      </c>
      <c r="R1903" s="88">
        <v>8</v>
      </c>
      <c r="S1903" s="87" t="s">
        <v>566</v>
      </c>
    </row>
    <row r="1904" spans="1:19" ht="15.75" thickBot="1" x14ac:dyDescent="0.3">
      <c r="A1904" s="177" t="s">
        <v>106</v>
      </c>
      <c r="B1904" s="629">
        <v>14.5</v>
      </c>
      <c r="C1904" s="630"/>
      <c r="D1904" s="630"/>
      <c r="E1904" s="631"/>
      <c r="F1904" s="365" t="s">
        <v>174</v>
      </c>
      <c r="G1904" s="471"/>
      <c r="H1904" s="653">
        <v>0</v>
      </c>
      <c r="I1904" s="654"/>
      <c r="J1904" s="654"/>
      <c r="K1904" s="654"/>
      <c r="L1904" s="655"/>
      <c r="M1904" s="656">
        <f>SUM(B1904,H1905)</f>
        <v>14.5</v>
      </c>
      <c r="N1904" s="630"/>
      <c r="O1904" s="631"/>
      <c r="Q1904" s="147" t="s">
        <v>145</v>
      </c>
      <c r="R1904" s="88">
        <v>9</v>
      </c>
      <c r="S1904" s="89" t="s">
        <v>567</v>
      </c>
    </row>
    <row r="1905" spans="1:19" ht="15.75" thickBot="1" x14ac:dyDescent="0.3">
      <c r="A1905" s="177" t="s">
        <v>112</v>
      </c>
      <c r="B1905" s="626">
        <v>0.17</v>
      </c>
      <c r="C1905" s="627"/>
      <c r="D1905" s="627"/>
      <c r="E1905" s="628"/>
      <c r="F1905" s="290"/>
      <c r="G1905" s="472"/>
      <c r="H1905" s="626">
        <v>0</v>
      </c>
      <c r="I1905" s="627"/>
      <c r="J1905" s="627"/>
      <c r="K1905" s="627"/>
      <c r="L1905" s="628"/>
      <c r="M1905" s="657">
        <f>B1905</f>
        <v>0.17</v>
      </c>
      <c r="N1905" s="627"/>
      <c r="O1905" s="628"/>
      <c r="Q1905" s="147" t="s">
        <v>147</v>
      </c>
      <c r="R1905" s="88">
        <v>8</v>
      </c>
      <c r="S1905" s="87" t="s">
        <v>411</v>
      </c>
    </row>
    <row r="1906" spans="1:19" ht="29.25" thickBot="1" x14ac:dyDescent="0.3">
      <c r="A1906" s="177" t="s">
        <v>107</v>
      </c>
      <c r="B1906" s="629">
        <f>B1904*(1-B1905)</f>
        <v>12.035</v>
      </c>
      <c r="C1906" s="630"/>
      <c r="D1906" s="630"/>
      <c r="E1906" s="631"/>
      <c r="F1906" s="290"/>
      <c r="G1906" s="472"/>
      <c r="H1906" s="629">
        <f>H1904*(1-H1905)</f>
        <v>0</v>
      </c>
      <c r="I1906" s="630"/>
      <c r="J1906" s="630"/>
      <c r="K1906" s="630"/>
      <c r="L1906" s="631"/>
      <c r="M1906" s="656">
        <f>SUM(B1906,H1906)</f>
        <v>12.035</v>
      </c>
      <c r="N1906" s="630"/>
      <c r="O1906" s="631"/>
      <c r="Q1906" s="147" t="s">
        <v>82</v>
      </c>
      <c r="R1906" s="88">
        <v>8</v>
      </c>
      <c r="S1906" s="89" t="s">
        <v>563</v>
      </c>
    </row>
    <row r="1907" spans="1:19" ht="15.75" thickBot="1" x14ac:dyDescent="0.3">
      <c r="A1907" s="177" t="s">
        <v>108</v>
      </c>
      <c r="B1907" s="626">
        <f>B1910/B1906</f>
        <v>0.81108433734939778</v>
      </c>
      <c r="C1907" s="627"/>
      <c r="D1907" s="627"/>
      <c r="E1907" s="627"/>
      <c r="F1907" s="627"/>
      <c r="G1907" s="627"/>
      <c r="H1907" s="627"/>
      <c r="I1907" s="627"/>
      <c r="J1907" s="627"/>
      <c r="K1907" s="627"/>
      <c r="L1907" s="627"/>
      <c r="M1907" s="627"/>
      <c r="N1907" s="627"/>
      <c r="O1907" s="628"/>
      <c r="Q1907" s="147" t="s">
        <v>152</v>
      </c>
      <c r="R1907" s="88">
        <v>9</v>
      </c>
      <c r="S1907" s="89" t="s">
        <v>519</v>
      </c>
    </row>
    <row r="1908" spans="1:19" ht="15.75" thickBot="1" x14ac:dyDescent="0.3">
      <c r="A1908" s="177" t="s">
        <v>113</v>
      </c>
      <c r="B1908" s="629">
        <f>B1912*(B1916+B1917+I1916+I1917)/1000</f>
        <v>32.537999999999997</v>
      </c>
      <c r="C1908" s="630"/>
      <c r="D1908" s="630"/>
      <c r="E1908" s="630"/>
      <c r="F1908" s="630"/>
      <c r="G1908" s="630"/>
      <c r="H1908" s="630"/>
      <c r="I1908" s="630"/>
      <c r="J1908" s="630"/>
      <c r="K1908" s="630"/>
      <c r="L1908" s="630"/>
      <c r="M1908" s="630"/>
      <c r="N1908" s="630"/>
      <c r="O1908" s="631"/>
      <c r="Q1908" s="147" t="s">
        <v>154</v>
      </c>
      <c r="R1908" s="88">
        <v>9</v>
      </c>
      <c r="S1908" s="87" t="s">
        <v>520</v>
      </c>
    </row>
    <row r="1909" spans="1:19" ht="29.25" thickBot="1" x14ac:dyDescent="0.3">
      <c r="A1909" s="177" t="s">
        <v>109</v>
      </c>
      <c r="B1909" s="626">
        <v>0.7</v>
      </c>
      <c r="C1909" s="627"/>
      <c r="D1909" s="627"/>
      <c r="E1909" s="627"/>
      <c r="F1909" s="627"/>
      <c r="G1909" s="627"/>
      <c r="H1909" s="627"/>
      <c r="I1909" s="627"/>
      <c r="J1909" s="627"/>
      <c r="K1909" s="627"/>
      <c r="L1909" s="627"/>
      <c r="M1909" s="627"/>
      <c r="N1909" s="627"/>
      <c r="O1909" s="628"/>
      <c r="Q1909" s="147" t="s">
        <v>156</v>
      </c>
      <c r="R1909" s="88">
        <v>9</v>
      </c>
      <c r="S1909" s="87" t="s">
        <v>480</v>
      </c>
    </row>
    <row r="1910" spans="1:19" ht="15.75" thickBot="1" x14ac:dyDescent="0.3">
      <c r="A1910" s="177" t="s">
        <v>122</v>
      </c>
      <c r="B1910" s="629">
        <f>B1908-(B1908*B1909)</f>
        <v>9.7614000000000019</v>
      </c>
      <c r="C1910" s="630"/>
      <c r="D1910" s="630"/>
      <c r="E1910" s="630"/>
      <c r="F1910" s="630"/>
      <c r="G1910" s="630"/>
      <c r="H1910" s="630"/>
      <c r="I1910" s="630"/>
      <c r="J1910" s="630"/>
      <c r="K1910" s="630"/>
      <c r="L1910" s="630"/>
      <c r="M1910" s="630"/>
      <c r="N1910" s="630"/>
      <c r="O1910" s="631"/>
      <c r="Q1910" s="147" t="s">
        <v>158</v>
      </c>
      <c r="R1910" s="88"/>
      <c r="S1910" s="87"/>
    </row>
    <row r="1911" spans="1:19" ht="15.75" thickBot="1" x14ac:dyDescent="0.3">
      <c r="A1911" s="177" t="s">
        <v>110</v>
      </c>
      <c r="B1911" s="632">
        <v>125</v>
      </c>
      <c r="C1911" s="633"/>
      <c r="D1911" s="633"/>
      <c r="E1911" s="633"/>
      <c r="F1911" s="633"/>
      <c r="G1911" s="633"/>
      <c r="H1911" s="633"/>
      <c r="I1911" s="633"/>
      <c r="J1911" s="633"/>
      <c r="K1911" s="633"/>
      <c r="L1911" s="633"/>
      <c r="M1911" s="633"/>
      <c r="N1911" s="633"/>
      <c r="O1911" s="634"/>
      <c r="Q1911" s="451" t="s">
        <v>99</v>
      </c>
      <c r="R1911" s="87" t="s">
        <v>541</v>
      </c>
      <c r="S1911" s="148">
        <v>0.85</v>
      </c>
    </row>
    <row r="1912" spans="1:19" x14ac:dyDescent="0.25">
      <c r="A1912" s="177" t="s">
        <v>111</v>
      </c>
      <c r="B1912" s="635">
        <v>14.5</v>
      </c>
      <c r="C1912" s="636"/>
      <c r="D1912" s="636"/>
      <c r="E1912" s="636"/>
      <c r="F1912" s="636"/>
      <c r="G1912" s="636"/>
      <c r="H1912" s="636"/>
      <c r="I1912" s="636"/>
      <c r="J1912" s="636"/>
      <c r="K1912" s="636"/>
      <c r="L1912" s="636"/>
      <c r="M1912" s="636"/>
      <c r="N1912" s="636"/>
      <c r="O1912" s="637"/>
    </row>
    <row r="1913" spans="1:19" x14ac:dyDescent="0.25">
      <c r="A1913" s="177" t="s">
        <v>273</v>
      </c>
      <c r="B1913" s="638" t="s">
        <v>553</v>
      </c>
      <c r="C1913" s="638"/>
      <c r="D1913" s="638"/>
      <c r="E1913" s="638"/>
      <c r="F1913" s="638"/>
      <c r="G1913" s="638"/>
      <c r="H1913" s="638"/>
      <c r="I1913" s="638"/>
      <c r="J1913" s="638"/>
      <c r="K1913" s="638"/>
      <c r="L1913" s="638"/>
      <c r="M1913" s="638"/>
      <c r="N1913" s="638"/>
      <c r="O1913" s="639"/>
    </row>
    <row r="1914" spans="1:19" x14ac:dyDescent="0.25">
      <c r="A1914" s="177" t="s">
        <v>351</v>
      </c>
      <c r="B1914" s="431"/>
      <c r="C1914" s="431"/>
      <c r="D1914" s="431"/>
      <c r="E1914" s="431"/>
      <c r="F1914" s="431"/>
      <c r="G1914" s="431"/>
      <c r="H1914" s="431"/>
      <c r="I1914" s="431"/>
      <c r="J1914" s="431"/>
      <c r="K1914" s="431"/>
      <c r="L1914" s="431"/>
      <c r="M1914" s="431"/>
      <c r="N1914" s="431"/>
      <c r="O1914" s="432"/>
    </row>
    <row r="1915" spans="1:19" x14ac:dyDescent="0.25">
      <c r="B1915" s="307" t="s">
        <v>98</v>
      </c>
      <c r="C1915" s="365" t="s">
        <v>102</v>
      </c>
      <c r="D1915" s="365" t="s">
        <v>92</v>
      </c>
      <c r="E1915" s="365" t="s">
        <v>93</v>
      </c>
      <c r="F1915" s="365" t="s">
        <v>94</v>
      </c>
      <c r="G1915" s="365" t="s">
        <v>549</v>
      </c>
      <c r="H1915" s="359" t="s">
        <v>99</v>
      </c>
      <c r="I1915" s="307" t="s">
        <v>98</v>
      </c>
      <c r="J1915" s="365" t="s">
        <v>102</v>
      </c>
      <c r="K1915" s="365" t="s">
        <v>92</v>
      </c>
      <c r="L1915" s="365" t="s">
        <v>93</v>
      </c>
      <c r="M1915" s="365" t="s">
        <v>94</v>
      </c>
      <c r="N1915" s="365" t="s">
        <v>549</v>
      </c>
      <c r="O1915" s="359" t="s">
        <v>99</v>
      </c>
    </row>
    <row r="1916" spans="1:19" x14ac:dyDescent="0.25">
      <c r="B1916" s="308">
        <v>940</v>
      </c>
      <c r="C1916" s="365" t="s">
        <v>95</v>
      </c>
      <c r="D1916" s="441">
        <v>1127.28</v>
      </c>
      <c r="E1916" s="441">
        <v>962.72</v>
      </c>
      <c r="F1916" s="441">
        <v>282.02</v>
      </c>
      <c r="G1916" s="441">
        <v>116.48</v>
      </c>
      <c r="H1916" s="359">
        <f>SUM(D1916:G1916)</f>
        <v>2488.5</v>
      </c>
      <c r="I1916" s="308">
        <v>952</v>
      </c>
      <c r="J1916" s="365" t="s">
        <v>95</v>
      </c>
      <c r="K1916" s="441">
        <v>1115.58</v>
      </c>
      <c r="L1916" s="441">
        <v>692.39</v>
      </c>
      <c r="M1916" s="441">
        <v>403.52</v>
      </c>
      <c r="N1916" s="441">
        <v>203.7</v>
      </c>
      <c r="O1916" s="359">
        <f>SUM(K1916:N1916)</f>
        <v>2415.1899999999996</v>
      </c>
    </row>
    <row r="1917" spans="1:19" x14ac:dyDescent="0.25">
      <c r="B1917" s="308">
        <v>176</v>
      </c>
      <c r="C1917" s="365" t="s">
        <v>96</v>
      </c>
      <c r="D1917" s="441">
        <v>167.17</v>
      </c>
      <c r="E1917" s="441">
        <v>206.6</v>
      </c>
      <c r="F1917" s="441">
        <v>36.200000000000003</v>
      </c>
      <c r="G1917" s="441">
        <v>0</v>
      </c>
      <c r="H1917" s="359">
        <f t="shared" ref="H1917:H1923" si="249">SUM(D1917:G1917)</f>
        <v>409.96999999999997</v>
      </c>
      <c r="I1917" s="308">
        <v>176</v>
      </c>
      <c r="J1917" s="365" t="s">
        <v>96</v>
      </c>
      <c r="K1917" s="441">
        <v>71.239999999999995</v>
      </c>
      <c r="L1917" s="441">
        <v>180.5</v>
      </c>
      <c r="M1917" s="441">
        <v>66.2</v>
      </c>
      <c r="N1917" s="441">
        <v>30.8</v>
      </c>
      <c r="O1917" s="359">
        <f t="shared" ref="O1917:O1923" si="250">SUM(K1917:N1917)</f>
        <v>348.74</v>
      </c>
    </row>
    <row r="1918" spans="1:19" x14ac:dyDescent="0.25">
      <c r="B1918" s="307" t="s">
        <v>100</v>
      </c>
      <c r="C1918" s="365" t="s">
        <v>95</v>
      </c>
      <c r="D1918" s="444">
        <f t="shared" ref="D1918:G1919" si="251">D1916/$B1916</f>
        <v>1.1992340425531915</v>
      </c>
      <c r="E1918" s="429">
        <f t="shared" si="251"/>
        <v>1.0241702127659575</v>
      </c>
      <c r="F1918" s="429">
        <f t="shared" si="251"/>
        <v>0.30002127659574468</v>
      </c>
      <c r="G1918" s="429">
        <f t="shared" si="251"/>
        <v>0.12391489361702128</v>
      </c>
      <c r="H1918" s="359">
        <f t="shared" si="249"/>
        <v>2.6473404255319153</v>
      </c>
      <c r="I1918" s="307" t="s">
        <v>100</v>
      </c>
      <c r="J1918" s="365" t="s">
        <v>95</v>
      </c>
      <c r="K1918" s="444">
        <f t="shared" ref="K1918:N1919" si="252">K1916/$I1916</f>
        <v>1.171827731092437</v>
      </c>
      <c r="L1918" s="429">
        <f t="shared" si="252"/>
        <v>0.72730042016806717</v>
      </c>
      <c r="M1918" s="429">
        <f t="shared" si="252"/>
        <v>0.42386554621848738</v>
      </c>
      <c r="N1918" s="429">
        <f t="shared" si="252"/>
        <v>0.21397058823529411</v>
      </c>
      <c r="O1918" s="359">
        <f t="shared" si="250"/>
        <v>2.5369642857142858</v>
      </c>
    </row>
    <row r="1919" spans="1:19" x14ac:dyDescent="0.25">
      <c r="B1919" s="307" t="s">
        <v>100</v>
      </c>
      <c r="C1919" s="438" t="s">
        <v>96</v>
      </c>
      <c r="D1919" s="359">
        <f t="shared" si="251"/>
        <v>0.94982954545454534</v>
      </c>
      <c r="E1919" s="359">
        <f t="shared" si="251"/>
        <v>1.1738636363636363</v>
      </c>
      <c r="F1919" s="359">
        <f t="shared" si="251"/>
        <v>0.20568181818181819</v>
      </c>
      <c r="G1919" s="359">
        <f t="shared" si="251"/>
        <v>0</v>
      </c>
      <c r="H1919" s="359">
        <f t="shared" si="249"/>
        <v>2.3293749999999998</v>
      </c>
      <c r="I1919" s="307" t="s">
        <v>100</v>
      </c>
      <c r="J1919" s="438" t="s">
        <v>96</v>
      </c>
      <c r="K1919" s="359">
        <f t="shared" si="252"/>
        <v>0.40477272727272723</v>
      </c>
      <c r="L1919" s="359">
        <f t="shared" si="252"/>
        <v>1.0255681818181819</v>
      </c>
      <c r="M1919" s="359">
        <f t="shared" si="252"/>
        <v>0.37613636363636366</v>
      </c>
      <c r="N1919" s="359">
        <f t="shared" si="252"/>
        <v>0.17500000000000002</v>
      </c>
      <c r="O1919" s="359">
        <f t="shared" si="250"/>
        <v>1.9814772727272729</v>
      </c>
    </row>
    <row r="1920" spans="1:19" x14ac:dyDescent="0.25">
      <c r="B1920" s="307" t="s">
        <v>104</v>
      </c>
      <c r="C1920" s="365" t="s">
        <v>95</v>
      </c>
      <c r="D1920" s="359">
        <f>D1916/($B1916/7.7)</f>
        <v>9.2341021276595736</v>
      </c>
      <c r="E1920" s="359">
        <f>E1916/($B1916/7)</f>
        <v>7.1691914893617028</v>
      </c>
      <c r="F1920" s="359">
        <f>F1916/($B1916/7)</f>
        <v>2.1001489361702128</v>
      </c>
      <c r="G1920" s="359">
        <f>G1916/($B1916/7)</f>
        <v>0.867404255319149</v>
      </c>
      <c r="H1920" s="359">
        <f t="shared" si="249"/>
        <v>19.370846808510638</v>
      </c>
      <c r="I1920" s="307" t="s">
        <v>104</v>
      </c>
      <c r="J1920" s="365" t="s">
        <v>95</v>
      </c>
      <c r="K1920" s="359">
        <f>K1916/($I1916/7.7)</f>
        <v>9.0230735294117643</v>
      </c>
      <c r="L1920" s="359">
        <f>L1916/($I1916/7)</f>
        <v>5.0911029411764703</v>
      </c>
      <c r="M1920" s="359">
        <f>M1916/($I1916/7)</f>
        <v>2.9670588235294115</v>
      </c>
      <c r="N1920" s="359">
        <f>N1916/($I1916/7)</f>
        <v>1.4977941176470588</v>
      </c>
      <c r="O1920" s="359">
        <f t="shared" si="250"/>
        <v>18.579029411764704</v>
      </c>
    </row>
    <row r="1921" spans="1:19" x14ac:dyDescent="0.25">
      <c r="B1921" s="307" t="s">
        <v>104</v>
      </c>
      <c r="C1921" s="438" t="s">
        <v>96</v>
      </c>
      <c r="D1921" s="359">
        <f>D1917/($B1917/7.7)</f>
        <v>7.3136874999999995</v>
      </c>
      <c r="E1921" s="359">
        <f>E1917/($B1917/7.7)</f>
        <v>9.0387500000000003</v>
      </c>
      <c r="F1921" s="359">
        <f>F1917/($B1917/7.7)</f>
        <v>1.58375</v>
      </c>
      <c r="G1921" s="359">
        <f>G1917/($B1917/7.7)</f>
        <v>0</v>
      </c>
      <c r="H1921" s="359">
        <f t="shared" si="249"/>
        <v>17.936187499999999</v>
      </c>
      <c r="I1921" s="307" t="s">
        <v>104</v>
      </c>
      <c r="J1921" s="438" t="s">
        <v>96</v>
      </c>
      <c r="K1921" s="359">
        <f>K1917/($I1917/7.7)</f>
        <v>3.1167499999999997</v>
      </c>
      <c r="L1921" s="359">
        <f>L1917/($I1917/7.7)</f>
        <v>7.8968749999999996</v>
      </c>
      <c r="M1921" s="359">
        <f>M1917/($I1917/7.7)</f>
        <v>2.8962500000000002</v>
      </c>
      <c r="N1921" s="359">
        <f>N1917/($I1917/7.7)</f>
        <v>1.3474999999999999</v>
      </c>
      <c r="O1921" s="359">
        <f t="shared" si="250"/>
        <v>15.257375</v>
      </c>
    </row>
    <row r="1922" spans="1:19" x14ac:dyDescent="0.25">
      <c r="B1922" s="307" t="s">
        <v>135</v>
      </c>
      <c r="C1922" s="365" t="s">
        <v>95</v>
      </c>
      <c r="D1922" s="359">
        <f>D1916/((($B1916*$B1912)*(1-$B1909))/$B1907)</f>
        <v>0.22360458591519417</v>
      </c>
      <c r="E1922" s="359">
        <f>E1916/((($B1916*$B1912)*(1-$B1909))/$B1907)</f>
        <v>0.19096285479408465</v>
      </c>
      <c r="F1922" s="359">
        <f>F1916/((($B1916*$B1912)*(1-$B1909))/$B1907)</f>
        <v>5.5940818004225262E-2</v>
      </c>
      <c r="G1922" s="359">
        <f>G1916/((($B1916*$B1912)*(1-$B1909))/$B1907)</f>
        <v>2.3104696408524784E-2</v>
      </c>
      <c r="H1922" s="359">
        <f t="shared" si="249"/>
        <v>0.49361295512202891</v>
      </c>
      <c r="I1922" s="307" t="s">
        <v>135</v>
      </c>
      <c r="J1922" s="365" t="s">
        <v>95</v>
      </c>
      <c r="K1922" s="359">
        <f>K1916/((($I1916*$B1912)*(1-$B1909))/$B1907)</f>
        <v>0.21849451005994422</v>
      </c>
      <c r="L1922" s="359">
        <f>L1916/((($I1916*$B1912)*(1-$B1909))/$B1907)</f>
        <v>0.13560965042435755</v>
      </c>
      <c r="M1922" s="359">
        <f>M1916/((($I1916*$B1912)*(1-$B1909))/$B1907)</f>
        <v>7.9032346133301692E-2</v>
      </c>
      <c r="N1922" s="359">
        <f>N1916/((($I1916*$B1912)*(1-$B1909))/$B1907)</f>
        <v>3.9896136269214795E-2</v>
      </c>
      <c r="O1922" s="359">
        <f t="shared" si="250"/>
        <v>0.47303264288681823</v>
      </c>
    </row>
    <row r="1923" spans="1:19" x14ac:dyDescent="0.25">
      <c r="B1923" s="307" t="s">
        <v>135</v>
      </c>
      <c r="C1923" s="438" t="s">
        <v>96</v>
      </c>
      <c r="D1923" s="359">
        <f>D1917/((($B1917*$B1912)*(1-$B1909))/$B1907)</f>
        <v>0.17710157872870794</v>
      </c>
      <c r="E1923" s="359">
        <f>E1917/((($B1917*$B1912)*(1-$B1909))/$B1907)</f>
        <v>0.21887411715828833</v>
      </c>
      <c r="F1923" s="359">
        <f>F1917/((($B1917*$B1912)*(1-$B1909))/$B1907)</f>
        <v>3.8350643955130874E-2</v>
      </c>
      <c r="G1923" s="359">
        <f>G1917/((($B1917*$B1912)*(1-$B1909))/$B1907)</f>
        <v>0</v>
      </c>
      <c r="H1923" s="359">
        <f t="shared" si="249"/>
        <v>0.43432633984212715</v>
      </c>
      <c r="I1923" s="307" t="s">
        <v>135</v>
      </c>
      <c r="J1923" s="438" t="s">
        <v>96</v>
      </c>
      <c r="K1923" s="359">
        <f>K1917/((($I1917*$B1912)*(1-$B1909))/$B1907)</f>
        <v>7.5472372247611136E-2</v>
      </c>
      <c r="L1923" s="359">
        <f>L1917/((($I1917*$B1912)*(1-$B1909))/$B1907)</f>
        <v>0.19122351474864979</v>
      </c>
      <c r="M1923" s="359">
        <f>M1917/((($I1917*$B1912)*(1-$B1909))/$B1907)</f>
        <v>7.0132945575405073E-2</v>
      </c>
      <c r="N1923" s="359">
        <f>N1917/((($I1917*$B1912)*(1-$B1909))/$B1907)</f>
        <v>3.2629829663481512E-2</v>
      </c>
      <c r="O1923" s="359">
        <f t="shared" si="250"/>
        <v>0.36945866223514745</v>
      </c>
    </row>
    <row r="1924" spans="1:19" ht="15.75" thickBot="1" x14ac:dyDescent="0.3">
      <c r="A1924" s="178"/>
      <c r="B1924" s="178"/>
      <c r="C1924" s="178"/>
      <c r="D1924" s="178"/>
      <c r="E1924" s="178"/>
      <c r="F1924" s="178"/>
      <c r="G1924" s="178"/>
      <c r="H1924" s="178"/>
      <c r="I1924" s="178"/>
      <c r="J1924" s="178"/>
      <c r="K1924" s="178"/>
      <c r="L1924" s="178"/>
      <c r="M1924" s="178"/>
      <c r="N1924" s="178"/>
      <c r="O1924" s="178"/>
    </row>
    <row r="1925" spans="1:19" ht="21" x14ac:dyDescent="0.25">
      <c r="A1925" s="305"/>
      <c r="B1925" s="644" t="s">
        <v>550</v>
      </c>
      <c r="C1925" s="645"/>
      <c r="D1925" s="645"/>
      <c r="E1925" s="645"/>
      <c r="F1925" s="645"/>
      <c r="G1925" s="645"/>
      <c r="H1925" s="645"/>
      <c r="I1925" s="645"/>
      <c r="J1925" s="645"/>
      <c r="K1925" s="645"/>
      <c r="L1925" s="645"/>
      <c r="M1925" s="645"/>
      <c r="N1925" s="645"/>
      <c r="O1925" s="646"/>
      <c r="Q1925" s="662" t="s">
        <v>139</v>
      </c>
      <c r="R1925" s="176" t="s">
        <v>140</v>
      </c>
      <c r="S1925" s="663" t="s">
        <v>142</v>
      </c>
    </row>
    <row r="1926" spans="1:19" ht="21.75" thickBot="1" x14ac:dyDescent="0.3">
      <c r="A1926" s="177" t="s">
        <v>285</v>
      </c>
      <c r="B1926" s="647">
        <v>44447</v>
      </c>
      <c r="C1926" s="648"/>
      <c r="D1926" s="648"/>
      <c r="E1926" s="648"/>
      <c r="F1926" s="648"/>
      <c r="G1926" s="648"/>
      <c r="H1926" s="648"/>
      <c r="I1926" s="648"/>
      <c r="J1926" s="648"/>
      <c r="K1926" s="648"/>
      <c r="L1926" s="648"/>
      <c r="M1926" s="648"/>
      <c r="N1926" s="648"/>
      <c r="O1926" s="649"/>
      <c r="Q1926" s="641"/>
      <c r="R1926" s="87" t="s">
        <v>141</v>
      </c>
      <c r="S1926" s="643"/>
    </row>
    <row r="1927" spans="1:19" ht="15.75" thickBot="1" x14ac:dyDescent="0.3">
      <c r="A1927" s="177"/>
      <c r="B1927" s="650" t="s">
        <v>115</v>
      </c>
      <c r="C1927" s="651"/>
      <c r="D1927" s="651"/>
      <c r="E1927" s="651"/>
      <c r="F1927" s="651"/>
      <c r="G1927" s="651"/>
      <c r="H1927" s="651"/>
      <c r="I1927" s="651"/>
      <c r="J1927" s="651"/>
      <c r="K1927" s="651"/>
      <c r="L1927" s="651"/>
      <c r="M1927" s="651"/>
      <c r="N1927" s="651"/>
      <c r="O1927" s="652"/>
      <c r="Q1927" s="147" t="s">
        <v>143</v>
      </c>
      <c r="R1927" s="88">
        <v>5</v>
      </c>
      <c r="S1927" s="87" t="s">
        <v>547</v>
      </c>
    </row>
    <row r="1928" spans="1:19" ht="15.75" thickBot="1" x14ac:dyDescent="0.3">
      <c r="A1928" s="177" t="s">
        <v>106</v>
      </c>
      <c r="B1928" s="629">
        <v>14.5</v>
      </c>
      <c r="C1928" s="630"/>
      <c r="D1928" s="630"/>
      <c r="E1928" s="631"/>
      <c r="F1928" s="365" t="s">
        <v>174</v>
      </c>
      <c r="G1928" s="471"/>
      <c r="H1928" s="653">
        <v>0</v>
      </c>
      <c r="I1928" s="654"/>
      <c r="J1928" s="654"/>
      <c r="K1928" s="654"/>
      <c r="L1928" s="655"/>
      <c r="M1928" s="656">
        <f>SUM(B1928,H1929)</f>
        <v>14.5</v>
      </c>
      <c r="N1928" s="630"/>
      <c r="O1928" s="631"/>
      <c r="Q1928" s="147" t="s">
        <v>145</v>
      </c>
      <c r="R1928" s="88">
        <v>8</v>
      </c>
      <c r="S1928" s="89" t="s">
        <v>548</v>
      </c>
    </row>
    <row r="1929" spans="1:19" ht="15.75" thickBot="1" x14ac:dyDescent="0.3">
      <c r="A1929" s="177" t="s">
        <v>112</v>
      </c>
      <c r="B1929" s="626">
        <v>0.17</v>
      </c>
      <c r="C1929" s="627"/>
      <c r="D1929" s="627"/>
      <c r="E1929" s="628"/>
      <c r="F1929" s="290"/>
      <c r="G1929" s="472"/>
      <c r="H1929" s="626">
        <v>0</v>
      </c>
      <c r="I1929" s="627"/>
      <c r="J1929" s="627"/>
      <c r="K1929" s="627"/>
      <c r="L1929" s="628"/>
      <c r="M1929" s="657">
        <f>B1929</f>
        <v>0.17</v>
      </c>
      <c r="N1929" s="627"/>
      <c r="O1929" s="628"/>
      <c r="Q1929" s="147" t="s">
        <v>147</v>
      </c>
      <c r="R1929" s="88">
        <v>8</v>
      </c>
      <c r="S1929" s="87" t="s">
        <v>411</v>
      </c>
    </row>
    <row r="1930" spans="1:19" ht="29.25" thickBot="1" x14ac:dyDescent="0.3">
      <c r="A1930" s="177" t="s">
        <v>107</v>
      </c>
      <c r="B1930" s="629">
        <f>B1928*(1-B1929)</f>
        <v>12.035</v>
      </c>
      <c r="C1930" s="630"/>
      <c r="D1930" s="630"/>
      <c r="E1930" s="631"/>
      <c r="F1930" s="290"/>
      <c r="G1930" s="472"/>
      <c r="H1930" s="629">
        <f>H1928*(1-H1929)</f>
        <v>0</v>
      </c>
      <c r="I1930" s="630"/>
      <c r="J1930" s="630"/>
      <c r="K1930" s="630"/>
      <c r="L1930" s="631"/>
      <c r="M1930" s="656">
        <f>SUM(B1930,H1930)</f>
        <v>12.035</v>
      </c>
      <c r="N1930" s="630"/>
      <c r="O1930" s="631"/>
      <c r="Q1930" s="147" t="s">
        <v>82</v>
      </c>
      <c r="R1930" s="88">
        <v>6</v>
      </c>
      <c r="S1930" s="89" t="s">
        <v>569</v>
      </c>
    </row>
    <row r="1931" spans="1:19" ht="15.75" thickBot="1" x14ac:dyDescent="0.3">
      <c r="A1931" s="177" t="s">
        <v>108</v>
      </c>
      <c r="B1931" s="626">
        <f>B1934/B1930</f>
        <v>0.67077108433734933</v>
      </c>
      <c r="C1931" s="627"/>
      <c r="D1931" s="627"/>
      <c r="E1931" s="627"/>
      <c r="F1931" s="627"/>
      <c r="G1931" s="627"/>
      <c r="H1931" s="627"/>
      <c r="I1931" s="627"/>
      <c r="J1931" s="627"/>
      <c r="K1931" s="627"/>
      <c r="L1931" s="627"/>
      <c r="M1931" s="627"/>
      <c r="N1931" s="627"/>
      <c r="O1931" s="628"/>
      <c r="Q1931" s="147" t="s">
        <v>152</v>
      </c>
      <c r="R1931" s="88">
        <v>8</v>
      </c>
      <c r="S1931" s="89" t="s">
        <v>519</v>
      </c>
    </row>
    <row r="1932" spans="1:19" ht="15.75" thickBot="1" x14ac:dyDescent="0.3">
      <c r="A1932" s="177" t="s">
        <v>113</v>
      </c>
      <c r="B1932" s="629">
        <f>B1936*(B1940+B1941+I1940+I1941)/1000</f>
        <v>29.899000000000001</v>
      </c>
      <c r="C1932" s="630"/>
      <c r="D1932" s="630"/>
      <c r="E1932" s="630"/>
      <c r="F1932" s="630"/>
      <c r="G1932" s="630"/>
      <c r="H1932" s="630"/>
      <c r="I1932" s="630"/>
      <c r="J1932" s="630"/>
      <c r="K1932" s="630"/>
      <c r="L1932" s="630"/>
      <c r="M1932" s="630"/>
      <c r="N1932" s="630"/>
      <c r="O1932" s="631"/>
      <c r="Q1932" s="147" t="s">
        <v>154</v>
      </c>
      <c r="R1932" s="88">
        <v>7</v>
      </c>
      <c r="S1932" s="87" t="s">
        <v>520</v>
      </c>
    </row>
    <row r="1933" spans="1:19" ht="29.25" thickBot="1" x14ac:dyDescent="0.3">
      <c r="A1933" s="177" t="s">
        <v>109</v>
      </c>
      <c r="B1933" s="626">
        <v>0.73</v>
      </c>
      <c r="C1933" s="627"/>
      <c r="D1933" s="627"/>
      <c r="E1933" s="627"/>
      <c r="F1933" s="627"/>
      <c r="G1933" s="627"/>
      <c r="H1933" s="627"/>
      <c r="I1933" s="627"/>
      <c r="J1933" s="627"/>
      <c r="K1933" s="627"/>
      <c r="L1933" s="627"/>
      <c r="M1933" s="627"/>
      <c r="N1933" s="627"/>
      <c r="O1933" s="628"/>
      <c r="Q1933" s="147" t="s">
        <v>156</v>
      </c>
      <c r="R1933" s="88">
        <v>8</v>
      </c>
      <c r="S1933" s="87" t="s">
        <v>480</v>
      </c>
    </row>
    <row r="1934" spans="1:19" ht="15.75" thickBot="1" x14ac:dyDescent="0.3">
      <c r="A1934" s="177" t="s">
        <v>122</v>
      </c>
      <c r="B1934" s="629">
        <f>B1932-(B1932*B1933)</f>
        <v>8.07273</v>
      </c>
      <c r="C1934" s="630"/>
      <c r="D1934" s="630"/>
      <c r="E1934" s="630"/>
      <c r="F1934" s="630"/>
      <c r="G1934" s="630"/>
      <c r="H1934" s="630"/>
      <c r="I1934" s="630"/>
      <c r="J1934" s="630"/>
      <c r="K1934" s="630"/>
      <c r="L1934" s="630"/>
      <c r="M1934" s="630"/>
      <c r="N1934" s="630"/>
      <c r="O1934" s="631"/>
      <c r="Q1934" s="147" t="s">
        <v>158</v>
      </c>
      <c r="R1934" s="88"/>
      <c r="S1934" s="87"/>
    </row>
    <row r="1935" spans="1:19" ht="15.75" thickBot="1" x14ac:dyDescent="0.3">
      <c r="A1935" s="177" t="s">
        <v>110</v>
      </c>
      <c r="B1935" s="632">
        <v>125</v>
      </c>
      <c r="C1935" s="633"/>
      <c r="D1935" s="633"/>
      <c r="E1935" s="633"/>
      <c r="F1935" s="633"/>
      <c r="G1935" s="633"/>
      <c r="H1935" s="633"/>
      <c r="I1935" s="633"/>
      <c r="J1935" s="633"/>
      <c r="K1935" s="633"/>
      <c r="L1935" s="633"/>
      <c r="M1935" s="633"/>
      <c r="N1935" s="633"/>
      <c r="O1935" s="634"/>
      <c r="Q1935" s="451" t="s">
        <v>99</v>
      </c>
      <c r="R1935" s="87" t="s">
        <v>568</v>
      </c>
      <c r="S1935" s="117">
        <v>0.71499999999999997</v>
      </c>
    </row>
    <row r="1936" spans="1:19" x14ac:dyDescent="0.25">
      <c r="A1936" s="177" t="s">
        <v>111</v>
      </c>
      <c r="B1936" s="635">
        <v>14.5</v>
      </c>
      <c r="C1936" s="636"/>
      <c r="D1936" s="636"/>
      <c r="E1936" s="636"/>
      <c r="F1936" s="636"/>
      <c r="G1936" s="636"/>
      <c r="H1936" s="636"/>
      <c r="I1936" s="636"/>
      <c r="J1936" s="636"/>
      <c r="K1936" s="636"/>
      <c r="L1936" s="636"/>
      <c r="M1936" s="636"/>
      <c r="N1936" s="636"/>
      <c r="O1936" s="637"/>
    </row>
    <row r="1937" spans="1:19" x14ac:dyDescent="0.25">
      <c r="A1937" s="177" t="s">
        <v>273</v>
      </c>
      <c r="B1937" s="638" t="s">
        <v>600</v>
      </c>
      <c r="C1937" s="638"/>
      <c r="D1937" s="638"/>
      <c r="E1937" s="638"/>
      <c r="F1937" s="638"/>
      <c r="G1937" s="638"/>
      <c r="H1937" s="638"/>
      <c r="I1937" s="638"/>
      <c r="J1937" s="638"/>
      <c r="K1937" s="638"/>
      <c r="L1937" s="638"/>
      <c r="M1937" s="638"/>
      <c r="N1937" s="638"/>
      <c r="O1937" s="639"/>
    </row>
    <row r="1938" spans="1:19" x14ac:dyDescent="0.25">
      <c r="A1938" s="177" t="s">
        <v>351</v>
      </c>
      <c r="B1938" s="431"/>
      <c r="C1938" s="431"/>
      <c r="D1938" s="431"/>
      <c r="E1938" s="431"/>
      <c r="F1938" s="431"/>
      <c r="G1938" s="431"/>
      <c r="H1938" s="431"/>
      <c r="I1938" s="431"/>
      <c r="J1938" s="431"/>
      <c r="K1938" s="431"/>
      <c r="L1938" s="431"/>
      <c r="M1938" s="431"/>
      <c r="N1938" s="431"/>
      <c r="O1938" s="432"/>
    </row>
    <row r="1939" spans="1:19" x14ac:dyDescent="0.25">
      <c r="B1939" s="307" t="s">
        <v>98</v>
      </c>
      <c r="C1939" s="365" t="s">
        <v>102</v>
      </c>
      <c r="D1939" s="365" t="s">
        <v>92</v>
      </c>
      <c r="E1939" s="365" t="s">
        <v>93</v>
      </c>
      <c r="F1939" s="365" t="s">
        <v>94</v>
      </c>
      <c r="G1939" s="365" t="s">
        <v>549</v>
      </c>
      <c r="H1939" s="359" t="s">
        <v>99</v>
      </c>
      <c r="I1939" s="307" t="s">
        <v>98</v>
      </c>
      <c r="J1939" s="365" t="s">
        <v>102</v>
      </c>
      <c r="K1939" s="365" t="s">
        <v>92</v>
      </c>
      <c r="L1939" s="365" t="s">
        <v>93</v>
      </c>
      <c r="M1939" s="365" t="s">
        <v>94</v>
      </c>
      <c r="N1939" s="365" t="s">
        <v>549</v>
      </c>
      <c r="O1939" s="359" t="s">
        <v>99</v>
      </c>
    </row>
    <row r="1940" spans="1:19" x14ac:dyDescent="0.25">
      <c r="B1940" s="308">
        <v>874</v>
      </c>
      <c r="C1940" s="365" t="s">
        <v>95</v>
      </c>
      <c r="D1940" s="441">
        <v>844.96</v>
      </c>
      <c r="E1940" s="441">
        <v>588.54999999999995</v>
      </c>
      <c r="F1940" s="441">
        <v>426.8</v>
      </c>
      <c r="G1940" s="441">
        <v>0</v>
      </c>
      <c r="H1940" s="359">
        <f>SUM(D1940:G1940)</f>
        <v>1860.31</v>
      </c>
      <c r="I1940" s="308">
        <v>883</v>
      </c>
      <c r="J1940" s="365" t="s">
        <v>95</v>
      </c>
      <c r="K1940" s="441">
        <v>887.65</v>
      </c>
      <c r="L1940" s="441">
        <v>950.56</v>
      </c>
      <c r="M1940" s="441">
        <v>578.9</v>
      </c>
      <c r="N1940" s="441">
        <v>318.49</v>
      </c>
      <c r="O1940" s="359">
        <f>SUM(K1940:N1940)</f>
        <v>2735.6000000000004</v>
      </c>
    </row>
    <row r="1941" spans="1:19" x14ac:dyDescent="0.25">
      <c r="B1941" s="308">
        <v>152</v>
      </c>
      <c r="C1941" s="365" t="s">
        <v>96</v>
      </c>
      <c r="D1941" s="441">
        <v>72.349999999999994</v>
      </c>
      <c r="E1941" s="441">
        <v>219.79</v>
      </c>
      <c r="F1941" s="441">
        <v>113.76</v>
      </c>
      <c r="G1941" s="441">
        <v>0</v>
      </c>
      <c r="H1941" s="359">
        <f t="shared" ref="H1941:H1947" si="253">SUM(D1941:G1941)</f>
        <v>405.9</v>
      </c>
      <c r="I1941" s="308">
        <v>153</v>
      </c>
      <c r="J1941" s="365" t="s">
        <v>96</v>
      </c>
      <c r="K1941" s="441">
        <v>161.84</v>
      </c>
      <c r="L1941" s="441">
        <v>178.31</v>
      </c>
      <c r="M1941" s="441">
        <v>89.04</v>
      </c>
      <c r="N1941" s="441">
        <v>66.95</v>
      </c>
      <c r="O1941" s="359">
        <f t="shared" ref="O1941:O1947" si="254">SUM(K1941:N1941)</f>
        <v>496.14</v>
      </c>
    </row>
    <row r="1942" spans="1:19" x14ac:dyDescent="0.25">
      <c r="B1942" s="307" t="s">
        <v>100</v>
      </c>
      <c r="C1942" s="365" t="s">
        <v>95</v>
      </c>
      <c r="D1942" s="444">
        <f t="shared" ref="D1942:G1943" si="255">D1940/$B1940</f>
        <v>0.96677345537757442</v>
      </c>
      <c r="E1942" s="429">
        <f t="shared" si="255"/>
        <v>0.67339816933638441</v>
      </c>
      <c r="F1942" s="429">
        <f t="shared" si="255"/>
        <v>0.48832951945080094</v>
      </c>
      <c r="G1942" s="429">
        <f t="shared" si="255"/>
        <v>0</v>
      </c>
      <c r="H1942" s="359">
        <f t="shared" si="253"/>
        <v>2.1285011441647597</v>
      </c>
      <c r="I1942" s="307" t="s">
        <v>100</v>
      </c>
      <c r="J1942" s="365" t="s">
        <v>95</v>
      </c>
      <c r="K1942" s="444">
        <f t="shared" ref="K1942:N1943" si="256">K1940/$I1940</f>
        <v>1.0052661381653454</v>
      </c>
      <c r="L1942" s="429">
        <f t="shared" si="256"/>
        <v>1.0765118912797282</v>
      </c>
      <c r="M1942" s="429">
        <f t="shared" si="256"/>
        <v>0.6556058890147225</v>
      </c>
      <c r="N1942" s="429">
        <f t="shared" si="256"/>
        <v>0.36069082672706682</v>
      </c>
      <c r="O1942" s="359">
        <f t="shared" si="254"/>
        <v>3.0980747451868633</v>
      </c>
    </row>
    <row r="1943" spans="1:19" x14ac:dyDescent="0.25">
      <c r="B1943" s="307" t="s">
        <v>100</v>
      </c>
      <c r="C1943" s="438" t="s">
        <v>96</v>
      </c>
      <c r="D1943" s="359">
        <f t="shared" si="255"/>
        <v>0.4759868421052631</v>
      </c>
      <c r="E1943" s="359">
        <f t="shared" si="255"/>
        <v>1.4459868421052631</v>
      </c>
      <c r="F1943" s="359">
        <f t="shared" si="255"/>
        <v>0.74842105263157899</v>
      </c>
      <c r="G1943" s="359">
        <f t="shared" si="255"/>
        <v>0</v>
      </c>
      <c r="H1943" s="359">
        <f t="shared" si="253"/>
        <v>2.670394736842105</v>
      </c>
      <c r="I1943" s="307" t="s">
        <v>100</v>
      </c>
      <c r="J1943" s="438" t="s">
        <v>96</v>
      </c>
      <c r="K1943" s="359">
        <f t="shared" si="256"/>
        <v>1.0577777777777777</v>
      </c>
      <c r="L1943" s="359">
        <f t="shared" si="256"/>
        <v>1.1654248366013071</v>
      </c>
      <c r="M1943" s="359">
        <f t="shared" si="256"/>
        <v>0.58196078431372555</v>
      </c>
      <c r="N1943" s="359">
        <f t="shared" si="256"/>
        <v>0.43758169934640523</v>
      </c>
      <c r="O1943" s="359">
        <f t="shared" si="254"/>
        <v>3.2427450980392161</v>
      </c>
    </row>
    <row r="1944" spans="1:19" x14ac:dyDescent="0.25">
      <c r="B1944" s="307" t="s">
        <v>104</v>
      </c>
      <c r="C1944" s="365" t="s">
        <v>95</v>
      </c>
      <c r="D1944" s="359">
        <f>D1940/($B1940/7.7)</f>
        <v>7.4441556064073238</v>
      </c>
      <c r="E1944" s="359">
        <f>E1940/($B1940/7)</f>
        <v>4.7137871853546907</v>
      </c>
      <c r="F1944" s="359">
        <f>F1940/($B1940/7)</f>
        <v>3.4183066361556063</v>
      </c>
      <c r="G1944" s="359">
        <f>G1940/($B1940/7)</f>
        <v>0</v>
      </c>
      <c r="H1944" s="359">
        <f t="shared" si="253"/>
        <v>15.57624942791762</v>
      </c>
      <c r="I1944" s="307" t="s">
        <v>104</v>
      </c>
      <c r="J1944" s="365" t="s">
        <v>95</v>
      </c>
      <c r="K1944" s="359">
        <f>K1940/($I1940/7.7)</f>
        <v>7.7405492638731594</v>
      </c>
      <c r="L1944" s="359">
        <f>L1940/($I1940/7)</f>
        <v>7.5355832389580968</v>
      </c>
      <c r="M1944" s="359">
        <f>M1940/($I1940/7)</f>
        <v>4.5892412231030582</v>
      </c>
      <c r="N1944" s="359">
        <f>N1940/($I1940/7)</f>
        <v>2.5248357870894678</v>
      </c>
      <c r="O1944" s="359">
        <f t="shared" si="254"/>
        <v>22.390209513023784</v>
      </c>
    </row>
    <row r="1945" spans="1:19" x14ac:dyDescent="0.25">
      <c r="B1945" s="307" t="s">
        <v>104</v>
      </c>
      <c r="C1945" s="438" t="s">
        <v>96</v>
      </c>
      <c r="D1945" s="359">
        <f>D1941/($B1941/7.7)</f>
        <v>3.665098684210526</v>
      </c>
      <c r="E1945" s="359">
        <f>E1941/($B1941/7.7)</f>
        <v>11.134098684210525</v>
      </c>
      <c r="F1945" s="359">
        <f>F1941/($B1941/7.7)</f>
        <v>5.7628421052631582</v>
      </c>
      <c r="G1945" s="359">
        <f>G1941/($B1941/7.7)</f>
        <v>0</v>
      </c>
      <c r="H1945" s="359">
        <f t="shared" si="253"/>
        <v>20.562039473684209</v>
      </c>
      <c r="I1945" s="307" t="s">
        <v>104</v>
      </c>
      <c r="J1945" s="438" t="s">
        <v>96</v>
      </c>
      <c r="K1945" s="359">
        <f>K1941/($I1941/7.7)</f>
        <v>8.1448888888888895</v>
      </c>
      <c r="L1945" s="359">
        <f>L1941/($I1941/7.7)</f>
        <v>8.9737712418300664</v>
      </c>
      <c r="M1945" s="359">
        <f>M1941/($I1941/7.7)</f>
        <v>4.4810980392156869</v>
      </c>
      <c r="N1945" s="359">
        <f>N1941/($I1941/7.7)</f>
        <v>3.3693790849673206</v>
      </c>
      <c r="O1945" s="359">
        <f t="shared" si="254"/>
        <v>24.969137254901966</v>
      </c>
    </row>
    <row r="1946" spans="1:19" x14ac:dyDescent="0.25">
      <c r="B1946" s="307" t="s">
        <v>135</v>
      </c>
      <c r="C1946" s="365" t="s">
        <v>95</v>
      </c>
      <c r="D1946" s="359">
        <f>D1940/((($B1940*$B1936)*(1-$B1933))/$B1931)</f>
        <v>0.16564078645521879</v>
      </c>
      <c r="E1946" s="359">
        <f>E1940/((($B1940*$B1936)*(1-$B1933))/$B1931)</f>
        <v>0.11537573952402362</v>
      </c>
      <c r="F1946" s="359">
        <f>F1940/((($B1940*$B1936)*(1-$B1933))/$B1931)</f>
        <v>8.3667259585172529E-2</v>
      </c>
      <c r="G1946" s="359">
        <f>G1940/((($B1940*$B1936)*(1-$B1933))/$B1931)</f>
        <v>0</v>
      </c>
      <c r="H1946" s="359">
        <f t="shared" si="253"/>
        <v>0.36468378556441494</v>
      </c>
      <c r="I1946" s="307" t="s">
        <v>135</v>
      </c>
      <c r="J1946" s="365" t="s">
        <v>95</v>
      </c>
      <c r="K1946" s="359">
        <f>K1940/((($I1940*$B1936)*(1-$B1933))/$B1931)</f>
        <v>0.1722358767675066</v>
      </c>
      <c r="L1946" s="359">
        <f>L1940/((($I1940*$B1936)*(1-$B1933))/$B1931)</f>
        <v>0.1844426688673701</v>
      </c>
      <c r="M1946" s="359">
        <f>M1940/((($I1940*$B1936)*(1-$B1933))/$B1931)</f>
        <v>0.11232732390098525</v>
      </c>
      <c r="N1946" s="359">
        <f>N1940/((($I1940*$B1936)*(1-$B1933))/$B1931)</f>
        <v>6.1798461546423898E-2</v>
      </c>
      <c r="O1946" s="359">
        <f t="shared" si="254"/>
        <v>0.53080433108228586</v>
      </c>
    </row>
    <row r="1947" spans="1:19" x14ac:dyDescent="0.25">
      <c r="B1947" s="307" t="s">
        <v>135</v>
      </c>
      <c r="C1947" s="438" t="s">
        <v>96</v>
      </c>
      <c r="D1947" s="359">
        <f>D1941/((($B1941*$B1936)*(1-$B1933))/$B1931)</f>
        <v>8.1552544114753003E-2</v>
      </c>
      <c r="E1947" s="359">
        <f>E1941/((($B1941*$B1936)*(1-$B1933))/$B1931)</f>
        <v>0.24774614610893661</v>
      </c>
      <c r="F1947" s="359">
        <f>F1941/((($B1941*$B1936)*(1-$B1933))/$B1931)</f>
        <v>0.12822968097435111</v>
      </c>
      <c r="G1947" s="359">
        <f>G1941/((($B1941*$B1936)*(1-$B1933))/$B1931)</f>
        <v>0</v>
      </c>
      <c r="H1947" s="359">
        <f t="shared" si="253"/>
        <v>0.45752837119804074</v>
      </c>
      <c r="I1947" s="307" t="s">
        <v>135</v>
      </c>
      <c r="J1947" s="438" t="s">
        <v>96</v>
      </c>
      <c r="K1947" s="359">
        <f>K1941/((($I1941*$B1936)*(1-$B1933))/$B1931)</f>
        <v>0.1812328855652495</v>
      </c>
      <c r="L1947" s="359">
        <f>L1941/((($I1941*$B1936)*(1-$B1933))/$B1931)</f>
        <v>0.19967644479201457</v>
      </c>
      <c r="M1947" s="359">
        <f>M1941/((($I1941*$B1936)*(1-$B1933))/$B1931)</f>
        <v>9.9709442231400242E-2</v>
      </c>
      <c r="N1947" s="359">
        <f>N1941/((($I1941*$B1936)*(1-$B1933))/$B1931)</f>
        <v>7.4972452351664942E-2</v>
      </c>
      <c r="O1947" s="359">
        <f t="shared" si="254"/>
        <v>0.5555912249403292</v>
      </c>
    </row>
    <row r="1948" spans="1:19" ht="15.75" thickBot="1" x14ac:dyDescent="0.3">
      <c r="A1948" s="178"/>
      <c r="B1948" s="178"/>
      <c r="C1948" s="178"/>
      <c r="D1948" s="178"/>
      <c r="E1948" s="178"/>
      <c r="F1948" s="178"/>
      <c r="G1948" s="178"/>
      <c r="H1948" s="178"/>
      <c r="I1948" s="178"/>
      <c r="J1948" s="178"/>
      <c r="K1948" s="178"/>
      <c r="L1948" s="178"/>
      <c r="M1948" s="178"/>
      <c r="N1948" s="178"/>
      <c r="O1948" s="178"/>
    </row>
    <row r="1949" spans="1:19" ht="21" x14ac:dyDescent="0.25">
      <c r="A1949" s="305"/>
      <c r="B1949" s="644" t="s">
        <v>551</v>
      </c>
      <c r="C1949" s="645"/>
      <c r="D1949" s="645"/>
      <c r="E1949" s="645"/>
      <c r="F1949" s="645"/>
      <c r="G1949" s="645"/>
      <c r="H1949" s="645"/>
      <c r="I1949" s="645"/>
      <c r="J1949" s="645"/>
      <c r="K1949" s="645"/>
      <c r="L1949" s="645"/>
      <c r="M1949" s="645"/>
      <c r="N1949" s="645"/>
      <c r="O1949" s="646"/>
      <c r="Q1949" s="662" t="s">
        <v>139</v>
      </c>
      <c r="R1949" s="176" t="s">
        <v>140</v>
      </c>
      <c r="S1949" s="663" t="s">
        <v>142</v>
      </c>
    </row>
    <row r="1950" spans="1:19" ht="21.75" thickBot="1" x14ac:dyDescent="0.3">
      <c r="A1950" s="177" t="s">
        <v>285</v>
      </c>
      <c r="B1950" s="647">
        <v>44461</v>
      </c>
      <c r="C1950" s="648"/>
      <c r="D1950" s="648"/>
      <c r="E1950" s="648"/>
      <c r="F1950" s="648"/>
      <c r="G1950" s="648"/>
      <c r="H1950" s="648"/>
      <c r="I1950" s="648"/>
      <c r="J1950" s="648"/>
      <c r="K1950" s="648"/>
      <c r="L1950" s="648"/>
      <c r="M1950" s="648"/>
      <c r="N1950" s="648"/>
      <c r="O1950" s="649"/>
      <c r="Q1950" s="641"/>
      <c r="R1950" s="87" t="s">
        <v>141</v>
      </c>
      <c r="S1950" s="643"/>
    </row>
    <row r="1951" spans="1:19" ht="15.75" thickBot="1" x14ac:dyDescent="0.3">
      <c r="A1951" s="177"/>
      <c r="B1951" s="650" t="s">
        <v>115</v>
      </c>
      <c r="C1951" s="651"/>
      <c r="D1951" s="651"/>
      <c r="E1951" s="651"/>
      <c r="F1951" s="651"/>
      <c r="G1951" s="651"/>
      <c r="H1951" s="651"/>
      <c r="I1951" s="651"/>
      <c r="J1951" s="651"/>
      <c r="K1951" s="651"/>
      <c r="L1951" s="651"/>
      <c r="M1951" s="651"/>
      <c r="N1951" s="651"/>
      <c r="O1951" s="652"/>
      <c r="Q1951" s="147" t="s">
        <v>143</v>
      </c>
      <c r="R1951" s="88">
        <v>6</v>
      </c>
      <c r="S1951" s="87" t="s">
        <v>570</v>
      </c>
    </row>
    <row r="1952" spans="1:19" ht="15.75" thickBot="1" x14ac:dyDescent="0.3">
      <c r="A1952" s="177" t="s">
        <v>106</v>
      </c>
      <c r="B1952" s="629">
        <v>14.5</v>
      </c>
      <c r="C1952" s="630"/>
      <c r="D1952" s="630"/>
      <c r="E1952" s="631"/>
      <c r="F1952" s="365" t="s">
        <v>174</v>
      </c>
      <c r="G1952" s="471"/>
      <c r="H1952" s="653">
        <v>0</v>
      </c>
      <c r="I1952" s="654"/>
      <c r="J1952" s="654"/>
      <c r="K1952" s="654"/>
      <c r="L1952" s="655"/>
      <c r="M1952" s="656">
        <f>SUM(B1952,H1953)</f>
        <v>14.5</v>
      </c>
      <c r="N1952" s="630"/>
      <c r="O1952" s="631"/>
      <c r="Q1952" s="147" t="s">
        <v>145</v>
      </c>
      <c r="R1952" s="88">
        <v>9</v>
      </c>
      <c r="S1952" s="89" t="s">
        <v>567</v>
      </c>
    </row>
    <row r="1953" spans="1:19" ht="15.75" thickBot="1" x14ac:dyDescent="0.3">
      <c r="A1953" s="177" t="s">
        <v>112</v>
      </c>
      <c r="B1953" s="626">
        <v>0.17</v>
      </c>
      <c r="C1953" s="627"/>
      <c r="D1953" s="627"/>
      <c r="E1953" s="628"/>
      <c r="F1953" s="290"/>
      <c r="G1953" s="472"/>
      <c r="H1953" s="626">
        <v>0</v>
      </c>
      <c r="I1953" s="627"/>
      <c r="J1953" s="627"/>
      <c r="K1953" s="627"/>
      <c r="L1953" s="628"/>
      <c r="M1953" s="657">
        <f>B1953</f>
        <v>0.17</v>
      </c>
      <c r="N1953" s="627"/>
      <c r="O1953" s="628"/>
      <c r="Q1953" s="147" t="s">
        <v>147</v>
      </c>
      <c r="R1953" s="88">
        <v>8</v>
      </c>
      <c r="S1953" s="87" t="s">
        <v>411</v>
      </c>
    </row>
    <row r="1954" spans="1:19" ht="29.25" thickBot="1" x14ac:dyDescent="0.3">
      <c r="A1954" s="177" t="s">
        <v>107</v>
      </c>
      <c r="B1954" s="629">
        <f>B1952*(1-B1953)</f>
        <v>12.035</v>
      </c>
      <c r="C1954" s="630"/>
      <c r="D1954" s="630"/>
      <c r="E1954" s="631"/>
      <c r="F1954" s="290"/>
      <c r="G1954" s="472"/>
      <c r="H1954" s="629">
        <f>H1952*(1-H1953)</f>
        <v>0</v>
      </c>
      <c r="I1954" s="630"/>
      <c r="J1954" s="630"/>
      <c r="K1954" s="630"/>
      <c r="L1954" s="631"/>
      <c r="M1954" s="656">
        <f>SUM(B1954,H1954)</f>
        <v>12.035</v>
      </c>
      <c r="N1954" s="630"/>
      <c r="O1954" s="631"/>
      <c r="Q1954" s="147" t="s">
        <v>82</v>
      </c>
      <c r="R1954" s="88">
        <v>7</v>
      </c>
      <c r="S1954" s="89" t="s">
        <v>571</v>
      </c>
    </row>
    <row r="1955" spans="1:19" ht="15.75" thickBot="1" x14ac:dyDescent="0.3">
      <c r="A1955" s="177" t="s">
        <v>108</v>
      </c>
      <c r="B1955" s="626">
        <f>B1958/B1954</f>
        <v>0.78614457831325302</v>
      </c>
      <c r="C1955" s="627"/>
      <c r="D1955" s="627"/>
      <c r="E1955" s="627"/>
      <c r="F1955" s="627"/>
      <c r="G1955" s="627"/>
      <c r="H1955" s="627"/>
      <c r="I1955" s="627"/>
      <c r="J1955" s="627"/>
      <c r="K1955" s="627"/>
      <c r="L1955" s="627"/>
      <c r="M1955" s="627"/>
      <c r="N1955" s="627"/>
      <c r="O1955" s="628"/>
      <c r="Q1955" s="147" t="s">
        <v>152</v>
      </c>
      <c r="R1955" s="88">
        <v>8</v>
      </c>
      <c r="S1955" s="89" t="s">
        <v>519</v>
      </c>
    </row>
    <row r="1956" spans="1:19" ht="15.75" thickBot="1" x14ac:dyDescent="0.3">
      <c r="A1956" s="177" t="s">
        <v>113</v>
      </c>
      <c r="B1956" s="629">
        <f>B1960*(B1964+B1965+I1964+I1965)/1000</f>
        <v>32.625</v>
      </c>
      <c r="C1956" s="630"/>
      <c r="D1956" s="630"/>
      <c r="E1956" s="630"/>
      <c r="F1956" s="630"/>
      <c r="G1956" s="630"/>
      <c r="H1956" s="630"/>
      <c r="I1956" s="630"/>
      <c r="J1956" s="630"/>
      <c r="K1956" s="630"/>
      <c r="L1956" s="630"/>
      <c r="M1956" s="630"/>
      <c r="N1956" s="630"/>
      <c r="O1956" s="631"/>
      <c r="Q1956" s="147" t="s">
        <v>154</v>
      </c>
      <c r="R1956" s="88">
        <v>9</v>
      </c>
      <c r="S1956" s="87" t="s">
        <v>520</v>
      </c>
    </row>
    <row r="1957" spans="1:19" ht="29.25" thickBot="1" x14ac:dyDescent="0.3">
      <c r="A1957" s="177" t="s">
        <v>109</v>
      </c>
      <c r="B1957" s="626">
        <v>0.71</v>
      </c>
      <c r="C1957" s="627"/>
      <c r="D1957" s="627"/>
      <c r="E1957" s="627"/>
      <c r="F1957" s="627"/>
      <c r="G1957" s="627"/>
      <c r="H1957" s="627"/>
      <c r="I1957" s="627"/>
      <c r="J1957" s="627"/>
      <c r="K1957" s="627"/>
      <c r="L1957" s="627"/>
      <c r="M1957" s="627"/>
      <c r="N1957" s="627"/>
      <c r="O1957" s="628"/>
      <c r="Q1957" s="147" t="s">
        <v>156</v>
      </c>
      <c r="R1957" s="88">
        <v>9</v>
      </c>
      <c r="S1957" s="87" t="s">
        <v>480</v>
      </c>
    </row>
    <row r="1958" spans="1:19" ht="15.75" thickBot="1" x14ac:dyDescent="0.3">
      <c r="A1958" s="177" t="s">
        <v>122</v>
      </c>
      <c r="B1958" s="629">
        <f>B1956-(B1956*B1957)</f>
        <v>9.4612499999999997</v>
      </c>
      <c r="C1958" s="630"/>
      <c r="D1958" s="630"/>
      <c r="E1958" s="630"/>
      <c r="F1958" s="630"/>
      <c r="G1958" s="630"/>
      <c r="H1958" s="630"/>
      <c r="I1958" s="630"/>
      <c r="J1958" s="630"/>
      <c r="K1958" s="630"/>
      <c r="L1958" s="630"/>
      <c r="M1958" s="630"/>
      <c r="N1958" s="630"/>
      <c r="O1958" s="631"/>
      <c r="Q1958" s="147" t="s">
        <v>158</v>
      </c>
      <c r="R1958" s="88"/>
      <c r="S1958" s="87"/>
    </row>
    <row r="1959" spans="1:19" ht="15.75" thickBot="1" x14ac:dyDescent="0.3">
      <c r="A1959" s="177" t="s">
        <v>110</v>
      </c>
      <c r="B1959" s="632">
        <v>125</v>
      </c>
      <c r="C1959" s="633"/>
      <c r="D1959" s="633"/>
      <c r="E1959" s="633"/>
      <c r="F1959" s="633"/>
      <c r="G1959" s="633"/>
      <c r="H1959" s="633"/>
      <c r="I1959" s="633"/>
      <c r="J1959" s="633"/>
      <c r="K1959" s="633"/>
      <c r="L1959" s="633"/>
      <c r="M1959" s="633"/>
      <c r="N1959" s="633"/>
      <c r="O1959" s="634"/>
      <c r="Q1959" s="451" t="s">
        <v>99</v>
      </c>
      <c r="R1959" s="87" t="s">
        <v>572</v>
      </c>
      <c r="S1959" s="148">
        <v>0.8</v>
      </c>
    </row>
    <row r="1960" spans="1:19" x14ac:dyDescent="0.25">
      <c r="A1960" s="177" t="s">
        <v>111</v>
      </c>
      <c r="B1960" s="635">
        <v>15</v>
      </c>
      <c r="C1960" s="636"/>
      <c r="D1960" s="636"/>
      <c r="E1960" s="636"/>
      <c r="F1960" s="636"/>
      <c r="G1960" s="636"/>
      <c r="H1960" s="636"/>
      <c r="I1960" s="636"/>
      <c r="J1960" s="636"/>
      <c r="K1960" s="636"/>
      <c r="L1960" s="636"/>
      <c r="M1960" s="636"/>
      <c r="N1960" s="636"/>
      <c r="O1960" s="637"/>
    </row>
    <row r="1961" spans="1:19" x14ac:dyDescent="0.25">
      <c r="A1961" s="177" t="s">
        <v>273</v>
      </c>
      <c r="B1961" s="638" t="s">
        <v>472</v>
      </c>
      <c r="C1961" s="638"/>
      <c r="D1961" s="638"/>
      <c r="E1961" s="638"/>
      <c r="F1961" s="638"/>
      <c r="G1961" s="638"/>
      <c r="H1961" s="638"/>
      <c r="I1961" s="638"/>
      <c r="J1961" s="638"/>
      <c r="K1961" s="638"/>
      <c r="L1961" s="638"/>
      <c r="M1961" s="638"/>
      <c r="N1961" s="638"/>
      <c r="O1961" s="639"/>
    </row>
    <row r="1962" spans="1:19" x14ac:dyDescent="0.25">
      <c r="A1962" s="177" t="s">
        <v>351</v>
      </c>
      <c r="B1962" s="431"/>
      <c r="C1962" s="431"/>
      <c r="D1962" s="431"/>
      <c r="E1962" s="431"/>
      <c r="F1962" s="431"/>
      <c r="G1962" s="431"/>
      <c r="H1962" s="431"/>
      <c r="I1962" s="431"/>
      <c r="J1962" s="431"/>
      <c r="K1962" s="431"/>
      <c r="L1962" s="431"/>
      <c r="M1962" s="431"/>
      <c r="N1962" s="431"/>
      <c r="O1962" s="432"/>
    </row>
    <row r="1963" spans="1:19" x14ac:dyDescent="0.25">
      <c r="B1963" s="307" t="s">
        <v>98</v>
      </c>
      <c r="C1963" s="365" t="s">
        <v>102</v>
      </c>
      <c r="D1963" s="365" t="s">
        <v>92</v>
      </c>
      <c r="E1963" s="365" t="s">
        <v>93</v>
      </c>
      <c r="F1963" s="365" t="s">
        <v>94</v>
      </c>
      <c r="G1963" s="365" t="s">
        <v>549</v>
      </c>
      <c r="H1963" s="359" t="s">
        <v>99</v>
      </c>
      <c r="I1963" s="307" t="s">
        <v>98</v>
      </c>
      <c r="J1963" s="365" t="s">
        <v>102</v>
      </c>
      <c r="K1963" s="365" t="s">
        <v>92</v>
      </c>
      <c r="L1963" s="365" t="s">
        <v>93</v>
      </c>
      <c r="M1963" s="365" t="s">
        <v>94</v>
      </c>
      <c r="N1963" s="365" t="s">
        <v>549</v>
      </c>
      <c r="O1963" s="359" t="s">
        <v>99</v>
      </c>
    </row>
    <row r="1964" spans="1:19" x14ac:dyDescent="0.25">
      <c r="B1964" s="308">
        <v>989</v>
      </c>
      <c r="C1964" s="365" t="s">
        <v>95</v>
      </c>
      <c r="D1964" s="441">
        <v>645.79999999999995</v>
      </c>
      <c r="E1964" s="441">
        <v>685.6</v>
      </c>
      <c r="F1964" s="441">
        <v>449.27</v>
      </c>
      <c r="G1964" s="441">
        <v>112.11</v>
      </c>
      <c r="H1964" s="359">
        <f>SUM(D1964:G1964)</f>
        <v>1892.78</v>
      </c>
      <c r="I1964" s="308">
        <v>986</v>
      </c>
      <c r="J1964" s="365" t="s">
        <v>95</v>
      </c>
      <c r="K1964" s="441">
        <v>884.48</v>
      </c>
      <c r="L1964" s="441">
        <v>467.22</v>
      </c>
      <c r="M1964" s="441">
        <v>538.48</v>
      </c>
      <c r="N1964" s="441">
        <v>227.82</v>
      </c>
      <c r="O1964" s="359">
        <f>SUM(K1964:N1964)</f>
        <v>2118</v>
      </c>
    </row>
    <row r="1965" spans="1:19" x14ac:dyDescent="0.25">
      <c r="B1965" s="308">
        <v>100</v>
      </c>
      <c r="C1965" s="365" t="s">
        <v>96</v>
      </c>
      <c r="D1965" s="441">
        <v>47.8</v>
      </c>
      <c r="E1965" s="441">
        <v>176.79</v>
      </c>
      <c r="F1965" s="441">
        <v>33.28</v>
      </c>
      <c r="G1965" s="441">
        <v>0</v>
      </c>
      <c r="H1965" s="359">
        <f t="shared" ref="H1965:H1971" si="257">SUM(D1965:G1965)</f>
        <v>257.87</v>
      </c>
      <c r="I1965" s="308">
        <v>100</v>
      </c>
      <c r="J1965" s="365" t="s">
        <v>96</v>
      </c>
      <c r="K1965" s="441">
        <v>139.47999999999999</v>
      </c>
      <c r="L1965" s="441">
        <v>117.57</v>
      </c>
      <c r="M1965" s="441">
        <v>59.45</v>
      </c>
      <c r="N1965" s="441">
        <v>0</v>
      </c>
      <c r="O1965" s="359">
        <f t="shared" ref="O1965:O1971" si="258">SUM(K1965:N1965)</f>
        <v>316.49999999999994</v>
      </c>
    </row>
    <row r="1966" spans="1:19" x14ac:dyDescent="0.25">
      <c r="B1966" s="307" t="s">
        <v>100</v>
      </c>
      <c r="C1966" s="365" t="s">
        <v>95</v>
      </c>
      <c r="D1966" s="444">
        <f t="shared" ref="D1966:G1967" si="259">D1964/$B1964</f>
        <v>0.65298281092012134</v>
      </c>
      <c r="E1966" s="429">
        <f t="shared" si="259"/>
        <v>0.69322548028311426</v>
      </c>
      <c r="F1966" s="429">
        <f t="shared" si="259"/>
        <v>0.45426693629929221</v>
      </c>
      <c r="G1966" s="429">
        <f t="shared" si="259"/>
        <v>0.11335692618806875</v>
      </c>
      <c r="H1966" s="359">
        <f t="shared" si="257"/>
        <v>1.9138321536905964</v>
      </c>
      <c r="I1966" s="307" t="s">
        <v>100</v>
      </c>
      <c r="J1966" s="365" t="s">
        <v>95</v>
      </c>
      <c r="K1966" s="444">
        <f t="shared" ref="K1966:N1967" si="260">K1964/$I1964</f>
        <v>0.89703853955375257</v>
      </c>
      <c r="L1966" s="429">
        <f t="shared" si="260"/>
        <v>0.4738539553752536</v>
      </c>
      <c r="M1966" s="429">
        <f t="shared" si="260"/>
        <v>0.54612576064908724</v>
      </c>
      <c r="N1966" s="429">
        <f t="shared" si="260"/>
        <v>0.23105476673427991</v>
      </c>
      <c r="O1966" s="359">
        <f t="shared" si="258"/>
        <v>2.1480730223123734</v>
      </c>
    </row>
    <row r="1967" spans="1:19" x14ac:dyDescent="0.25">
      <c r="B1967" s="307" t="s">
        <v>100</v>
      </c>
      <c r="C1967" s="438" t="s">
        <v>96</v>
      </c>
      <c r="D1967" s="359">
        <f t="shared" si="259"/>
        <v>0.47799999999999998</v>
      </c>
      <c r="E1967" s="359">
        <f t="shared" si="259"/>
        <v>1.7679</v>
      </c>
      <c r="F1967" s="359">
        <f t="shared" si="259"/>
        <v>0.33279999999999998</v>
      </c>
      <c r="G1967" s="359">
        <f t="shared" si="259"/>
        <v>0</v>
      </c>
      <c r="H1967" s="359">
        <f t="shared" si="257"/>
        <v>2.5786999999999995</v>
      </c>
      <c r="I1967" s="307" t="s">
        <v>100</v>
      </c>
      <c r="J1967" s="438" t="s">
        <v>96</v>
      </c>
      <c r="K1967" s="359">
        <f t="shared" si="260"/>
        <v>1.3947999999999998</v>
      </c>
      <c r="L1967" s="359">
        <f t="shared" si="260"/>
        <v>1.1757</v>
      </c>
      <c r="M1967" s="359">
        <f t="shared" si="260"/>
        <v>0.59450000000000003</v>
      </c>
      <c r="N1967" s="359">
        <f t="shared" si="260"/>
        <v>0</v>
      </c>
      <c r="O1967" s="359">
        <f t="shared" si="258"/>
        <v>3.165</v>
      </c>
    </row>
    <row r="1968" spans="1:19" x14ac:dyDescent="0.25">
      <c r="B1968" s="307" t="s">
        <v>104</v>
      </c>
      <c r="C1968" s="365" t="s">
        <v>95</v>
      </c>
      <c r="D1968" s="359">
        <f>D1964/($B1964/7.7)</f>
        <v>5.0279676440849341</v>
      </c>
      <c r="E1968" s="359">
        <f>E1964/($B1964/7)</f>
        <v>4.8525783619818004</v>
      </c>
      <c r="F1968" s="359">
        <f>F1964/($B1964/7)</f>
        <v>3.1798685540950458</v>
      </c>
      <c r="G1968" s="359">
        <f>G1964/($B1964/7)</f>
        <v>0.79349848331648132</v>
      </c>
      <c r="H1968" s="359">
        <f t="shared" si="257"/>
        <v>13.853913043478261</v>
      </c>
      <c r="I1968" s="307" t="s">
        <v>104</v>
      </c>
      <c r="J1968" s="365" t="s">
        <v>95</v>
      </c>
      <c r="K1968" s="359">
        <f>K1964/($I1964/7.7)</f>
        <v>6.9071967545638948</v>
      </c>
      <c r="L1968" s="359">
        <f>L1964/($I1964/7)</f>
        <v>3.3169776876267751</v>
      </c>
      <c r="M1968" s="359">
        <f>M1964/($I1964/7)</f>
        <v>3.8228803245436107</v>
      </c>
      <c r="N1968" s="359">
        <f>N1964/($I1964/7)</f>
        <v>1.6173833671399593</v>
      </c>
      <c r="O1968" s="359">
        <f t="shared" si="258"/>
        <v>15.66443813387424</v>
      </c>
    </row>
    <row r="1969" spans="1:19" x14ac:dyDescent="0.25">
      <c r="B1969" s="307" t="s">
        <v>104</v>
      </c>
      <c r="C1969" s="438" t="s">
        <v>96</v>
      </c>
      <c r="D1969" s="359">
        <f>D1965/($B1965/7.7)</f>
        <v>3.6805999999999996</v>
      </c>
      <c r="E1969" s="359">
        <f>E1965/($B1965/7.7)</f>
        <v>13.612829999999999</v>
      </c>
      <c r="F1969" s="359">
        <f>F1965/($B1965/7.7)</f>
        <v>2.5625599999999999</v>
      </c>
      <c r="G1969" s="359">
        <f>G1965/($B1965/7.7)</f>
        <v>0</v>
      </c>
      <c r="H1969" s="359">
        <f t="shared" si="257"/>
        <v>19.855989999999998</v>
      </c>
      <c r="I1969" s="307" t="s">
        <v>104</v>
      </c>
      <c r="J1969" s="438" t="s">
        <v>96</v>
      </c>
      <c r="K1969" s="359">
        <f>K1965/($I1965/7.7)</f>
        <v>10.73996</v>
      </c>
      <c r="L1969" s="359">
        <f>L1965/($I1965/7.7)</f>
        <v>9.0528899999999997</v>
      </c>
      <c r="M1969" s="359">
        <f>M1965/($I1965/7.7)</f>
        <v>4.5776500000000002</v>
      </c>
      <c r="N1969" s="359">
        <f>N1965/($I1965/7.7)</f>
        <v>0</v>
      </c>
      <c r="O1969" s="359">
        <f t="shared" si="258"/>
        <v>24.3705</v>
      </c>
    </row>
    <row r="1970" spans="1:19" x14ac:dyDescent="0.25">
      <c r="B1970" s="307" t="s">
        <v>135</v>
      </c>
      <c r="C1970" s="365" t="s">
        <v>95</v>
      </c>
      <c r="D1970" s="359">
        <f>D1964/((($B1964*$B1960)*(1-$B1957))/$B1955)</f>
        <v>0.11800894173255203</v>
      </c>
      <c r="E1970" s="359">
        <f>E1964/((($B1964*$B1960)*(1-$B1957))/$B1955)</f>
        <v>0.12528171330417726</v>
      </c>
      <c r="F1970" s="359">
        <f>F1964/((($B1964*$B1960)*(1-$B1957))/$B1955)</f>
        <v>8.209643427095642E-2</v>
      </c>
      <c r="G1970" s="359">
        <f>G1964/((($B1964*$B1960)*(1-$B1957))/$B1955)</f>
        <v>2.0486191479771459E-2</v>
      </c>
      <c r="H1970" s="359">
        <f t="shared" si="257"/>
        <v>0.34587328078745716</v>
      </c>
      <c r="I1970" s="307" t="s">
        <v>135</v>
      </c>
      <c r="J1970" s="365" t="s">
        <v>95</v>
      </c>
      <c r="K1970" s="359">
        <f>K1964/((($I1964*$B1960)*(1-$B1957))/$B1955)</f>
        <v>0.16211539871453359</v>
      </c>
      <c r="L1970" s="359">
        <f>L1964/((($I1964*$B1960)*(1-$B1957))/$B1955)</f>
        <v>8.5636256995527751E-2</v>
      </c>
      <c r="M1970" s="359">
        <f>M1964/((($I1964*$B1960)*(1-$B1957))/$B1955)</f>
        <v>9.8697426623329018E-2</v>
      </c>
      <c r="N1970" s="359">
        <f>N1964/((($I1964*$B1960)*(1-$B1957))/$B1955)</f>
        <v>4.1756885554387932E-2</v>
      </c>
      <c r="O1970" s="359">
        <f t="shared" si="258"/>
        <v>0.38820596788777834</v>
      </c>
    </row>
    <row r="1971" spans="1:19" x14ac:dyDescent="0.25">
      <c r="B1971" s="307" t="s">
        <v>135</v>
      </c>
      <c r="C1971" s="438" t="s">
        <v>96</v>
      </c>
      <c r="D1971" s="359">
        <f>D1965/((($B1965*$B1960)*(1-$B1957))/$B1955)</f>
        <v>8.6385542168674681E-2</v>
      </c>
      <c r="E1971" s="359">
        <f>E1965/((($B1965*$B1960)*(1-$B1957))/$B1955)</f>
        <v>0.31949999999999995</v>
      </c>
      <c r="F1971" s="359">
        <f>F1965/((($B1965*$B1960)*(1-$B1957))/$B1955)</f>
        <v>6.0144578313253011E-2</v>
      </c>
      <c r="G1971" s="359">
        <f>G1965/((($B1965*$B1960)*(1-$B1957))/$B1955)</f>
        <v>0</v>
      </c>
      <c r="H1971" s="359">
        <f t="shared" si="257"/>
        <v>0.4660301204819276</v>
      </c>
      <c r="I1971" s="307" t="s">
        <v>135</v>
      </c>
      <c r="J1971" s="438" t="s">
        <v>96</v>
      </c>
      <c r="K1971" s="359">
        <f>K1965/((($I1965*$B1960)*(1-$B1957))/$B1955)</f>
        <v>0.25207228915662649</v>
      </c>
      <c r="L1971" s="359">
        <f>L1965/((($I1965*$B1960)*(1-$B1957))/$B1955)</f>
        <v>0.21247590361445781</v>
      </c>
      <c r="M1971" s="359">
        <f>M1965/((($I1965*$B1960)*(1-$B1957))/$B1955)</f>
        <v>0.10743975903614457</v>
      </c>
      <c r="N1971" s="359">
        <f>N1965/((($I1965*$B1960)*(1-$B1957))/$B1955)</f>
        <v>0</v>
      </c>
      <c r="O1971" s="359">
        <f t="shared" si="258"/>
        <v>0.57198795180722883</v>
      </c>
    </row>
    <row r="1972" spans="1:19" ht="15.75" thickBot="1" x14ac:dyDescent="0.3">
      <c r="A1972" s="178"/>
      <c r="B1972" s="178"/>
      <c r="C1972" s="178"/>
      <c r="D1972" s="178"/>
      <c r="E1972" s="178"/>
      <c r="F1972" s="178"/>
      <c r="G1972" s="178"/>
      <c r="H1972" s="178"/>
      <c r="I1972" s="178"/>
      <c r="J1972" s="178"/>
      <c r="K1972" s="178"/>
      <c r="L1972" s="178"/>
      <c r="M1972" s="178"/>
      <c r="N1972" s="178"/>
      <c r="O1972" s="178"/>
    </row>
    <row r="1973" spans="1:19" ht="21" x14ac:dyDescent="0.25">
      <c r="A1973" s="305"/>
      <c r="B1973" s="644" t="s">
        <v>552</v>
      </c>
      <c r="C1973" s="645"/>
      <c r="D1973" s="645"/>
      <c r="E1973" s="645"/>
      <c r="F1973" s="645"/>
      <c r="G1973" s="645"/>
      <c r="H1973" s="645"/>
      <c r="I1973" s="645"/>
      <c r="J1973" s="645"/>
      <c r="K1973" s="645"/>
      <c r="L1973" s="645"/>
      <c r="M1973" s="645"/>
      <c r="N1973" s="645"/>
      <c r="O1973" s="646"/>
      <c r="Q1973" s="662" t="s">
        <v>139</v>
      </c>
      <c r="R1973" s="176" t="s">
        <v>140</v>
      </c>
      <c r="S1973" s="663" t="s">
        <v>142</v>
      </c>
    </row>
    <row r="1974" spans="1:19" ht="21.75" thickBot="1" x14ac:dyDescent="0.3">
      <c r="A1974" s="177" t="s">
        <v>285</v>
      </c>
      <c r="B1974" s="647">
        <v>44473</v>
      </c>
      <c r="C1974" s="648"/>
      <c r="D1974" s="648"/>
      <c r="E1974" s="648"/>
      <c r="F1974" s="648"/>
      <c r="G1974" s="648"/>
      <c r="H1974" s="648"/>
      <c r="I1974" s="648"/>
      <c r="J1974" s="648"/>
      <c r="K1974" s="648"/>
      <c r="L1974" s="648"/>
      <c r="M1974" s="648"/>
      <c r="N1974" s="648"/>
      <c r="O1974" s="649"/>
      <c r="Q1974" s="641"/>
      <c r="R1974" s="87" t="s">
        <v>141</v>
      </c>
      <c r="S1974" s="643"/>
    </row>
    <row r="1975" spans="1:19" ht="15.75" thickBot="1" x14ac:dyDescent="0.3">
      <c r="A1975" s="177"/>
      <c r="B1975" s="650" t="s">
        <v>115</v>
      </c>
      <c r="C1975" s="651"/>
      <c r="D1975" s="651"/>
      <c r="E1975" s="651"/>
      <c r="F1975" s="651"/>
      <c r="G1975" s="651"/>
      <c r="H1975" s="651"/>
      <c r="I1975" s="651"/>
      <c r="J1975" s="651"/>
      <c r="K1975" s="651"/>
      <c r="L1975" s="651"/>
      <c r="M1975" s="651"/>
      <c r="N1975" s="651"/>
      <c r="O1975" s="652"/>
      <c r="Q1975" s="147" t="s">
        <v>143</v>
      </c>
      <c r="R1975" s="88">
        <v>9</v>
      </c>
      <c r="S1975" s="87" t="s">
        <v>566</v>
      </c>
    </row>
    <row r="1976" spans="1:19" ht="15.75" thickBot="1" x14ac:dyDescent="0.3">
      <c r="A1976" s="177" t="s">
        <v>106</v>
      </c>
      <c r="B1976" s="629">
        <v>14.5</v>
      </c>
      <c r="C1976" s="630"/>
      <c r="D1976" s="630"/>
      <c r="E1976" s="631"/>
      <c r="F1976" s="365" t="s">
        <v>174</v>
      </c>
      <c r="G1976" s="471"/>
      <c r="H1976" s="653">
        <v>0</v>
      </c>
      <c r="I1976" s="654"/>
      <c r="J1976" s="654"/>
      <c r="K1976" s="654"/>
      <c r="L1976" s="655"/>
      <c r="M1976" s="656">
        <f>SUM(B1976,H1977)</f>
        <v>14.5</v>
      </c>
      <c r="N1976" s="630"/>
      <c r="O1976" s="631"/>
      <c r="Q1976" s="147" t="s">
        <v>145</v>
      </c>
      <c r="R1976" s="88">
        <v>7</v>
      </c>
      <c r="S1976" s="89" t="s">
        <v>573</v>
      </c>
    </row>
    <row r="1977" spans="1:19" ht="15.75" thickBot="1" x14ac:dyDescent="0.3">
      <c r="A1977" s="177" t="s">
        <v>112</v>
      </c>
      <c r="B1977" s="626">
        <v>0.17</v>
      </c>
      <c r="C1977" s="627"/>
      <c r="D1977" s="627"/>
      <c r="E1977" s="628"/>
      <c r="F1977" s="290"/>
      <c r="G1977" s="472"/>
      <c r="H1977" s="626">
        <v>0</v>
      </c>
      <c r="I1977" s="627"/>
      <c r="J1977" s="627"/>
      <c r="K1977" s="627"/>
      <c r="L1977" s="628"/>
      <c r="M1977" s="657">
        <f>B1977</f>
        <v>0.17</v>
      </c>
      <c r="N1977" s="627"/>
      <c r="O1977" s="628"/>
      <c r="Q1977" s="147" t="s">
        <v>147</v>
      </c>
      <c r="R1977" s="88">
        <v>8</v>
      </c>
      <c r="S1977" s="87" t="s">
        <v>411</v>
      </c>
    </row>
    <row r="1978" spans="1:19" ht="29.25" thickBot="1" x14ac:dyDescent="0.3">
      <c r="A1978" s="177" t="s">
        <v>107</v>
      </c>
      <c r="B1978" s="629">
        <f>B1976*(1-B1977)</f>
        <v>12.035</v>
      </c>
      <c r="C1978" s="630"/>
      <c r="D1978" s="630"/>
      <c r="E1978" s="631"/>
      <c r="F1978" s="290"/>
      <c r="G1978" s="472"/>
      <c r="H1978" s="629">
        <f>H1976*(1-H1977)</f>
        <v>0</v>
      </c>
      <c r="I1978" s="630"/>
      <c r="J1978" s="630"/>
      <c r="K1978" s="630"/>
      <c r="L1978" s="631"/>
      <c r="M1978" s="656">
        <f>SUM(B1978,H1978)</f>
        <v>12.035</v>
      </c>
      <c r="N1978" s="630"/>
      <c r="O1978" s="631"/>
      <c r="Q1978" s="147" t="s">
        <v>82</v>
      </c>
      <c r="R1978" s="88">
        <v>8</v>
      </c>
      <c r="S1978" s="89" t="s">
        <v>574</v>
      </c>
    </row>
    <row r="1979" spans="1:19" ht="15.75" thickBot="1" x14ac:dyDescent="0.3">
      <c r="A1979" s="177" t="s">
        <v>108</v>
      </c>
      <c r="B1979" s="626">
        <f>B1982/B1978</f>
        <v>0.84587951807228889</v>
      </c>
      <c r="C1979" s="627"/>
      <c r="D1979" s="627"/>
      <c r="E1979" s="627"/>
      <c r="F1979" s="627"/>
      <c r="G1979" s="627"/>
      <c r="H1979" s="627"/>
      <c r="I1979" s="627"/>
      <c r="J1979" s="627"/>
      <c r="K1979" s="627"/>
      <c r="L1979" s="627"/>
      <c r="M1979" s="627"/>
      <c r="N1979" s="627"/>
      <c r="O1979" s="628"/>
      <c r="Q1979" s="147" t="s">
        <v>152</v>
      </c>
      <c r="R1979" s="88">
        <v>8</v>
      </c>
      <c r="S1979" s="89" t="s">
        <v>519</v>
      </c>
    </row>
    <row r="1980" spans="1:19" ht="15.75" thickBot="1" x14ac:dyDescent="0.3">
      <c r="A1980" s="177" t="s">
        <v>113</v>
      </c>
      <c r="B1980" s="629">
        <f>B1984*(B1988+B1989+I1988+I1989)/1000</f>
        <v>31.812999999999999</v>
      </c>
      <c r="C1980" s="630"/>
      <c r="D1980" s="630"/>
      <c r="E1980" s="630"/>
      <c r="F1980" s="630"/>
      <c r="G1980" s="630"/>
      <c r="H1980" s="630"/>
      <c r="I1980" s="630"/>
      <c r="J1980" s="630"/>
      <c r="K1980" s="630"/>
      <c r="L1980" s="630"/>
      <c r="M1980" s="630"/>
      <c r="N1980" s="630"/>
      <c r="O1980" s="631"/>
      <c r="Q1980" s="147" t="s">
        <v>154</v>
      </c>
      <c r="R1980" s="88">
        <v>8</v>
      </c>
      <c r="S1980" s="87" t="s">
        <v>520</v>
      </c>
    </row>
    <row r="1981" spans="1:19" ht="29.25" thickBot="1" x14ac:dyDescent="0.3">
      <c r="A1981" s="177" t="s">
        <v>109</v>
      </c>
      <c r="B1981" s="626">
        <v>0.68</v>
      </c>
      <c r="C1981" s="627"/>
      <c r="D1981" s="627"/>
      <c r="E1981" s="627"/>
      <c r="F1981" s="627"/>
      <c r="G1981" s="627"/>
      <c r="H1981" s="627"/>
      <c r="I1981" s="627"/>
      <c r="J1981" s="627"/>
      <c r="K1981" s="627"/>
      <c r="L1981" s="627"/>
      <c r="M1981" s="627"/>
      <c r="N1981" s="627"/>
      <c r="O1981" s="628"/>
      <c r="Q1981" s="147" t="s">
        <v>156</v>
      </c>
      <c r="R1981" s="88">
        <v>9</v>
      </c>
      <c r="S1981" s="87" t="s">
        <v>480</v>
      </c>
    </row>
    <row r="1982" spans="1:19" ht="15.75" thickBot="1" x14ac:dyDescent="0.3">
      <c r="A1982" s="177" t="s">
        <v>122</v>
      </c>
      <c r="B1982" s="629">
        <f>B1980-(B1980*B1981)</f>
        <v>10.180159999999997</v>
      </c>
      <c r="C1982" s="630"/>
      <c r="D1982" s="630"/>
      <c r="E1982" s="630"/>
      <c r="F1982" s="630"/>
      <c r="G1982" s="630"/>
      <c r="H1982" s="630"/>
      <c r="I1982" s="630"/>
      <c r="J1982" s="630"/>
      <c r="K1982" s="630"/>
      <c r="L1982" s="630"/>
      <c r="M1982" s="630"/>
      <c r="N1982" s="630"/>
      <c r="O1982" s="631"/>
      <c r="Q1982" s="147" t="s">
        <v>158</v>
      </c>
      <c r="R1982" s="88"/>
      <c r="S1982" s="87"/>
    </row>
    <row r="1983" spans="1:19" ht="15.75" thickBot="1" x14ac:dyDescent="0.3">
      <c r="A1983" s="177" t="s">
        <v>110</v>
      </c>
      <c r="B1983" s="632">
        <v>125</v>
      </c>
      <c r="C1983" s="633"/>
      <c r="D1983" s="633"/>
      <c r="E1983" s="633"/>
      <c r="F1983" s="633"/>
      <c r="G1983" s="633"/>
      <c r="H1983" s="633"/>
      <c r="I1983" s="633"/>
      <c r="J1983" s="633"/>
      <c r="K1983" s="633"/>
      <c r="L1983" s="633"/>
      <c r="M1983" s="633"/>
      <c r="N1983" s="633"/>
      <c r="O1983" s="634"/>
      <c r="Q1983" s="451" t="s">
        <v>99</v>
      </c>
      <c r="R1983" s="87" t="s">
        <v>528</v>
      </c>
      <c r="S1983" s="148">
        <v>0.81</v>
      </c>
    </row>
    <row r="1984" spans="1:19" x14ac:dyDescent="0.25">
      <c r="A1984" s="177" t="s">
        <v>111</v>
      </c>
      <c r="B1984" s="635">
        <v>14.5</v>
      </c>
      <c r="C1984" s="636"/>
      <c r="D1984" s="636"/>
      <c r="E1984" s="636"/>
      <c r="F1984" s="636"/>
      <c r="G1984" s="636"/>
      <c r="H1984" s="636"/>
      <c r="I1984" s="636"/>
      <c r="J1984" s="636"/>
      <c r="K1984" s="636"/>
      <c r="L1984" s="636"/>
      <c r="M1984" s="636"/>
      <c r="N1984" s="636"/>
      <c r="O1984" s="637"/>
    </row>
    <row r="1985" spans="1:19" x14ac:dyDescent="0.25">
      <c r="A1985" s="177" t="s">
        <v>273</v>
      </c>
      <c r="B1985" s="638" t="s">
        <v>472</v>
      </c>
      <c r="C1985" s="638"/>
      <c r="D1985" s="638"/>
      <c r="E1985" s="638"/>
      <c r="F1985" s="638"/>
      <c r="G1985" s="638"/>
      <c r="H1985" s="638"/>
      <c r="I1985" s="638"/>
      <c r="J1985" s="638"/>
      <c r="K1985" s="638"/>
      <c r="L1985" s="638"/>
      <c r="M1985" s="638"/>
      <c r="N1985" s="638"/>
      <c r="O1985" s="639"/>
    </row>
    <row r="1986" spans="1:19" x14ac:dyDescent="0.25">
      <c r="A1986" s="177" t="s">
        <v>351</v>
      </c>
      <c r="B1986" s="431"/>
      <c r="C1986" s="431"/>
      <c r="D1986" s="431"/>
      <c r="E1986" s="431"/>
      <c r="F1986" s="431"/>
      <c r="G1986" s="431"/>
      <c r="H1986" s="431"/>
      <c r="I1986" s="431"/>
      <c r="J1986" s="431"/>
      <c r="K1986" s="431"/>
      <c r="L1986" s="431"/>
      <c r="M1986" s="431"/>
      <c r="N1986" s="431"/>
      <c r="O1986" s="432"/>
    </row>
    <row r="1987" spans="1:19" x14ac:dyDescent="0.25">
      <c r="B1987" s="307" t="s">
        <v>98</v>
      </c>
      <c r="C1987" s="365" t="s">
        <v>102</v>
      </c>
      <c r="D1987" s="365" t="s">
        <v>92</v>
      </c>
      <c r="E1987" s="365" t="s">
        <v>93</v>
      </c>
      <c r="F1987" s="365" t="s">
        <v>94</v>
      </c>
      <c r="G1987" s="365" t="s">
        <v>549</v>
      </c>
      <c r="H1987" s="359" t="s">
        <v>99</v>
      </c>
      <c r="I1987" s="307" t="s">
        <v>98</v>
      </c>
      <c r="J1987" s="365" t="s">
        <v>102</v>
      </c>
      <c r="K1987" s="365" t="s">
        <v>92</v>
      </c>
      <c r="L1987" s="365" t="s">
        <v>93</v>
      </c>
      <c r="M1987" s="365" t="s">
        <v>94</v>
      </c>
      <c r="N1987" s="365" t="s">
        <v>549</v>
      </c>
      <c r="O1987" s="359" t="s">
        <v>99</v>
      </c>
    </row>
    <row r="1988" spans="1:19" x14ac:dyDescent="0.25">
      <c r="B1988" s="308">
        <v>988</v>
      </c>
      <c r="C1988" s="365" t="s">
        <v>95</v>
      </c>
      <c r="D1988" s="441">
        <v>901.46</v>
      </c>
      <c r="E1988" s="441">
        <v>693.89</v>
      </c>
      <c r="F1988" s="441">
        <v>338.14</v>
      </c>
      <c r="G1988" s="441">
        <v>0</v>
      </c>
      <c r="H1988" s="359">
        <f>SUM(D1988:G1988)</f>
        <v>1933.4899999999998</v>
      </c>
      <c r="I1988" s="308">
        <v>992</v>
      </c>
      <c r="J1988" s="365" t="s">
        <v>95</v>
      </c>
      <c r="K1988" s="441">
        <v>1199.32</v>
      </c>
      <c r="L1988" s="441">
        <v>629.62</v>
      </c>
      <c r="M1988" s="441">
        <v>386.94</v>
      </c>
      <c r="N1988" s="441">
        <v>88.52</v>
      </c>
      <c r="O1988" s="359">
        <f>SUM(K1988:N1988)</f>
        <v>2304.4</v>
      </c>
    </row>
    <row r="1989" spans="1:19" x14ac:dyDescent="0.25">
      <c r="B1989" s="308">
        <v>109</v>
      </c>
      <c r="C1989" s="365" t="s">
        <v>96</v>
      </c>
      <c r="D1989" s="441">
        <v>121.11</v>
      </c>
      <c r="E1989" s="441">
        <v>97.37</v>
      </c>
      <c r="F1989" s="441">
        <v>40.729999999999997</v>
      </c>
      <c r="G1989" s="441">
        <v>0</v>
      </c>
      <c r="H1989" s="359">
        <f t="shared" ref="H1989:H1995" si="261">SUM(D1989:G1989)</f>
        <v>259.21000000000004</v>
      </c>
      <c r="I1989" s="308">
        <v>105</v>
      </c>
      <c r="J1989" s="365" t="s">
        <v>96</v>
      </c>
      <c r="K1989" s="441">
        <v>146.88</v>
      </c>
      <c r="L1989" s="441">
        <v>92.8</v>
      </c>
      <c r="M1989" s="441">
        <v>11.66</v>
      </c>
      <c r="N1989" s="441">
        <v>0</v>
      </c>
      <c r="O1989" s="359">
        <f t="shared" ref="O1989:O1995" si="262">SUM(K1989:N1989)</f>
        <v>251.34</v>
      </c>
    </row>
    <row r="1990" spans="1:19" x14ac:dyDescent="0.25">
      <c r="B1990" s="307" t="s">
        <v>100</v>
      </c>
      <c r="C1990" s="365" t="s">
        <v>95</v>
      </c>
      <c r="D1990" s="444">
        <f t="shared" ref="D1990:G1991" si="263">D1988/$B1988</f>
        <v>0.91240890688259113</v>
      </c>
      <c r="E1990" s="429">
        <f t="shared" si="263"/>
        <v>0.70231781376518221</v>
      </c>
      <c r="F1990" s="429">
        <f t="shared" si="263"/>
        <v>0.34224696356275303</v>
      </c>
      <c r="G1990" s="429">
        <f t="shared" si="263"/>
        <v>0</v>
      </c>
      <c r="H1990" s="359">
        <f t="shared" si="261"/>
        <v>1.9569736842105263</v>
      </c>
      <c r="I1990" s="307" t="s">
        <v>100</v>
      </c>
      <c r="J1990" s="365" t="s">
        <v>95</v>
      </c>
      <c r="K1990" s="444">
        <f t="shared" ref="K1990:N1991" si="264">K1988/$I1988</f>
        <v>1.208991935483871</v>
      </c>
      <c r="L1990" s="429">
        <f t="shared" si="264"/>
        <v>0.63469758064516124</v>
      </c>
      <c r="M1990" s="429">
        <f t="shared" si="264"/>
        <v>0.39006048387096776</v>
      </c>
      <c r="N1990" s="429">
        <f t="shared" si="264"/>
        <v>8.9233870967741935E-2</v>
      </c>
      <c r="O1990" s="359">
        <f t="shared" si="262"/>
        <v>2.3229838709677422</v>
      </c>
    </row>
    <row r="1991" spans="1:19" x14ac:dyDescent="0.25">
      <c r="B1991" s="307" t="s">
        <v>100</v>
      </c>
      <c r="C1991" s="438" t="s">
        <v>96</v>
      </c>
      <c r="D1991" s="359">
        <f t="shared" si="263"/>
        <v>1.1111009174311925</v>
      </c>
      <c r="E1991" s="359">
        <f t="shared" si="263"/>
        <v>0.89330275229357803</v>
      </c>
      <c r="F1991" s="359">
        <f t="shared" si="263"/>
        <v>0.3736697247706422</v>
      </c>
      <c r="G1991" s="359">
        <f t="shared" si="263"/>
        <v>0</v>
      </c>
      <c r="H1991" s="359">
        <f t="shared" si="261"/>
        <v>2.3780733944954129</v>
      </c>
      <c r="I1991" s="307" t="s">
        <v>100</v>
      </c>
      <c r="J1991" s="438" t="s">
        <v>96</v>
      </c>
      <c r="K1991" s="359">
        <f t="shared" si="264"/>
        <v>1.3988571428571428</v>
      </c>
      <c r="L1991" s="359">
        <f t="shared" si="264"/>
        <v>0.88380952380952382</v>
      </c>
      <c r="M1991" s="359">
        <f t="shared" si="264"/>
        <v>0.11104761904761905</v>
      </c>
      <c r="N1991" s="359">
        <f t="shared" si="264"/>
        <v>0</v>
      </c>
      <c r="O1991" s="359">
        <f t="shared" si="262"/>
        <v>2.3937142857142857</v>
      </c>
    </row>
    <row r="1992" spans="1:19" x14ac:dyDescent="0.25">
      <c r="B1992" s="307" t="s">
        <v>104</v>
      </c>
      <c r="C1992" s="365" t="s">
        <v>95</v>
      </c>
      <c r="D1992" s="359">
        <f>D1988/($B1988/7.7)</f>
        <v>7.0255485829959525</v>
      </c>
      <c r="E1992" s="359">
        <f>E1988/($B1988/7)</f>
        <v>4.9162246963562755</v>
      </c>
      <c r="F1992" s="359">
        <f>F1988/($B1988/7)</f>
        <v>2.3957287449392712</v>
      </c>
      <c r="G1992" s="359">
        <f>G1988/($B1988/7)</f>
        <v>0</v>
      </c>
      <c r="H1992" s="359">
        <f t="shared" si="261"/>
        <v>14.337502024291499</v>
      </c>
      <c r="I1992" s="307" t="s">
        <v>104</v>
      </c>
      <c r="J1992" s="365" t="s">
        <v>95</v>
      </c>
      <c r="K1992" s="359">
        <f>K1988/($I1988/7.7)</f>
        <v>9.3092379032258048</v>
      </c>
      <c r="L1992" s="359">
        <f>L1988/($I1988/7)</f>
        <v>4.4428830645161286</v>
      </c>
      <c r="M1992" s="359">
        <f>M1988/($I1988/7)</f>
        <v>2.7304233870967742</v>
      </c>
      <c r="N1992" s="359">
        <f>N1988/($I1988/7)</f>
        <v>0.62463709677419343</v>
      </c>
      <c r="O1992" s="359">
        <f t="shared" si="262"/>
        <v>17.107181451612902</v>
      </c>
    </row>
    <row r="1993" spans="1:19" x14ac:dyDescent="0.25">
      <c r="B1993" s="307" t="s">
        <v>104</v>
      </c>
      <c r="C1993" s="438" t="s">
        <v>96</v>
      </c>
      <c r="D1993" s="359">
        <f>D1989/($B1989/7.7)</f>
        <v>8.5554770642201845</v>
      </c>
      <c r="E1993" s="359">
        <f>E1989/($B1989/7.7)</f>
        <v>6.8784311926605506</v>
      </c>
      <c r="F1993" s="359">
        <f>F1989/($B1989/7.7)</f>
        <v>2.8772568807339449</v>
      </c>
      <c r="G1993" s="359">
        <f>G1989/($B1989/7.7)</f>
        <v>0</v>
      </c>
      <c r="H1993" s="359">
        <f t="shared" si="261"/>
        <v>18.31116513761468</v>
      </c>
      <c r="I1993" s="307" t="s">
        <v>104</v>
      </c>
      <c r="J1993" s="438" t="s">
        <v>96</v>
      </c>
      <c r="K1993" s="359">
        <f>K1989/($I1989/7.7)</f>
        <v>10.771199999999999</v>
      </c>
      <c r="L1993" s="359">
        <f>L1989/($I1989/7.7)</f>
        <v>6.8053333333333326</v>
      </c>
      <c r="M1993" s="359">
        <f>M1989/($I1989/7.7)</f>
        <v>0.85506666666666664</v>
      </c>
      <c r="N1993" s="359">
        <f>N1989/($I1989/7.7)</f>
        <v>0</v>
      </c>
      <c r="O1993" s="359">
        <f t="shared" si="262"/>
        <v>18.431599999999996</v>
      </c>
    </row>
    <row r="1994" spans="1:19" x14ac:dyDescent="0.25">
      <c r="B1994" s="307" t="s">
        <v>135</v>
      </c>
      <c r="C1994" s="365" t="s">
        <v>95</v>
      </c>
      <c r="D1994" s="359">
        <f>D1988/((($B1988*$B1984)*(1-$B1981))/$B1979)</f>
        <v>0.1663336220773082</v>
      </c>
      <c r="E1994" s="359">
        <f>E1988/((($B1988*$B1984)*(1-$B1981))/$B1979)</f>
        <v>0.1280336753968267</v>
      </c>
      <c r="F1994" s="359">
        <f>F1988/((($B1988*$B1984)*(1-$B1981))/$B1979)</f>
        <v>6.2392175991415028E-2</v>
      </c>
      <c r="G1994" s="359">
        <f>G1988/((($B1988*$B1984)*(1-$B1981))/$B1979)</f>
        <v>0</v>
      </c>
      <c r="H1994" s="359">
        <f t="shared" si="261"/>
        <v>0.35675947346554993</v>
      </c>
      <c r="I1994" s="307" t="s">
        <v>135</v>
      </c>
      <c r="J1994" s="365" t="s">
        <v>95</v>
      </c>
      <c r="K1994" s="359">
        <f>K1988/((($I1988*$B1984)*(1-$B1981))/$B1979)</f>
        <v>0.220401188737151</v>
      </c>
      <c r="L1994" s="359">
        <f>L1988/((($I1988*$B1984)*(1-$B1981))/$B1979)</f>
        <v>0.11570639733572777</v>
      </c>
      <c r="M1994" s="359">
        <f>M1988/((($I1988*$B1984)*(1-$B1981))/$B1979)</f>
        <v>7.1108658214615969E-2</v>
      </c>
      <c r="N1994" s="359">
        <f>N1988/((($I1988*$B1984)*(1-$B1981))/$B1979)</f>
        <v>1.626747926075827E-2</v>
      </c>
      <c r="O1994" s="359">
        <f t="shared" si="262"/>
        <v>0.42348372354825303</v>
      </c>
    </row>
    <row r="1995" spans="1:19" x14ac:dyDescent="0.25">
      <c r="B1995" s="307" t="s">
        <v>135</v>
      </c>
      <c r="C1995" s="438" t="s">
        <v>96</v>
      </c>
      <c r="D1995" s="359">
        <f>D1989/((($B1989*$B1984)*(1-$B1981))/$B1979)</f>
        <v>0.20255549753585678</v>
      </c>
      <c r="E1995" s="359">
        <f>E1989/((($B1989*$B1984)*(1-$B1981))/$B1979)</f>
        <v>0.16285053913852179</v>
      </c>
      <c r="F1995" s="359">
        <f>F1989/((($B1989*$B1984)*(1-$B1981))/$B1979)</f>
        <v>6.8120596273102518E-2</v>
      </c>
      <c r="G1995" s="359">
        <f>G1989/((($B1989*$B1984)*(1-$B1981))/$B1979)</f>
        <v>0</v>
      </c>
      <c r="H1995" s="359">
        <f t="shared" si="261"/>
        <v>0.43352663294748106</v>
      </c>
      <c r="I1995" s="307" t="s">
        <v>135</v>
      </c>
      <c r="J1995" s="438" t="s">
        <v>96</v>
      </c>
      <c r="K1995" s="359">
        <f>K1989/((($I1989*$B1984)*(1-$B1981))/$B1979)</f>
        <v>0.25501392367499548</v>
      </c>
      <c r="L1995" s="359">
        <f>L1989/((($I1989*$B1984)*(1-$B1981))/$B1979)</f>
        <v>0.16111990820424552</v>
      </c>
      <c r="M1995" s="359">
        <f>M1989/((($I1989*$B1984)*(1-$B1981))/$B1979)</f>
        <v>2.0244160879973092E-2</v>
      </c>
      <c r="N1995" s="359">
        <f>N1989/((($I1989*$B1984)*(1-$B1981))/$B1979)</f>
        <v>0</v>
      </c>
      <c r="O1995" s="359">
        <f t="shared" si="262"/>
        <v>0.43637799275921413</v>
      </c>
    </row>
    <row r="1996" spans="1:19" ht="15.75" thickBot="1" x14ac:dyDescent="0.3">
      <c r="A1996" s="178"/>
      <c r="B1996" s="178"/>
      <c r="C1996" s="178"/>
      <c r="D1996" s="178"/>
      <c r="E1996" s="178"/>
      <c r="F1996" s="178"/>
      <c r="G1996" s="178"/>
      <c r="H1996" s="178"/>
      <c r="I1996" s="178"/>
      <c r="J1996" s="178"/>
      <c r="K1996" s="178"/>
      <c r="L1996" s="178"/>
      <c r="M1996" s="178"/>
      <c r="N1996" s="178"/>
      <c r="O1996" s="178"/>
    </row>
    <row r="1997" spans="1:19" ht="21" x14ac:dyDescent="0.25">
      <c r="A1997" s="305"/>
      <c r="B1997" s="644" t="s">
        <v>556</v>
      </c>
      <c r="C1997" s="645"/>
      <c r="D1997" s="645"/>
      <c r="E1997" s="645"/>
      <c r="F1997" s="645"/>
      <c r="G1997" s="645"/>
      <c r="H1997" s="645"/>
      <c r="I1997" s="645"/>
      <c r="J1997" s="645"/>
      <c r="K1997" s="645"/>
      <c r="L1997" s="645"/>
      <c r="M1997" s="645"/>
      <c r="N1997" s="645"/>
      <c r="O1997" s="646"/>
      <c r="Q1997" s="662" t="s">
        <v>139</v>
      </c>
      <c r="R1997" s="176" t="s">
        <v>140</v>
      </c>
      <c r="S1997" s="663" t="s">
        <v>142</v>
      </c>
    </row>
    <row r="1998" spans="1:19" ht="21.75" thickBot="1" x14ac:dyDescent="0.3">
      <c r="A1998" s="177" t="s">
        <v>285</v>
      </c>
      <c r="B1998" s="647">
        <v>44488</v>
      </c>
      <c r="C1998" s="648"/>
      <c r="D1998" s="648"/>
      <c r="E1998" s="648"/>
      <c r="F1998" s="648"/>
      <c r="G1998" s="648"/>
      <c r="H1998" s="648"/>
      <c r="I1998" s="648"/>
      <c r="J1998" s="648"/>
      <c r="K1998" s="648"/>
      <c r="L1998" s="648"/>
      <c r="M1998" s="648"/>
      <c r="N1998" s="648"/>
      <c r="O1998" s="649"/>
      <c r="Q1998" s="641"/>
      <c r="R1998" s="87" t="s">
        <v>141</v>
      </c>
      <c r="S1998" s="643"/>
    </row>
    <row r="1999" spans="1:19" ht="15.75" thickBot="1" x14ac:dyDescent="0.3">
      <c r="A1999" s="177"/>
      <c r="B1999" s="650" t="s">
        <v>115</v>
      </c>
      <c r="C1999" s="651"/>
      <c r="D1999" s="651"/>
      <c r="E1999" s="651"/>
      <c r="F1999" s="651"/>
      <c r="G1999" s="651"/>
      <c r="H1999" s="651"/>
      <c r="I1999" s="651"/>
      <c r="J1999" s="651"/>
      <c r="K1999" s="651"/>
      <c r="L1999" s="651"/>
      <c r="M1999" s="651"/>
      <c r="N1999" s="651"/>
      <c r="O1999" s="652"/>
      <c r="Q1999" s="147" t="s">
        <v>143</v>
      </c>
      <c r="R1999" s="88">
        <v>8</v>
      </c>
      <c r="S1999" s="87" t="s">
        <v>575</v>
      </c>
    </row>
    <row r="2000" spans="1:19" ht="15.75" thickBot="1" x14ac:dyDescent="0.3">
      <c r="A2000" s="177" t="s">
        <v>106</v>
      </c>
      <c r="B2000" s="629">
        <v>14</v>
      </c>
      <c r="C2000" s="630"/>
      <c r="D2000" s="630"/>
      <c r="E2000" s="631"/>
      <c r="F2000" s="365" t="s">
        <v>174</v>
      </c>
      <c r="G2000" s="471"/>
      <c r="H2000" s="653">
        <v>0</v>
      </c>
      <c r="I2000" s="654"/>
      <c r="J2000" s="654"/>
      <c r="K2000" s="654"/>
      <c r="L2000" s="655"/>
      <c r="M2000" s="656">
        <f>SUM(B2000,H2001)</f>
        <v>14</v>
      </c>
      <c r="N2000" s="630"/>
      <c r="O2000" s="631"/>
      <c r="Q2000" s="147" t="s">
        <v>145</v>
      </c>
      <c r="R2000" s="88">
        <v>8</v>
      </c>
      <c r="S2000" s="89" t="s">
        <v>478</v>
      </c>
    </row>
    <row r="2001" spans="1:19" ht="15.75" thickBot="1" x14ac:dyDescent="0.3">
      <c r="A2001" s="177" t="s">
        <v>112</v>
      </c>
      <c r="B2001" s="626">
        <v>0.17</v>
      </c>
      <c r="C2001" s="627"/>
      <c r="D2001" s="627"/>
      <c r="E2001" s="628"/>
      <c r="F2001" s="290"/>
      <c r="G2001" s="472"/>
      <c r="H2001" s="626">
        <v>0</v>
      </c>
      <c r="I2001" s="627"/>
      <c r="J2001" s="627"/>
      <c r="K2001" s="627"/>
      <c r="L2001" s="628"/>
      <c r="M2001" s="657">
        <f>B2001</f>
        <v>0.17</v>
      </c>
      <c r="N2001" s="627"/>
      <c r="O2001" s="628"/>
      <c r="Q2001" s="147" t="s">
        <v>147</v>
      </c>
      <c r="R2001" s="88">
        <v>8</v>
      </c>
      <c r="S2001" s="87" t="s">
        <v>411</v>
      </c>
    </row>
    <row r="2002" spans="1:19" ht="29.25" thickBot="1" x14ac:dyDescent="0.3">
      <c r="A2002" s="177" t="s">
        <v>107</v>
      </c>
      <c r="B2002" s="629">
        <f>B2000*(1-B2001)</f>
        <v>11.62</v>
      </c>
      <c r="C2002" s="630"/>
      <c r="D2002" s="630"/>
      <c r="E2002" s="631"/>
      <c r="F2002" s="290"/>
      <c r="G2002" s="472"/>
      <c r="H2002" s="629">
        <f>H2000*(1-H2001)</f>
        <v>0</v>
      </c>
      <c r="I2002" s="630"/>
      <c r="J2002" s="630"/>
      <c r="K2002" s="630"/>
      <c r="L2002" s="631"/>
      <c r="M2002" s="656">
        <f>SUM(B2002,H2002)</f>
        <v>11.62</v>
      </c>
      <c r="N2002" s="630"/>
      <c r="O2002" s="631"/>
      <c r="Q2002" s="147" t="s">
        <v>82</v>
      </c>
      <c r="R2002" s="88">
        <v>9</v>
      </c>
      <c r="S2002" s="89" t="s">
        <v>574</v>
      </c>
    </row>
    <row r="2003" spans="1:19" ht="15.75" thickBot="1" x14ac:dyDescent="0.3">
      <c r="A2003" s="177" t="s">
        <v>108</v>
      </c>
      <c r="B2003" s="626">
        <f>B2006/B2002</f>
        <v>0.78774526678141121</v>
      </c>
      <c r="C2003" s="627"/>
      <c r="D2003" s="627"/>
      <c r="E2003" s="627"/>
      <c r="F2003" s="627"/>
      <c r="G2003" s="627"/>
      <c r="H2003" s="627"/>
      <c r="I2003" s="627"/>
      <c r="J2003" s="627"/>
      <c r="K2003" s="627"/>
      <c r="L2003" s="627"/>
      <c r="M2003" s="627"/>
      <c r="N2003" s="627"/>
      <c r="O2003" s="628"/>
      <c r="Q2003" s="147" t="s">
        <v>152</v>
      </c>
      <c r="R2003" s="88">
        <v>8</v>
      </c>
      <c r="S2003" s="89" t="s">
        <v>519</v>
      </c>
    </row>
    <row r="2004" spans="1:19" ht="15.75" thickBot="1" x14ac:dyDescent="0.3">
      <c r="A2004" s="177" t="s">
        <v>113</v>
      </c>
      <c r="B2004" s="629">
        <f>B2008*(B2012+B2013+I2012+I2013)/1000</f>
        <v>28.605</v>
      </c>
      <c r="C2004" s="630"/>
      <c r="D2004" s="630"/>
      <c r="E2004" s="630"/>
      <c r="F2004" s="630"/>
      <c r="G2004" s="630"/>
      <c r="H2004" s="630"/>
      <c r="I2004" s="630"/>
      <c r="J2004" s="630"/>
      <c r="K2004" s="630"/>
      <c r="L2004" s="630"/>
      <c r="M2004" s="630"/>
      <c r="N2004" s="630"/>
      <c r="O2004" s="631"/>
      <c r="Q2004" s="147" t="s">
        <v>154</v>
      </c>
      <c r="R2004" s="88">
        <v>9</v>
      </c>
      <c r="S2004" s="87" t="s">
        <v>520</v>
      </c>
    </row>
    <row r="2005" spans="1:19" ht="29.25" thickBot="1" x14ac:dyDescent="0.3">
      <c r="A2005" s="177" t="s">
        <v>109</v>
      </c>
      <c r="B2005" s="626">
        <v>0.68</v>
      </c>
      <c r="C2005" s="627"/>
      <c r="D2005" s="627"/>
      <c r="E2005" s="627"/>
      <c r="F2005" s="627"/>
      <c r="G2005" s="627"/>
      <c r="H2005" s="627"/>
      <c r="I2005" s="627"/>
      <c r="J2005" s="627"/>
      <c r="K2005" s="627"/>
      <c r="L2005" s="627"/>
      <c r="M2005" s="627"/>
      <c r="N2005" s="627"/>
      <c r="O2005" s="628"/>
      <c r="Q2005" s="147" t="s">
        <v>156</v>
      </c>
      <c r="R2005" s="88">
        <v>9</v>
      </c>
      <c r="S2005" s="87" t="s">
        <v>480</v>
      </c>
    </row>
    <row r="2006" spans="1:19" ht="15.75" thickBot="1" x14ac:dyDescent="0.3">
      <c r="A2006" s="177" t="s">
        <v>122</v>
      </c>
      <c r="B2006" s="629">
        <f>B2004-(B2004*B2005)</f>
        <v>9.1535999999999973</v>
      </c>
      <c r="C2006" s="630"/>
      <c r="D2006" s="630"/>
      <c r="E2006" s="630"/>
      <c r="F2006" s="630"/>
      <c r="G2006" s="630"/>
      <c r="H2006" s="630"/>
      <c r="I2006" s="630"/>
      <c r="J2006" s="630"/>
      <c r="K2006" s="630"/>
      <c r="L2006" s="630"/>
      <c r="M2006" s="630"/>
      <c r="N2006" s="630"/>
      <c r="O2006" s="631"/>
      <c r="Q2006" s="147" t="s">
        <v>158</v>
      </c>
      <c r="R2006" s="88"/>
      <c r="S2006" s="87"/>
    </row>
    <row r="2007" spans="1:19" ht="15.75" thickBot="1" x14ac:dyDescent="0.3">
      <c r="A2007" s="177" t="s">
        <v>110</v>
      </c>
      <c r="B2007" s="632">
        <v>125</v>
      </c>
      <c r="C2007" s="633"/>
      <c r="D2007" s="633"/>
      <c r="E2007" s="633"/>
      <c r="F2007" s="633"/>
      <c r="G2007" s="633"/>
      <c r="H2007" s="633"/>
      <c r="I2007" s="633"/>
      <c r="J2007" s="633"/>
      <c r="K2007" s="633"/>
      <c r="L2007" s="633"/>
      <c r="M2007" s="633"/>
      <c r="N2007" s="633"/>
      <c r="O2007" s="634"/>
      <c r="Q2007" s="451" t="s">
        <v>99</v>
      </c>
      <c r="R2007" s="87" t="s">
        <v>543</v>
      </c>
      <c r="S2007" s="148">
        <v>0.84</v>
      </c>
    </row>
    <row r="2008" spans="1:19" x14ac:dyDescent="0.25">
      <c r="A2008" s="177" t="s">
        <v>111</v>
      </c>
      <c r="B2008" s="635">
        <v>15</v>
      </c>
      <c r="C2008" s="636"/>
      <c r="D2008" s="636"/>
      <c r="E2008" s="636"/>
      <c r="F2008" s="636"/>
      <c r="G2008" s="636"/>
      <c r="H2008" s="636"/>
      <c r="I2008" s="636"/>
      <c r="J2008" s="636"/>
      <c r="K2008" s="636"/>
      <c r="L2008" s="636"/>
      <c r="M2008" s="636"/>
      <c r="N2008" s="636"/>
      <c r="O2008" s="637"/>
    </row>
    <row r="2009" spans="1:19" x14ac:dyDescent="0.25">
      <c r="A2009" s="177" t="s">
        <v>273</v>
      </c>
      <c r="B2009" s="638" t="s">
        <v>472</v>
      </c>
      <c r="C2009" s="638"/>
      <c r="D2009" s="638"/>
      <c r="E2009" s="638"/>
      <c r="F2009" s="638"/>
      <c r="G2009" s="638"/>
      <c r="H2009" s="638"/>
      <c r="I2009" s="638"/>
      <c r="J2009" s="638"/>
      <c r="K2009" s="638"/>
      <c r="L2009" s="638"/>
      <c r="M2009" s="638"/>
      <c r="N2009" s="638"/>
      <c r="O2009" s="639"/>
    </row>
    <row r="2010" spans="1:19" x14ac:dyDescent="0.25">
      <c r="A2010" s="177" t="s">
        <v>351</v>
      </c>
      <c r="B2010" s="431"/>
      <c r="C2010" s="431"/>
      <c r="D2010" s="431"/>
      <c r="E2010" s="431"/>
      <c r="F2010" s="431"/>
      <c r="G2010" s="431"/>
      <c r="H2010" s="431"/>
      <c r="I2010" s="431"/>
      <c r="J2010" s="431"/>
      <c r="K2010" s="431"/>
      <c r="L2010" s="431"/>
      <c r="M2010" s="431"/>
      <c r="N2010" s="431"/>
      <c r="O2010" s="432"/>
    </row>
    <row r="2011" spans="1:19" x14ac:dyDescent="0.25">
      <c r="B2011" s="307" t="s">
        <v>98</v>
      </c>
      <c r="C2011" s="365" t="s">
        <v>102</v>
      </c>
      <c r="D2011" s="365" t="s">
        <v>92</v>
      </c>
      <c r="E2011" s="365" t="s">
        <v>93</v>
      </c>
      <c r="F2011" s="365" t="s">
        <v>94</v>
      </c>
      <c r="G2011" s="365" t="s">
        <v>549</v>
      </c>
      <c r="H2011" s="359" t="s">
        <v>99</v>
      </c>
      <c r="I2011" s="307" t="s">
        <v>98</v>
      </c>
      <c r="J2011" s="365" t="s">
        <v>102</v>
      </c>
      <c r="K2011" s="365" t="s">
        <v>92</v>
      </c>
      <c r="L2011" s="365" t="s">
        <v>93</v>
      </c>
      <c r="M2011" s="365" t="s">
        <v>94</v>
      </c>
      <c r="N2011" s="365" t="s">
        <v>549</v>
      </c>
      <c r="O2011" s="359" t="s">
        <v>99</v>
      </c>
    </row>
    <row r="2012" spans="1:19" x14ac:dyDescent="0.25">
      <c r="B2012" s="308">
        <v>878</v>
      </c>
      <c r="C2012" s="365" t="s">
        <v>95</v>
      </c>
      <c r="D2012" s="441">
        <v>1152.58</v>
      </c>
      <c r="E2012" s="441">
        <v>675.08</v>
      </c>
      <c r="F2012" s="441">
        <v>434.6</v>
      </c>
      <c r="G2012" s="441">
        <v>0</v>
      </c>
      <c r="H2012" s="359">
        <f>SUM(D2012:G2012)</f>
        <v>2262.2599999999998</v>
      </c>
      <c r="I2012" s="308">
        <v>878</v>
      </c>
      <c r="J2012" s="365" t="s">
        <v>95</v>
      </c>
      <c r="K2012" s="441">
        <v>1216.94</v>
      </c>
      <c r="L2012" s="441">
        <v>668.17</v>
      </c>
      <c r="M2012" s="441">
        <v>355.33</v>
      </c>
      <c r="N2012" s="441">
        <v>109.68</v>
      </c>
      <c r="O2012" s="359">
        <f>SUM(K2012:N2012)</f>
        <v>2350.12</v>
      </c>
    </row>
    <row r="2013" spans="1:19" x14ac:dyDescent="0.25">
      <c r="B2013" s="308">
        <v>76</v>
      </c>
      <c r="C2013" s="365" t="s">
        <v>96</v>
      </c>
      <c r="D2013" s="441">
        <v>138.62</v>
      </c>
      <c r="E2013" s="441">
        <v>110.92</v>
      </c>
      <c r="F2013" s="441">
        <v>17.420000000000002</v>
      </c>
      <c r="G2013" s="441">
        <v>0</v>
      </c>
      <c r="H2013" s="359">
        <f t="shared" ref="H2013:H2019" si="265">SUM(D2013:G2013)</f>
        <v>266.96000000000004</v>
      </c>
      <c r="I2013" s="308">
        <v>75</v>
      </c>
      <c r="J2013" s="365" t="s">
        <v>96</v>
      </c>
      <c r="K2013" s="441">
        <v>84.5</v>
      </c>
      <c r="L2013" s="441">
        <v>53.014000000000003</v>
      </c>
      <c r="M2013" s="441">
        <v>21.06</v>
      </c>
      <c r="N2013" s="441">
        <v>12.6</v>
      </c>
      <c r="O2013" s="359">
        <f t="shared" ref="O2013:O2019" si="266">SUM(K2013:N2013)</f>
        <v>171.17400000000001</v>
      </c>
    </row>
    <row r="2014" spans="1:19" x14ac:dyDescent="0.25">
      <c r="B2014" s="307" t="s">
        <v>100</v>
      </c>
      <c r="C2014" s="365" t="s">
        <v>95</v>
      </c>
      <c r="D2014" s="444">
        <f t="shared" ref="D2014:G2015" si="267">D2012/$B2012</f>
        <v>1.3127334851936219</v>
      </c>
      <c r="E2014" s="429">
        <f t="shared" si="267"/>
        <v>0.76888382687927115</v>
      </c>
      <c r="F2014" s="429">
        <f t="shared" si="267"/>
        <v>0.49498861047835996</v>
      </c>
      <c r="G2014" s="429">
        <f t="shared" si="267"/>
        <v>0</v>
      </c>
      <c r="H2014" s="359">
        <f t="shared" si="265"/>
        <v>2.576605922551253</v>
      </c>
      <c r="I2014" s="307" t="s">
        <v>100</v>
      </c>
      <c r="J2014" s="365" t="s">
        <v>95</v>
      </c>
      <c r="K2014" s="444">
        <f t="shared" ref="K2014:N2015" si="268">K2012/$I2012</f>
        <v>1.3860364464692483</v>
      </c>
      <c r="L2014" s="429">
        <f t="shared" si="268"/>
        <v>0.7610136674259681</v>
      </c>
      <c r="M2014" s="429">
        <f t="shared" si="268"/>
        <v>0.40470387243735761</v>
      </c>
      <c r="N2014" s="429">
        <f t="shared" si="268"/>
        <v>0.12492027334851936</v>
      </c>
      <c r="O2014" s="359">
        <f t="shared" si="266"/>
        <v>2.6766742596810933</v>
      </c>
    </row>
    <row r="2015" spans="1:19" x14ac:dyDescent="0.25">
      <c r="B2015" s="307" t="s">
        <v>100</v>
      </c>
      <c r="C2015" s="438" t="s">
        <v>96</v>
      </c>
      <c r="D2015" s="359">
        <f t="shared" si="267"/>
        <v>1.8239473684210528</v>
      </c>
      <c r="E2015" s="359">
        <f t="shared" si="267"/>
        <v>1.4594736842105263</v>
      </c>
      <c r="F2015" s="359">
        <f t="shared" si="267"/>
        <v>0.2292105263157895</v>
      </c>
      <c r="G2015" s="359">
        <f t="shared" si="267"/>
        <v>0</v>
      </c>
      <c r="H2015" s="359">
        <f t="shared" si="265"/>
        <v>3.5126315789473681</v>
      </c>
      <c r="I2015" s="307" t="s">
        <v>100</v>
      </c>
      <c r="J2015" s="438" t="s">
        <v>96</v>
      </c>
      <c r="K2015" s="359">
        <f t="shared" si="268"/>
        <v>1.1266666666666667</v>
      </c>
      <c r="L2015" s="359">
        <f t="shared" si="268"/>
        <v>0.70685333333333333</v>
      </c>
      <c r="M2015" s="359">
        <f t="shared" si="268"/>
        <v>0.28079999999999999</v>
      </c>
      <c r="N2015" s="359">
        <f t="shared" si="268"/>
        <v>0.16799999999999998</v>
      </c>
      <c r="O2015" s="359">
        <f t="shared" si="266"/>
        <v>2.2823200000000003</v>
      </c>
    </row>
    <row r="2016" spans="1:19" x14ac:dyDescent="0.25">
      <c r="B2016" s="307" t="s">
        <v>104</v>
      </c>
      <c r="C2016" s="365" t="s">
        <v>95</v>
      </c>
      <c r="D2016" s="359">
        <f>D2012/($B2012/7.7)</f>
        <v>10.108047835990888</v>
      </c>
      <c r="E2016" s="359">
        <f>E2012/($B2012/7)</f>
        <v>5.3821867881548977</v>
      </c>
      <c r="F2016" s="359">
        <f>F2012/($B2012/7)</f>
        <v>3.4649202733485196</v>
      </c>
      <c r="G2016" s="359">
        <f>G2012/($B2012/7)</f>
        <v>0</v>
      </c>
      <c r="H2016" s="359">
        <f t="shared" si="265"/>
        <v>18.955154897494303</v>
      </c>
      <c r="I2016" s="307" t="s">
        <v>104</v>
      </c>
      <c r="J2016" s="365" t="s">
        <v>95</v>
      </c>
      <c r="K2016" s="359">
        <f>K2012/($I2012/7.7)</f>
        <v>10.672480637813212</v>
      </c>
      <c r="L2016" s="359">
        <f>L2012/($I2012/7)</f>
        <v>5.3270956719817759</v>
      </c>
      <c r="M2016" s="359">
        <f>M2012/($I2012/7)</f>
        <v>2.8329271070615034</v>
      </c>
      <c r="N2016" s="359">
        <f>N2012/($I2012/7)</f>
        <v>0.87444191343963562</v>
      </c>
      <c r="O2016" s="359">
        <f t="shared" si="266"/>
        <v>19.706945330296129</v>
      </c>
    </row>
    <row r="2017" spans="1:19" x14ac:dyDescent="0.25">
      <c r="B2017" s="307" t="s">
        <v>104</v>
      </c>
      <c r="C2017" s="438" t="s">
        <v>96</v>
      </c>
      <c r="D2017" s="359">
        <f>D2013/($B2013/7.7)</f>
        <v>14.044394736842104</v>
      </c>
      <c r="E2017" s="359">
        <f>E2013/($B2013/7.7)</f>
        <v>11.237947368421052</v>
      </c>
      <c r="F2017" s="359">
        <f>F2013/($B2013/7.7)</f>
        <v>1.7649210526315791</v>
      </c>
      <c r="G2017" s="359">
        <f>G2013/($B2013/7.7)</f>
        <v>0</v>
      </c>
      <c r="H2017" s="359">
        <f t="shared" si="265"/>
        <v>27.047263157894733</v>
      </c>
      <c r="I2017" s="307" t="s">
        <v>104</v>
      </c>
      <c r="J2017" s="438" t="s">
        <v>96</v>
      </c>
      <c r="K2017" s="359">
        <f>K2013/($I2013/7.7)</f>
        <v>8.6753333333333345</v>
      </c>
      <c r="L2017" s="359">
        <f>L2013/($I2013/7.7)</f>
        <v>5.4427706666666671</v>
      </c>
      <c r="M2017" s="359">
        <f>M2013/($I2013/7.7)</f>
        <v>2.1621600000000001</v>
      </c>
      <c r="N2017" s="359">
        <f>N2013/($I2013/7.7)</f>
        <v>1.2936000000000001</v>
      </c>
      <c r="O2017" s="359">
        <f t="shared" si="266"/>
        <v>17.573864000000004</v>
      </c>
    </row>
    <row r="2018" spans="1:19" x14ac:dyDescent="0.25">
      <c r="B2018" s="307" t="s">
        <v>135</v>
      </c>
      <c r="C2018" s="365" t="s">
        <v>95</v>
      </c>
      <c r="D2018" s="359">
        <f>D2012/((($B2012*$B2008)*(1-$B2005))/$B2003)</f>
        <v>0.21543741448057113</v>
      </c>
      <c r="E2018" s="359">
        <f>E2012/((($B2012*$B2008)*(1-$B2005))/$B2003)</f>
        <v>0.12618429069352582</v>
      </c>
      <c r="F2018" s="359">
        <f>F2012/((($B2012*$B2008)*(1-$B2005))/$B2003)</f>
        <v>8.1234361461465787E-2</v>
      </c>
      <c r="G2018" s="359">
        <f>G2012/((($B2012*$B2008)*(1-$B2005))/$B2003)</f>
        <v>0</v>
      </c>
      <c r="H2018" s="359">
        <f t="shared" si="265"/>
        <v>0.42285606663556274</v>
      </c>
      <c r="I2018" s="307" t="s">
        <v>135</v>
      </c>
      <c r="J2018" s="365" t="s">
        <v>95</v>
      </c>
      <c r="K2018" s="359">
        <f>K2012/((($I2012*$B2008)*(1-$B2005))/$B2003)</f>
        <v>0.22746742714430779</v>
      </c>
      <c r="L2018" s="359">
        <f>L2012/((($I2012*$B2008)*(1-$B2005))/$B2003)</f>
        <v>0.12489269051474364</v>
      </c>
      <c r="M2018" s="359">
        <f>M2012/((($I2012*$B2008)*(1-$B2005))/$B2003)</f>
        <v>6.6417408325132613E-2</v>
      </c>
      <c r="N2018" s="359">
        <f>N2012/((($I2012*$B2008)*(1-$B2005))/$B2003)</f>
        <v>2.0501115428195046E-2</v>
      </c>
      <c r="O2018" s="359">
        <f t="shared" si="266"/>
        <v>0.43927864141237905</v>
      </c>
    </row>
    <row r="2019" spans="1:19" x14ac:dyDescent="0.25">
      <c r="B2019" s="307" t="s">
        <v>135</v>
      </c>
      <c r="C2019" s="438" t="s">
        <v>96</v>
      </c>
      <c r="D2019" s="359">
        <f>D2013/((($B2013*$B2008)*(1-$B2005))/$B2003)</f>
        <v>0.29933456381918655</v>
      </c>
      <c r="E2019" s="359">
        <f>E2013/((($B2013*$B2008)*(1-$B2005))/$B2003)</f>
        <v>0.23951947640184798</v>
      </c>
      <c r="F2019" s="359">
        <f>F2013/((($B2013*$B2008)*(1-$B2005))/$B2003)</f>
        <v>3.7616564000362354E-2</v>
      </c>
      <c r="G2019" s="359">
        <f>G2013/((($B2013*$B2008)*(1-$B2005))/$B2003)</f>
        <v>0</v>
      </c>
      <c r="H2019" s="359">
        <f t="shared" si="265"/>
        <v>0.57647060422139695</v>
      </c>
      <c r="I2019" s="307" t="s">
        <v>135</v>
      </c>
      <c r="J2019" s="438" t="s">
        <v>96</v>
      </c>
      <c r="K2019" s="359">
        <f>K2013/((($I2013*$B2008)*(1-$B2005))/$B2003)</f>
        <v>0.18490131956397016</v>
      </c>
      <c r="L2019" s="359">
        <f>L2013/((($I2013*$B2008)*(1-$B2005))/$B2003)</f>
        <v>0.11600424325874929</v>
      </c>
      <c r="M2019" s="359">
        <f>M2013/((($I2013*$B2008)*(1-$B2005))/$B2003)</f>
        <v>4.6083098106712558E-2</v>
      </c>
      <c r="N2019" s="359">
        <f>N2013/((($I2013*$B2008)*(1-$B2005))/$B2003)</f>
        <v>2.7571084337349398E-2</v>
      </c>
      <c r="O2019" s="359">
        <f t="shared" si="266"/>
        <v>0.37455974526678143</v>
      </c>
    </row>
    <row r="2020" spans="1:19" ht="15.75" thickBot="1" x14ac:dyDescent="0.3">
      <c r="A2020" s="178"/>
      <c r="B2020" s="178"/>
      <c r="C2020" s="178"/>
      <c r="D2020" s="178"/>
      <c r="E2020" s="178"/>
      <c r="F2020" s="178"/>
      <c r="G2020" s="178"/>
      <c r="H2020" s="178"/>
      <c r="I2020" s="178"/>
      <c r="J2020" s="178"/>
      <c r="K2020" s="178"/>
      <c r="L2020" s="178"/>
      <c r="M2020" s="178"/>
      <c r="N2020" s="178"/>
      <c r="O2020" s="178"/>
    </row>
    <row r="2021" spans="1:19" ht="21" x14ac:dyDescent="0.25">
      <c r="A2021" s="305"/>
      <c r="B2021" s="644" t="s">
        <v>557</v>
      </c>
      <c r="C2021" s="645"/>
      <c r="D2021" s="645"/>
      <c r="E2021" s="645"/>
      <c r="F2021" s="645"/>
      <c r="G2021" s="645"/>
      <c r="H2021" s="645"/>
      <c r="I2021" s="645"/>
      <c r="J2021" s="645"/>
      <c r="K2021" s="645"/>
      <c r="L2021" s="645"/>
      <c r="M2021" s="645"/>
      <c r="N2021" s="645"/>
      <c r="O2021" s="646"/>
      <c r="Q2021" s="662" t="s">
        <v>139</v>
      </c>
      <c r="R2021" s="176" t="s">
        <v>140</v>
      </c>
      <c r="S2021" s="663" t="s">
        <v>142</v>
      </c>
    </row>
    <row r="2022" spans="1:19" ht="21.75" thickBot="1" x14ac:dyDescent="0.3">
      <c r="A2022" s="177" t="s">
        <v>285</v>
      </c>
      <c r="B2022" s="647">
        <v>44501</v>
      </c>
      <c r="C2022" s="648"/>
      <c r="D2022" s="648"/>
      <c r="E2022" s="648"/>
      <c r="F2022" s="648"/>
      <c r="G2022" s="648"/>
      <c r="H2022" s="648"/>
      <c r="I2022" s="648"/>
      <c r="J2022" s="648"/>
      <c r="K2022" s="648"/>
      <c r="L2022" s="648"/>
      <c r="M2022" s="648"/>
      <c r="N2022" s="648"/>
      <c r="O2022" s="649"/>
      <c r="Q2022" s="641"/>
      <c r="R2022" s="87" t="s">
        <v>141</v>
      </c>
      <c r="S2022" s="643"/>
    </row>
    <row r="2023" spans="1:19" ht="15.75" thickBot="1" x14ac:dyDescent="0.3">
      <c r="A2023" s="177"/>
      <c r="B2023" s="650" t="s">
        <v>115</v>
      </c>
      <c r="C2023" s="651"/>
      <c r="D2023" s="651"/>
      <c r="E2023" s="651"/>
      <c r="F2023" s="651"/>
      <c r="G2023" s="651"/>
      <c r="H2023" s="651"/>
      <c r="I2023" s="651"/>
      <c r="J2023" s="651"/>
      <c r="K2023" s="651"/>
      <c r="L2023" s="651"/>
      <c r="M2023" s="651"/>
      <c r="N2023" s="651"/>
      <c r="O2023" s="652"/>
      <c r="Q2023" s="147" t="s">
        <v>143</v>
      </c>
      <c r="R2023" s="88">
        <v>7.5</v>
      </c>
      <c r="S2023" s="87" t="s">
        <v>566</v>
      </c>
    </row>
    <row r="2024" spans="1:19" ht="15.75" thickBot="1" x14ac:dyDescent="0.3">
      <c r="A2024" s="177" t="s">
        <v>106</v>
      </c>
      <c r="B2024" s="629">
        <v>14</v>
      </c>
      <c r="C2024" s="630"/>
      <c r="D2024" s="630"/>
      <c r="E2024" s="631"/>
      <c r="F2024" s="365" t="s">
        <v>174</v>
      </c>
      <c r="G2024" s="471"/>
      <c r="H2024" s="653">
        <v>0</v>
      </c>
      <c r="I2024" s="654"/>
      <c r="J2024" s="654"/>
      <c r="K2024" s="654"/>
      <c r="L2024" s="655"/>
      <c r="M2024" s="656">
        <f>SUM(B2024,H2025)</f>
        <v>14</v>
      </c>
      <c r="N2024" s="630"/>
      <c r="O2024" s="631"/>
      <c r="Q2024" s="147" t="s">
        <v>145</v>
      </c>
      <c r="R2024" s="88">
        <v>8</v>
      </c>
      <c r="S2024" s="89" t="s">
        <v>573</v>
      </c>
    </row>
    <row r="2025" spans="1:19" ht="15.75" thickBot="1" x14ac:dyDescent="0.3">
      <c r="A2025" s="177" t="s">
        <v>112</v>
      </c>
      <c r="B2025" s="626">
        <v>0.17</v>
      </c>
      <c r="C2025" s="627"/>
      <c r="D2025" s="627"/>
      <c r="E2025" s="628"/>
      <c r="F2025" s="290"/>
      <c r="G2025" s="472"/>
      <c r="H2025" s="626">
        <v>0</v>
      </c>
      <c r="I2025" s="627"/>
      <c r="J2025" s="627"/>
      <c r="K2025" s="627"/>
      <c r="L2025" s="628"/>
      <c r="M2025" s="657">
        <f>B2025</f>
        <v>0.17</v>
      </c>
      <c r="N2025" s="627"/>
      <c r="O2025" s="628"/>
      <c r="Q2025" s="147" t="s">
        <v>147</v>
      </c>
      <c r="R2025" s="88">
        <v>8</v>
      </c>
      <c r="S2025" s="87" t="s">
        <v>411</v>
      </c>
    </row>
    <row r="2026" spans="1:19" ht="29.25" thickBot="1" x14ac:dyDescent="0.3">
      <c r="A2026" s="177" t="s">
        <v>107</v>
      </c>
      <c r="B2026" s="629">
        <f>B2024*(1-B2025)</f>
        <v>11.62</v>
      </c>
      <c r="C2026" s="630"/>
      <c r="D2026" s="630"/>
      <c r="E2026" s="631"/>
      <c r="F2026" s="290"/>
      <c r="G2026" s="472"/>
      <c r="H2026" s="629">
        <f>H2024*(1-H2025)</f>
        <v>0</v>
      </c>
      <c r="I2026" s="630"/>
      <c r="J2026" s="630"/>
      <c r="K2026" s="630"/>
      <c r="L2026" s="631"/>
      <c r="M2026" s="656">
        <f>SUM(B2026,H2026)</f>
        <v>11.62</v>
      </c>
      <c r="N2026" s="630"/>
      <c r="O2026" s="631"/>
      <c r="Q2026" s="147" t="s">
        <v>82</v>
      </c>
      <c r="R2026" s="88">
        <v>8.5</v>
      </c>
      <c r="S2026" s="89" t="s">
        <v>574</v>
      </c>
    </row>
    <row r="2027" spans="1:19" ht="15.75" thickBot="1" x14ac:dyDescent="0.3">
      <c r="A2027" s="177" t="s">
        <v>108</v>
      </c>
      <c r="B2027" s="626">
        <f>B2030/B2026</f>
        <v>0.81898795180722883</v>
      </c>
      <c r="C2027" s="627"/>
      <c r="D2027" s="627"/>
      <c r="E2027" s="627"/>
      <c r="F2027" s="627"/>
      <c r="G2027" s="627"/>
      <c r="H2027" s="627"/>
      <c r="I2027" s="627"/>
      <c r="J2027" s="627"/>
      <c r="K2027" s="627"/>
      <c r="L2027" s="627"/>
      <c r="M2027" s="627"/>
      <c r="N2027" s="627"/>
      <c r="O2027" s="628"/>
      <c r="Q2027" s="147" t="s">
        <v>152</v>
      </c>
      <c r="R2027" s="88">
        <v>8</v>
      </c>
      <c r="S2027" s="89" t="s">
        <v>519</v>
      </c>
    </row>
    <row r="2028" spans="1:19" ht="15.75" thickBot="1" x14ac:dyDescent="0.3">
      <c r="A2028" s="177" t="s">
        <v>113</v>
      </c>
      <c r="B2028" s="629">
        <f>B2032*(B2036+B2037+I2036+I2037)/1000</f>
        <v>29.7395</v>
      </c>
      <c r="C2028" s="630"/>
      <c r="D2028" s="630"/>
      <c r="E2028" s="630"/>
      <c r="F2028" s="630"/>
      <c r="G2028" s="630"/>
      <c r="H2028" s="630"/>
      <c r="I2028" s="630"/>
      <c r="J2028" s="630"/>
      <c r="K2028" s="630"/>
      <c r="L2028" s="630"/>
      <c r="M2028" s="630"/>
      <c r="N2028" s="630"/>
      <c r="O2028" s="631"/>
      <c r="Q2028" s="147" t="s">
        <v>154</v>
      </c>
      <c r="R2028" s="88">
        <v>8</v>
      </c>
      <c r="S2028" s="87" t="s">
        <v>520</v>
      </c>
    </row>
    <row r="2029" spans="1:19" ht="29.25" thickBot="1" x14ac:dyDescent="0.3">
      <c r="A2029" s="177" t="s">
        <v>109</v>
      </c>
      <c r="B2029" s="626">
        <v>0.68</v>
      </c>
      <c r="C2029" s="627"/>
      <c r="D2029" s="627"/>
      <c r="E2029" s="627"/>
      <c r="F2029" s="627"/>
      <c r="G2029" s="627"/>
      <c r="H2029" s="627"/>
      <c r="I2029" s="627"/>
      <c r="J2029" s="627"/>
      <c r="K2029" s="627"/>
      <c r="L2029" s="627"/>
      <c r="M2029" s="627"/>
      <c r="N2029" s="627"/>
      <c r="O2029" s="628"/>
      <c r="Q2029" s="147" t="s">
        <v>156</v>
      </c>
      <c r="R2029" s="88">
        <v>8</v>
      </c>
      <c r="S2029" s="87" t="s">
        <v>480</v>
      </c>
    </row>
    <row r="2030" spans="1:19" ht="15.75" thickBot="1" x14ac:dyDescent="0.3">
      <c r="A2030" s="177" t="s">
        <v>122</v>
      </c>
      <c r="B2030" s="629">
        <f>B2028-(B2028*B2029)</f>
        <v>9.5166399999999989</v>
      </c>
      <c r="C2030" s="630"/>
      <c r="D2030" s="630"/>
      <c r="E2030" s="630"/>
      <c r="F2030" s="630"/>
      <c r="G2030" s="630"/>
      <c r="H2030" s="630"/>
      <c r="I2030" s="630"/>
      <c r="J2030" s="630"/>
      <c r="K2030" s="630"/>
      <c r="L2030" s="630"/>
      <c r="M2030" s="630"/>
      <c r="N2030" s="630"/>
      <c r="O2030" s="631"/>
      <c r="Q2030" s="147" t="s">
        <v>158</v>
      </c>
      <c r="R2030" s="88"/>
      <c r="S2030" s="87"/>
    </row>
    <row r="2031" spans="1:19" ht="15.75" thickBot="1" x14ac:dyDescent="0.3">
      <c r="A2031" s="177" t="s">
        <v>110</v>
      </c>
      <c r="B2031" s="632">
        <v>125</v>
      </c>
      <c r="C2031" s="633"/>
      <c r="D2031" s="633"/>
      <c r="E2031" s="633"/>
      <c r="F2031" s="633"/>
      <c r="G2031" s="633"/>
      <c r="H2031" s="633"/>
      <c r="I2031" s="633"/>
      <c r="J2031" s="633"/>
      <c r="K2031" s="633"/>
      <c r="L2031" s="633"/>
      <c r="M2031" s="633"/>
      <c r="N2031" s="633"/>
      <c r="O2031" s="634"/>
      <c r="Q2031" s="451" t="s">
        <v>99</v>
      </c>
      <c r="R2031" s="87" t="s">
        <v>572</v>
      </c>
      <c r="S2031" s="148">
        <v>0.8</v>
      </c>
    </row>
    <row r="2032" spans="1:19" x14ac:dyDescent="0.25">
      <c r="A2032" s="177" t="s">
        <v>111</v>
      </c>
      <c r="B2032" s="635">
        <v>14.5</v>
      </c>
      <c r="C2032" s="636"/>
      <c r="D2032" s="636"/>
      <c r="E2032" s="636"/>
      <c r="F2032" s="636"/>
      <c r="G2032" s="636"/>
      <c r="H2032" s="636"/>
      <c r="I2032" s="636"/>
      <c r="J2032" s="636"/>
      <c r="K2032" s="636"/>
      <c r="L2032" s="636"/>
      <c r="M2032" s="636"/>
      <c r="N2032" s="636"/>
      <c r="O2032" s="637"/>
    </row>
    <row r="2033" spans="1:19" x14ac:dyDescent="0.25">
      <c r="A2033" s="177" t="s">
        <v>273</v>
      </c>
      <c r="B2033" s="638" t="s">
        <v>626</v>
      </c>
      <c r="C2033" s="638"/>
      <c r="D2033" s="638"/>
      <c r="E2033" s="638"/>
      <c r="F2033" s="638"/>
      <c r="G2033" s="638"/>
      <c r="H2033" s="638"/>
      <c r="I2033" s="638"/>
      <c r="J2033" s="638"/>
      <c r="K2033" s="638"/>
      <c r="L2033" s="638"/>
      <c r="M2033" s="638"/>
      <c r="N2033" s="638"/>
      <c r="O2033" s="639"/>
    </row>
    <row r="2034" spans="1:19" x14ac:dyDescent="0.25">
      <c r="A2034" s="177" t="s">
        <v>351</v>
      </c>
      <c r="B2034" s="431"/>
      <c r="C2034" s="431"/>
      <c r="D2034" s="431"/>
      <c r="E2034" s="431"/>
      <c r="F2034" s="431"/>
      <c r="G2034" s="431"/>
      <c r="H2034" s="431"/>
      <c r="I2034" s="431"/>
      <c r="J2034" s="431"/>
      <c r="K2034" s="431"/>
      <c r="L2034" s="431"/>
      <c r="M2034" s="431"/>
      <c r="N2034" s="431"/>
      <c r="O2034" s="432"/>
    </row>
    <row r="2035" spans="1:19" x14ac:dyDescent="0.25">
      <c r="B2035" s="307" t="s">
        <v>98</v>
      </c>
      <c r="C2035" s="365" t="s">
        <v>102</v>
      </c>
      <c r="D2035" s="365" t="s">
        <v>92</v>
      </c>
      <c r="E2035" s="365" t="s">
        <v>93</v>
      </c>
      <c r="F2035" s="365" t="s">
        <v>94</v>
      </c>
      <c r="G2035" s="365" t="s">
        <v>549</v>
      </c>
      <c r="H2035" s="359" t="s">
        <v>99</v>
      </c>
      <c r="I2035" s="307" t="s">
        <v>98</v>
      </c>
      <c r="J2035" s="365" t="s">
        <v>102</v>
      </c>
      <c r="K2035" s="365" t="s">
        <v>92</v>
      </c>
      <c r="L2035" s="365" t="s">
        <v>93</v>
      </c>
      <c r="M2035" s="365" t="s">
        <v>94</v>
      </c>
      <c r="N2035" s="365" t="s">
        <v>549</v>
      </c>
      <c r="O2035" s="359" t="s">
        <v>99</v>
      </c>
    </row>
    <row r="2036" spans="1:19" x14ac:dyDescent="0.25">
      <c r="B2036" s="308">
        <v>948</v>
      </c>
      <c r="C2036" s="365" t="s">
        <v>95</v>
      </c>
      <c r="D2036" s="441">
        <v>1120.8800000000001</v>
      </c>
      <c r="E2036" s="441">
        <v>585.69000000000005</v>
      </c>
      <c r="F2036" s="441">
        <v>238.13</v>
      </c>
      <c r="G2036" s="441">
        <v>0</v>
      </c>
      <c r="H2036" s="359">
        <f>SUM(D2036:G2036)</f>
        <v>1944.7000000000003</v>
      </c>
      <c r="I2036" s="308">
        <v>947</v>
      </c>
      <c r="J2036" s="365" t="s">
        <v>95</v>
      </c>
      <c r="K2036" s="441">
        <v>1114.53</v>
      </c>
      <c r="L2036" s="441">
        <v>813.8</v>
      </c>
      <c r="M2036" s="441">
        <v>338.23</v>
      </c>
      <c r="N2036" s="441">
        <v>0</v>
      </c>
      <c r="O2036" s="359">
        <f>SUM(K2036:N2036)</f>
        <v>2266.56</v>
      </c>
    </row>
    <row r="2037" spans="1:19" x14ac:dyDescent="0.25">
      <c r="B2037" s="308">
        <v>75</v>
      </c>
      <c r="C2037" s="365" t="s">
        <v>96</v>
      </c>
      <c r="D2037" s="441">
        <v>120.9</v>
      </c>
      <c r="E2037" s="441">
        <v>96.3</v>
      </c>
      <c r="F2037" s="441">
        <v>5.1100000000000003</v>
      </c>
      <c r="G2037" s="441">
        <v>0</v>
      </c>
      <c r="H2037" s="359">
        <f t="shared" ref="H2037:H2043" si="269">SUM(D2037:G2037)</f>
        <v>222.31</v>
      </c>
      <c r="I2037" s="308">
        <v>81</v>
      </c>
      <c r="J2037" s="365" t="s">
        <v>96</v>
      </c>
      <c r="K2037" s="441">
        <v>75.14</v>
      </c>
      <c r="L2037" s="441">
        <v>60.98</v>
      </c>
      <c r="M2037" s="441">
        <v>0</v>
      </c>
      <c r="N2037" s="441">
        <v>0</v>
      </c>
      <c r="O2037" s="359">
        <f t="shared" ref="O2037:O2043" si="270">SUM(K2037:N2037)</f>
        <v>136.12</v>
      </c>
    </row>
    <row r="2038" spans="1:19" x14ac:dyDescent="0.25">
      <c r="B2038" s="307" t="s">
        <v>100</v>
      </c>
      <c r="C2038" s="365" t="s">
        <v>95</v>
      </c>
      <c r="D2038" s="444">
        <f t="shared" ref="D2038:G2039" si="271">D2036/$B2036</f>
        <v>1.1823628691983123</v>
      </c>
      <c r="E2038" s="429">
        <f t="shared" si="271"/>
        <v>0.61781645569620258</v>
      </c>
      <c r="F2038" s="429">
        <f t="shared" si="271"/>
        <v>0.25119198312236285</v>
      </c>
      <c r="G2038" s="429">
        <f t="shared" si="271"/>
        <v>0</v>
      </c>
      <c r="H2038" s="359">
        <f t="shared" si="269"/>
        <v>2.0513713080168778</v>
      </c>
      <c r="I2038" s="307" t="s">
        <v>100</v>
      </c>
      <c r="J2038" s="365" t="s">
        <v>95</v>
      </c>
      <c r="K2038" s="444">
        <f t="shared" ref="K2038:N2039" si="272">K2036/$I2036</f>
        <v>1.1769060190073917</v>
      </c>
      <c r="L2038" s="429">
        <f t="shared" si="272"/>
        <v>0.85934530095036954</v>
      </c>
      <c r="M2038" s="429">
        <f t="shared" si="272"/>
        <v>0.35715945089757128</v>
      </c>
      <c r="N2038" s="429">
        <f t="shared" si="272"/>
        <v>0</v>
      </c>
      <c r="O2038" s="359">
        <f t="shared" si="270"/>
        <v>2.3934107708553327</v>
      </c>
    </row>
    <row r="2039" spans="1:19" x14ac:dyDescent="0.25">
      <c r="B2039" s="307" t="s">
        <v>100</v>
      </c>
      <c r="C2039" s="438" t="s">
        <v>96</v>
      </c>
      <c r="D2039" s="359">
        <f t="shared" si="271"/>
        <v>1.6120000000000001</v>
      </c>
      <c r="E2039" s="359">
        <f t="shared" si="271"/>
        <v>1.284</v>
      </c>
      <c r="F2039" s="359">
        <f t="shared" si="271"/>
        <v>6.8133333333333337E-2</v>
      </c>
      <c r="G2039" s="359">
        <f t="shared" si="271"/>
        <v>0</v>
      </c>
      <c r="H2039" s="359">
        <f t="shared" si="269"/>
        <v>2.9641333333333333</v>
      </c>
      <c r="I2039" s="307" t="s">
        <v>100</v>
      </c>
      <c r="J2039" s="438" t="s">
        <v>96</v>
      </c>
      <c r="K2039" s="359">
        <f t="shared" si="272"/>
        <v>0.92765432098765432</v>
      </c>
      <c r="L2039" s="359">
        <f t="shared" si="272"/>
        <v>0.75283950617283946</v>
      </c>
      <c r="M2039" s="359">
        <f t="shared" si="272"/>
        <v>0</v>
      </c>
      <c r="N2039" s="359">
        <f t="shared" si="272"/>
        <v>0</v>
      </c>
      <c r="O2039" s="359">
        <f t="shared" si="270"/>
        <v>1.6804938271604937</v>
      </c>
    </row>
    <row r="2040" spans="1:19" x14ac:dyDescent="0.25">
      <c r="B2040" s="307" t="s">
        <v>104</v>
      </c>
      <c r="C2040" s="365" t="s">
        <v>95</v>
      </c>
      <c r="D2040" s="359">
        <f>D2036/($B2036/7.7)</f>
        <v>9.1041940928270044</v>
      </c>
      <c r="E2040" s="359">
        <f>E2036/($B2036/7)</f>
        <v>4.3247151898734186</v>
      </c>
      <c r="F2040" s="359">
        <f>F2036/($B2036/7)</f>
        <v>1.7583438818565402</v>
      </c>
      <c r="G2040" s="359">
        <f>G2036/($B2036/7)</f>
        <v>0</v>
      </c>
      <c r="H2040" s="359">
        <f t="shared" si="269"/>
        <v>15.187253164556964</v>
      </c>
      <c r="I2040" s="307" t="s">
        <v>104</v>
      </c>
      <c r="J2040" s="365" t="s">
        <v>95</v>
      </c>
      <c r="K2040" s="359">
        <f>K2036/($I2036/7.7)</f>
        <v>9.0621763463569156</v>
      </c>
      <c r="L2040" s="359">
        <f>L2036/($I2036/7)</f>
        <v>6.0154171066525874</v>
      </c>
      <c r="M2040" s="359">
        <f>M2036/($I2036/7)</f>
        <v>2.5001161562829992</v>
      </c>
      <c r="N2040" s="359">
        <f>N2036/($I2036/7)</f>
        <v>0</v>
      </c>
      <c r="O2040" s="359">
        <f t="shared" si="270"/>
        <v>17.577709609292501</v>
      </c>
    </row>
    <row r="2041" spans="1:19" x14ac:dyDescent="0.25">
      <c r="B2041" s="307" t="s">
        <v>104</v>
      </c>
      <c r="C2041" s="438" t="s">
        <v>96</v>
      </c>
      <c r="D2041" s="359">
        <f>D2037/($B2037/7.7)</f>
        <v>12.412400000000002</v>
      </c>
      <c r="E2041" s="359">
        <f>E2037/($B2037/7.7)</f>
        <v>9.8868000000000009</v>
      </c>
      <c r="F2041" s="359">
        <f>F2037/($B2037/7.7)</f>
        <v>0.52462666666666669</v>
      </c>
      <c r="G2041" s="359">
        <f>G2037/($B2037/7.7)</f>
        <v>0</v>
      </c>
      <c r="H2041" s="359">
        <f t="shared" si="269"/>
        <v>22.823826666666669</v>
      </c>
      <c r="I2041" s="307" t="s">
        <v>104</v>
      </c>
      <c r="J2041" s="438" t="s">
        <v>96</v>
      </c>
      <c r="K2041" s="359">
        <f>K2037/($I2037/7.7)</f>
        <v>7.1429382716049385</v>
      </c>
      <c r="L2041" s="359">
        <f>L2037/($I2037/7.7)</f>
        <v>5.7968641975308639</v>
      </c>
      <c r="M2041" s="359">
        <f>M2037/($I2037/7.7)</f>
        <v>0</v>
      </c>
      <c r="N2041" s="359">
        <f>N2037/($I2037/7.7)</f>
        <v>0</v>
      </c>
      <c r="O2041" s="359">
        <f t="shared" si="270"/>
        <v>12.939802469135802</v>
      </c>
    </row>
    <row r="2042" spans="1:19" x14ac:dyDescent="0.25">
      <c r="B2042" s="307" t="s">
        <v>135</v>
      </c>
      <c r="C2042" s="365" t="s">
        <v>95</v>
      </c>
      <c r="D2042" s="359">
        <f>D2036/((($B2036*$B2032)*(1-$B2029))/$B2027)</f>
        <v>0.20869416908138888</v>
      </c>
      <c r="E2042" s="359">
        <f>E2036/((($B2036*$B2032)*(1-$B2029))/$B2027)</f>
        <v>0.10904832621625744</v>
      </c>
      <c r="F2042" s="359">
        <f>F2036/((($B2036*$B2032)*(1-$B2029))/$B2027)</f>
        <v>4.4336898225814651E-2</v>
      </c>
      <c r="G2042" s="359">
        <f>G2036/((($B2036*$B2032)*(1-$B2029))/$B2027)</f>
        <v>0</v>
      </c>
      <c r="H2042" s="359">
        <f t="shared" si="269"/>
        <v>0.36207939352346097</v>
      </c>
      <c r="I2042" s="307" t="s">
        <v>135</v>
      </c>
      <c r="J2042" s="365" t="s">
        <v>95</v>
      </c>
      <c r="K2042" s="359">
        <f>K2036/((($I2036*$B2032)*(1-$B2029))/$B2027)</f>
        <v>0.20773100215009987</v>
      </c>
      <c r="L2042" s="359">
        <f>L2036/((($I2036*$B2032)*(1-$B2029))/$B2027)</f>
        <v>0.15167962239666163</v>
      </c>
      <c r="M2042" s="359">
        <f>M2036/((($I2036*$B2032)*(1-$B2029))/$B2027)</f>
        <v>6.3040794646378545E-2</v>
      </c>
      <c r="N2042" s="359">
        <f>N2036/((($I2036*$B2032)*(1-$B2029))/$B2027)</f>
        <v>0</v>
      </c>
      <c r="O2042" s="359">
        <f t="shared" si="270"/>
        <v>0.42245141919314011</v>
      </c>
    </row>
    <row r="2043" spans="1:19" x14ac:dyDescent="0.25">
      <c r="B2043" s="307" t="s">
        <v>135</v>
      </c>
      <c r="C2043" s="438" t="s">
        <v>96</v>
      </c>
      <c r="D2043" s="359">
        <f>D2037/((($B2037*$B2032)*(1-$B2029))/$B2027)</f>
        <v>0.28452771084337353</v>
      </c>
      <c r="E2043" s="359">
        <f>E2037/((($B2037*$B2032)*(1-$B2029))/$B2027)</f>
        <v>0.22663373493975902</v>
      </c>
      <c r="F2043" s="359">
        <f>F2037/((($B2037*$B2032)*(1-$B2029))/$B2027)</f>
        <v>1.2025943775100403E-2</v>
      </c>
      <c r="G2043" s="359">
        <f>G2037/((($B2037*$B2032)*(1-$B2029))/$B2027)</f>
        <v>0</v>
      </c>
      <c r="H2043" s="359">
        <f t="shared" si="269"/>
        <v>0.52318738955823296</v>
      </c>
      <c r="I2043" s="307" t="s">
        <v>135</v>
      </c>
      <c r="J2043" s="438" t="s">
        <v>96</v>
      </c>
      <c r="K2043" s="359">
        <f>K2037/((($I2037*$B2032)*(1-$B2029))/$B2027)</f>
        <v>0.1637365759333631</v>
      </c>
      <c r="L2043" s="359">
        <f>L2037/((($I2037*$B2032)*(1-$B2029))/$B2027)</f>
        <v>0.13288070801725421</v>
      </c>
      <c r="M2043" s="359">
        <f>M2037/((($I2037*$B2032)*(1-$B2029))/$B2027)</f>
        <v>0</v>
      </c>
      <c r="N2043" s="359">
        <f>N2037/((($I2037*$B2032)*(1-$B2029))/$B2027)</f>
        <v>0</v>
      </c>
      <c r="O2043" s="359">
        <f t="shared" si="270"/>
        <v>0.29661728395061732</v>
      </c>
    </row>
    <row r="2044" spans="1:19" ht="15.75" thickBot="1" x14ac:dyDescent="0.3">
      <c r="A2044" s="178"/>
      <c r="B2044" s="178"/>
      <c r="C2044" s="178"/>
      <c r="D2044" s="178"/>
      <c r="E2044" s="178"/>
      <c r="F2044" s="178"/>
      <c r="G2044" s="178"/>
      <c r="H2044" s="178"/>
      <c r="I2044" s="178"/>
      <c r="J2044" s="178"/>
      <c r="K2044" s="178"/>
      <c r="L2044" s="178"/>
      <c r="M2044" s="178"/>
      <c r="N2044" s="178"/>
      <c r="O2044" s="178"/>
    </row>
    <row r="2045" spans="1:19" ht="21" x14ac:dyDescent="0.25">
      <c r="A2045" s="305"/>
      <c r="B2045" s="644" t="s">
        <v>558</v>
      </c>
      <c r="C2045" s="645"/>
      <c r="D2045" s="645"/>
      <c r="E2045" s="645"/>
      <c r="F2045" s="645"/>
      <c r="G2045" s="645"/>
      <c r="H2045" s="645"/>
      <c r="I2045" s="645"/>
      <c r="J2045" s="645"/>
      <c r="K2045" s="645"/>
      <c r="L2045" s="645"/>
      <c r="M2045" s="645"/>
      <c r="N2045" s="645"/>
      <c r="O2045" s="646"/>
      <c r="Q2045" s="662" t="s">
        <v>139</v>
      </c>
      <c r="R2045" s="176" t="s">
        <v>140</v>
      </c>
      <c r="S2045" s="663" t="s">
        <v>142</v>
      </c>
    </row>
    <row r="2046" spans="1:19" ht="21.75" thickBot="1" x14ac:dyDescent="0.3">
      <c r="A2046" s="177" t="s">
        <v>285</v>
      </c>
      <c r="B2046" s="647">
        <v>44515</v>
      </c>
      <c r="C2046" s="648"/>
      <c r="D2046" s="648"/>
      <c r="E2046" s="648"/>
      <c r="F2046" s="648"/>
      <c r="G2046" s="648"/>
      <c r="H2046" s="648"/>
      <c r="I2046" s="648"/>
      <c r="J2046" s="648"/>
      <c r="K2046" s="648"/>
      <c r="L2046" s="648"/>
      <c r="M2046" s="648"/>
      <c r="N2046" s="648"/>
      <c r="O2046" s="649"/>
      <c r="Q2046" s="641"/>
      <c r="R2046" s="87" t="s">
        <v>141</v>
      </c>
      <c r="S2046" s="643"/>
    </row>
    <row r="2047" spans="1:19" ht="15.75" thickBot="1" x14ac:dyDescent="0.3">
      <c r="A2047" s="177"/>
      <c r="B2047" s="650" t="s">
        <v>115</v>
      </c>
      <c r="C2047" s="651"/>
      <c r="D2047" s="651"/>
      <c r="E2047" s="651"/>
      <c r="F2047" s="651"/>
      <c r="G2047" s="651"/>
      <c r="H2047" s="651"/>
      <c r="I2047" s="651"/>
      <c r="J2047" s="651"/>
      <c r="K2047" s="651"/>
      <c r="L2047" s="651"/>
      <c r="M2047" s="651"/>
      <c r="N2047" s="651"/>
      <c r="O2047" s="652"/>
      <c r="Q2047" s="147" t="s">
        <v>143</v>
      </c>
      <c r="R2047" s="88">
        <v>8</v>
      </c>
      <c r="S2047" s="87" t="s">
        <v>576</v>
      </c>
    </row>
    <row r="2048" spans="1:19" ht="15.75" thickBot="1" x14ac:dyDescent="0.3">
      <c r="A2048" s="177" t="s">
        <v>106</v>
      </c>
      <c r="B2048" s="629">
        <v>15.5</v>
      </c>
      <c r="C2048" s="630"/>
      <c r="D2048" s="630"/>
      <c r="E2048" s="631"/>
      <c r="F2048" s="365" t="s">
        <v>174</v>
      </c>
      <c r="G2048" s="471"/>
      <c r="H2048" s="653">
        <v>0</v>
      </c>
      <c r="I2048" s="654"/>
      <c r="J2048" s="654"/>
      <c r="K2048" s="654"/>
      <c r="L2048" s="655"/>
      <c r="M2048" s="656">
        <f>SUM(B2048,H2049)</f>
        <v>15.5</v>
      </c>
      <c r="N2048" s="630"/>
      <c r="O2048" s="631"/>
      <c r="Q2048" s="147" t="s">
        <v>145</v>
      </c>
      <c r="R2048" s="88">
        <v>8</v>
      </c>
      <c r="S2048" s="89" t="s">
        <v>573</v>
      </c>
    </row>
    <row r="2049" spans="1:19" ht="15.75" thickBot="1" x14ac:dyDescent="0.3">
      <c r="A2049" s="177" t="s">
        <v>112</v>
      </c>
      <c r="B2049" s="626">
        <v>0.21</v>
      </c>
      <c r="C2049" s="627"/>
      <c r="D2049" s="627"/>
      <c r="E2049" s="628"/>
      <c r="F2049" s="290"/>
      <c r="G2049" s="472"/>
      <c r="H2049" s="626">
        <v>0</v>
      </c>
      <c r="I2049" s="627"/>
      <c r="J2049" s="627"/>
      <c r="K2049" s="627"/>
      <c r="L2049" s="628"/>
      <c r="M2049" s="657">
        <f>B2049</f>
        <v>0.21</v>
      </c>
      <c r="N2049" s="627"/>
      <c r="O2049" s="628"/>
      <c r="Q2049" s="147" t="s">
        <v>147</v>
      </c>
      <c r="R2049" s="88">
        <v>7</v>
      </c>
      <c r="S2049" s="87" t="s">
        <v>411</v>
      </c>
    </row>
    <row r="2050" spans="1:19" ht="29.25" thickBot="1" x14ac:dyDescent="0.3">
      <c r="A2050" s="177" t="s">
        <v>107</v>
      </c>
      <c r="B2050" s="629">
        <f>B2048*(1-B2049)</f>
        <v>12.245000000000001</v>
      </c>
      <c r="C2050" s="630"/>
      <c r="D2050" s="630"/>
      <c r="E2050" s="631"/>
      <c r="F2050" s="290"/>
      <c r="G2050" s="472"/>
      <c r="H2050" s="629">
        <f>H2048*(1-H2049)</f>
        <v>0</v>
      </c>
      <c r="I2050" s="630"/>
      <c r="J2050" s="630"/>
      <c r="K2050" s="630"/>
      <c r="L2050" s="631"/>
      <c r="M2050" s="656">
        <f>SUM(B2050,H2050)</f>
        <v>12.245000000000001</v>
      </c>
      <c r="N2050" s="630"/>
      <c r="O2050" s="631"/>
      <c r="Q2050" s="147" t="s">
        <v>82</v>
      </c>
      <c r="R2050" s="88">
        <v>8</v>
      </c>
      <c r="S2050" s="89" t="s">
        <v>529</v>
      </c>
    </row>
    <row r="2051" spans="1:19" ht="15.75" thickBot="1" x14ac:dyDescent="0.3">
      <c r="A2051" s="177" t="s">
        <v>108</v>
      </c>
      <c r="B2051" s="626">
        <f>B2054/B2050</f>
        <v>0.76392323397304995</v>
      </c>
      <c r="C2051" s="627"/>
      <c r="D2051" s="627"/>
      <c r="E2051" s="627"/>
      <c r="F2051" s="627"/>
      <c r="G2051" s="627"/>
      <c r="H2051" s="627"/>
      <c r="I2051" s="627"/>
      <c r="J2051" s="627"/>
      <c r="K2051" s="627"/>
      <c r="L2051" s="627"/>
      <c r="M2051" s="627"/>
      <c r="N2051" s="627"/>
      <c r="O2051" s="628"/>
      <c r="Q2051" s="147" t="s">
        <v>152</v>
      </c>
      <c r="R2051" s="88">
        <v>8</v>
      </c>
      <c r="S2051" s="89" t="s">
        <v>519</v>
      </c>
    </row>
    <row r="2052" spans="1:19" ht="15.75" thickBot="1" x14ac:dyDescent="0.3">
      <c r="A2052" s="177" t="s">
        <v>113</v>
      </c>
      <c r="B2052" s="629">
        <f>B2056*(B2060+B2061+I2060+I2061)/1000</f>
        <v>29.231999999999999</v>
      </c>
      <c r="C2052" s="630"/>
      <c r="D2052" s="630"/>
      <c r="E2052" s="630"/>
      <c r="F2052" s="630"/>
      <c r="G2052" s="630"/>
      <c r="H2052" s="630"/>
      <c r="I2052" s="630"/>
      <c r="J2052" s="630"/>
      <c r="K2052" s="630"/>
      <c r="L2052" s="630"/>
      <c r="M2052" s="630"/>
      <c r="N2052" s="630"/>
      <c r="O2052" s="631"/>
      <c r="Q2052" s="147" t="s">
        <v>154</v>
      </c>
      <c r="R2052" s="88">
        <v>8</v>
      </c>
      <c r="S2052" s="87" t="s">
        <v>520</v>
      </c>
    </row>
    <row r="2053" spans="1:19" ht="29.25" thickBot="1" x14ac:dyDescent="0.3">
      <c r="A2053" s="177" t="s">
        <v>109</v>
      </c>
      <c r="B2053" s="626">
        <v>0.68</v>
      </c>
      <c r="C2053" s="627"/>
      <c r="D2053" s="627"/>
      <c r="E2053" s="627"/>
      <c r="F2053" s="627"/>
      <c r="G2053" s="627"/>
      <c r="H2053" s="627"/>
      <c r="I2053" s="627"/>
      <c r="J2053" s="627"/>
      <c r="K2053" s="627"/>
      <c r="L2053" s="627"/>
      <c r="M2053" s="627"/>
      <c r="N2053" s="627"/>
      <c r="O2053" s="628"/>
      <c r="Q2053" s="147" t="s">
        <v>156</v>
      </c>
      <c r="R2053" s="88">
        <v>8</v>
      </c>
      <c r="S2053" s="87" t="s">
        <v>577</v>
      </c>
    </row>
    <row r="2054" spans="1:19" ht="15.75" thickBot="1" x14ac:dyDescent="0.3">
      <c r="A2054" s="177" t="s">
        <v>122</v>
      </c>
      <c r="B2054" s="629">
        <f>B2052-(B2052*B2053)</f>
        <v>9.3542399999999972</v>
      </c>
      <c r="C2054" s="630"/>
      <c r="D2054" s="630"/>
      <c r="E2054" s="630"/>
      <c r="F2054" s="630"/>
      <c r="G2054" s="630"/>
      <c r="H2054" s="630"/>
      <c r="I2054" s="630"/>
      <c r="J2054" s="630"/>
      <c r="K2054" s="630"/>
      <c r="L2054" s="630"/>
      <c r="M2054" s="630"/>
      <c r="N2054" s="630"/>
      <c r="O2054" s="631"/>
      <c r="Q2054" s="147" t="s">
        <v>158</v>
      </c>
      <c r="R2054" s="88"/>
      <c r="S2054" s="87"/>
    </row>
    <row r="2055" spans="1:19" ht="15.75" thickBot="1" x14ac:dyDescent="0.3">
      <c r="A2055" s="177" t="s">
        <v>110</v>
      </c>
      <c r="B2055" s="632">
        <v>125</v>
      </c>
      <c r="C2055" s="633"/>
      <c r="D2055" s="633"/>
      <c r="E2055" s="633"/>
      <c r="F2055" s="633"/>
      <c r="G2055" s="633"/>
      <c r="H2055" s="633"/>
      <c r="I2055" s="633"/>
      <c r="J2055" s="633"/>
      <c r="K2055" s="633"/>
      <c r="L2055" s="633"/>
      <c r="M2055" s="633"/>
      <c r="N2055" s="633"/>
      <c r="O2055" s="634"/>
      <c r="Q2055" s="451" t="s">
        <v>99</v>
      </c>
      <c r="R2055" s="87" t="s">
        <v>522</v>
      </c>
      <c r="S2055" s="117">
        <v>0.78500000000000003</v>
      </c>
    </row>
    <row r="2056" spans="1:19" x14ac:dyDescent="0.25">
      <c r="A2056" s="177" t="s">
        <v>111</v>
      </c>
      <c r="B2056" s="635">
        <v>14.5</v>
      </c>
      <c r="C2056" s="636"/>
      <c r="D2056" s="636"/>
      <c r="E2056" s="636"/>
      <c r="F2056" s="636"/>
      <c r="G2056" s="636"/>
      <c r="H2056" s="636"/>
      <c r="I2056" s="636"/>
      <c r="J2056" s="636"/>
      <c r="K2056" s="636"/>
      <c r="L2056" s="636"/>
      <c r="M2056" s="636"/>
      <c r="N2056" s="636"/>
      <c r="O2056" s="637"/>
    </row>
    <row r="2057" spans="1:19" x14ac:dyDescent="0.25">
      <c r="A2057" s="177" t="s">
        <v>273</v>
      </c>
      <c r="B2057" s="638" t="s">
        <v>627</v>
      </c>
      <c r="C2057" s="638"/>
      <c r="D2057" s="638"/>
      <c r="E2057" s="638"/>
      <c r="F2057" s="638"/>
      <c r="G2057" s="638"/>
      <c r="H2057" s="638"/>
      <c r="I2057" s="638"/>
      <c r="J2057" s="638"/>
      <c r="K2057" s="638"/>
      <c r="L2057" s="638"/>
      <c r="M2057" s="638"/>
      <c r="N2057" s="638"/>
      <c r="O2057" s="639"/>
    </row>
    <row r="2058" spans="1:19" x14ac:dyDescent="0.25">
      <c r="A2058" s="177" t="s">
        <v>351</v>
      </c>
      <c r="B2058" s="431"/>
      <c r="C2058" s="431"/>
      <c r="D2058" s="431"/>
      <c r="E2058" s="431"/>
      <c r="F2058" s="431"/>
      <c r="G2058" s="431"/>
      <c r="H2058" s="431"/>
      <c r="I2058" s="431"/>
      <c r="J2058" s="431"/>
      <c r="K2058" s="431"/>
      <c r="L2058" s="431"/>
      <c r="M2058" s="431"/>
      <c r="N2058" s="431"/>
      <c r="O2058" s="432"/>
    </row>
    <row r="2059" spans="1:19" x14ac:dyDescent="0.25">
      <c r="B2059" s="307" t="s">
        <v>98</v>
      </c>
      <c r="C2059" s="365" t="s">
        <v>102</v>
      </c>
      <c r="D2059" s="365" t="s">
        <v>92</v>
      </c>
      <c r="E2059" s="365" t="s">
        <v>93</v>
      </c>
      <c r="F2059" s="365" t="s">
        <v>94</v>
      </c>
      <c r="G2059" s="365" t="s">
        <v>549</v>
      </c>
      <c r="H2059" s="359" t="s">
        <v>99</v>
      </c>
      <c r="I2059" s="307" t="s">
        <v>98</v>
      </c>
      <c r="J2059" s="365" t="s">
        <v>102</v>
      </c>
      <c r="K2059" s="365" t="s">
        <v>92</v>
      </c>
      <c r="L2059" s="365" t="s">
        <v>93</v>
      </c>
      <c r="M2059" s="365" t="s">
        <v>94</v>
      </c>
      <c r="N2059" s="365" t="s">
        <v>549</v>
      </c>
      <c r="O2059" s="359" t="s">
        <v>99</v>
      </c>
    </row>
    <row r="2060" spans="1:19" x14ac:dyDescent="0.25">
      <c r="B2060" s="308">
        <v>932</v>
      </c>
      <c r="C2060" s="365" t="s">
        <v>95</v>
      </c>
      <c r="D2060" s="441">
        <v>837.2</v>
      </c>
      <c r="E2060" s="441">
        <v>302.88</v>
      </c>
      <c r="F2060" s="441">
        <v>145.16</v>
      </c>
      <c r="G2060" s="441">
        <v>0</v>
      </c>
      <c r="H2060" s="359">
        <f>SUM(D2060:G2060)</f>
        <v>1285.24</v>
      </c>
      <c r="I2060" s="308">
        <v>933</v>
      </c>
      <c r="J2060" s="365" t="s">
        <v>95</v>
      </c>
      <c r="K2060" s="441">
        <v>865.7</v>
      </c>
      <c r="L2060" s="441">
        <v>607.01</v>
      </c>
      <c r="M2060" s="441">
        <v>322.20999999999998</v>
      </c>
      <c r="N2060" s="441">
        <v>0</v>
      </c>
      <c r="O2060" s="359">
        <f>SUM(K2060:N2060)</f>
        <v>1794.92</v>
      </c>
    </row>
    <row r="2061" spans="1:19" x14ac:dyDescent="0.25">
      <c r="B2061" s="308">
        <v>76</v>
      </c>
      <c r="C2061" s="365" t="s">
        <v>96</v>
      </c>
      <c r="D2061" s="441">
        <v>83.45</v>
      </c>
      <c r="E2061" s="441">
        <v>43.42</v>
      </c>
      <c r="F2061" s="441">
        <v>0.78</v>
      </c>
      <c r="G2061" s="441">
        <v>0</v>
      </c>
      <c r="H2061" s="359">
        <f t="shared" ref="H2061:H2067" si="273">SUM(D2061:G2061)</f>
        <v>127.65</v>
      </c>
      <c r="I2061" s="308">
        <v>75</v>
      </c>
      <c r="J2061" s="365" t="s">
        <v>96</v>
      </c>
      <c r="K2061" s="441">
        <v>69.209999999999994</v>
      </c>
      <c r="L2061" s="441">
        <v>9.3800000000000008</v>
      </c>
      <c r="M2061" s="441">
        <v>49.92</v>
      </c>
      <c r="N2061" s="441">
        <v>0</v>
      </c>
      <c r="O2061" s="359">
        <f t="shared" ref="O2061:O2067" si="274">SUM(K2061:N2061)</f>
        <v>128.51</v>
      </c>
    </row>
    <row r="2062" spans="1:19" x14ac:dyDescent="0.25">
      <c r="B2062" s="307" t="s">
        <v>100</v>
      </c>
      <c r="C2062" s="365" t="s">
        <v>95</v>
      </c>
      <c r="D2062" s="444">
        <f t="shared" ref="D2062:G2063" si="275">D2060/$B2060</f>
        <v>0.89828326180257512</v>
      </c>
      <c r="E2062" s="429">
        <f t="shared" si="275"/>
        <v>0.32497854077253219</v>
      </c>
      <c r="F2062" s="429">
        <f t="shared" si="275"/>
        <v>0.15575107296137339</v>
      </c>
      <c r="G2062" s="429">
        <f t="shared" si="275"/>
        <v>0</v>
      </c>
      <c r="H2062" s="359">
        <f t="shared" si="273"/>
        <v>1.3790128755364806</v>
      </c>
      <c r="I2062" s="307" t="s">
        <v>100</v>
      </c>
      <c r="J2062" s="365" t="s">
        <v>95</v>
      </c>
      <c r="K2062" s="444">
        <f t="shared" ref="K2062:N2063" si="276">K2060/$I2060</f>
        <v>0.92786709539121115</v>
      </c>
      <c r="L2062" s="429">
        <f t="shared" si="276"/>
        <v>0.65060021436227222</v>
      </c>
      <c r="M2062" s="429">
        <f t="shared" si="276"/>
        <v>0.34534833869239012</v>
      </c>
      <c r="N2062" s="429">
        <f t="shared" si="276"/>
        <v>0</v>
      </c>
      <c r="O2062" s="359">
        <f t="shared" si="274"/>
        <v>1.9238156484458735</v>
      </c>
    </row>
    <row r="2063" spans="1:19" x14ac:dyDescent="0.25">
      <c r="B2063" s="307" t="s">
        <v>100</v>
      </c>
      <c r="C2063" s="438" t="s">
        <v>96</v>
      </c>
      <c r="D2063" s="359">
        <f t="shared" si="275"/>
        <v>1.0980263157894736</v>
      </c>
      <c r="E2063" s="359">
        <f t="shared" si="275"/>
        <v>0.57131578947368422</v>
      </c>
      <c r="F2063" s="359">
        <f t="shared" si="275"/>
        <v>1.0263157894736842E-2</v>
      </c>
      <c r="G2063" s="359">
        <f t="shared" si="275"/>
        <v>0</v>
      </c>
      <c r="H2063" s="359">
        <f t="shared" si="273"/>
        <v>1.6796052631578946</v>
      </c>
      <c r="I2063" s="307" t="s">
        <v>100</v>
      </c>
      <c r="J2063" s="438" t="s">
        <v>96</v>
      </c>
      <c r="K2063" s="359">
        <f t="shared" si="276"/>
        <v>0.92279999999999995</v>
      </c>
      <c r="L2063" s="359">
        <f t="shared" si="276"/>
        <v>0.12506666666666669</v>
      </c>
      <c r="M2063" s="359">
        <f t="shared" si="276"/>
        <v>0.66559999999999997</v>
      </c>
      <c r="N2063" s="359">
        <f t="shared" si="276"/>
        <v>0</v>
      </c>
      <c r="O2063" s="359">
        <f t="shared" si="274"/>
        <v>1.7134666666666667</v>
      </c>
    </row>
    <row r="2064" spans="1:19" x14ac:dyDescent="0.25">
      <c r="B2064" s="307" t="s">
        <v>104</v>
      </c>
      <c r="C2064" s="365" t="s">
        <v>95</v>
      </c>
      <c r="D2064" s="359">
        <f>D2060/($B2060/7.7)</f>
        <v>6.9167811158798287</v>
      </c>
      <c r="E2064" s="359">
        <f>E2060/($B2060/7)</f>
        <v>2.2748497854077252</v>
      </c>
      <c r="F2064" s="359">
        <f>F2060/($B2060/7)</f>
        <v>1.0902575107296137</v>
      </c>
      <c r="G2064" s="359">
        <f>G2060/($B2060/7)</f>
        <v>0</v>
      </c>
      <c r="H2064" s="359">
        <f t="shared" si="273"/>
        <v>10.281888412017167</v>
      </c>
      <c r="I2064" s="307" t="s">
        <v>104</v>
      </c>
      <c r="J2064" s="365" t="s">
        <v>95</v>
      </c>
      <c r="K2064" s="359">
        <f>K2060/($I2060/7.7)</f>
        <v>7.1445766345123269</v>
      </c>
      <c r="L2064" s="359">
        <f>L2060/($I2060/7)</f>
        <v>4.554201500535906</v>
      </c>
      <c r="M2064" s="359">
        <f>M2060/($I2060/7)</f>
        <v>2.4174383708467309</v>
      </c>
      <c r="N2064" s="359">
        <f>N2060/($I2060/7)</f>
        <v>0</v>
      </c>
      <c r="O2064" s="359">
        <f t="shared" si="274"/>
        <v>14.116216505894965</v>
      </c>
    </row>
    <row r="2065" spans="1:19" x14ac:dyDescent="0.25">
      <c r="B2065" s="307" t="s">
        <v>104</v>
      </c>
      <c r="C2065" s="438" t="s">
        <v>96</v>
      </c>
      <c r="D2065" s="359">
        <f>D2061/($B2061/7.7)</f>
        <v>8.4548026315789464</v>
      </c>
      <c r="E2065" s="359">
        <f>E2061/($B2061/7.7)</f>
        <v>4.3991315789473679</v>
      </c>
      <c r="F2065" s="359">
        <f>F2061/($B2061/7.7)</f>
        <v>7.9026315789473681E-2</v>
      </c>
      <c r="G2065" s="359">
        <f>G2061/($B2061/7.7)</f>
        <v>0</v>
      </c>
      <c r="H2065" s="359">
        <f t="shared" si="273"/>
        <v>12.932960526315789</v>
      </c>
      <c r="I2065" s="307" t="s">
        <v>104</v>
      </c>
      <c r="J2065" s="438" t="s">
        <v>96</v>
      </c>
      <c r="K2065" s="359">
        <f>K2061/($I2061/7.7)</f>
        <v>7.1055599999999997</v>
      </c>
      <c r="L2065" s="359">
        <f>L2061/($I2061/7.7)</f>
        <v>0.9630133333333335</v>
      </c>
      <c r="M2065" s="359">
        <f>M2061/($I2061/7.7)</f>
        <v>5.1251200000000008</v>
      </c>
      <c r="N2065" s="359">
        <f>N2061/($I2061/7.7)</f>
        <v>0</v>
      </c>
      <c r="O2065" s="359">
        <f t="shared" si="274"/>
        <v>13.193693333333334</v>
      </c>
    </row>
    <row r="2066" spans="1:19" x14ac:dyDescent="0.25">
      <c r="B2066" s="307" t="s">
        <v>135</v>
      </c>
      <c r="C2066" s="365" t="s">
        <v>95</v>
      </c>
      <c r="D2066" s="359">
        <f>D2060/((($B2060*$B2056)*(1-$B2053))/$B2051)</f>
        <v>0.14789212378881103</v>
      </c>
      <c r="E2066" s="359">
        <f>E2060/((($B2060*$B2056)*(1-$B2053))/$B2051)</f>
        <v>5.3504021085947297E-2</v>
      </c>
      <c r="F2066" s="359">
        <f>F2060/((($B2060*$B2056)*(1-$B2053))/$B2051)</f>
        <v>2.5642642963669141E-2</v>
      </c>
      <c r="G2066" s="359">
        <f>G2060/((($B2060*$B2056)*(1-$B2053))/$B2051)</f>
        <v>0</v>
      </c>
      <c r="H2066" s="359">
        <f t="shared" si="273"/>
        <v>0.22703878783842746</v>
      </c>
      <c r="I2066" s="307" t="s">
        <v>135</v>
      </c>
      <c r="J2066" s="365" t="s">
        <v>95</v>
      </c>
      <c r="K2066" s="359">
        <f>K2060/((($I2060*$B2056)*(1-$B2053))/$B2051)</f>
        <v>0.15276276556216262</v>
      </c>
      <c r="L2066" s="359">
        <f>L2060/((($I2060*$B2056)*(1-$B2053))/$B2051)</f>
        <v>0.10711392667654884</v>
      </c>
      <c r="M2066" s="359">
        <f>M2060/((($I2060*$B2056)*(1-$B2053))/$B2051)</f>
        <v>5.6857676668342863E-2</v>
      </c>
      <c r="N2066" s="359">
        <f>N2060/((($I2060*$B2056)*(1-$B2053))/$B2051)</f>
        <v>0</v>
      </c>
      <c r="O2066" s="359">
        <f t="shared" si="274"/>
        <v>0.31673436890705431</v>
      </c>
    </row>
    <row r="2067" spans="1:19" x14ac:dyDescent="0.25">
      <c r="B2067" s="307" t="s">
        <v>135</v>
      </c>
      <c r="C2067" s="438" t="s">
        <v>96</v>
      </c>
      <c r="D2067" s="359">
        <f>D2061/((($B2061*$B2056)*(1-$B2053))/$B2051)</f>
        <v>0.18077754615202765</v>
      </c>
      <c r="E2067" s="359">
        <f>E2061/((($B2061*$B2056)*(1-$B2053))/$B2051)</f>
        <v>9.4060647740216191E-2</v>
      </c>
      <c r="F2067" s="359">
        <f>F2061/((($B2061*$B2056)*(1-$B2053))/$B2051)</f>
        <v>1.6897122348541831E-3</v>
      </c>
      <c r="G2067" s="359">
        <f>G2061/((($B2061*$B2056)*(1-$B2053))/$B2051)</f>
        <v>0</v>
      </c>
      <c r="H2067" s="359">
        <f t="shared" si="273"/>
        <v>0.27652790612709804</v>
      </c>
      <c r="I2067" s="307" t="s">
        <v>135</v>
      </c>
      <c r="J2067" s="438" t="s">
        <v>96</v>
      </c>
      <c r="K2067" s="359">
        <f>K2061/((($I2061*$B2056)*(1-$B2053))/$B2051)</f>
        <v>0.15192852592895054</v>
      </c>
      <c r="L2067" s="359">
        <f>L2061/((($I2061*$B2056)*(1-$B2053))/$B2051)</f>
        <v>2.0590804409963248E-2</v>
      </c>
      <c r="M2067" s="359">
        <f>M2061/((($I2061*$B2056)*(1-$B2053))/$B2051)</f>
        <v>0.10958347080440994</v>
      </c>
      <c r="N2067" s="359">
        <f>N2061/((($I2061*$B2056)*(1-$B2053))/$B2051)</f>
        <v>0</v>
      </c>
      <c r="O2067" s="359">
        <f t="shared" si="274"/>
        <v>0.28210280114332376</v>
      </c>
    </row>
    <row r="2068" spans="1:19" ht="15.75" thickBot="1" x14ac:dyDescent="0.3">
      <c r="A2068" s="178"/>
      <c r="B2068" s="178"/>
      <c r="C2068" s="178"/>
      <c r="D2068" s="178"/>
      <c r="E2068" s="178"/>
      <c r="F2068" s="178"/>
      <c r="G2068" s="178"/>
      <c r="H2068" s="178"/>
      <c r="I2068" s="178"/>
      <c r="J2068" s="178"/>
      <c r="K2068" s="178"/>
      <c r="L2068" s="178"/>
      <c r="M2068" s="178"/>
      <c r="N2068" s="178"/>
      <c r="O2068" s="178"/>
    </row>
    <row r="2069" spans="1:19" ht="21" x14ac:dyDescent="0.25">
      <c r="A2069" s="305"/>
      <c r="B2069" s="644" t="s">
        <v>559</v>
      </c>
      <c r="C2069" s="645"/>
      <c r="D2069" s="645"/>
      <c r="E2069" s="645"/>
      <c r="F2069" s="645"/>
      <c r="G2069" s="645"/>
      <c r="H2069" s="645"/>
      <c r="I2069" s="645"/>
      <c r="J2069" s="645"/>
      <c r="K2069" s="645"/>
      <c r="L2069" s="645"/>
      <c r="M2069" s="645"/>
      <c r="N2069" s="645"/>
      <c r="O2069" s="646"/>
      <c r="Q2069" s="662" t="s">
        <v>139</v>
      </c>
      <c r="R2069" s="176" t="s">
        <v>140</v>
      </c>
      <c r="S2069" s="663" t="s">
        <v>142</v>
      </c>
    </row>
    <row r="2070" spans="1:19" ht="21.75" thickBot="1" x14ac:dyDescent="0.3">
      <c r="A2070" s="177" t="s">
        <v>285</v>
      </c>
      <c r="B2070" s="647">
        <v>44529</v>
      </c>
      <c r="C2070" s="648"/>
      <c r="D2070" s="648"/>
      <c r="E2070" s="648"/>
      <c r="F2070" s="648"/>
      <c r="G2070" s="648"/>
      <c r="H2070" s="648"/>
      <c r="I2070" s="648"/>
      <c r="J2070" s="648"/>
      <c r="K2070" s="648"/>
      <c r="L2070" s="648"/>
      <c r="M2070" s="648"/>
      <c r="N2070" s="648"/>
      <c r="O2070" s="649"/>
      <c r="Q2070" s="641"/>
      <c r="R2070" s="87" t="s">
        <v>141</v>
      </c>
      <c r="S2070" s="643"/>
    </row>
    <row r="2071" spans="1:19" ht="15.75" thickBot="1" x14ac:dyDescent="0.3">
      <c r="A2071" s="177"/>
      <c r="B2071" s="650" t="s">
        <v>115</v>
      </c>
      <c r="C2071" s="651"/>
      <c r="D2071" s="651"/>
      <c r="E2071" s="651"/>
      <c r="F2071" s="651"/>
      <c r="G2071" s="651"/>
      <c r="H2071" s="651"/>
      <c r="I2071" s="651"/>
      <c r="J2071" s="651"/>
      <c r="K2071" s="651"/>
      <c r="L2071" s="651"/>
      <c r="M2071" s="651"/>
      <c r="N2071" s="651"/>
      <c r="O2071" s="652"/>
      <c r="Q2071" s="147" t="s">
        <v>143</v>
      </c>
      <c r="R2071" s="88">
        <v>8</v>
      </c>
      <c r="S2071" s="87" t="s">
        <v>576</v>
      </c>
    </row>
    <row r="2072" spans="1:19" ht="15.75" thickBot="1" x14ac:dyDescent="0.3">
      <c r="A2072" s="177" t="s">
        <v>106</v>
      </c>
      <c r="B2072" s="629">
        <v>16</v>
      </c>
      <c r="C2072" s="630"/>
      <c r="D2072" s="630"/>
      <c r="E2072" s="631"/>
      <c r="F2072" s="365" t="s">
        <v>174</v>
      </c>
      <c r="G2072" s="471"/>
      <c r="H2072" s="653">
        <v>0</v>
      </c>
      <c r="I2072" s="654"/>
      <c r="J2072" s="654"/>
      <c r="K2072" s="654"/>
      <c r="L2072" s="655"/>
      <c r="M2072" s="656">
        <f>SUM(B2072,H2073)</f>
        <v>16</v>
      </c>
      <c r="N2072" s="630"/>
      <c r="O2072" s="631"/>
      <c r="Q2072" s="147" t="s">
        <v>145</v>
      </c>
      <c r="R2072" s="88">
        <v>8</v>
      </c>
      <c r="S2072" s="89" t="s">
        <v>567</v>
      </c>
    </row>
    <row r="2073" spans="1:19" ht="15.75" thickBot="1" x14ac:dyDescent="0.3">
      <c r="A2073" s="177" t="s">
        <v>112</v>
      </c>
      <c r="B2073" s="626">
        <v>0.14000000000000001</v>
      </c>
      <c r="C2073" s="627"/>
      <c r="D2073" s="627"/>
      <c r="E2073" s="628"/>
      <c r="F2073" s="290"/>
      <c r="G2073" s="472"/>
      <c r="H2073" s="626">
        <v>0</v>
      </c>
      <c r="I2073" s="627"/>
      <c r="J2073" s="627"/>
      <c r="K2073" s="627"/>
      <c r="L2073" s="628"/>
      <c r="M2073" s="657">
        <f>B2073</f>
        <v>0.14000000000000001</v>
      </c>
      <c r="N2073" s="627"/>
      <c r="O2073" s="628"/>
      <c r="Q2073" s="147" t="s">
        <v>147</v>
      </c>
      <c r="R2073" s="88">
        <v>8</v>
      </c>
      <c r="S2073" s="87" t="s">
        <v>411</v>
      </c>
    </row>
    <row r="2074" spans="1:19" ht="29.25" thickBot="1" x14ac:dyDescent="0.3">
      <c r="A2074" s="177" t="s">
        <v>107</v>
      </c>
      <c r="B2074" s="629">
        <f>B2072*(1-B2073)</f>
        <v>13.76</v>
      </c>
      <c r="C2074" s="630"/>
      <c r="D2074" s="630"/>
      <c r="E2074" s="631"/>
      <c r="F2074" s="290"/>
      <c r="G2074" s="472"/>
      <c r="H2074" s="629">
        <f>H2072*(1-H2073)</f>
        <v>0</v>
      </c>
      <c r="I2074" s="630"/>
      <c r="J2074" s="630"/>
      <c r="K2074" s="630"/>
      <c r="L2074" s="631"/>
      <c r="M2074" s="656">
        <f>SUM(B2074,H2074)</f>
        <v>13.76</v>
      </c>
      <c r="N2074" s="630"/>
      <c r="O2074" s="631"/>
      <c r="Q2074" s="147" t="s">
        <v>82</v>
      </c>
      <c r="R2074" s="88">
        <v>9</v>
      </c>
      <c r="S2074" s="89" t="s">
        <v>529</v>
      </c>
    </row>
    <row r="2075" spans="1:19" ht="15.75" thickBot="1" x14ac:dyDescent="0.3">
      <c r="A2075" s="177" t="s">
        <v>108</v>
      </c>
      <c r="B2075" s="626">
        <f>B2078/B2074</f>
        <v>0.80860465116279068</v>
      </c>
      <c r="C2075" s="627"/>
      <c r="D2075" s="627"/>
      <c r="E2075" s="627"/>
      <c r="F2075" s="627"/>
      <c r="G2075" s="627"/>
      <c r="H2075" s="627"/>
      <c r="I2075" s="627"/>
      <c r="J2075" s="627"/>
      <c r="K2075" s="627"/>
      <c r="L2075" s="627"/>
      <c r="M2075" s="627"/>
      <c r="N2075" s="627"/>
      <c r="O2075" s="628"/>
      <c r="Q2075" s="147" t="s">
        <v>152</v>
      </c>
      <c r="R2075" s="88">
        <v>8</v>
      </c>
      <c r="S2075" s="89" t="s">
        <v>519</v>
      </c>
    </row>
    <row r="2076" spans="1:19" ht="15.75" thickBot="1" x14ac:dyDescent="0.3">
      <c r="A2076" s="177" t="s">
        <v>113</v>
      </c>
      <c r="B2076" s="629">
        <f>B2080*(B2084+B2085+I2084+I2085)/1000</f>
        <v>34.770000000000003</v>
      </c>
      <c r="C2076" s="630"/>
      <c r="D2076" s="630"/>
      <c r="E2076" s="630"/>
      <c r="F2076" s="630"/>
      <c r="G2076" s="630"/>
      <c r="H2076" s="630"/>
      <c r="I2076" s="630"/>
      <c r="J2076" s="630"/>
      <c r="K2076" s="630"/>
      <c r="L2076" s="630"/>
      <c r="M2076" s="630"/>
      <c r="N2076" s="630"/>
      <c r="O2076" s="631"/>
      <c r="Q2076" s="147" t="s">
        <v>154</v>
      </c>
      <c r="R2076" s="88">
        <v>8</v>
      </c>
      <c r="S2076" s="87" t="s">
        <v>520</v>
      </c>
    </row>
    <row r="2077" spans="1:19" ht="29.25" thickBot="1" x14ac:dyDescent="0.3">
      <c r="A2077" s="177" t="s">
        <v>109</v>
      </c>
      <c r="B2077" s="626">
        <v>0.68</v>
      </c>
      <c r="C2077" s="627"/>
      <c r="D2077" s="627"/>
      <c r="E2077" s="627"/>
      <c r="F2077" s="627"/>
      <c r="G2077" s="627"/>
      <c r="H2077" s="627"/>
      <c r="I2077" s="627"/>
      <c r="J2077" s="627"/>
      <c r="K2077" s="627"/>
      <c r="L2077" s="627"/>
      <c r="M2077" s="627"/>
      <c r="N2077" s="627"/>
      <c r="O2077" s="628"/>
      <c r="Q2077" s="147" t="s">
        <v>156</v>
      </c>
      <c r="R2077" s="88">
        <v>8</v>
      </c>
      <c r="S2077" s="87" t="s">
        <v>577</v>
      </c>
    </row>
    <row r="2078" spans="1:19" ht="15.75" thickBot="1" x14ac:dyDescent="0.3">
      <c r="A2078" s="177" t="s">
        <v>122</v>
      </c>
      <c r="B2078" s="629">
        <f>B2076-(B2076*B2077)</f>
        <v>11.1264</v>
      </c>
      <c r="C2078" s="630"/>
      <c r="D2078" s="630"/>
      <c r="E2078" s="630"/>
      <c r="F2078" s="630"/>
      <c r="G2078" s="630"/>
      <c r="H2078" s="630"/>
      <c r="I2078" s="630"/>
      <c r="J2078" s="630"/>
      <c r="K2078" s="630"/>
      <c r="L2078" s="630"/>
      <c r="M2078" s="630"/>
      <c r="N2078" s="630"/>
      <c r="O2078" s="631"/>
      <c r="Q2078" s="147" t="s">
        <v>158</v>
      </c>
      <c r="R2078" s="88"/>
      <c r="S2078" s="87"/>
    </row>
    <row r="2079" spans="1:19" ht="15.75" thickBot="1" x14ac:dyDescent="0.3">
      <c r="A2079" s="177" t="s">
        <v>110</v>
      </c>
      <c r="B2079" s="632">
        <v>125</v>
      </c>
      <c r="C2079" s="633"/>
      <c r="D2079" s="633"/>
      <c r="E2079" s="633"/>
      <c r="F2079" s="633"/>
      <c r="G2079" s="633"/>
      <c r="H2079" s="633"/>
      <c r="I2079" s="633"/>
      <c r="J2079" s="633"/>
      <c r="K2079" s="633"/>
      <c r="L2079" s="633"/>
      <c r="M2079" s="633"/>
      <c r="N2079" s="633"/>
      <c r="O2079" s="634"/>
      <c r="Q2079" s="451" t="s">
        <v>99</v>
      </c>
      <c r="R2079" s="87" t="s">
        <v>572</v>
      </c>
      <c r="S2079" s="148">
        <v>0.8</v>
      </c>
    </row>
    <row r="2080" spans="1:19" x14ac:dyDescent="0.25">
      <c r="A2080" s="177" t="s">
        <v>111</v>
      </c>
      <c r="B2080" s="635">
        <v>15</v>
      </c>
      <c r="C2080" s="636"/>
      <c r="D2080" s="636"/>
      <c r="E2080" s="636"/>
      <c r="F2080" s="636"/>
      <c r="G2080" s="636"/>
      <c r="H2080" s="636"/>
      <c r="I2080" s="636"/>
      <c r="J2080" s="636"/>
      <c r="K2080" s="636"/>
      <c r="L2080" s="636"/>
      <c r="M2080" s="636"/>
      <c r="N2080" s="636"/>
      <c r="O2080" s="637"/>
    </row>
    <row r="2081" spans="1:19" x14ac:dyDescent="0.25">
      <c r="A2081" s="177" t="s">
        <v>273</v>
      </c>
      <c r="B2081" s="638" t="s">
        <v>581</v>
      </c>
      <c r="C2081" s="638"/>
      <c r="D2081" s="638"/>
      <c r="E2081" s="638"/>
      <c r="F2081" s="638"/>
      <c r="G2081" s="638"/>
      <c r="H2081" s="638"/>
      <c r="I2081" s="638"/>
      <c r="J2081" s="638"/>
      <c r="K2081" s="638"/>
      <c r="L2081" s="638"/>
      <c r="M2081" s="638"/>
      <c r="N2081" s="638"/>
      <c r="O2081" s="639"/>
    </row>
    <row r="2082" spans="1:19" x14ac:dyDescent="0.25">
      <c r="A2082" s="177" t="s">
        <v>351</v>
      </c>
      <c r="B2082" s="431"/>
      <c r="C2082" s="431"/>
      <c r="D2082" s="431"/>
      <c r="E2082" s="431"/>
      <c r="F2082" s="431"/>
      <c r="G2082" s="431"/>
      <c r="H2082" s="431"/>
      <c r="I2082" s="431"/>
      <c r="J2082" s="431"/>
      <c r="K2082" s="431"/>
      <c r="L2082" s="431"/>
      <c r="M2082" s="431"/>
      <c r="N2082" s="431"/>
      <c r="O2082" s="432"/>
    </row>
    <row r="2083" spans="1:19" x14ac:dyDescent="0.25">
      <c r="B2083" s="307" t="s">
        <v>98</v>
      </c>
      <c r="C2083" s="365" t="s">
        <v>102</v>
      </c>
      <c r="D2083" s="365" t="s">
        <v>92</v>
      </c>
      <c r="E2083" s="365" t="s">
        <v>93</v>
      </c>
      <c r="F2083" s="365" t="s">
        <v>94</v>
      </c>
      <c r="G2083" s="365" t="s">
        <v>549</v>
      </c>
      <c r="H2083" s="359" t="s">
        <v>99</v>
      </c>
      <c r="I2083" s="307" t="s">
        <v>98</v>
      </c>
      <c r="J2083" s="365" t="s">
        <v>102</v>
      </c>
      <c r="K2083" s="365" t="s">
        <v>92</v>
      </c>
      <c r="L2083" s="365" t="s">
        <v>93</v>
      </c>
      <c r="M2083" s="365" t="s">
        <v>94</v>
      </c>
      <c r="N2083" s="365" t="s">
        <v>549</v>
      </c>
      <c r="O2083" s="359" t="s">
        <v>99</v>
      </c>
    </row>
    <row r="2084" spans="1:19" x14ac:dyDescent="0.25">
      <c r="B2084" s="308">
        <v>1086</v>
      </c>
      <c r="C2084" s="365" t="s">
        <v>95</v>
      </c>
      <c r="D2084" s="441">
        <v>938.76</v>
      </c>
      <c r="E2084" s="441">
        <v>555.73</v>
      </c>
      <c r="F2084" s="441">
        <v>380.66</v>
      </c>
      <c r="G2084" s="441">
        <v>0</v>
      </c>
      <c r="H2084" s="359">
        <f>SUM(D2084:G2084)</f>
        <v>1875.15</v>
      </c>
      <c r="I2084" s="308">
        <v>1051</v>
      </c>
      <c r="J2084" s="365" t="s">
        <v>95</v>
      </c>
      <c r="K2084" s="441">
        <v>1147.32</v>
      </c>
      <c r="L2084" s="441">
        <v>480.24</v>
      </c>
      <c r="M2084" s="441">
        <v>244.9</v>
      </c>
      <c r="N2084" s="441">
        <v>0</v>
      </c>
      <c r="O2084" s="359">
        <f>SUM(K2084:N2084)</f>
        <v>1872.46</v>
      </c>
    </row>
    <row r="2085" spans="1:19" x14ac:dyDescent="0.25">
      <c r="B2085" s="308">
        <v>90</v>
      </c>
      <c r="C2085" s="365" t="s">
        <v>96</v>
      </c>
      <c r="D2085" s="441">
        <v>87.1</v>
      </c>
      <c r="E2085" s="441">
        <v>49.76</v>
      </c>
      <c r="F2085" s="441">
        <v>8.32</v>
      </c>
      <c r="G2085" s="441">
        <v>0</v>
      </c>
      <c r="H2085" s="359">
        <f t="shared" ref="H2085:H2091" si="277">SUM(D2085:G2085)</f>
        <v>145.17999999999998</v>
      </c>
      <c r="I2085" s="308">
        <v>91</v>
      </c>
      <c r="J2085" s="365" t="s">
        <v>96</v>
      </c>
      <c r="K2085" s="441">
        <v>78.239999999999995</v>
      </c>
      <c r="L2085" s="441">
        <v>54.34</v>
      </c>
      <c r="M2085" s="441">
        <v>16.64</v>
      </c>
      <c r="N2085" s="441">
        <v>0</v>
      </c>
      <c r="O2085" s="359">
        <f t="shared" ref="O2085:O2091" si="278">SUM(K2085:N2085)</f>
        <v>149.21999999999997</v>
      </c>
    </row>
    <row r="2086" spans="1:19" x14ac:dyDescent="0.25">
      <c r="B2086" s="307" t="s">
        <v>100</v>
      </c>
      <c r="C2086" s="365" t="s">
        <v>95</v>
      </c>
      <c r="D2086" s="444">
        <f t="shared" ref="D2086:G2087" si="279">D2084/$B2084</f>
        <v>0.86441988950276238</v>
      </c>
      <c r="E2086" s="429">
        <f t="shared" si="279"/>
        <v>0.51172191528545119</v>
      </c>
      <c r="F2086" s="429">
        <f t="shared" si="279"/>
        <v>0.35051565377532229</v>
      </c>
      <c r="G2086" s="429">
        <f t="shared" si="279"/>
        <v>0</v>
      </c>
      <c r="H2086" s="359">
        <f t="shared" si="277"/>
        <v>1.7266574585635357</v>
      </c>
      <c r="I2086" s="307" t="s">
        <v>100</v>
      </c>
      <c r="J2086" s="365" t="s">
        <v>95</v>
      </c>
      <c r="K2086" s="444">
        <f t="shared" ref="K2086:N2087" si="280">K2084/$I2084</f>
        <v>1.0916460513796384</v>
      </c>
      <c r="L2086" s="429">
        <f t="shared" si="280"/>
        <v>0.4569362511893435</v>
      </c>
      <c r="M2086" s="429">
        <f t="shared" si="280"/>
        <v>0.2330161750713606</v>
      </c>
      <c r="N2086" s="429">
        <f t="shared" si="280"/>
        <v>0</v>
      </c>
      <c r="O2086" s="359">
        <f t="shared" si="278"/>
        <v>1.7815984776403426</v>
      </c>
    </row>
    <row r="2087" spans="1:19" x14ac:dyDescent="0.25">
      <c r="B2087" s="307" t="s">
        <v>100</v>
      </c>
      <c r="C2087" s="438" t="s">
        <v>96</v>
      </c>
      <c r="D2087" s="359">
        <f t="shared" si="279"/>
        <v>0.96777777777777774</v>
      </c>
      <c r="E2087" s="359">
        <f t="shared" si="279"/>
        <v>0.55288888888888887</v>
      </c>
      <c r="F2087" s="359">
        <f t="shared" si="279"/>
        <v>9.2444444444444454E-2</v>
      </c>
      <c r="G2087" s="359">
        <f t="shared" si="279"/>
        <v>0</v>
      </c>
      <c r="H2087" s="359">
        <f t="shared" si="277"/>
        <v>1.6131111111111112</v>
      </c>
      <c r="I2087" s="307" t="s">
        <v>100</v>
      </c>
      <c r="J2087" s="438" t="s">
        <v>96</v>
      </c>
      <c r="K2087" s="359">
        <f t="shared" si="280"/>
        <v>0.85978021978021968</v>
      </c>
      <c r="L2087" s="359">
        <f t="shared" si="280"/>
        <v>0.5971428571428572</v>
      </c>
      <c r="M2087" s="359">
        <f t="shared" si="280"/>
        <v>0.18285714285714286</v>
      </c>
      <c r="N2087" s="359">
        <f t="shared" si="280"/>
        <v>0</v>
      </c>
      <c r="O2087" s="359">
        <f t="shared" si="278"/>
        <v>1.6397802197802198</v>
      </c>
    </row>
    <row r="2088" spans="1:19" x14ac:dyDescent="0.25">
      <c r="B2088" s="307" t="s">
        <v>104</v>
      </c>
      <c r="C2088" s="365" t="s">
        <v>95</v>
      </c>
      <c r="D2088" s="359">
        <f>D2084/($B2084/7.7)</f>
        <v>6.6560331491712699</v>
      </c>
      <c r="E2088" s="359">
        <f>E2084/($B2084/7)</f>
        <v>3.5820534069981584</v>
      </c>
      <c r="F2088" s="359">
        <f>F2084/($B2084/7)</f>
        <v>2.4536095764272563</v>
      </c>
      <c r="G2088" s="359">
        <f>G2084/($B2084/7)</f>
        <v>0</v>
      </c>
      <c r="H2088" s="359">
        <f t="shared" si="277"/>
        <v>12.691696132596684</v>
      </c>
      <c r="I2088" s="307" t="s">
        <v>104</v>
      </c>
      <c r="J2088" s="365" t="s">
        <v>95</v>
      </c>
      <c r="K2088" s="359">
        <f>K2084/($I2084/7.7)</f>
        <v>8.405674595623216</v>
      </c>
      <c r="L2088" s="359">
        <f>L2084/($I2084/7)</f>
        <v>3.1985537583254047</v>
      </c>
      <c r="M2088" s="359">
        <f>M2084/($I2084/7)</f>
        <v>1.6311132254995244</v>
      </c>
      <c r="N2088" s="359">
        <f>N2084/($I2084/7)</f>
        <v>0</v>
      </c>
      <c r="O2088" s="359">
        <f t="shared" si="278"/>
        <v>13.235341579448145</v>
      </c>
    </row>
    <row r="2089" spans="1:19" x14ac:dyDescent="0.25">
      <c r="B2089" s="307" t="s">
        <v>104</v>
      </c>
      <c r="C2089" s="438" t="s">
        <v>96</v>
      </c>
      <c r="D2089" s="359">
        <f>D2085/($B2085/7.7)</f>
        <v>7.451888888888889</v>
      </c>
      <c r="E2089" s="359">
        <f>E2085/($B2085/7.7)</f>
        <v>4.2572444444444448</v>
      </c>
      <c r="F2089" s="359">
        <f>F2085/($B2085/7.7)</f>
        <v>0.71182222222222236</v>
      </c>
      <c r="G2089" s="359">
        <f>G2085/($B2085/7.7)</f>
        <v>0</v>
      </c>
      <c r="H2089" s="359">
        <f t="shared" si="277"/>
        <v>12.420955555555556</v>
      </c>
      <c r="I2089" s="307" t="s">
        <v>104</v>
      </c>
      <c r="J2089" s="438" t="s">
        <v>96</v>
      </c>
      <c r="K2089" s="359">
        <f>K2085/($I2085/7.7)</f>
        <v>6.6203076923076916</v>
      </c>
      <c r="L2089" s="359">
        <f>L2085/($I2085/7.7)</f>
        <v>4.5979999999999999</v>
      </c>
      <c r="M2089" s="359">
        <f>M2085/($I2085/7.7)</f>
        <v>1.4079999999999999</v>
      </c>
      <c r="N2089" s="359">
        <f>N2085/($I2085/7.7)</f>
        <v>0</v>
      </c>
      <c r="O2089" s="359">
        <f t="shared" si="278"/>
        <v>12.626307692307691</v>
      </c>
    </row>
    <row r="2090" spans="1:19" x14ac:dyDescent="0.25">
      <c r="B2090" s="307" t="s">
        <v>135</v>
      </c>
      <c r="C2090" s="365" t="s">
        <v>95</v>
      </c>
      <c r="D2090" s="359">
        <f>D2084/((($B2084*$B2080)*(1-$B2077))/$B2075)</f>
        <v>0.14561957150199153</v>
      </c>
      <c r="E2090" s="359">
        <f>E2084/((($B2084*$B2080)*(1-$B2077))/$B2075)</f>
        <v>8.6204316833697378E-2</v>
      </c>
      <c r="F2090" s="359">
        <f>F2084/((($B2084*$B2080)*(1-$B2077))/$B2075)</f>
        <v>5.9047622489185839E-2</v>
      </c>
      <c r="G2090" s="359">
        <f>G2084/((($B2084*$B2080)*(1-$B2077))/$B2075)</f>
        <v>0</v>
      </c>
      <c r="H2090" s="359">
        <f t="shared" si="277"/>
        <v>0.29087151082487472</v>
      </c>
      <c r="I2090" s="307" t="s">
        <v>135</v>
      </c>
      <c r="J2090" s="365" t="s">
        <v>95</v>
      </c>
      <c r="K2090" s="359">
        <f>K2084/((($I2084*$B2080)*(1-$B2077))/$B2075)</f>
        <v>0.18389793220188969</v>
      </c>
      <c r="L2090" s="359">
        <f>L2084/((($I2084*$B2080)*(1-$B2077))/$B2075)</f>
        <v>7.6975162082623436E-2</v>
      </c>
      <c r="M2090" s="359">
        <f>M2084/((($I2084*$B2080)*(1-$B2077))/$B2075)</f>
        <v>3.925374228309695E-2</v>
      </c>
      <c r="N2090" s="359">
        <f>N2084/((($I2084*$B2080)*(1-$B2077))/$B2075)</f>
        <v>0</v>
      </c>
      <c r="O2090" s="359">
        <f t="shared" si="278"/>
        <v>0.30012683656761008</v>
      </c>
    </row>
    <row r="2091" spans="1:19" x14ac:dyDescent="0.25">
      <c r="B2091" s="307" t="s">
        <v>135</v>
      </c>
      <c r="C2091" s="438" t="s">
        <v>96</v>
      </c>
      <c r="D2091" s="359">
        <f>D2085/((($B2085*$B2080)*(1-$B2077))/$B2075)</f>
        <v>0.16303116925064598</v>
      </c>
      <c r="E2091" s="359">
        <f>E2085/((($B2085*$B2080)*(1-$B2077))/$B2075)</f>
        <v>9.3139276485788111E-2</v>
      </c>
      <c r="F2091" s="359">
        <f>F2085/((($B2085*$B2080)*(1-$B2077))/$B2075)</f>
        <v>1.5573126614987082E-2</v>
      </c>
      <c r="G2091" s="359">
        <f>G2085/((($B2085*$B2080)*(1-$B2077))/$B2075)</f>
        <v>0</v>
      </c>
      <c r="H2091" s="359">
        <f t="shared" si="277"/>
        <v>0.27174357235142121</v>
      </c>
      <c r="I2091" s="307" t="s">
        <v>135</v>
      </c>
      <c r="J2091" s="438" t="s">
        <v>96</v>
      </c>
      <c r="K2091" s="359">
        <f>K2085/((($I2085*$B2080)*(1-$B2077))/$B2075)</f>
        <v>0.14483797597751086</v>
      </c>
      <c r="L2091" s="359">
        <f>L2085/((($I2085*$B2080)*(1-$B2077))/$B2075)</f>
        <v>0.10059426910299005</v>
      </c>
      <c r="M2091" s="359">
        <f>M2085/((($I2085*$B2080)*(1-$B2077))/$B2075)</f>
        <v>3.0803986710963457E-2</v>
      </c>
      <c r="N2091" s="359">
        <f>N2085/((($I2085*$B2080)*(1-$B2077))/$B2075)</f>
        <v>0</v>
      </c>
      <c r="O2091" s="359">
        <f t="shared" si="278"/>
        <v>0.27623623179146434</v>
      </c>
    </row>
    <row r="2092" spans="1:19" ht="15.75" thickBot="1" x14ac:dyDescent="0.3">
      <c r="A2092" s="178"/>
      <c r="B2092" s="178"/>
      <c r="C2092" s="178"/>
      <c r="D2092" s="178"/>
      <c r="E2092" s="178"/>
      <c r="F2092" s="178"/>
      <c r="G2092" s="178"/>
      <c r="H2092" s="178"/>
      <c r="I2092" s="178"/>
      <c r="J2092" s="178"/>
      <c r="K2092" s="178"/>
      <c r="L2092" s="178"/>
      <c r="M2092" s="178"/>
      <c r="N2092" s="178"/>
      <c r="O2092" s="178"/>
    </row>
    <row r="2093" spans="1:19" ht="21" x14ac:dyDescent="0.25">
      <c r="A2093" s="305"/>
      <c r="B2093" s="644" t="s">
        <v>560</v>
      </c>
      <c r="C2093" s="645"/>
      <c r="D2093" s="645"/>
      <c r="E2093" s="645"/>
      <c r="F2093" s="645"/>
      <c r="G2093" s="645"/>
      <c r="H2093" s="645"/>
      <c r="I2093" s="645"/>
      <c r="J2093" s="645"/>
      <c r="K2093" s="645"/>
      <c r="L2093" s="645"/>
      <c r="M2093" s="645"/>
      <c r="N2093" s="645"/>
      <c r="O2093" s="646"/>
      <c r="Q2093" s="662" t="s">
        <v>139</v>
      </c>
      <c r="R2093" s="176" t="s">
        <v>140</v>
      </c>
      <c r="S2093" s="663" t="s">
        <v>142</v>
      </c>
    </row>
    <row r="2094" spans="1:19" ht="21.75" thickBot="1" x14ac:dyDescent="0.3">
      <c r="A2094" s="177" t="s">
        <v>285</v>
      </c>
      <c r="B2094" s="647">
        <v>44544</v>
      </c>
      <c r="C2094" s="648"/>
      <c r="D2094" s="648"/>
      <c r="E2094" s="648"/>
      <c r="F2094" s="648"/>
      <c r="G2094" s="648"/>
      <c r="H2094" s="648"/>
      <c r="I2094" s="648"/>
      <c r="J2094" s="648"/>
      <c r="K2094" s="648"/>
      <c r="L2094" s="648"/>
      <c r="M2094" s="648"/>
      <c r="N2094" s="648"/>
      <c r="O2094" s="649"/>
      <c r="Q2094" s="641"/>
      <c r="R2094" s="87" t="s">
        <v>141</v>
      </c>
      <c r="S2094" s="643"/>
    </row>
    <row r="2095" spans="1:19" ht="15.75" thickBot="1" x14ac:dyDescent="0.3">
      <c r="A2095" s="177"/>
      <c r="B2095" s="650" t="s">
        <v>115</v>
      </c>
      <c r="C2095" s="651"/>
      <c r="D2095" s="651"/>
      <c r="E2095" s="651"/>
      <c r="F2095" s="651"/>
      <c r="G2095" s="651"/>
      <c r="H2095" s="651"/>
      <c r="I2095" s="651"/>
      <c r="J2095" s="651"/>
      <c r="K2095" s="651"/>
      <c r="L2095" s="651"/>
      <c r="M2095" s="651"/>
      <c r="N2095" s="651"/>
      <c r="O2095" s="652"/>
      <c r="Q2095" s="147" t="s">
        <v>143</v>
      </c>
      <c r="R2095" s="88">
        <v>9</v>
      </c>
      <c r="S2095" s="87" t="s">
        <v>576</v>
      </c>
    </row>
    <row r="2096" spans="1:19" ht="15.75" thickBot="1" x14ac:dyDescent="0.3">
      <c r="A2096" s="177" t="s">
        <v>106</v>
      </c>
      <c r="B2096" s="629">
        <v>18</v>
      </c>
      <c r="C2096" s="630"/>
      <c r="D2096" s="630"/>
      <c r="E2096" s="631"/>
      <c r="F2096" s="365" t="s">
        <v>174</v>
      </c>
      <c r="G2096" s="471"/>
      <c r="H2096" s="653">
        <v>0</v>
      </c>
      <c r="I2096" s="654"/>
      <c r="J2096" s="654"/>
      <c r="K2096" s="654"/>
      <c r="L2096" s="655"/>
      <c r="M2096" s="656">
        <f>SUM(B2096,H2097)</f>
        <v>18</v>
      </c>
      <c r="N2096" s="630"/>
      <c r="O2096" s="631"/>
      <c r="Q2096" s="147" t="s">
        <v>145</v>
      </c>
      <c r="R2096" s="88">
        <v>8</v>
      </c>
      <c r="S2096" s="89" t="s">
        <v>567</v>
      </c>
    </row>
    <row r="2097" spans="1:19" ht="15.75" thickBot="1" x14ac:dyDescent="0.3">
      <c r="A2097" s="177" t="s">
        <v>112</v>
      </c>
      <c r="B2097" s="626">
        <v>0.14000000000000001</v>
      </c>
      <c r="C2097" s="627"/>
      <c r="D2097" s="627"/>
      <c r="E2097" s="628"/>
      <c r="F2097" s="290"/>
      <c r="G2097" s="472"/>
      <c r="H2097" s="626">
        <v>0</v>
      </c>
      <c r="I2097" s="627"/>
      <c r="J2097" s="627"/>
      <c r="K2097" s="627"/>
      <c r="L2097" s="628"/>
      <c r="M2097" s="657">
        <f>B2097</f>
        <v>0.14000000000000001</v>
      </c>
      <c r="N2097" s="627"/>
      <c r="O2097" s="628"/>
      <c r="Q2097" s="147" t="s">
        <v>147</v>
      </c>
      <c r="R2097" s="88">
        <v>8</v>
      </c>
      <c r="S2097" s="87" t="s">
        <v>411</v>
      </c>
    </row>
    <row r="2098" spans="1:19" ht="29.25" thickBot="1" x14ac:dyDescent="0.3">
      <c r="A2098" s="177" t="s">
        <v>107</v>
      </c>
      <c r="B2098" s="629">
        <f>B2096*(1-B2097)</f>
        <v>15.48</v>
      </c>
      <c r="C2098" s="630"/>
      <c r="D2098" s="630"/>
      <c r="E2098" s="631"/>
      <c r="F2098" s="290"/>
      <c r="G2098" s="472"/>
      <c r="H2098" s="629">
        <f>H2096*(1-H2097)</f>
        <v>0</v>
      </c>
      <c r="I2098" s="630"/>
      <c r="J2098" s="630"/>
      <c r="K2098" s="630"/>
      <c r="L2098" s="631"/>
      <c r="M2098" s="656">
        <f>SUM(B2098,H2098)</f>
        <v>15.48</v>
      </c>
      <c r="N2098" s="630"/>
      <c r="O2098" s="631"/>
      <c r="Q2098" s="147" t="s">
        <v>82</v>
      </c>
      <c r="R2098" s="88">
        <v>9</v>
      </c>
      <c r="S2098" s="89" t="s">
        <v>529</v>
      </c>
    </row>
    <row r="2099" spans="1:19" ht="15.75" thickBot="1" x14ac:dyDescent="0.3">
      <c r="A2099" s="177" t="s">
        <v>108</v>
      </c>
      <c r="B2099" s="626">
        <f>B2102/B2098</f>
        <v>0.72495784883720915</v>
      </c>
      <c r="C2099" s="627"/>
      <c r="D2099" s="627"/>
      <c r="E2099" s="627"/>
      <c r="F2099" s="627"/>
      <c r="G2099" s="627"/>
      <c r="H2099" s="627"/>
      <c r="I2099" s="627"/>
      <c r="J2099" s="627"/>
      <c r="K2099" s="627"/>
      <c r="L2099" s="627"/>
      <c r="M2099" s="627"/>
      <c r="N2099" s="627"/>
      <c r="O2099" s="628"/>
      <c r="Q2099" s="147" t="s">
        <v>152</v>
      </c>
      <c r="R2099" s="88">
        <v>8</v>
      </c>
      <c r="S2099" s="89" t="s">
        <v>519</v>
      </c>
    </row>
    <row r="2100" spans="1:19" ht="15.75" thickBot="1" x14ac:dyDescent="0.3">
      <c r="A2100" s="177" t="s">
        <v>113</v>
      </c>
      <c r="B2100" s="629">
        <f>B2104*(B2108+B2109+I2108+I2109)/1000</f>
        <v>35.6265</v>
      </c>
      <c r="C2100" s="630"/>
      <c r="D2100" s="630"/>
      <c r="E2100" s="630"/>
      <c r="F2100" s="630"/>
      <c r="G2100" s="630"/>
      <c r="H2100" s="630"/>
      <c r="I2100" s="630"/>
      <c r="J2100" s="630"/>
      <c r="K2100" s="630"/>
      <c r="L2100" s="630"/>
      <c r="M2100" s="630"/>
      <c r="N2100" s="630"/>
      <c r="O2100" s="631"/>
      <c r="Q2100" s="147" t="s">
        <v>154</v>
      </c>
      <c r="R2100" s="88">
        <v>8</v>
      </c>
      <c r="S2100" s="87" t="s">
        <v>520</v>
      </c>
    </row>
    <row r="2101" spans="1:19" ht="29.25" thickBot="1" x14ac:dyDescent="0.3">
      <c r="A2101" s="177" t="s">
        <v>109</v>
      </c>
      <c r="B2101" s="626">
        <v>0.68500000000000005</v>
      </c>
      <c r="C2101" s="627"/>
      <c r="D2101" s="627"/>
      <c r="E2101" s="627"/>
      <c r="F2101" s="627"/>
      <c r="G2101" s="627"/>
      <c r="H2101" s="627"/>
      <c r="I2101" s="627"/>
      <c r="J2101" s="627"/>
      <c r="K2101" s="627"/>
      <c r="L2101" s="627"/>
      <c r="M2101" s="627"/>
      <c r="N2101" s="627"/>
      <c r="O2101" s="628"/>
      <c r="Q2101" s="147" t="s">
        <v>156</v>
      </c>
      <c r="R2101" s="88">
        <v>7</v>
      </c>
      <c r="S2101" s="87" t="s">
        <v>628</v>
      </c>
    </row>
    <row r="2102" spans="1:19" ht="15.75" thickBot="1" x14ac:dyDescent="0.3">
      <c r="A2102" s="177" t="s">
        <v>122</v>
      </c>
      <c r="B2102" s="629">
        <f>B2100-(B2100*B2101)</f>
        <v>11.222347499999998</v>
      </c>
      <c r="C2102" s="630"/>
      <c r="D2102" s="630"/>
      <c r="E2102" s="630"/>
      <c r="F2102" s="630"/>
      <c r="G2102" s="630"/>
      <c r="H2102" s="630"/>
      <c r="I2102" s="630"/>
      <c r="J2102" s="630"/>
      <c r="K2102" s="630"/>
      <c r="L2102" s="630"/>
      <c r="M2102" s="630"/>
      <c r="N2102" s="630"/>
      <c r="O2102" s="631"/>
      <c r="Q2102" s="147" t="s">
        <v>158</v>
      </c>
      <c r="R2102" s="88"/>
      <c r="S2102" s="87"/>
    </row>
    <row r="2103" spans="1:19" ht="15.75" thickBot="1" x14ac:dyDescent="0.3">
      <c r="A2103" s="177" t="s">
        <v>110</v>
      </c>
      <c r="B2103" s="632">
        <v>125</v>
      </c>
      <c r="C2103" s="633"/>
      <c r="D2103" s="633"/>
      <c r="E2103" s="633"/>
      <c r="F2103" s="633"/>
      <c r="G2103" s="633"/>
      <c r="H2103" s="633"/>
      <c r="I2103" s="633"/>
      <c r="J2103" s="633"/>
      <c r="K2103" s="633"/>
      <c r="L2103" s="633"/>
      <c r="M2103" s="633"/>
      <c r="N2103" s="633"/>
      <c r="O2103" s="634"/>
      <c r="Q2103" s="535" t="s">
        <v>99</v>
      </c>
      <c r="R2103" s="87" t="s">
        <v>528</v>
      </c>
      <c r="S2103" s="148">
        <v>0.8</v>
      </c>
    </row>
    <row r="2104" spans="1:19" x14ac:dyDescent="0.25">
      <c r="A2104" s="177" t="s">
        <v>111</v>
      </c>
      <c r="B2104" s="635">
        <v>14.5</v>
      </c>
      <c r="C2104" s="636"/>
      <c r="D2104" s="636"/>
      <c r="E2104" s="636"/>
      <c r="F2104" s="636"/>
      <c r="G2104" s="636"/>
      <c r="H2104" s="636"/>
      <c r="I2104" s="636"/>
      <c r="J2104" s="636"/>
      <c r="K2104" s="636"/>
      <c r="L2104" s="636"/>
      <c r="M2104" s="636"/>
      <c r="N2104" s="636"/>
      <c r="O2104" s="637"/>
      <c r="R2104" s="538"/>
    </row>
    <row r="2105" spans="1:19" x14ac:dyDescent="0.25">
      <c r="A2105" s="177" t="s">
        <v>273</v>
      </c>
      <c r="B2105" s="638" t="s">
        <v>601</v>
      </c>
      <c r="C2105" s="638"/>
      <c r="D2105" s="638"/>
      <c r="E2105" s="638"/>
      <c r="F2105" s="638"/>
      <c r="G2105" s="638"/>
      <c r="H2105" s="638"/>
      <c r="I2105" s="638"/>
      <c r="J2105" s="638"/>
      <c r="K2105" s="638"/>
      <c r="L2105" s="638"/>
      <c r="M2105" s="638"/>
      <c r="N2105" s="638"/>
      <c r="O2105" s="639"/>
    </row>
    <row r="2106" spans="1:19" x14ac:dyDescent="0.25">
      <c r="A2106" s="177" t="s">
        <v>351</v>
      </c>
      <c r="B2106" s="431"/>
      <c r="C2106" s="431"/>
      <c r="D2106" s="431"/>
      <c r="E2106" s="431"/>
      <c r="F2106" s="431"/>
      <c r="G2106" s="431"/>
      <c r="H2106" s="431"/>
      <c r="I2106" s="431"/>
      <c r="J2106" s="431"/>
      <c r="K2106" s="431"/>
      <c r="L2106" s="431"/>
      <c r="M2106" s="431"/>
      <c r="N2106" s="431"/>
      <c r="O2106" s="432"/>
    </row>
    <row r="2107" spans="1:19" x14ac:dyDescent="0.25">
      <c r="B2107" s="307" t="s">
        <v>98</v>
      </c>
      <c r="C2107" s="365" t="s">
        <v>102</v>
      </c>
      <c r="D2107" s="365" t="s">
        <v>92</v>
      </c>
      <c r="E2107" s="365" t="s">
        <v>93</v>
      </c>
      <c r="F2107" s="365" t="s">
        <v>94</v>
      </c>
      <c r="G2107" s="365" t="s">
        <v>549</v>
      </c>
      <c r="H2107" s="359" t="s">
        <v>99</v>
      </c>
      <c r="I2107" s="307" t="s">
        <v>98</v>
      </c>
      <c r="J2107" s="365" t="s">
        <v>102</v>
      </c>
      <c r="K2107" s="365" t="s">
        <v>92</v>
      </c>
      <c r="L2107" s="365" t="s">
        <v>93</v>
      </c>
      <c r="M2107" s="365" t="s">
        <v>94</v>
      </c>
      <c r="N2107" s="365" t="s">
        <v>549</v>
      </c>
      <c r="O2107" s="359" t="s">
        <v>99</v>
      </c>
    </row>
    <row r="2108" spans="1:19" x14ac:dyDescent="0.25">
      <c r="B2108" s="308">
        <v>1127</v>
      </c>
      <c r="C2108" s="365" t="s">
        <v>95</v>
      </c>
      <c r="D2108" s="441">
        <v>1244.8800000000001</v>
      </c>
      <c r="E2108" s="441">
        <v>516.79</v>
      </c>
      <c r="F2108" s="441">
        <v>112.63</v>
      </c>
      <c r="G2108" s="441">
        <v>0</v>
      </c>
      <c r="H2108" s="359">
        <f>SUM(D2108:G2108)</f>
        <v>1874.3000000000002</v>
      </c>
      <c r="I2108" s="308">
        <v>1129</v>
      </c>
      <c r="J2108" s="365" t="s">
        <v>95</v>
      </c>
      <c r="K2108" s="441">
        <v>1336.08</v>
      </c>
      <c r="L2108" s="441">
        <v>846.7</v>
      </c>
      <c r="M2108" s="441">
        <v>530.51</v>
      </c>
      <c r="N2108" s="441">
        <v>134.19</v>
      </c>
      <c r="O2108" s="359">
        <f>SUM(K2108:N2108)</f>
        <v>2847.48</v>
      </c>
    </row>
    <row r="2109" spans="1:19" x14ac:dyDescent="0.25">
      <c r="B2109" s="308">
        <v>101</v>
      </c>
      <c r="C2109" s="365" t="s">
        <v>96</v>
      </c>
      <c r="D2109" s="441">
        <v>94.65</v>
      </c>
      <c r="E2109" s="441">
        <v>82.9</v>
      </c>
      <c r="F2109" s="441">
        <v>0</v>
      </c>
      <c r="G2109" s="441">
        <v>0</v>
      </c>
      <c r="H2109" s="359">
        <f t="shared" ref="H2109:H2115" si="281">SUM(D2109:G2109)</f>
        <v>177.55</v>
      </c>
      <c r="I2109" s="308">
        <v>100</v>
      </c>
      <c r="J2109" s="365" t="s">
        <v>96</v>
      </c>
      <c r="K2109" s="441">
        <v>68.650000000000006</v>
      </c>
      <c r="L2109" s="441">
        <v>66.16</v>
      </c>
      <c r="M2109" s="441">
        <v>0</v>
      </c>
      <c r="N2109" s="441">
        <v>20.8</v>
      </c>
      <c r="O2109" s="359">
        <f t="shared" ref="O2109:O2115" si="282">SUM(K2109:N2109)</f>
        <v>155.61000000000001</v>
      </c>
    </row>
    <row r="2110" spans="1:19" x14ac:dyDescent="0.25">
      <c r="B2110" s="307" t="s">
        <v>100</v>
      </c>
      <c r="C2110" s="365" t="s">
        <v>95</v>
      </c>
      <c r="D2110" s="444">
        <f t="shared" ref="D2110:G2111" si="283">D2108/$B2108</f>
        <v>1.1045962732919257</v>
      </c>
      <c r="E2110" s="429">
        <f t="shared" si="283"/>
        <v>0.45855368234250221</v>
      </c>
      <c r="F2110" s="429">
        <f t="shared" si="283"/>
        <v>9.9937888198757763E-2</v>
      </c>
      <c r="G2110" s="429">
        <f t="shared" si="283"/>
        <v>0</v>
      </c>
      <c r="H2110" s="359">
        <f t="shared" si="281"/>
        <v>1.6630878438331858</v>
      </c>
      <c r="I2110" s="307" t="s">
        <v>100</v>
      </c>
      <c r="J2110" s="365" t="s">
        <v>95</v>
      </c>
      <c r="K2110" s="444">
        <f t="shared" ref="K2110:N2111" si="284">K2108/$I2108</f>
        <v>1.1834189548272807</v>
      </c>
      <c r="L2110" s="429">
        <f t="shared" si="284"/>
        <v>0.74995571302037201</v>
      </c>
      <c r="M2110" s="429">
        <f t="shared" si="284"/>
        <v>0.46989371124889284</v>
      </c>
      <c r="N2110" s="429">
        <f t="shared" si="284"/>
        <v>0.11885739592559787</v>
      </c>
      <c r="O2110" s="359">
        <f t="shared" si="282"/>
        <v>2.5221257750221433</v>
      </c>
    </row>
    <row r="2111" spans="1:19" x14ac:dyDescent="0.25">
      <c r="B2111" s="307" t="s">
        <v>100</v>
      </c>
      <c r="C2111" s="438" t="s">
        <v>96</v>
      </c>
      <c r="D2111" s="359">
        <f t="shared" si="283"/>
        <v>0.93712871287128718</v>
      </c>
      <c r="E2111" s="359">
        <f t="shared" si="283"/>
        <v>0.82079207920792085</v>
      </c>
      <c r="F2111" s="359">
        <f t="shared" si="283"/>
        <v>0</v>
      </c>
      <c r="G2111" s="359">
        <f t="shared" si="283"/>
        <v>0</v>
      </c>
      <c r="H2111" s="359">
        <f t="shared" si="281"/>
        <v>1.7579207920792079</v>
      </c>
      <c r="I2111" s="307" t="s">
        <v>100</v>
      </c>
      <c r="J2111" s="438" t="s">
        <v>96</v>
      </c>
      <c r="K2111" s="359">
        <f t="shared" si="284"/>
        <v>0.68650000000000011</v>
      </c>
      <c r="L2111" s="359">
        <f t="shared" si="284"/>
        <v>0.66159999999999997</v>
      </c>
      <c r="M2111" s="359">
        <f t="shared" si="284"/>
        <v>0</v>
      </c>
      <c r="N2111" s="359">
        <f t="shared" si="284"/>
        <v>0.20800000000000002</v>
      </c>
      <c r="O2111" s="359">
        <f t="shared" si="282"/>
        <v>1.5561</v>
      </c>
    </row>
    <row r="2112" spans="1:19" x14ac:dyDescent="0.25">
      <c r="B2112" s="307" t="s">
        <v>104</v>
      </c>
      <c r="C2112" s="365" t="s">
        <v>95</v>
      </c>
      <c r="D2112" s="359">
        <f>D2108/($B2108/7.7)</f>
        <v>8.5053913043478264</v>
      </c>
      <c r="E2112" s="359">
        <f>E2108/($B2108/7)</f>
        <v>3.2098757763975154</v>
      </c>
      <c r="F2112" s="359">
        <f>F2108/($B2108/7)</f>
        <v>0.69956521739130428</v>
      </c>
      <c r="G2112" s="359">
        <f>G2108/($B2108/7)</f>
        <v>0</v>
      </c>
      <c r="H2112" s="359">
        <f t="shared" si="281"/>
        <v>12.414832298136647</v>
      </c>
      <c r="I2112" s="307" t="s">
        <v>104</v>
      </c>
      <c r="J2112" s="365" t="s">
        <v>95</v>
      </c>
      <c r="K2112" s="359">
        <f>K2108/($I2108/7.7)</f>
        <v>9.1123259521700604</v>
      </c>
      <c r="L2112" s="359">
        <f>L2108/($I2108/7)</f>
        <v>5.2496899911426045</v>
      </c>
      <c r="M2112" s="359">
        <f>M2108/($I2108/7)</f>
        <v>3.2892559787422497</v>
      </c>
      <c r="N2112" s="359">
        <f>N2108/($I2108/7)</f>
        <v>0.83200177147918519</v>
      </c>
      <c r="O2112" s="359">
        <f t="shared" si="282"/>
        <v>18.483273693534098</v>
      </c>
    </row>
    <row r="2113" spans="1:19" x14ac:dyDescent="0.25">
      <c r="B2113" s="307" t="s">
        <v>104</v>
      </c>
      <c r="C2113" s="438" t="s">
        <v>96</v>
      </c>
      <c r="D2113" s="359">
        <f>D2109/($B2109/7.7)</f>
        <v>7.2158910891089114</v>
      </c>
      <c r="E2113" s="359">
        <f>E2109/($B2109/7.7)</f>
        <v>6.320099009900991</v>
      </c>
      <c r="F2113" s="359">
        <f>F2109/($B2109/7.7)</f>
        <v>0</v>
      </c>
      <c r="G2113" s="359">
        <f>G2109/($B2109/7.7)</f>
        <v>0</v>
      </c>
      <c r="H2113" s="359">
        <f t="shared" si="281"/>
        <v>13.535990099009902</v>
      </c>
      <c r="I2113" s="307" t="s">
        <v>104</v>
      </c>
      <c r="J2113" s="438" t="s">
        <v>96</v>
      </c>
      <c r="K2113" s="359">
        <f>K2109/($I2109/7.7)</f>
        <v>5.2860500000000004</v>
      </c>
      <c r="L2113" s="359">
        <f>L2109/($I2109/7.7)</f>
        <v>5.0943199999999997</v>
      </c>
      <c r="M2113" s="359">
        <f>M2109/($I2109/7.7)</f>
        <v>0</v>
      </c>
      <c r="N2113" s="359">
        <f>N2109/($I2109/7.7)</f>
        <v>1.6016000000000001</v>
      </c>
      <c r="O2113" s="359">
        <f t="shared" si="282"/>
        <v>11.981969999999999</v>
      </c>
    </row>
    <row r="2114" spans="1:19" x14ac:dyDescent="0.25">
      <c r="B2114" s="307" t="s">
        <v>135</v>
      </c>
      <c r="C2114" s="365" t="s">
        <v>95</v>
      </c>
      <c r="D2114" s="359">
        <f>D2108/((($B2108*$B2104)*(1-$B2101))/$B2099)</f>
        <v>0.17532254802831143</v>
      </c>
      <c r="E2114" s="359">
        <f>E2108/((($B2108*$B2104)*(1-$B2101))/$B2099)</f>
        <v>7.2782067022966912E-2</v>
      </c>
      <c r="F2114" s="359">
        <f>F2108/((($B2108*$B2104)*(1-$B2101))/$B2099)</f>
        <v>1.5862234580384223E-2</v>
      </c>
      <c r="G2114" s="359">
        <f>G2108/((($B2108*$B2104)*(1-$B2101))/$B2099)</f>
        <v>0</v>
      </c>
      <c r="H2114" s="359">
        <f t="shared" si="281"/>
        <v>0.26396684963166256</v>
      </c>
      <c r="I2114" s="307" t="s">
        <v>135</v>
      </c>
      <c r="J2114" s="365" t="s">
        <v>95</v>
      </c>
      <c r="K2114" s="359">
        <f>K2108/((($I2108*$B2104)*(1-$B2101))/$B2099)</f>
        <v>0.18783335736502765</v>
      </c>
      <c r="L2114" s="359">
        <f>L2108/((($I2108*$B2104)*(1-$B2101))/$B2099)</f>
        <v>0.11903366840381485</v>
      </c>
      <c r="M2114" s="359">
        <f>M2108/((($I2108*$B2104)*(1-$B2101))/$B2099)</f>
        <v>7.4581966959853321E-2</v>
      </c>
      <c r="N2114" s="359">
        <f>N2108/((($I2108*$B2104)*(1-$B2101))/$B2099)</f>
        <v>1.8865156446330356E-2</v>
      </c>
      <c r="O2114" s="359">
        <f t="shared" si="282"/>
        <v>0.40031414917502617</v>
      </c>
    </row>
    <row r="2115" spans="1:19" x14ac:dyDescent="0.25">
      <c r="B2115" s="307" t="s">
        <v>135</v>
      </c>
      <c r="C2115" s="438" t="s">
        <v>96</v>
      </c>
      <c r="D2115" s="359">
        <f>D2109/((($B2109*$B2104)*(1-$B2101))/$B2099)</f>
        <v>0.14874194105457056</v>
      </c>
      <c r="E2115" s="359">
        <f>E2109/((($B2109*$B2104)*(1-$B2101))/$B2099)</f>
        <v>0.13027688233939672</v>
      </c>
      <c r="F2115" s="359">
        <f>F2109/((($B2109*$B2104)*(1-$B2101))/$B2099)</f>
        <v>0</v>
      </c>
      <c r="G2115" s="359">
        <f>G2109/((($B2109*$B2104)*(1-$B2101))/$B2099)</f>
        <v>0</v>
      </c>
      <c r="H2115" s="359">
        <f t="shared" si="281"/>
        <v>0.27901882339396727</v>
      </c>
      <c r="I2115" s="307" t="s">
        <v>135</v>
      </c>
      <c r="J2115" s="438" t="s">
        <v>96</v>
      </c>
      <c r="K2115" s="359">
        <f>K2109/((($I2109*$B2104)*(1-$B2101))/$B2099)</f>
        <v>0.10896191860465117</v>
      </c>
      <c r="L2115" s="359">
        <f>L2109/((($I2109*$B2104)*(1-$B2101))/$B2099)</f>
        <v>0.10500976744186045</v>
      </c>
      <c r="M2115" s="359">
        <f>M2109/((($I2109*$B2104)*(1-$B2101))/$B2099)</f>
        <v>0</v>
      </c>
      <c r="N2115" s="359">
        <f>N2109/((($I2109*$B2104)*(1-$B2101))/$B2099)</f>
        <v>3.3013953488372091E-2</v>
      </c>
      <c r="O2115" s="359">
        <f t="shared" si="282"/>
        <v>0.24698563953488373</v>
      </c>
    </row>
    <row r="2116" spans="1:19" ht="15.75" thickBot="1" x14ac:dyDescent="0.3">
      <c r="A2116" s="178"/>
      <c r="B2116" s="178"/>
      <c r="C2116" s="178"/>
      <c r="D2116" s="178"/>
      <c r="E2116" s="178"/>
      <c r="F2116" s="178"/>
      <c r="G2116" s="178"/>
      <c r="H2116" s="178"/>
      <c r="I2116" s="178"/>
      <c r="J2116" s="178"/>
      <c r="K2116" s="178"/>
      <c r="L2116" s="178"/>
      <c r="M2116" s="178"/>
      <c r="N2116" s="178"/>
      <c r="O2116" s="178"/>
    </row>
    <row r="2117" spans="1:19" ht="21" x14ac:dyDescent="0.25">
      <c r="A2117" s="305"/>
      <c r="B2117" s="644" t="s">
        <v>561</v>
      </c>
      <c r="C2117" s="645"/>
      <c r="D2117" s="645"/>
      <c r="E2117" s="645"/>
      <c r="F2117" s="645"/>
      <c r="G2117" s="645"/>
      <c r="H2117" s="645"/>
      <c r="I2117" s="645"/>
      <c r="J2117" s="645"/>
      <c r="K2117" s="645"/>
      <c r="L2117" s="645"/>
      <c r="M2117" s="645"/>
      <c r="N2117" s="645"/>
      <c r="O2117" s="646"/>
      <c r="Q2117" s="662" t="s">
        <v>139</v>
      </c>
      <c r="R2117" s="176" t="s">
        <v>140</v>
      </c>
      <c r="S2117" s="663" t="s">
        <v>142</v>
      </c>
    </row>
    <row r="2118" spans="1:19" ht="21.75" thickBot="1" x14ac:dyDescent="0.3">
      <c r="A2118" s="177" t="s">
        <v>285</v>
      </c>
      <c r="B2118" s="647">
        <v>44558</v>
      </c>
      <c r="C2118" s="648"/>
      <c r="D2118" s="648"/>
      <c r="E2118" s="648"/>
      <c r="F2118" s="648"/>
      <c r="G2118" s="648"/>
      <c r="H2118" s="648"/>
      <c r="I2118" s="648"/>
      <c r="J2118" s="648"/>
      <c r="K2118" s="648"/>
      <c r="L2118" s="648"/>
      <c r="M2118" s="648"/>
      <c r="N2118" s="648"/>
      <c r="O2118" s="649"/>
      <c r="Q2118" s="641"/>
      <c r="R2118" s="87" t="s">
        <v>141</v>
      </c>
      <c r="S2118" s="643"/>
    </row>
    <row r="2119" spans="1:19" ht="15.75" thickBot="1" x14ac:dyDescent="0.3">
      <c r="A2119" s="177"/>
      <c r="B2119" s="650" t="s">
        <v>115</v>
      </c>
      <c r="C2119" s="651"/>
      <c r="D2119" s="651"/>
      <c r="E2119" s="651"/>
      <c r="F2119" s="651"/>
      <c r="G2119" s="651"/>
      <c r="H2119" s="651"/>
      <c r="I2119" s="651"/>
      <c r="J2119" s="651"/>
      <c r="K2119" s="651"/>
      <c r="L2119" s="651"/>
      <c r="M2119" s="651"/>
      <c r="N2119" s="651"/>
      <c r="O2119" s="652"/>
      <c r="Q2119" s="147" t="s">
        <v>143</v>
      </c>
      <c r="R2119" s="88">
        <v>8</v>
      </c>
      <c r="S2119" s="87" t="s">
        <v>576</v>
      </c>
    </row>
    <row r="2120" spans="1:19" ht="15.75" thickBot="1" x14ac:dyDescent="0.3">
      <c r="A2120" s="177" t="s">
        <v>106</v>
      </c>
      <c r="B2120" s="629">
        <v>18</v>
      </c>
      <c r="C2120" s="630"/>
      <c r="D2120" s="630"/>
      <c r="E2120" s="631"/>
      <c r="F2120" s="365" t="s">
        <v>174</v>
      </c>
      <c r="G2120" s="471"/>
      <c r="H2120" s="653">
        <v>0</v>
      </c>
      <c r="I2120" s="654"/>
      <c r="J2120" s="654"/>
      <c r="K2120" s="654"/>
      <c r="L2120" s="655"/>
      <c r="M2120" s="656">
        <f>SUM(B2120,H2121)</f>
        <v>18</v>
      </c>
      <c r="N2120" s="630"/>
      <c r="O2120" s="631"/>
      <c r="Q2120" s="147" t="s">
        <v>145</v>
      </c>
      <c r="R2120" s="88">
        <v>8</v>
      </c>
      <c r="S2120" s="89" t="s">
        <v>567</v>
      </c>
    </row>
    <row r="2121" spans="1:19" ht="15.75" thickBot="1" x14ac:dyDescent="0.3">
      <c r="A2121" s="177" t="s">
        <v>112</v>
      </c>
      <c r="B2121" s="626">
        <v>0.14000000000000001</v>
      </c>
      <c r="C2121" s="627"/>
      <c r="D2121" s="627"/>
      <c r="E2121" s="628"/>
      <c r="F2121" s="290"/>
      <c r="G2121" s="472"/>
      <c r="H2121" s="626">
        <v>0</v>
      </c>
      <c r="I2121" s="627"/>
      <c r="J2121" s="627"/>
      <c r="K2121" s="627"/>
      <c r="L2121" s="628"/>
      <c r="M2121" s="657">
        <f>B2121</f>
        <v>0.14000000000000001</v>
      </c>
      <c r="N2121" s="627"/>
      <c r="O2121" s="628"/>
      <c r="Q2121" s="147" t="s">
        <v>147</v>
      </c>
      <c r="R2121" s="88">
        <v>7</v>
      </c>
      <c r="S2121" s="87" t="s">
        <v>411</v>
      </c>
    </row>
    <row r="2122" spans="1:19" ht="29.25" thickBot="1" x14ac:dyDescent="0.3">
      <c r="A2122" s="177" t="s">
        <v>107</v>
      </c>
      <c r="B2122" s="629">
        <f>B2120*(1-B2121)</f>
        <v>15.48</v>
      </c>
      <c r="C2122" s="630"/>
      <c r="D2122" s="630"/>
      <c r="E2122" s="631"/>
      <c r="F2122" s="290"/>
      <c r="G2122" s="472"/>
      <c r="H2122" s="629">
        <f>H2120*(1-H2121)</f>
        <v>0</v>
      </c>
      <c r="I2122" s="630"/>
      <c r="J2122" s="630"/>
      <c r="K2122" s="630"/>
      <c r="L2122" s="631"/>
      <c r="M2122" s="656">
        <f>SUM(B2122,H2122)</f>
        <v>15.48</v>
      </c>
      <c r="N2122" s="630"/>
      <c r="O2122" s="631"/>
      <c r="Q2122" s="147" t="s">
        <v>82</v>
      </c>
      <c r="R2122" s="88">
        <v>7</v>
      </c>
      <c r="S2122" s="89" t="s">
        <v>529</v>
      </c>
    </row>
    <row r="2123" spans="1:19" ht="15.75" thickBot="1" x14ac:dyDescent="0.3">
      <c r="A2123" s="177" t="s">
        <v>108</v>
      </c>
      <c r="B2123" s="626">
        <f>B2126/B2122</f>
        <v>0.74832364341085278</v>
      </c>
      <c r="C2123" s="627"/>
      <c r="D2123" s="627"/>
      <c r="E2123" s="627"/>
      <c r="F2123" s="627"/>
      <c r="G2123" s="627"/>
      <c r="H2123" s="627"/>
      <c r="I2123" s="627"/>
      <c r="J2123" s="627"/>
      <c r="K2123" s="627"/>
      <c r="L2123" s="627"/>
      <c r="M2123" s="627"/>
      <c r="N2123" s="627"/>
      <c r="O2123" s="628"/>
      <c r="Q2123" s="147" t="s">
        <v>152</v>
      </c>
      <c r="R2123" s="88">
        <v>8</v>
      </c>
      <c r="S2123" s="89" t="s">
        <v>519</v>
      </c>
    </row>
    <row r="2124" spans="1:19" ht="15.75" thickBot="1" x14ac:dyDescent="0.3">
      <c r="A2124" s="177" t="s">
        <v>113</v>
      </c>
      <c r="B2124" s="629">
        <f>B2128*(B2132+B2133+I2132+I2133)/1000</f>
        <v>39.945</v>
      </c>
      <c r="C2124" s="630"/>
      <c r="D2124" s="630"/>
      <c r="E2124" s="630"/>
      <c r="F2124" s="630"/>
      <c r="G2124" s="630"/>
      <c r="H2124" s="630"/>
      <c r="I2124" s="630"/>
      <c r="J2124" s="630"/>
      <c r="K2124" s="630"/>
      <c r="L2124" s="630"/>
      <c r="M2124" s="630"/>
      <c r="N2124" s="630"/>
      <c r="O2124" s="631"/>
      <c r="Q2124" s="147" t="s">
        <v>154</v>
      </c>
      <c r="R2124" s="88">
        <v>7</v>
      </c>
      <c r="S2124" s="87" t="s">
        <v>520</v>
      </c>
    </row>
    <row r="2125" spans="1:19" ht="29.25" thickBot="1" x14ac:dyDescent="0.3">
      <c r="A2125" s="177" t="s">
        <v>109</v>
      </c>
      <c r="B2125" s="626">
        <v>0.71</v>
      </c>
      <c r="C2125" s="627"/>
      <c r="D2125" s="627"/>
      <c r="E2125" s="627"/>
      <c r="F2125" s="627"/>
      <c r="G2125" s="627"/>
      <c r="H2125" s="627"/>
      <c r="I2125" s="627"/>
      <c r="J2125" s="627"/>
      <c r="K2125" s="627"/>
      <c r="L2125" s="627"/>
      <c r="M2125" s="627"/>
      <c r="N2125" s="627"/>
      <c r="O2125" s="628"/>
      <c r="Q2125" s="147" t="s">
        <v>156</v>
      </c>
      <c r="R2125" s="88">
        <v>8</v>
      </c>
      <c r="S2125" s="87" t="s">
        <v>628</v>
      </c>
    </row>
    <row r="2126" spans="1:19" ht="15.75" thickBot="1" x14ac:dyDescent="0.3">
      <c r="A2126" s="177" t="s">
        <v>122</v>
      </c>
      <c r="B2126" s="629">
        <f>B2124-(B2124*B2125)</f>
        <v>11.584050000000001</v>
      </c>
      <c r="C2126" s="630"/>
      <c r="D2126" s="630"/>
      <c r="E2126" s="630"/>
      <c r="F2126" s="630"/>
      <c r="G2126" s="630"/>
      <c r="H2126" s="630"/>
      <c r="I2126" s="630"/>
      <c r="J2126" s="630"/>
      <c r="K2126" s="630"/>
      <c r="L2126" s="630"/>
      <c r="M2126" s="630"/>
      <c r="N2126" s="630"/>
      <c r="O2126" s="631"/>
      <c r="Q2126" s="147" t="s">
        <v>158</v>
      </c>
      <c r="R2126" s="88"/>
      <c r="S2126" s="87"/>
    </row>
    <row r="2127" spans="1:19" ht="15.75" thickBot="1" x14ac:dyDescent="0.3">
      <c r="A2127" s="177" t="s">
        <v>110</v>
      </c>
      <c r="B2127" s="632">
        <v>125</v>
      </c>
      <c r="C2127" s="633"/>
      <c r="D2127" s="633"/>
      <c r="E2127" s="633"/>
      <c r="F2127" s="633"/>
      <c r="G2127" s="633"/>
      <c r="H2127" s="633"/>
      <c r="I2127" s="633"/>
      <c r="J2127" s="633"/>
      <c r="K2127" s="633"/>
      <c r="L2127" s="633"/>
      <c r="M2127" s="633"/>
      <c r="N2127" s="633"/>
      <c r="O2127" s="634"/>
      <c r="Q2127" s="535" t="s">
        <v>99</v>
      </c>
      <c r="R2127" s="87" t="s">
        <v>565</v>
      </c>
      <c r="S2127" s="540">
        <f>53/70</f>
        <v>0.75714285714285712</v>
      </c>
    </row>
    <row r="2128" spans="1:19" x14ac:dyDescent="0.25">
      <c r="A2128" s="177" t="s">
        <v>111</v>
      </c>
      <c r="B2128" s="635">
        <v>15</v>
      </c>
      <c r="C2128" s="636"/>
      <c r="D2128" s="636"/>
      <c r="E2128" s="636"/>
      <c r="F2128" s="636"/>
      <c r="G2128" s="636"/>
      <c r="H2128" s="636"/>
      <c r="I2128" s="636"/>
      <c r="J2128" s="636"/>
      <c r="K2128" s="636"/>
      <c r="L2128" s="636"/>
      <c r="M2128" s="636"/>
      <c r="N2128" s="636"/>
      <c r="O2128" s="637"/>
    </row>
    <row r="2129" spans="1:19" x14ac:dyDescent="0.25">
      <c r="A2129" s="177" t="s">
        <v>273</v>
      </c>
      <c r="B2129" s="638" t="s">
        <v>629</v>
      </c>
      <c r="C2129" s="638"/>
      <c r="D2129" s="638"/>
      <c r="E2129" s="638"/>
      <c r="F2129" s="638"/>
      <c r="G2129" s="638"/>
      <c r="H2129" s="638"/>
      <c r="I2129" s="638"/>
      <c r="J2129" s="638"/>
      <c r="K2129" s="638"/>
      <c r="L2129" s="638"/>
      <c r="M2129" s="638"/>
      <c r="N2129" s="638"/>
      <c r="O2129" s="639"/>
    </row>
    <row r="2130" spans="1:19" x14ac:dyDescent="0.25">
      <c r="A2130" s="177" t="s">
        <v>351</v>
      </c>
      <c r="B2130" s="431"/>
      <c r="C2130" s="431"/>
      <c r="D2130" s="431"/>
      <c r="E2130" s="431"/>
      <c r="F2130" s="431"/>
      <c r="G2130" s="431"/>
      <c r="H2130" s="431"/>
      <c r="I2130" s="431"/>
      <c r="J2130" s="431"/>
      <c r="K2130" s="431"/>
      <c r="L2130" s="431"/>
      <c r="M2130" s="431"/>
      <c r="N2130" s="431"/>
      <c r="O2130" s="432"/>
    </row>
    <row r="2131" spans="1:19" x14ac:dyDescent="0.25">
      <c r="B2131" s="307" t="s">
        <v>98</v>
      </c>
      <c r="C2131" s="365" t="s">
        <v>102</v>
      </c>
      <c r="D2131" s="365" t="s">
        <v>92</v>
      </c>
      <c r="E2131" s="365" t="s">
        <v>93</v>
      </c>
      <c r="F2131" s="365" t="s">
        <v>94</v>
      </c>
      <c r="G2131" s="365" t="s">
        <v>549</v>
      </c>
      <c r="H2131" s="359" t="s">
        <v>99</v>
      </c>
      <c r="I2131" s="307" t="s">
        <v>98</v>
      </c>
      <c r="J2131" s="365" t="s">
        <v>102</v>
      </c>
      <c r="K2131" s="365" t="s">
        <v>92</v>
      </c>
      <c r="L2131" s="365" t="s">
        <v>93</v>
      </c>
      <c r="M2131" s="365" t="s">
        <v>94</v>
      </c>
      <c r="N2131" s="365" t="s">
        <v>549</v>
      </c>
      <c r="O2131" s="359" t="s">
        <v>99</v>
      </c>
    </row>
    <row r="2132" spans="1:19" x14ac:dyDescent="0.25">
      <c r="B2132" s="308">
        <v>1204</v>
      </c>
      <c r="C2132" s="365" t="s">
        <v>95</v>
      </c>
      <c r="D2132" s="441">
        <v>925</v>
      </c>
      <c r="E2132" s="441">
        <v>531.04</v>
      </c>
      <c r="F2132" s="441">
        <v>287.08</v>
      </c>
      <c r="G2132" s="441">
        <v>124.22</v>
      </c>
      <c r="H2132" s="359">
        <f>SUM(D2132:G2132)</f>
        <v>1867.34</v>
      </c>
      <c r="I2132" s="308">
        <v>1209</v>
      </c>
      <c r="J2132" s="365" t="s">
        <v>95</v>
      </c>
      <c r="K2132" s="441">
        <v>967.91</v>
      </c>
      <c r="L2132" s="441">
        <v>371.63</v>
      </c>
      <c r="M2132" s="441">
        <v>288.77</v>
      </c>
      <c r="N2132" s="441">
        <v>61</v>
      </c>
      <c r="O2132" s="359">
        <f>SUM(K2132:N2132)</f>
        <v>1689.31</v>
      </c>
      <c r="S2132" s="539"/>
    </row>
    <row r="2133" spans="1:19" x14ac:dyDescent="0.25">
      <c r="B2133" s="308">
        <v>127</v>
      </c>
      <c r="C2133" s="365" t="s">
        <v>96</v>
      </c>
      <c r="D2133" s="441">
        <v>83.73</v>
      </c>
      <c r="E2133" s="441">
        <v>47.22</v>
      </c>
      <c r="F2133" s="441">
        <v>43.68</v>
      </c>
      <c r="G2133" s="441">
        <v>19.239999999999998</v>
      </c>
      <c r="H2133" s="359">
        <f t="shared" ref="H2133:H2139" si="285">SUM(D2133:G2133)</f>
        <v>193.87</v>
      </c>
      <c r="I2133" s="308">
        <v>123</v>
      </c>
      <c r="J2133" s="365" t="s">
        <v>96</v>
      </c>
      <c r="K2133" s="441">
        <v>60.26</v>
      </c>
      <c r="L2133" s="441">
        <v>79.3</v>
      </c>
      <c r="M2133" s="441">
        <v>39.81</v>
      </c>
      <c r="N2133" s="441"/>
      <c r="O2133" s="359">
        <f t="shared" ref="O2133:O2139" si="286">SUM(K2133:N2133)</f>
        <v>179.37</v>
      </c>
    </row>
    <row r="2134" spans="1:19" x14ac:dyDescent="0.25">
      <c r="B2134" s="307" t="s">
        <v>100</v>
      </c>
      <c r="C2134" s="365" t="s">
        <v>95</v>
      </c>
      <c r="D2134" s="444">
        <f t="shared" ref="D2134:G2135" si="287">D2132/$B2132</f>
        <v>0.76827242524916939</v>
      </c>
      <c r="E2134" s="429">
        <f t="shared" si="287"/>
        <v>0.44106312292358801</v>
      </c>
      <c r="F2134" s="429">
        <f t="shared" si="287"/>
        <v>0.23843853820598004</v>
      </c>
      <c r="G2134" s="429">
        <f t="shared" si="287"/>
        <v>0.10317275747508306</v>
      </c>
      <c r="H2134" s="359">
        <f t="shared" si="285"/>
        <v>1.5509468438538205</v>
      </c>
      <c r="I2134" s="307" t="s">
        <v>100</v>
      </c>
      <c r="J2134" s="365" t="s">
        <v>95</v>
      </c>
      <c r="K2134" s="444">
        <f t="shared" ref="K2134:N2135" si="288">K2132/$I2132</f>
        <v>0.80058726220016541</v>
      </c>
      <c r="L2134" s="429">
        <f t="shared" si="288"/>
        <v>0.30738626964433413</v>
      </c>
      <c r="M2134" s="429">
        <f t="shared" si="288"/>
        <v>0.23885028949545076</v>
      </c>
      <c r="N2134" s="429">
        <f t="shared" si="288"/>
        <v>5.0454921422663356E-2</v>
      </c>
      <c r="O2134" s="359">
        <f t="shared" si="286"/>
        <v>1.3972787427626134</v>
      </c>
    </row>
    <row r="2135" spans="1:19" x14ac:dyDescent="0.25">
      <c r="B2135" s="307" t="s">
        <v>100</v>
      </c>
      <c r="C2135" s="438" t="s">
        <v>96</v>
      </c>
      <c r="D2135" s="359">
        <f t="shared" si="287"/>
        <v>0.65929133858267719</v>
      </c>
      <c r="E2135" s="359">
        <f t="shared" si="287"/>
        <v>0.37181102362204721</v>
      </c>
      <c r="F2135" s="359">
        <f t="shared" si="287"/>
        <v>0.34393700787401577</v>
      </c>
      <c r="G2135" s="359">
        <f t="shared" si="287"/>
        <v>0.15149606299212598</v>
      </c>
      <c r="H2135" s="359">
        <f t="shared" si="285"/>
        <v>1.5265354330708663</v>
      </c>
      <c r="I2135" s="307" t="s">
        <v>100</v>
      </c>
      <c r="J2135" s="438" t="s">
        <v>96</v>
      </c>
      <c r="K2135" s="359">
        <f t="shared" si="288"/>
        <v>0.48991869918699188</v>
      </c>
      <c r="L2135" s="359">
        <f t="shared" si="288"/>
        <v>0.64471544715447149</v>
      </c>
      <c r="M2135" s="359">
        <f t="shared" si="288"/>
        <v>0.32365853658536586</v>
      </c>
      <c r="N2135" s="359">
        <f t="shared" si="288"/>
        <v>0</v>
      </c>
      <c r="O2135" s="359">
        <f t="shared" si="286"/>
        <v>1.4582926829268292</v>
      </c>
    </row>
    <row r="2136" spans="1:19" x14ac:dyDescent="0.25">
      <c r="B2136" s="307" t="s">
        <v>104</v>
      </c>
      <c r="C2136" s="365" t="s">
        <v>95</v>
      </c>
      <c r="D2136" s="359">
        <f>D2132/($B2132/7.7)</f>
        <v>5.9156976744186043</v>
      </c>
      <c r="E2136" s="359">
        <f>E2132/($B2132/7)</f>
        <v>3.0874418604651162</v>
      </c>
      <c r="F2136" s="359">
        <f>F2132/($B2132/7)</f>
        <v>1.6690697674418604</v>
      </c>
      <c r="G2136" s="359">
        <f>G2132/($B2132/7)</f>
        <v>0.72220930232558134</v>
      </c>
      <c r="H2136" s="359">
        <f t="shared" si="285"/>
        <v>11.394418604651161</v>
      </c>
      <c r="I2136" s="307" t="s">
        <v>104</v>
      </c>
      <c r="J2136" s="365" t="s">
        <v>95</v>
      </c>
      <c r="K2136" s="359">
        <f>K2132/($I2132/7.7)</f>
        <v>6.1645219189412739</v>
      </c>
      <c r="L2136" s="359">
        <f>L2132/($I2132/7)</f>
        <v>2.1517038875103389</v>
      </c>
      <c r="M2136" s="359">
        <f>M2132/($I2132/7)</f>
        <v>1.6719520264681553</v>
      </c>
      <c r="N2136" s="359">
        <f>N2132/($I2132/7)</f>
        <v>0.35318444995864351</v>
      </c>
      <c r="O2136" s="359">
        <f t="shared" si="286"/>
        <v>10.341362282878411</v>
      </c>
    </row>
    <row r="2137" spans="1:19" x14ac:dyDescent="0.25">
      <c r="B2137" s="307" t="s">
        <v>104</v>
      </c>
      <c r="C2137" s="438" t="s">
        <v>96</v>
      </c>
      <c r="D2137" s="359">
        <f>D2133/($B2133/7.7)</f>
        <v>5.0765433070866139</v>
      </c>
      <c r="E2137" s="359">
        <f>E2133/($B2133/7.7)</f>
        <v>2.8629448818897636</v>
      </c>
      <c r="F2137" s="359">
        <f>F2133/($B2133/7.7)</f>
        <v>2.648314960629921</v>
      </c>
      <c r="G2137" s="359">
        <f>G2133/($B2133/7.7)</f>
        <v>1.16651968503937</v>
      </c>
      <c r="H2137" s="359">
        <f t="shared" si="285"/>
        <v>11.754322834645668</v>
      </c>
      <c r="I2137" s="307" t="s">
        <v>104</v>
      </c>
      <c r="J2137" s="438" t="s">
        <v>96</v>
      </c>
      <c r="K2137" s="359">
        <f>K2133/($I2133/7.7)</f>
        <v>3.7723739837398371</v>
      </c>
      <c r="L2137" s="359">
        <f>L2133/($I2133/7.7)</f>
        <v>4.9643089430894305</v>
      </c>
      <c r="M2137" s="359">
        <f>M2133/($I2133/7.7)</f>
        <v>2.4921707317073172</v>
      </c>
      <c r="N2137" s="359">
        <f>N2133/($I2133/7.7)</f>
        <v>0</v>
      </c>
      <c r="O2137" s="359">
        <f t="shared" si="286"/>
        <v>11.228853658536584</v>
      </c>
    </row>
    <row r="2138" spans="1:19" x14ac:dyDescent="0.25">
      <c r="B2138" s="307" t="s">
        <v>135</v>
      </c>
      <c r="C2138" s="365" t="s">
        <v>95</v>
      </c>
      <c r="D2138" s="359">
        <f>D2132/((($B2132*$B2128)*(1-$B2125))/$B2123)</f>
        <v>0.13216469434357483</v>
      </c>
      <c r="E2138" s="359">
        <f>E2132/((($B2132*$B2128)*(1-$B2125))/$B2123)</f>
        <v>7.5875393820769702E-2</v>
      </c>
      <c r="F2138" s="359">
        <f>F2132/((($B2132*$B2128)*(1-$B2125))/$B2123)</f>
        <v>4.1018205894219957E-2</v>
      </c>
      <c r="G2138" s="359">
        <f>G2132/((($B2132*$B2128)*(1-$B2125))/$B2123)</f>
        <v>1.7748646844712286E-2</v>
      </c>
      <c r="H2138" s="359">
        <f t="shared" si="285"/>
        <v>0.26680694090327678</v>
      </c>
      <c r="I2138" s="307" t="s">
        <v>135</v>
      </c>
      <c r="J2138" s="365" t="s">
        <v>95</v>
      </c>
      <c r="K2138" s="359">
        <f>K2132/((($I2132*$B2128)*(1-$B2125))/$B2123)</f>
        <v>0.13772376480872353</v>
      </c>
      <c r="L2138" s="359">
        <f>L2132/((($I2132*$B2128)*(1-$B2125))/$B2123)</f>
        <v>5.2879175456257227E-2</v>
      </c>
      <c r="M2138" s="359">
        <f>M2132/((($I2132*$B2128)*(1-$B2125))/$B2123)</f>
        <v>4.1089038819533942E-2</v>
      </c>
      <c r="N2138" s="359">
        <f>N2132/((($I2132*$B2128)*(1-$B2125))/$B2123)</f>
        <v>8.6796806039116624E-3</v>
      </c>
      <c r="O2138" s="359">
        <f t="shared" si="286"/>
        <v>0.24037165968842636</v>
      </c>
    </row>
    <row r="2139" spans="1:19" x14ac:dyDescent="0.25">
      <c r="B2139" s="307" t="s">
        <v>135</v>
      </c>
      <c r="C2139" s="438" t="s">
        <v>96</v>
      </c>
      <c r="D2139" s="359">
        <f>D2133/((($B2133*$B2128)*(1-$B2125))/$B2123)</f>
        <v>0.11341684978331198</v>
      </c>
      <c r="E2139" s="359">
        <f>E2133/((($B2133*$B2128)*(1-$B2125))/$B2123)</f>
        <v>6.3962064334981389E-2</v>
      </c>
      <c r="F2139" s="359">
        <f>F2133/((($B2133*$B2128)*(1-$B2125))/$B2123)</f>
        <v>5.9166941341634624E-2</v>
      </c>
      <c r="G2139" s="359">
        <f>G2133/((($B2133*$B2128)*(1-$B2125))/$B2123)</f>
        <v>2.6061628924291438E-2</v>
      </c>
      <c r="H2139" s="359">
        <f t="shared" si="285"/>
        <v>0.26260748438421944</v>
      </c>
      <c r="I2139" s="307" t="s">
        <v>135</v>
      </c>
      <c r="J2139" s="438" t="s">
        <v>96</v>
      </c>
      <c r="K2139" s="359">
        <f>K2133/((($I2133*$B2128)*(1-$B2125))/$B2123)</f>
        <v>8.4279941597865587E-2</v>
      </c>
      <c r="L2139" s="359">
        <f>L2133/((($I2133*$B2128)*(1-$B2125))/$B2123)</f>
        <v>0.11090938215583705</v>
      </c>
      <c r="M2139" s="359">
        <f>M2133/((($I2133*$B2128)*(1-$B2125))/$B2123)</f>
        <v>5.5678467889330056E-2</v>
      </c>
      <c r="N2139" s="359">
        <f>N2133/((($I2133*$B2128)*(1-$B2125))/$B2123)</f>
        <v>0</v>
      </c>
      <c r="O2139" s="359">
        <f t="shared" si="286"/>
        <v>0.25086779164303269</v>
      </c>
    </row>
    <row r="2140" spans="1:19" ht="15.75" thickBot="1" x14ac:dyDescent="0.3">
      <c r="A2140" s="178"/>
      <c r="B2140" s="178"/>
      <c r="C2140" s="178"/>
      <c r="D2140" s="178"/>
      <c r="E2140" s="178"/>
      <c r="F2140" s="178"/>
      <c r="G2140" s="178"/>
      <c r="H2140" s="178"/>
      <c r="I2140" s="178"/>
      <c r="J2140" s="178"/>
      <c r="K2140" s="178"/>
      <c r="L2140" s="178"/>
      <c r="M2140" s="178"/>
      <c r="N2140" s="178"/>
      <c r="O2140" s="178"/>
    </row>
    <row r="2141" spans="1:19" ht="21" x14ac:dyDescent="0.25">
      <c r="A2141" s="305"/>
      <c r="B2141" s="644" t="s">
        <v>562</v>
      </c>
      <c r="C2141" s="645"/>
      <c r="D2141" s="645"/>
      <c r="E2141" s="645"/>
      <c r="F2141" s="645"/>
      <c r="G2141" s="645"/>
      <c r="H2141" s="645"/>
      <c r="I2141" s="645"/>
      <c r="J2141" s="645"/>
      <c r="K2141" s="645"/>
      <c r="L2141" s="645"/>
      <c r="M2141" s="645"/>
      <c r="N2141" s="645"/>
      <c r="O2141" s="646"/>
      <c r="Q2141" s="662" t="s">
        <v>139</v>
      </c>
      <c r="R2141" s="176" t="s">
        <v>140</v>
      </c>
      <c r="S2141" s="663" t="s">
        <v>142</v>
      </c>
    </row>
    <row r="2142" spans="1:19" ht="21.75" thickBot="1" x14ac:dyDescent="0.3">
      <c r="A2142" s="177" t="s">
        <v>285</v>
      </c>
      <c r="B2142" s="647">
        <v>44572</v>
      </c>
      <c r="C2142" s="648"/>
      <c r="D2142" s="648"/>
      <c r="E2142" s="648"/>
      <c r="F2142" s="648"/>
      <c r="G2142" s="648"/>
      <c r="H2142" s="648"/>
      <c r="I2142" s="648"/>
      <c r="J2142" s="648"/>
      <c r="K2142" s="648"/>
      <c r="L2142" s="648"/>
      <c r="M2142" s="648"/>
      <c r="N2142" s="648"/>
      <c r="O2142" s="649"/>
      <c r="Q2142" s="641"/>
      <c r="R2142" s="87" t="s">
        <v>141</v>
      </c>
      <c r="S2142" s="643"/>
    </row>
    <row r="2143" spans="1:19" ht="15.75" thickBot="1" x14ac:dyDescent="0.3">
      <c r="A2143" s="177"/>
      <c r="B2143" s="650" t="s">
        <v>115</v>
      </c>
      <c r="C2143" s="651"/>
      <c r="D2143" s="651"/>
      <c r="E2143" s="651"/>
      <c r="F2143" s="651"/>
      <c r="G2143" s="651"/>
      <c r="H2143" s="651"/>
      <c r="I2143" s="651"/>
      <c r="J2143" s="651"/>
      <c r="K2143" s="651"/>
      <c r="L2143" s="651"/>
      <c r="M2143" s="651"/>
      <c r="N2143" s="651"/>
      <c r="O2143" s="652"/>
      <c r="Q2143" s="147" t="s">
        <v>143</v>
      </c>
      <c r="R2143" s="88">
        <v>8</v>
      </c>
      <c r="S2143" s="87" t="s">
        <v>631</v>
      </c>
    </row>
    <row r="2144" spans="1:19" ht="15.75" thickBot="1" x14ac:dyDescent="0.3">
      <c r="A2144" s="177" t="s">
        <v>106</v>
      </c>
      <c r="B2144" s="629">
        <v>20</v>
      </c>
      <c r="C2144" s="630"/>
      <c r="D2144" s="630"/>
      <c r="E2144" s="631"/>
      <c r="F2144" s="365" t="s">
        <v>174</v>
      </c>
      <c r="G2144" s="471"/>
      <c r="H2144" s="653">
        <v>0</v>
      </c>
      <c r="I2144" s="654"/>
      <c r="J2144" s="654"/>
      <c r="K2144" s="654"/>
      <c r="L2144" s="655"/>
      <c r="M2144" s="656">
        <f>SUM(B2144,H2145)</f>
        <v>20</v>
      </c>
      <c r="N2144" s="630"/>
      <c r="O2144" s="631"/>
      <c r="Q2144" s="147" t="s">
        <v>145</v>
      </c>
      <c r="R2144" s="88">
        <v>9</v>
      </c>
      <c r="S2144" s="89" t="s">
        <v>632</v>
      </c>
    </row>
    <row r="2145" spans="1:19" ht="15.75" thickBot="1" x14ac:dyDescent="0.3">
      <c r="A2145" s="177" t="s">
        <v>112</v>
      </c>
      <c r="B2145" s="626">
        <v>0.15</v>
      </c>
      <c r="C2145" s="627"/>
      <c r="D2145" s="627"/>
      <c r="E2145" s="628"/>
      <c r="F2145" s="290"/>
      <c r="G2145" s="472"/>
      <c r="H2145" s="626">
        <v>0</v>
      </c>
      <c r="I2145" s="627"/>
      <c r="J2145" s="627"/>
      <c r="K2145" s="627"/>
      <c r="L2145" s="628"/>
      <c r="M2145" s="657">
        <f>B2145</f>
        <v>0.15</v>
      </c>
      <c r="N2145" s="627"/>
      <c r="O2145" s="628"/>
      <c r="Q2145" s="147" t="s">
        <v>147</v>
      </c>
      <c r="R2145" s="88">
        <v>8</v>
      </c>
      <c r="S2145" s="87" t="s">
        <v>633</v>
      </c>
    </row>
    <row r="2146" spans="1:19" ht="15.75" thickBot="1" x14ac:dyDescent="0.3">
      <c r="A2146" s="177" t="s">
        <v>107</v>
      </c>
      <c r="B2146" s="629">
        <f>B2144*(1-B2145)</f>
        <v>17</v>
      </c>
      <c r="C2146" s="630"/>
      <c r="D2146" s="630"/>
      <c r="E2146" s="631"/>
      <c r="F2146" s="290"/>
      <c r="G2146" s="472"/>
      <c r="H2146" s="629">
        <f>H2144*(1-H2145)</f>
        <v>0</v>
      </c>
      <c r="I2146" s="630"/>
      <c r="J2146" s="630"/>
      <c r="K2146" s="630"/>
      <c r="L2146" s="631"/>
      <c r="M2146" s="656">
        <f>SUM(B2146,H2146)</f>
        <v>17</v>
      </c>
      <c r="N2146" s="630"/>
      <c r="O2146" s="631"/>
      <c r="Q2146" s="147" t="s">
        <v>82</v>
      </c>
      <c r="R2146" s="88">
        <v>8</v>
      </c>
      <c r="S2146" s="89" t="s">
        <v>634</v>
      </c>
    </row>
    <row r="2147" spans="1:19" ht="15.75" thickBot="1" x14ac:dyDescent="0.3">
      <c r="A2147" s="177" t="s">
        <v>108</v>
      </c>
      <c r="B2147" s="626">
        <f>B2150/B2146</f>
        <v>0.72926470588235315</v>
      </c>
      <c r="C2147" s="627"/>
      <c r="D2147" s="627"/>
      <c r="E2147" s="627"/>
      <c r="F2147" s="627"/>
      <c r="G2147" s="627"/>
      <c r="H2147" s="627"/>
      <c r="I2147" s="627"/>
      <c r="J2147" s="627"/>
      <c r="K2147" s="627"/>
      <c r="L2147" s="627"/>
      <c r="M2147" s="627"/>
      <c r="N2147" s="627"/>
      <c r="O2147" s="628"/>
      <c r="Q2147" s="147" t="s">
        <v>152</v>
      </c>
      <c r="R2147" s="88">
        <v>9</v>
      </c>
      <c r="S2147" s="89" t="s">
        <v>635</v>
      </c>
    </row>
    <row r="2148" spans="1:19" ht="15.75" thickBot="1" x14ac:dyDescent="0.3">
      <c r="A2148" s="177" t="s">
        <v>113</v>
      </c>
      <c r="B2148" s="629">
        <f>B2152*(B2156+B2157+I2156+I2157)/1000</f>
        <v>41.325000000000003</v>
      </c>
      <c r="C2148" s="630"/>
      <c r="D2148" s="630"/>
      <c r="E2148" s="630"/>
      <c r="F2148" s="630"/>
      <c r="G2148" s="630"/>
      <c r="H2148" s="630"/>
      <c r="I2148" s="630"/>
      <c r="J2148" s="630"/>
      <c r="K2148" s="630"/>
      <c r="L2148" s="630"/>
      <c r="M2148" s="630"/>
      <c r="N2148" s="630"/>
      <c r="O2148" s="631"/>
      <c r="Q2148" s="147" t="s">
        <v>154</v>
      </c>
      <c r="R2148" s="88">
        <v>9</v>
      </c>
      <c r="S2148" s="87" t="s">
        <v>636</v>
      </c>
    </row>
    <row r="2149" spans="1:19" ht="15.75" thickBot="1" x14ac:dyDescent="0.3">
      <c r="A2149" s="177" t="s">
        <v>109</v>
      </c>
      <c r="B2149" s="626">
        <v>0.7</v>
      </c>
      <c r="C2149" s="627"/>
      <c r="D2149" s="627"/>
      <c r="E2149" s="627"/>
      <c r="F2149" s="627"/>
      <c r="G2149" s="627"/>
      <c r="H2149" s="627"/>
      <c r="I2149" s="627"/>
      <c r="J2149" s="627"/>
      <c r="K2149" s="627"/>
      <c r="L2149" s="627"/>
      <c r="M2149" s="627"/>
      <c r="N2149" s="627"/>
      <c r="O2149" s="628"/>
      <c r="Q2149" s="147" t="s">
        <v>156</v>
      </c>
      <c r="R2149" s="88">
        <v>9</v>
      </c>
      <c r="S2149" s="87" t="s">
        <v>637</v>
      </c>
    </row>
    <row r="2150" spans="1:19" ht="15.75" thickBot="1" x14ac:dyDescent="0.3">
      <c r="A2150" s="177" t="s">
        <v>122</v>
      </c>
      <c r="B2150" s="629">
        <f>B2148-(B2148*B2149)</f>
        <v>12.397500000000004</v>
      </c>
      <c r="C2150" s="630"/>
      <c r="D2150" s="630"/>
      <c r="E2150" s="630"/>
      <c r="F2150" s="630"/>
      <c r="G2150" s="630"/>
      <c r="H2150" s="630"/>
      <c r="I2150" s="630"/>
      <c r="J2150" s="630"/>
      <c r="K2150" s="630"/>
      <c r="L2150" s="630"/>
      <c r="M2150" s="630"/>
      <c r="N2150" s="630"/>
      <c r="O2150" s="631"/>
      <c r="Q2150" s="147" t="s">
        <v>158</v>
      </c>
      <c r="R2150" s="88">
        <v>0</v>
      </c>
      <c r="S2150" s="87"/>
    </row>
    <row r="2151" spans="1:19" ht="15.75" thickBot="1" x14ac:dyDescent="0.3">
      <c r="A2151" s="177" t="s">
        <v>110</v>
      </c>
      <c r="B2151" s="632">
        <v>125</v>
      </c>
      <c r="C2151" s="633"/>
      <c r="D2151" s="633"/>
      <c r="E2151" s="633"/>
      <c r="F2151" s="633"/>
      <c r="G2151" s="633"/>
      <c r="H2151" s="633"/>
      <c r="I2151" s="633"/>
      <c r="J2151" s="633"/>
      <c r="K2151" s="633"/>
      <c r="L2151" s="633"/>
      <c r="M2151" s="633"/>
      <c r="N2151" s="633"/>
      <c r="O2151" s="634"/>
      <c r="Q2151" s="537" t="s">
        <v>99</v>
      </c>
      <c r="R2151" s="87" t="s">
        <v>638</v>
      </c>
      <c r="S2151" s="540">
        <f>60/70</f>
        <v>0.8571428571428571</v>
      </c>
    </row>
    <row r="2152" spans="1:19" x14ac:dyDescent="0.25">
      <c r="A2152" s="177" t="s">
        <v>111</v>
      </c>
      <c r="B2152" s="635">
        <v>15</v>
      </c>
      <c r="C2152" s="636"/>
      <c r="D2152" s="636"/>
      <c r="E2152" s="636"/>
      <c r="F2152" s="636"/>
      <c r="G2152" s="636"/>
      <c r="H2152" s="636"/>
      <c r="I2152" s="636"/>
      <c r="J2152" s="636"/>
      <c r="K2152" s="636"/>
      <c r="L2152" s="636"/>
      <c r="M2152" s="636"/>
      <c r="N2152" s="636"/>
      <c r="O2152" s="637"/>
    </row>
    <row r="2153" spans="1:19" x14ac:dyDescent="0.25">
      <c r="A2153" s="177" t="s">
        <v>273</v>
      </c>
      <c r="B2153" s="638" t="s">
        <v>472</v>
      </c>
      <c r="C2153" s="638"/>
      <c r="D2153" s="638"/>
      <c r="E2153" s="638"/>
      <c r="F2153" s="638"/>
      <c r="G2153" s="638"/>
      <c r="H2153" s="638"/>
      <c r="I2153" s="638"/>
      <c r="J2153" s="638"/>
      <c r="K2153" s="638"/>
      <c r="L2153" s="638"/>
      <c r="M2153" s="638"/>
      <c r="N2153" s="638"/>
      <c r="O2153" s="639"/>
    </row>
    <row r="2154" spans="1:19" x14ac:dyDescent="0.25">
      <c r="A2154" s="177" t="s">
        <v>351</v>
      </c>
      <c r="B2154" s="431"/>
      <c r="C2154" s="431"/>
      <c r="D2154" s="431"/>
      <c r="E2154" s="431"/>
      <c r="F2154" s="431"/>
      <c r="G2154" s="431"/>
      <c r="H2154" s="431"/>
      <c r="I2154" s="431"/>
      <c r="J2154" s="431"/>
      <c r="K2154" s="431"/>
      <c r="L2154" s="431"/>
      <c r="M2154" s="431"/>
      <c r="N2154" s="431"/>
      <c r="O2154" s="432"/>
    </row>
    <row r="2155" spans="1:19" x14ac:dyDescent="0.25">
      <c r="B2155" s="307" t="s">
        <v>98</v>
      </c>
      <c r="C2155" s="365" t="s">
        <v>102</v>
      </c>
      <c r="D2155" s="365" t="s">
        <v>92</v>
      </c>
      <c r="E2155" s="365" t="s">
        <v>93</v>
      </c>
      <c r="F2155" s="365" t="s">
        <v>94</v>
      </c>
      <c r="G2155" s="365" t="s">
        <v>549</v>
      </c>
      <c r="H2155" s="359" t="s">
        <v>99</v>
      </c>
      <c r="I2155" s="307" t="s">
        <v>98</v>
      </c>
      <c r="J2155" s="365" t="s">
        <v>102</v>
      </c>
      <c r="K2155" s="365" t="s">
        <v>92</v>
      </c>
      <c r="L2155" s="365" t="s">
        <v>93</v>
      </c>
      <c r="M2155" s="365" t="s">
        <v>94</v>
      </c>
      <c r="N2155" s="365" t="s">
        <v>549</v>
      </c>
      <c r="O2155" s="359" t="s">
        <v>99</v>
      </c>
    </row>
    <row r="2156" spans="1:19" x14ac:dyDescent="0.25">
      <c r="B2156" s="308">
        <v>1229</v>
      </c>
      <c r="C2156" s="365" t="s">
        <v>95</v>
      </c>
      <c r="D2156" s="441">
        <v>1276.8599999999999</v>
      </c>
      <c r="E2156" s="441">
        <v>572.48</v>
      </c>
      <c r="F2156" s="441">
        <v>458.24</v>
      </c>
      <c r="G2156" s="441">
        <v>192.42</v>
      </c>
      <c r="H2156" s="359">
        <f>SUM(D2156:G2156)</f>
        <v>2500</v>
      </c>
      <c r="I2156" s="308">
        <v>1226</v>
      </c>
      <c r="J2156" s="365" t="s">
        <v>95</v>
      </c>
      <c r="K2156" s="441">
        <v>1537.38</v>
      </c>
      <c r="L2156" s="441">
        <v>559.69000000000005</v>
      </c>
      <c r="M2156" s="441">
        <v>494.2</v>
      </c>
      <c r="N2156" s="441">
        <v>100.6</v>
      </c>
      <c r="O2156" s="359">
        <f>SUM(K2156:N2156)</f>
        <v>2691.87</v>
      </c>
    </row>
    <row r="2157" spans="1:19" x14ac:dyDescent="0.25">
      <c r="B2157" s="308">
        <v>150</v>
      </c>
      <c r="C2157" s="365" t="s">
        <v>96</v>
      </c>
      <c r="D2157" s="441">
        <v>145.85</v>
      </c>
      <c r="E2157" s="441">
        <v>61.49</v>
      </c>
      <c r="F2157" s="441">
        <v>62.66</v>
      </c>
      <c r="G2157" s="441">
        <v>41.86</v>
      </c>
      <c r="H2157" s="359">
        <f t="shared" ref="H2157:H2163" si="289">SUM(D2157:G2157)</f>
        <v>311.86</v>
      </c>
      <c r="I2157" s="308">
        <v>150</v>
      </c>
      <c r="J2157" s="365" t="s">
        <v>96</v>
      </c>
      <c r="K2157" s="441">
        <v>141</v>
      </c>
      <c r="L2157" s="441">
        <v>102.42</v>
      </c>
      <c r="M2157" s="441">
        <v>30.8</v>
      </c>
      <c r="N2157" s="441">
        <v>0</v>
      </c>
      <c r="O2157" s="359">
        <f t="shared" ref="O2157:O2163" si="290">SUM(K2157:N2157)</f>
        <v>274.22000000000003</v>
      </c>
    </row>
    <row r="2158" spans="1:19" x14ac:dyDescent="0.25">
      <c r="B2158" s="307" t="s">
        <v>100</v>
      </c>
      <c r="C2158" s="365" t="s">
        <v>95</v>
      </c>
      <c r="D2158" s="444">
        <f t="shared" ref="D2158:G2159" si="291">D2156/$B2156</f>
        <v>1.0389422294548412</v>
      </c>
      <c r="E2158" s="429">
        <f t="shared" si="291"/>
        <v>0.46580960130187143</v>
      </c>
      <c r="F2158" s="429">
        <f t="shared" si="291"/>
        <v>0.37285598047192842</v>
      </c>
      <c r="G2158" s="429">
        <f t="shared" si="291"/>
        <v>0.15656631407648494</v>
      </c>
      <c r="H2158" s="359">
        <f t="shared" si="289"/>
        <v>2.034174125305126</v>
      </c>
      <c r="I2158" s="307" t="s">
        <v>100</v>
      </c>
      <c r="J2158" s="365" t="s">
        <v>95</v>
      </c>
      <c r="K2158" s="444">
        <f t="shared" ref="K2158:N2159" si="292">K2156/$I2156</f>
        <v>1.2539804241435564</v>
      </c>
      <c r="L2158" s="429">
        <f t="shared" si="292"/>
        <v>0.45651712887438828</v>
      </c>
      <c r="M2158" s="429">
        <f t="shared" si="292"/>
        <v>0.4030995106035889</v>
      </c>
      <c r="N2158" s="429">
        <f t="shared" si="292"/>
        <v>8.2055464926590535E-2</v>
      </c>
      <c r="O2158" s="359">
        <f t="shared" si="290"/>
        <v>2.1956525285481243</v>
      </c>
    </row>
    <row r="2159" spans="1:19" x14ac:dyDescent="0.25">
      <c r="B2159" s="307" t="s">
        <v>100</v>
      </c>
      <c r="C2159" s="438" t="s">
        <v>96</v>
      </c>
      <c r="D2159" s="359">
        <f t="shared" si="291"/>
        <v>0.97233333333333327</v>
      </c>
      <c r="E2159" s="359">
        <f t="shared" si="291"/>
        <v>0.40993333333333337</v>
      </c>
      <c r="F2159" s="359">
        <f t="shared" si="291"/>
        <v>0.41773333333333329</v>
      </c>
      <c r="G2159" s="359">
        <f t="shared" si="291"/>
        <v>0.27906666666666669</v>
      </c>
      <c r="H2159" s="359">
        <f t="shared" si="289"/>
        <v>2.0790666666666668</v>
      </c>
      <c r="I2159" s="307" t="s">
        <v>100</v>
      </c>
      <c r="J2159" s="438" t="s">
        <v>96</v>
      </c>
      <c r="K2159" s="359">
        <f t="shared" si="292"/>
        <v>0.94</v>
      </c>
      <c r="L2159" s="359">
        <f t="shared" si="292"/>
        <v>0.68279999999999996</v>
      </c>
      <c r="M2159" s="359">
        <f t="shared" si="292"/>
        <v>0.20533333333333334</v>
      </c>
      <c r="N2159" s="359">
        <f t="shared" si="292"/>
        <v>0</v>
      </c>
      <c r="O2159" s="359">
        <f t="shared" si="290"/>
        <v>1.8281333333333332</v>
      </c>
    </row>
    <row r="2160" spans="1:19" x14ac:dyDescent="0.25">
      <c r="B2160" s="307" t="s">
        <v>104</v>
      </c>
      <c r="C2160" s="365" t="s">
        <v>95</v>
      </c>
      <c r="D2160" s="359">
        <f>D2156/($B2156/7.7)</f>
        <v>7.9998551668022779</v>
      </c>
      <c r="E2160" s="359">
        <f>E2156/($B2156/7)</f>
        <v>3.2606672091130999</v>
      </c>
      <c r="F2160" s="359">
        <f>F2156/($B2156/7)</f>
        <v>2.6099918633034989</v>
      </c>
      <c r="G2160" s="359">
        <f>G2156/($B2156/7)</f>
        <v>1.0959641985353945</v>
      </c>
      <c r="H2160" s="359">
        <f t="shared" si="289"/>
        <v>14.966478437754272</v>
      </c>
      <c r="I2160" s="307" t="s">
        <v>104</v>
      </c>
      <c r="J2160" s="365" t="s">
        <v>95</v>
      </c>
      <c r="K2160" s="359">
        <f>K2156/($I2156/7.7)</f>
        <v>9.6556492659053852</v>
      </c>
      <c r="L2160" s="359">
        <f>L2156/($I2156/7)</f>
        <v>3.1956199021207183</v>
      </c>
      <c r="M2160" s="359">
        <f>M2156/($I2156/7)</f>
        <v>2.8216965742251223</v>
      </c>
      <c r="N2160" s="359">
        <f>N2156/($I2156/7)</f>
        <v>0.57438825448613373</v>
      </c>
      <c r="O2160" s="359">
        <f t="shared" si="290"/>
        <v>16.24735399673736</v>
      </c>
    </row>
    <row r="2161" spans="1:19" x14ac:dyDescent="0.25">
      <c r="B2161" s="307" t="s">
        <v>104</v>
      </c>
      <c r="C2161" s="438" t="s">
        <v>96</v>
      </c>
      <c r="D2161" s="359">
        <f>D2157/($B2157/7.7)</f>
        <v>7.4869666666666665</v>
      </c>
      <c r="E2161" s="359">
        <f>E2157/($B2157/7.7)</f>
        <v>3.1564866666666669</v>
      </c>
      <c r="F2161" s="359">
        <f>F2157/($B2157/7.7)</f>
        <v>3.2165466666666669</v>
      </c>
      <c r="G2161" s="359">
        <f>G2157/($B2157/7.7)</f>
        <v>2.1488133333333335</v>
      </c>
      <c r="H2161" s="359">
        <f t="shared" si="289"/>
        <v>16.008813333333332</v>
      </c>
      <c r="I2161" s="307" t="s">
        <v>104</v>
      </c>
      <c r="J2161" s="438" t="s">
        <v>96</v>
      </c>
      <c r="K2161" s="359">
        <f>K2157/($I2157/7.7)</f>
        <v>7.2380000000000004</v>
      </c>
      <c r="L2161" s="359">
        <f>L2157/($I2157/7.7)</f>
        <v>5.2575600000000007</v>
      </c>
      <c r="M2161" s="359">
        <f>M2157/($I2157/7.7)</f>
        <v>1.5810666666666668</v>
      </c>
      <c r="N2161" s="359">
        <f>N2157/($I2157/7.7)</f>
        <v>0</v>
      </c>
      <c r="O2161" s="359">
        <f t="shared" si="290"/>
        <v>14.076626666666668</v>
      </c>
    </row>
    <row r="2162" spans="1:19" x14ac:dyDescent="0.25">
      <c r="B2162" s="307" t="s">
        <v>135</v>
      </c>
      <c r="C2162" s="365" t="s">
        <v>95</v>
      </c>
      <c r="D2162" s="359">
        <f>D2156/((($B2156*$B2152)*(1-$B2149))/$B2147)</f>
        <v>0.16836975542047578</v>
      </c>
      <c r="E2162" s="359">
        <f>E2156/((($B2156*$B2152)*(1-$B2149))/$B2147)</f>
        <v>7.5488555975685656E-2</v>
      </c>
      <c r="F2162" s="359">
        <f>F2156/((($B2156*$B2152)*(1-$B2149))/$B2147)</f>
        <v>6.0424601541186056E-2</v>
      </c>
      <c r="G2162" s="359">
        <f>G2156/((($B2156*$B2152)*(1-$B2149))/$B2147)</f>
        <v>2.5372952663571535E-2</v>
      </c>
      <c r="H2162" s="359">
        <f t="shared" si="289"/>
        <v>0.32965586560091903</v>
      </c>
      <c r="I2162" s="307" t="s">
        <v>135</v>
      </c>
      <c r="J2162" s="365" t="s">
        <v>95</v>
      </c>
      <c r="K2162" s="359">
        <f>K2156/((($I2156*$B2152)*(1-$B2149))/$B2147)</f>
        <v>0.20321859226561753</v>
      </c>
      <c r="L2162" s="359">
        <f>L2156/((($I2156*$B2152)*(1-$B2149))/$B2147)</f>
        <v>7.3982628826408228E-2</v>
      </c>
      <c r="M2162" s="359">
        <f>M2156/((($I2156*$B2152)*(1-$B2149))/$B2147)</f>
        <v>6.5325832453699259E-2</v>
      </c>
      <c r="N2162" s="359">
        <f>N2156/((($I2156*$B2152)*(1-$B2149))/$B2147)</f>
        <v>1.3297812110162172E-2</v>
      </c>
      <c r="O2162" s="359">
        <f t="shared" si="290"/>
        <v>0.35582486565588722</v>
      </c>
    </row>
    <row r="2163" spans="1:19" x14ac:dyDescent="0.25">
      <c r="B2163" s="307" t="s">
        <v>135</v>
      </c>
      <c r="C2163" s="438" t="s">
        <v>96</v>
      </c>
      <c r="D2163" s="359">
        <f>D2157/((($B2157*$B2152)*(1-$B2149))/$B2147)</f>
        <v>0.1575751960784314</v>
      </c>
      <c r="E2163" s="359">
        <f>E2157/((($B2157*$B2152)*(1-$B2149))/$B2147)</f>
        <v>6.6433313725490203E-2</v>
      </c>
      <c r="F2163" s="359">
        <f>F2157/((($B2157*$B2152)*(1-$B2149))/$B2147)</f>
        <v>6.7697372549019613E-2</v>
      </c>
      <c r="G2163" s="359">
        <f>G2157/((($B2157*$B2152)*(1-$B2149))/$B2147)</f>
        <v>4.5225215686274516E-2</v>
      </c>
      <c r="H2163" s="359">
        <f t="shared" si="289"/>
        <v>0.33693109803921578</v>
      </c>
      <c r="I2163" s="307" t="s">
        <v>135</v>
      </c>
      <c r="J2163" s="438" t="s">
        <v>96</v>
      </c>
      <c r="K2163" s="359">
        <f>K2157/((($I2157*$B2152)*(1-$B2149))/$B2147)</f>
        <v>0.15233529411764707</v>
      </c>
      <c r="L2163" s="359">
        <f>L2157/((($I2157*$B2152)*(1-$B2149))/$B2147)</f>
        <v>0.11065376470588237</v>
      </c>
      <c r="M2163" s="359">
        <f>M2157/((($I2157*$B2152)*(1-$B2149))/$B2147)</f>
        <v>3.3276078431372556E-2</v>
      </c>
      <c r="N2163" s="359">
        <f>N2157/((($I2157*$B2152)*(1-$B2149))/$B2147)</f>
        <v>0</v>
      </c>
      <c r="O2163" s="359">
        <f t="shared" si="290"/>
        <v>0.29626513725490194</v>
      </c>
    </row>
    <row r="2164" spans="1:19" ht="15.75" thickBot="1" x14ac:dyDescent="0.3">
      <c r="A2164" s="178"/>
      <c r="B2164" s="178"/>
      <c r="C2164" s="178"/>
      <c r="D2164" s="178"/>
      <c r="E2164" s="178"/>
      <c r="F2164" s="178"/>
      <c r="G2164" s="178"/>
      <c r="H2164" s="178"/>
      <c r="I2164" s="178"/>
      <c r="J2164" s="178"/>
      <c r="K2164" s="178"/>
      <c r="L2164" s="178"/>
      <c r="M2164" s="178"/>
      <c r="N2164" s="178"/>
      <c r="O2164" s="178"/>
      <c r="R2164" s="536"/>
    </row>
    <row r="2165" spans="1:19" ht="21" x14ac:dyDescent="0.25">
      <c r="A2165" s="305"/>
      <c r="B2165" s="644" t="s">
        <v>630</v>
      </c>
      <c r="C2165" s="645"/>
      <c r="D2165" s="645"/>
      <c r="E2165" s="645"/>
      <c r="F2165" s="645"/>
      <c r="G2165" s="645"/>
      <c r="H2165" s="645"/>
      <c r="I2165" s="645"/>
      <c r="J2165" s="645"/>
      <c r="K2165" s="645"/>
      <c r="L2165" s="645"/>
      <c r="M2165" s="645"/>
      <c r="N2165" s="645"/>
      <c r="O2165" s="646"/>
      <c r="Q2165" s="662" t="s">
        <v>139</v>
      </c>
      <c r="R2165" s="176" t="s">
        <v>140</v>
      </c>
      <c r="S2165" s="663" t="s">
        <v>142</v>
      </c>
    </row>
    <row r="2166" spans="1:19" ht="21.75" thickBot="1" x14ac:dyDescent="0.3">
      <c r="A2166" s="177" t="s">
        <v>285</v>
      </c>
      <c r="B2166" s="647">
        <v>44586</v>
      </c>
      <c r="C2166" s="648"/>
      <c r="D2166" s="648"/>
      <c r="E2166" s="648"/>
      <c r="F2166" s="648"/>
      <c r="G2166" s="648"/>
      <c r="H2166" s="648"/>
      <c r="I2166" s="648"/>
      <c r="J2166" s="648"/>
      <c r="K2166" s="648"/>
      <c r="L2166" s="648"/>
      <c r="M2166" s="648"/>
      <c r="N2166" s="648"/>
      <c r="O2166" s="649"/>
      <c r="Q2166" s="641"/>
      <c r="R2166" s="87" t="s">
        <v>141</v>
      </c>
      <c r="S2166" s="643"/>
    </row>
    <row r="2167" spans="1:19" ht="15.75" thickBot="1" x14ac:dyDescent="0.3">
      <c r="A2167" s="177"/>
      <c r="B2167" s="650" t="s">
        <v>115</v>
      </c>
      <c r="C2167" s="651"/>
      <c r="D2167" s="651"/>
      <c r="E2167" s="651"/>
      <c r="F2167" s="651"/>
      <c r="G2167" s="651"/>
      <c r="H2167" s="651"/>
      <c r="I2167" s="651"/>
      <c r="J2167" s="651"/>
      <c r="K2167" s="651"/>
      <c r="L2167" s="651"/>
      <c r="M2167" s="651"/>
      <c r="N2167" s="651"/>
      <c r="O2167" s="652"/>
      <c r="Q2167" s="147" t="s">
        <v>143</v>
      </c>
      <c r="R2167" s="88">
        <v>6.5</v>
      </c>
      <c r="S2167" s="87" t="s">
        <v>642</v>
      </c>
    </row>
    <row r="2168" spans="1:19" ht="15.75" thickBot="1" x14ac:dyDescent="0.3">
      <c r="A2168" s="177" t="s">
        <v>106</v>
      </c>
      <c r="B2168" s="629">
        <v>20</v>
      </c>
      <c r="C2168" s="630"/>
      <c r="D2168" s="630"/>
      <c r="E2168" s="631"/>
      <c r="F2168" s="365" t="s">
        <v>174</v>
      </c>
      <c r="G2168" s="471"/>
      <c r="H2168" s="653">
        <v>0</v>
      </c>
      <c r="I2168" s="654"/>
      <c r="J2168" s="654"/>
      <c r="K2168" s="654"/>
      <c r="L2168" s="655"/>
      <c r="M2168" s="656">
        <f>SUM(B2168,H2169)</f>
        <v>20</v>
      </c>
      <c r="N2168" s="630"/>
      <c r="O2168" s="631"/>
      <c r="Q2168" s="147" t="s">
        <v>145</v>
      </c>
      <c r="R2168" s="88">
        <v>8</v>
      </c>
      <c r="S2168" s="89" t="s">
        <v>643</v>
      </c>
    </row>
    <row r="2169" spans="1:19" ht="29.25" thickBot="1" x14ac:dyDescent="0.3">
      <c r="A2169" s="177" t="s">
        <v>112</v>
      </c>
      <c r="B2169" s="626">
        <v>0.14000000000000001</v>
      </c>
      <c r="C2169" s="627"/>
      <c r="D2169" s="627"/>
      <c r="E2169" s="628"/>
      <c r="F2169" s="290"/>
      <c r="G2169" s="472"/>
      <c r="H2169" s="626">
        <v>0</v>
      </c>
      <c r="I2169" s="627"/>
      <c r="J2169" s="627"/>
      <c r="K2169" s="627"/>
      <c r="L2169" s="628"/>
      <c r="M2169" s="657">
        <f>B2169</f>
        <v>0.14000000000000001</v>
      </c>
      <c r="N2169" s="627"/>
      <c r="O2169" s="628"/>
      <c r="Q2169" s="147" t="s">
        <v>147</v>
      </c>
      <c r="R2169" s="88">
        <v>7</v>
      </c>
      <c r="S2169" s="87" t="s">
        <v>644</v>
      </c>
    </row>
    <row r="2170" spans="1:19" ht="15.75" thickBot="1" x14ac:dyDescent="0.3">
      <c r="A2170" s="177" t="s">
        <v>107</v>
      </c>
      <c r="B2170" s="629">
        <f>B2168*(1-B2169)</f>
        <v>17.2</v>
      </c>
      <c r="C2170" s="630"/>
      <c r="D2170" s="630"/>
      <c r="E2170" s="631"/>
      <c r="F2170" s="290"/>
      <c r="G2170" s="472"/>
      <c r="H2170" s="629">
        <f>H2168*(1-H2169)</f>
        <v>0</v>
      </c>
      <c r="I2170" s="630"/>
      <c r="J2170" s="630"/>
      <c r="K2170" s="630"/>
      <c r="L2170" s="631"/>
      <c r="M2170" s="656">
        <f>SUM(B2170,H2170)</f>
        <v>17.2</v>
      </c>
      <c r="N2170" s="630"/>
      <c r="O2170" s="631"/>
      <c r="Q2170" s="147" t="s">
        <v>82</v>
      </c>
      <c r="R2170" s="88">
        <v>7</v>
      </c>
      <c r="S2170" s="89" t="s">
        <v>645</v>
      </c>
    </row>
    <row r="2171" spans="1:19" ht="15.75" thickBot="1" x14ac:dyDescent="0.3">
      <c r="A2171" s="177" t="s">
        <v>108</v>
      </c>
      <c r="B2171" s="626">
        <f>B2174/B2170</f>
        <v>0.76757267441860466</v>
      </c>
      <c r="C2171" s="627"/>
      <c r="D2171" s="627"/>
      <c r="E2171" s="627"/>
      <c r="F2171" s="627"/>
      <c r="G2171" s="627"/>
      <c r="H2171" s="627"/>
      <c r="I2171" s="627"/>
      <c r="J2171" s="627"/>
      <c r="K2171" s="627"/>
      <c r="L2171" s="627"/>
      <c r="M2171" s="627"/>
      <c r="N2171" s="627"/>
      <c r="O2171" s="628"/>
      <c r="Q2171" s="147" t="s">
        <v>152</v>
      </c>
      <c r="R2171" s="88">
        <v>8</v>
      </c>
      <c r="S2171" s="89" t="s">
        <v>646</v>
      </c>
    </row>
    <row r="2172" spans="1:19" ht="15.75" thickBot="1" x14ac:dyDescent="0.3">
      <c r="A2172" s="177" t="s">
        <v>113</v>
      </c>
      <c r="B2172" s="629">
        <f>B2176*(B2180+B2181+I2180+I2181)/1000</f>
        <v>45.524999999999999</v>
      </c>
      <c r="C2172" s="630"/>
      <c r="D2172" s="630"/>
      <c r="E2172" s="630"/>
      <c r="F2172" s="630"/>
      <c r="G2172" s="630"/>
      <c r="H2172" s="630"/>
      <c r="I2172" s="630"/>
      <c r="J2172" s="630"/>
      <c r="K2172" s="630"/>
      <c r="L2172" s="630"/>
      <c r="M2172" s="630"/>
      <c r="N2172" s="630"/>
      <c r="O2172" s="631"/>
      <c r="Q2172" s="147" t="s">
        <v>154</v>
      </c>
      <c r="R2172" s="88">
        <v>7.5</v>
      </c>
      <c r="S2172" s="87" t="s">
        <v>647</v>
      </c>
    </row>
    <row r="2173" spans="1:19" ht="15.75" thickBot="1" x14ac:dyDescent="0.3">
      <c r="A2173" s="177" t="s">
        <v>109</v>
      </c>
      <c r="B2173" s="626">
        <v>0.71</v>
      </c>
      <c r="C2173" s="627"/>
      <c r="D2173" s="627"/>
      <c r="E2173" s="627"/>
      <c r="F2173" s="627"/>
      <c r="G2173" s="627"/>
      <c r="H2173" s="627"/>
      <c r="I2173" s="627"/>
      <c r="J2173" s="627"/>
      <c r="K2173" s="627"/>
      <c r="L2173" s="627"/>
      <c r="M2173" s="627"/>
      <c r="N2173" s="627"/>
      <c r="O2173" s="628"/>
      <c r="Q2173" s="147" t="s">
        <v>156</v>
      </c>
      <c r="R2173" s="88">
        <v>7</v>
      </c>
      <c r="S2173" s="87" t="s">
        <v>648</v>
      </c>
    </row>
    <row r="2174" spans="1:19" ht="15.75" thickBot="1" x14ac:dyDescent="0.3">
      <c r="A2174" s="177" t="s">
        <v>122</v>
      </c>
      <c r="B2174" s="629">
        <f>B2172-(B2172*B2173)</f>
        <v>13.202249999999999</v>
      </c>
      <c r="C2174" s="630"/>
      <c r="D2174" s="630"/>
      <c r="E2174" s="630"/>
      <c r="F2174" s="630"/>
      <c r="G2174" s="630"/>
      <c r="H2174" s="630"/>
      <c r="I2174" s="630"/>
      <c r="J2174" s="630"/>
      <c r="K2174" s="630"/>
      <c r="L2174" s="630"/>
      <c r="M2174" s="630"/>
      <c r="N2174" s="630"/>
      <c r="O2174" s="631"/>
      <c r="Q2174" s="147" t="s">
        <v>158</v>
      </c>
      <c r="R2174" s="88"/>
      <c r="S2174" s="87"/>
    </row>
    <row r="2175" spans="1:19" ht="15.75" thickBot="1" x14ac:dyDescent="0.3">
      <c r="A2175" s="177" t="s">
        <v>110</v>
      </c>
      <c r="B2175" s="632">
        <v>125</v>
      </c>
      <c r="C2175" s="633"/>
      <c r="D2175" s="633"/>
      <c r="E2175" s="633"/>
      <c r="F2175" s="633"/>
      <c r="G2175" s="633"/>
      <c r="H2175" s="633"/>
      <c r="I2175" s="633"/>
      <c r="J2175" s="633"/>
      <c r="K2175" s="633"/>
      <c r="L2175" s="633"/>
      <c r="M2175" s="633"/>
      <c r="N2175" s="633"/>
      <c r="O2175" s="634"/>
      <c r="Q2175" s="537" t="s">
        <v>99</v>
      </c>
      <c r="R2175" s="87">
        <f>SUM(R2167:R2174)</f>
        <v>51</v>
      </c>
      <c r="S2175" s="540">
        <f>R2175/70</f>
        <v>0.72857142857142854</v>
      </c>
    </row>
    <row r="2176" spans="1:19" x14ac:dyDescent="0.25">
      <c r="A2176" s="177" t="s">
        <v>111</v>
      </c>
      <c r="B2176" s="635">
        <v>15</v>
      </c>
      <c r="C2176" s="636"/>
      <c r="D2176" s="636"/>
      <c r="E2176" s="636"/>
      <c r="F2176" s="636"/>
      <c r="G2176" s="636"/>
      <c r="H2176" s="636"/>
      <c r="I2176" s="636"/>
      <c r="J2176" s="636"/>
      <c r="K2176" s="636"/>
      <c r="L2176" s="636"/>
      <c r="M2176" s="636"/>
      <c r="N2176" s="636"/>
      <c r="O2176" s="637"/>
      <c r="R2176" s="536"/>
    </row>
    <row r="2177" spans="1:19" x14ac:dyDescent="0.25">
      <c r="A2177" s="177" t="s">
        <v>273</v>
      </c>
      <c r="B2177" s="638" t="s">
        <v>629</v>
      </c>
      <c r="C2177" s="638"/>
      <c r="D2177" s="638"/>
      <c r="E2177" s="638"/>
      <c r="F2177" s="638"/>
      <c r="G2177" s="638"/>
      <c r="H2177" s="638"/>
      <c r="I2177" s="638"/>
      <c r="J2177" s="638"/>
      <c r="K2177" s="638"/>
      <c r="L2177" s="638"/>
      <c r="M2177" s="638"/>
      <c r="N2177" s="638"/>
      <c r="O2177" s="639"/>
      <c r="R2177" s="536"/>
    </row>
    <row r="2178" spans="1:19" x14ac:dyDescent="0.25">
      <c r="A2178" s="177" t="s">
        <v>351</v>
      </c>
      <c r="B2178" s="431"/>
      <c r="C2178" s="431"/>
      <c r="D2178" s="431"/>
      <c r="E2178" s="431"/>
      <c r="F2178" s="431"/>
      <c r="G2178" s="431"/>
      <c r="H2178" s="431"/>
      <c r="I2178" s="431"/>
      <c r="J2178" s="431"/>
      <c r="K2178" s="431"/>
      <c r="L2178" s="431"/>
      <c r="M2178" s="431"/>
      <c r="N2178" s="431"/>
      <c r="O2178" s="432"/>
      <c r="R2178" s="536"/>
    </row>
    <row r="2179" spans="1:19" x14ac:dyDescent="0.25">
      <c r="B2179" s="307" t="s">
        <v>98</v>
      </c>
      <c r="C2179" s="365" t="s">
        <v>102</v>
      </c>
      <c r="D2179" s="365" t="s">
        <v>92</v>
      </c>
      <c r="E2179" s="365" t="s">
        <v>93</v>
      </c>
      <c r="F2179" s="365" t="s">
        <v>94</v>
      </c>
      <c r="G2179" s="365" t="s">
        <v>549</v>
      </c>
      <c r="H2179" s="359" t="s">
        <v>99</v>
      </c>
      <c r="I2179" s="307" t="s">
        <v>98</v>
      </c>
      <c r="J2179" s="365" t="s">
        <v>102</v>
      </c>
      <c r="K2179" s="365" t="s">
        <v>92</v>
      </c>
      <c r="L2179" s="365" t="s">
        <v>93</v>
      </c>
      <c r="M2179" s="365" t="s">
        <v>94</v>
      </c>
      <c r="N2179" s="365" t="s">
        <v>549</v>
      </c>
      <c r="O2179" s="359" t="s">
        <v>99</v>
      </c>
      <c r="R2179" s="536"/>
    </row>
    <row r="2180" spans="1:19" x14ac:dyDescent="0.25">
      <c r="B2180" s="308">
        <v>1308</v>
      </c>
      <c r="C2180" s="365" t="s">
        <v>95</v>
      </c>
      <c r="D2180" s="441">
        <v>1210.28</v>
      </c>
      <c r="E2180" s="441">
        <v>330</v>
      </c>
      <c r="F2180" s="441">
        <v>521.01</v>
      </c>
      <c r="G2180" s="441">
        <v>259.3</v>
      </c>
      <c r="H2180" s="359">
        <f>SUM(D2180:G2180)</f>
        <v>2320.59</v>
      </c>
      <c r="I2180" s="308">
        <v>1323</v>
      </c>
      <c r="J2180" s="365" t="s">
        <v>95</v>
      </c>
      <c r="K2180" s="441">
        <v>1497.6</v>
      </c>
      <c r="L2180" s="441">
        <v>507.96</v>
      </c>
      <c r="M2180" s="441">
        <v>344.83</v>
      </c>
      <c r="N2180" s="441">
        <v>224.15</v>
      </c>
      <c r="O2180" s="359">
        <f>SUM(K2180:N2180)</f>
        <v>2574.54</v>
      </c>
      <c r="R2180" s="536"/>
      <c r="S2180" s="539"/>
    </row>
    <row r="2181" spans="1:19" x14ac:dyDescent="0.25">
      <c r="B2181" s="308">
        <v>200</v>
      </c>
      <c r="C2181" s="365" t="s">
        <v>96</v>
      </c>
      <c r="D2181" s="441">
        <v>82.02</v>
      </c>
      <c r="E2181" s="441">
        <v>25.8</v>
      </c>
      <c r="F2181" s="441">
        <v>133.99</v>
      </c>
      <c r="G2181" s="441">
        <v>16.45</v>
      </c>
      <c r="H2181" s="359">
        <f t="shared" ref="H2181:H2187" si="293">SUM(D2181:G2181)</f>
        <v>258.26</v>
      </c>
      <c r="I2181" s="308">
        <v>204</v>
      </c>
      <c r="J2181" s="365" t="s">
        <v>96</v>
      </c>
      <c r="K2181" s="441">
        <v>108.49</v>
      </c>
      <c r="L2181" s="441">
        <v>95.68</v>
      </c>
      <c r="M2181" s="441">
        <v>49.92</v>
      </c>
      <c r="N2181" s="441">
        <v>12.48</v>
      </c>
      <c r="O2181" s="359">
        <f t="shared" ref="O2181:O2187" si="294">SUM(K2181:N2181)</f>
        <v>266.57000000000005</v>
      </c>
      <c r="R2181" s="536"/>
    </row>
    <row r="2182" spans="1:19" x14ac:dyDescent="0.25">
      <c r="B2182" s="307" t="s">
        <v>100</v>
      </c>
      <c r="C2182" s="365" t="s">
        <v>95</v>
      </c>
      <c r="D2182" s="444">
        <f t="shared" ref="D2182:G2183" si="295">D2180/$B2180</f>
        <v>0.92529051987767585</v>
      </c>
      <c r="E2182" s="429">
        <f t="shared" si="295"/>
        <v>0.25229357798165136</v>
      </c>
      <c r="F2182" s="429">
        <f t="shared" si="295"/>
        <v>0.39832568807339447</v>
      </c>
      <c r="G2182" s="429">
        <f t="shared" si="295"/>
        <v>0.19824159021406729</v>
      </c>
      <c r="H2182" s="359">
        <f t="shared" si="293"/>
        <v>1.7741513761467891</v>
      </c>
      <c r="I2182" s="307" t="s">
        <v>100</v>
      </c>
      <c r="J2182" s="365" t="s">
        <v>95</v>
      </c>
      <c r="K2182" s="444">
        <f t="shared" ref="K2182:N2183" si="296">K2180/$I2180</f>
        <v>1.1319727891156461</v>
      </c>
      <c r="L2182" s="429">
        <f t="shared" si="296"/>
        <v>0.38394557823129249</v>
      </c>
      <c r="M2182" s="429">
        <f t="shared" si="296"/>
        <v>0.26064247921390776</v>
      </c>
      <c r="N2182" s="429">
        <f t="shared" si="296"/>
        <v>0.16942554799697657</v>
      </c>
      <c r="O2182" s="359">
        <f t="shared" si="294"/>
        <v>1.9459863945578231</v>
      </c>
      <c r="R2182" s="536"/>
    </row>
    <row r="2183" spans="1:19" x14ac:dyDescent="0.25">
      <c r="B2183" s="307" t="s">
        <v>100</v>
      </c>
      <c r="C2183" s="438" t="s">
        <v>96</v>
      </c>
      <c r="D2183" s="359">
        <f t="shared" si="295"/>
        <v>0.41009999999999996</v>
      </c>
      <c r="E2183" s="359">
        <f t="shared" si="295"/>
        <v>0.129</v>
      </c>
      <c r="F2183" s="359">
        <f t="shared" si="295"/>
        <v>0.66995000000000005</v>
      </c>
      <c r="G2183" s="359">
        <f t="shared" si="295"/>
        <v>8.224999999999999E-2</v>
      </c>
      <c r="H2183" s="359">
        <f t="shared" si="293"/>
        <v>1.2912999999999999</v>
      </c>
      <c r="I2183" s="307" t="s">
        <v>100</v>
      </c>
      <c r="J2183" s="438" t="s">
        <v>96</v>
      </c>
      <c r="K2183" s="359">
        <f t="shared" si="296"/>
        <v>0.53181372549019601</v>
      </c>
      <c r="L2183" s="359">
        <f t="shared" si="296"/>
        <v>0.46901960784313729</v>
      </c>
      <c r="M2183" s="359">
        <f t="shared" si="296"/>
        <v>0.24470588235294119</v>
      </c>
      <c r="N2183" s="359">
        <f t="shared" si="296"/>
        <v>6.1176470588235297E-2</v>
      </c>
      <c r="O2183" s="359">
        <f t="shared" si="294"/>
        <v>1.3067156862745097</v>
      </c>
      <c r="R2183" s="536"/>
    </row>
    <row r="2184" spans="1:19" x14ac:dyDescent="0.25">
      <c r="B2184" s="307" t="s">
        <v>104</v>
      </c>
      <c r="C2184" s="365" t="s">
        <v>95</v>
      </c>
      <c r="D2184" s="359">
        <f>D2180/($B2180/7.7)</f>
        <v>7.1247370030581045</v>
      </c>
      <c r="E2184" s="359">
        <f>E2180/($B2180/7)</f>
        <v>1.7660550458715596</v>
      </c>
      <c r="F2184" s="359">
        <f>F2180/($B2180/7)</f>
        <v>2.7882798165137612</v>
      </c>
      <c r="G2184" s="359">
        <f>G2180/($B2180/7)</f>
        <v>1.387691131498471</v>
      </c>
      <c r="H2184" s="359">
        <f t="shared" si="293"/>
        <v>13.066762996941897</v>
      </c>
      <c r="I2184" s="307" t="s">
        <v>104</v>
      </c>
      <c r="J2184" s="365" t="s">
        <v>95</v>
      </c>
      <c r="K2184" s="359">
        <f>K2180/($I2180/7.7)</f>
        <v>8.7161904761904765</v>
      </c>
      <c r="L2184" s="359">
        <f>L2180/($I2180/7)</f>
        <v>2.6876190476190476</v>
      </c>
      <c r="M2184" s="359">
        <f>M2180/($I2180/7)</f>
        <v>1.8244973544973544</v>
      </c>
      <c r="N2184" s="359">
        <f>N2180/($I2180/7)</f>
        <v>1.1859788359788359</v>
      </c>
      <c r="O2184" s="359">
        <f t="shared" si="294"/>
        <v>14.414285714285715</v>
      </c>
      <c r="R2184" s="536"/>
    </row>
    <row r="2185" spans="1:19" x14ac:dyDescent="0.25">
      <c r="B2185" s="307" t="s">
        <v>104</v>
      </c>
      <c r="C2185" s="438" t="s">
        <v>96</v>
      </c>
      <c r="D2185" s="359">
        <f>D2181/($B2181/7.7)</f>
        <v>3.1577699999999997</v>
      </c>
      <c r="E2185" s="359">
        <f>E2181/($B2181/7.7)</f>
        <v>0.99330000000000007</v>
      </c>
      <c r="F2185" s="359">
        <f>F2181/($B2181/7.7)</f>
        <v>5.1586150000000002</v>
      </c>
      <c r="G2185" s="359">
        <f>G2181/($B2181/7.7)</f>
        <v>0.63332500000000003</v>
      </c>
      <c r="H2185" s="359">
        <f t="shared" si="293"/>
        <v>9.9430099999999992</v>
      </c>
      <c r="I2185" s="307" t="s">
        <v>104</v>
      </c>
      <c r="J2185" s="438" t="s">
        <v>96</v>
      </c>
      <c r="K2185" s="359">
        <f>K2181/($I2181/7.7)</f>
        <v>4.0949656862745094</v>
      </c>
      <c r="L2185" s="359">
        <f>L2181/($I2181/7.7)</f>
        <v>3.6114509803921568</v>
      </c>
      <c r="M2185" s="359">
        <f>M2181/($I2181/7.7)</f>
        <v>1.884235294117647</v>
      </c>
      <c r="N2185" s="359">
        <f>N2181/($I2181/7.7)</f>
        <v>0.47105882352941175</v>
      </c>
      <c r="O2185" s="359">
        <f t="shared" si="294"/>
        <v>10.061710784313725</v>
      </c>
      <c r="R2185" s="536"/>
    </row>
    <row r="2186" spans="1:19" x14ac:dyDescent="0.25">
      <c r="B2186" s="307" t="s">
        <v>135</v>
      </c>
      <c r="C2186" s="365" t="s">
        <v>95</v>
      </c>
      <c r="D2186" s="359">
        <f>D2180/((($B2180*$B2176)*(1-$B2173))/$B2171)</f>
        <v>0.16327073999004335</v>
      </c>
      <c r="E2186" s="359">
        <f>E2180/((($B2180*$B2176)*(1-$B2173))/$B2171)</f>
        <v>4.4518081928739059E-2</v>
      </c>
      <c r="F2186" s="359">
        <f>F2180/((($B2180*$B2176)*(1-$B2173))/$B2171)</f>
        <v>7.0285957168764651E-2</v>
      </c>
      <c r="G2186" s="359">
        <f>G2180/((($B2180*$B2176)*(1-$B2173))/$B2171)</f>
        <v>3.4980420133703144E-2</v>
      </c>
      <c r="H2186" s="359">
        <f t="shared" si="293"/>
        <v>0.31305519922125025</v>
      </c>
      <c r="I2186" s="307" t="s">
        <v>135</v>
      </c>
      <c r="J2186" s="365" t="s">
        <v>95</v>
      </c>
      <c r="K2186" s="359">
        <f>K2180/((($I2180*$B2176)*(1-$B2173))/$B2171)</f>
        <v>0.19974054738174332</v>
      </c>
      <c r="L2186" s="359">
        <f>L2180/((($I2180*$B2176)*(1-$B2173))/$B2171)</f>
        <v>6.7748536623951888E-2</v>
      </c>
      <c r="M2186" s="359">
        <f>M2180/((($I2180*$B2176)*(1-$B2173))/$B2171)</f>
        <v>4.5991274675244762E-2</v>
      </c>
      <c r="N2186" s="359">
        <f>N2180/((($I2180*$B2176)*(1-$B2173))/$B2171)</f>
        <v>2.9895728963419986E-2</v>
      </c>
      <c r="O2186" s="359">
        <f t="shared" si="294"/>
        <v>0.34337608764435995</v>
      </c>
      <c r="R2186" s="536"/>
    </row>
    <row r="2187" spans="1:19" x14ac:dyDescent="0.25">
      <c r="B2187" s="307" t="s">
        <v>135</v>
      </c>
      <c r="C2187" s="438" t="s">
        <v>96</v>
      </c>
      <c r="D2187" s="359">
        <f>D2181/((($B2181*$B2176)*(1-$B2173))/$B2171)</f>
        <v>7.2363575581395334E-2</v>
      </c>
      <c r="E2187" s="359">
        <f>E2181/((($B2181*$B2176)*(1-$B2173))/$B2171)</f>
        <v>2.2762499999999998E-2</v>
      </c>
      <c r="F2187" s="359">
        <f>F2181/((($B2181*$B2176)*(1-$B2173))/$B2171)</f>
        <v>0.11821501453488371</v>
      </c>
      <c r="G2187" s="359">
        <f>G2181/((($B2181*$B2176)*(1-$B2173))/$B2171)</f>
        <v>1.451329941860465E-2</v>
      </c>
      <c r="H2187" s="359">
        <f t="shared" si="293"/>
        <v>0.22785438953488371</v>
      </c>
      <c r="I2187" s="307" t="s">
        <v>135</v>
      </c>
      <c r="J2187" s="438" t="s">
        <v>96</v>
      </c>
      <c r="K2187" s="359">
        <f>K2181/((($I2181*$B2176)*(1-$B2173))/$B2171)</f>
        <v>9.3840387026903782E-2</v>
      </c>
      <c r="L2187" s="359">
        <f>L2181/((($I2181*$B2176)*(1-$B2173))/$B2171)</f>
        <v>8.2760145918832656E-2</v>
      </c>
      <c r="M2187" s="359">
        <f>M2181/((($I2181*$B2176)*(1-$B2173))/$B2171)</f>
        <v>4.3179206566347474E-2</v>
      </c>
      <c r="N2187" s="359">
        <f>N2181/((($I2181*$B2176)*(1-$B2173))/$B2171)</f>
        <v>1.0794801641586868E-2</v>
      </c>
      <c r="O2187" s="359">
        <f t="shared" si="294"/>
        <v>0.23057454115367076</v>
      </c>
      <c r="R2187" s="536"/>
    </row>
    <row r="2188" spans="1:19" ht="15.75" thickBot="1" x14ac:dyDescent="0.3">
      <c r="A2188" s="178"/>
      <c r="B2188" s="178"/>
      <c r="C2188" s="178"/>
      <c r="D2188" s="178"/>
      <c r="E2188" s="178"/>
      <c r="F2188" s="178"/>
      <c r="G2188" s="178"/>
      <c r="H2188" s="178"/>
      <c r="I2188" s="178"/>
      <c r="J2188" s="178"/>
      <c r="K2188" s="178"/>
      <c r="L2188" s="178"/>
      <c r="M2188" s="178"/>
      <c r="N2188" s="178"/>
      <c r="O2188" s="178"/>
      <c r="R2188" s="536"/>
    </row>
    <row r="2189" spans="1:19" ht="21" x14ac:dyDescent="0.25">
      <c r="A2189" s="305"/>
      <c r="B2189" s="644" t="s">
        <v>639</v>
      </c>
      <c r="C2189" s="645"/>
      <c r="D2189" s="645"/>
      <c r="E2189" s="645"/>
      <c r="F2189" s="645"/>
      <c r="G2189" s="645"/>
      <c r="H2189" s="645"/>
      <c r="I2189" s="645"/>
      <c r="J2189" s="645"/>
      <c r="K2189" s="645"/>
      <c r="L2189" s="645"/>
      <c r="M2189" s="645"/>
      <c r="N2189" s="645"/>
      <c r="O2189" s="646"/>
      <c r="Q2189" s="640" t="s">
        <v>139</v>
      </c>
      <c r="R2189" s="544" t="s">
        <v>659</v>
      </c>
      <c r="S2189" s="642" t="s">
        <v>142</v>
      </c>
    </row>
    <row r="2190" spans="1:19" ht="21.75" thickBot="1" x14ac:dyDescent="0.3">
      <c r="A2190" s="177" t="s">
        <v>285</v>
      </c>
      <c r="B2190" s="647">
        <v>44600</v>
      </c>
      <c r="C2190" s="648"/>
      <c r="D2190" s="648"/>
      <c r="E2190" s="648"/>
      <c r="F2190" s="648"/>
      <c r="G2190" s="648"/>
      <c r="H2190" s="648"/>
      <c r="I2190" s="648"/>
      <c r="J2190" s="648"/>
      <c r="K2190" s="648"/>
      <c r="L2190" s="648"/>
      <c r="M2190" s="648"/>
      <c r="N2190" s="648"/>
      <c r="O2190" s="649"/>
      <c r="Q2190" s="641"/>
      <c r="R2190" s="87" t="s">
        <v>141</v>
      </c>
      <c r="S2190" s="643"/>
    </row>
    <row r="2191" spans="1:19" ht="15.75" thickBot="1" x14ac:dyDescent="0.3">
      <c r="A2191" s="177"/>
      <c r="B2191" s="650" t="s">
        <v>115</v>
      </c>
      <c r="C2191" s="651"/>
      <c r="D2191" s="651"/>
      <c r="E2191" s="651"/>
      <c r="F2191" s="651"/>
      <c r="G2191" s="651"/>
      <c r="H2191" s="651"/>
      <c r="I2191" s="651"/>
      <c r="J2191" s="651"/>
      <c r="K2191" s="651"/>
      <c r="L2191" s="651"/>
      <c r="M2191" s="651"/>
      <c r="N2191" s="651"/>
      <c r="O2191" s="652"/>
      <c r="Q2191" s="147" t="s">
        <v>143</v>
      </c>
      <c r="R2191" s="88">
        <v>5</v>
      </c>
      <c r="S2191" s="87" t="s">
        <v>576</v>
      </c>
    </row>
    <row r="2192" spans="1:19" ht="15.75" thickBot="1" x14ac:dyDescent="0.3">
      <c r="A2192" s="177" t="s">
        <v>106</v>
      </c>
      <c r="B2192" s="629">
        <v>19</v>
      </c>
      <c r="C2192" s="630"/>
      <c r="D2192" s="630"/>
      <c r="E2192" s="631"/>
      <c r="F2192" s="365" t="s">
        <v>174</v>
      </c>
      <c r="G2192" s="471"/>
      <c r="H2192" s="653">
        <v>0</v>
      </c>
      <c r="I2192" s="654"/>
      <c r="J2192" s="654"/>
      <c r="K2192" s="654"/>
      <c r="L2192" s="655"/>
      <c r="M2192" s="656">
        <f>SUM(B2192,H2193)</f>
        <v>19</v>
      </c>
      <c r="N2192" s="630"/>
      <c r="O2192" s="631"/>
      <c r="Q2192" s="147" t="s">
        <v>145</v>
      </c>
      <c r="R2192" s="88">
        <v>7</v>
      </c>
      <c r="S2192" s="89" t="s">
        <v>660</v>
      </c>
    </row>
    <row r="2193" spans="1:19" ht="29.25" thickBot="1" x14ac:dyDescent="0.3">
      <c r="A2193" s="177" t="s">
        <v>112</v>
      </c>
      <c r="B2193" s="626">
        <v>0.2</v>
      </c>
      <c r="C2193" s="627"/>
      <c r="D2193" s="627"/>
      <c r="E2193" s="628"/>
      <c r="F2193" s="290"/>
      <c r="G2193" s="472"/>
      <c r="H2193" s="626">
        <v>0</v>
      </c>
      <c r="I2193" s="627"/>
      <c r="J2193" s="627"/>
      <c r="K2193" s="627"/>
      <c r="L2193" s="628"/>
      <c r="M2193" s="657">
        <f>B2193</f>
        <v>0.2</v>
      </c>
      <c r="N2193" s="627"/>
      <c r="O2193" s="628"/>
      <c r="Q2193" s="147" t="s">
        <v>147</v>
      </c>
      <c r="R2193" s="88">
        <v>6</v>
      </c>
      <c r="S2193" s="87" t="s">
        <v>661</v>
      </c>
    </row>
    <row r="2194" spans="1:19" ht="29.25" thickBot="1" x14ac:dyDescent="0.3">
      <c r="A2194" s="177" t="s">
        <v>107</v>
      </c>
      <c r="B2194" s="629">
        <f>B2192*(1-B2193)</f>
        <v>15.200000000000001</v>
      </c>
      <c r="C2194" s="630"/>
      <c r="D2194" s="630"/>
      <c r="E2194" s="631"/>
      <c r="F2194" s="290"/>
      <c r="G2194" s="472"/>
      <c r="H2194" s="629">
        <f>H2192*(1-H2193)</f>
        <v>0</v>
      </c>
      <c r="I2194" s="630"/>
      <c r="J2194" s="630"/>
      <c r="K2194" s="630"/>
      <c r="L2194" s="631"/>
      <c r="M2194" s="656">
        <f>SUM(B2194,H2194)</f>
        <v>15.200000000000001</v>
      </c>
      <c r="N2194" s="630"/>
      <c r="O2194" s="631"/>
      <c r="Q2194" s="147" t="s">
        <v>82</v>
      </c>
      <c r="R2194" s="88">
        <v>6</v>
      </c>
      <c r="S2194" s="89" t="s">
        <v>663</v>
      </c>
    </row>
    <row r="2195" spans="1:19" ht="15.75" thickBot="1" x14ac:dyDescent="0.3">
      <c r="A2195" s="177" t="s">
        <v>108</v>
      </c>
      <c r="B2195" s="626">
        <f>B2198/B2194</f>
        <v>0.71610000000000007</v>
      </c>
      <c r="C2195" s="627"/>
      <c r="D2195" s="627"/>
      <c r="E2195" s="627"/>
      <c r="F2195" s="627"/>
      <c r="G2195" s="627"/>
      <c r="H2195" s="627"/>
      <c r="I2195" s="627"/>
      <c r="J2195" s="627"/>
      <c r="K2195" s="627"/>
      <c r="L2195" s="627"/>
      <c r="M2195" s="627"/>
      <c r="N2195" s="627"/>
      <c r="O2195" s="628"/>
      <c r="Q2195" s="147" t="s">
        <v>152</v>
      </c>
      <c r="R2195" s="88">
        <v>8</v>
      </c>
      <c r="S2195" s="89" t="s">
        <v>519</v>
      </c>
    </row>
    <row r="2196" spans="1:19" ht="15.75" thickBot="1" x14ac:dyDescent="0.3">
      <c r="A2196" s="177" t="s">
        <v>113</v>
      </c>
      <c r="B2196" s="629">
        <f>B2200*(B2204+B2205+I2204+I2205)/1000</f>
        <v>38.874000000000002</v>
      </c>
      <c r="C2196" s="630"/>
      <c r="D2196" s="630"/>
      <c r="E2196" s="630"/>
      <c r="F2196" s="630"/>
      <c r="G2196" s="630"/>
      <c r="H2196" s="630"/>
      <c r="I2196" s="630"/>
      <c r="J2196" s="630"/>
      <c r="K2196" s="630"/>
      <c r="L2196" s="630"/>
      <c r="M2196" s="630"/>
      <c r="N2196" s="630"/>
      <c r="O2196" s="631"/>
      <c r="Q2196" s="147" t="s">
        <v>154</v>
      </c>
      <c r="R2196" s="88">
        <v>7</v>
      </c>
      <c r="S2196" s="87" t="s">
        <v>520</v>
      </c>
    </row>
    <row r="2197" spans="1:19" ht="29.25" thickBot="1" x14ac:dyDescent="0.3">
      <c r="A2197" s="177" t="s">
        <v>109</v>
      </c>
      <c r="B2197" s="626">
        <v>0.72</v>
      </c>
      <c r="C2197" s="627"/>
      <c r="D2197" s="627"/>
      <c r="E2197" s="627"/>
      <c r="F2197" s="627"/>
      <c r="G2197" s="627"/>
      <c r="H2197" s="627"/>
      <c r="I2197" s="627"/>
      <c r="J2197" s="627"/>
      <c r="K2197" s="627"/>
      <c r="L2197" s="627"/>
      <c r="M2197" s="627"/>
      <c r="N2197" s="627"/>
      <c r="O2197" s="628"/>
      <c r="Q2197" s="147" t="s">
        <v>156</v>
      </c>
      <c r="R2197" s="88">
        <v>7</v>
      </c>
      <c r="S2197" s="87" t="s">
        <v>662</v>
      </c>
    </row>
    <row r="2198" spans="1:19" ht="15.75" thickBot="1" x14ac:dyDescent="0.3">
      <c r="A2198" s="177" t="s">
        <v>122</v>
      </c>
      <c r="B2198" s="629">
        <f>B2196-(B2196*B2197)</f>
        <v>10.884720000000002</v>
      </c>
      <c r="C2198" s="630"/>
      <c r="D2198" s="630"/>
      <c r="E2198" s="630"/>
      <c r="F2198" s="630"/>
      <c r="G2198" s="630"/>
      <c r="H2198" s="630"/>
      <c r="I2198" s="630"/>
      <c r="J2198" s="630"/>
      <c r="K2198" s="630"/>
      <c r="L2198" s="630"/>
      <c r="M2198" s="630"/>
      <c r="N2198" s="630"/>
      <c r="O2198" s="631"/>
      <c r="Q2198" s="147" t="s">
        <v>158</v>
      </c>
      <c r="R2198" s="88"/>
      <c r="S2198" s="87"/>
    </row>
    <row r="2199" spans="1:19" ht="15.75" thickBot="1" x14ac:dyDescent="0.3">
      <c r="A2199" s="177" t="s">
        <v>110</v>
      </c>
      <c r="B2199" s="632">
        <v>125</v>
      </c>
      <c r="C2199" s="633"/>
      <c r="D2199" s="633"/>
      <c r="E2199" s="633"/>
      <c r="F2199" s="633"/>
      <c r="G2199" s="633"/>
      <c r="H2199" s="633"/>
      <c r="I2199" s="633"/>
      <c r="J2199" s="633"/>
      <c r="K2199" s="633"/>
      <c r="L2199" s="633"/>
      <c r="M2199" s="633"/>
      <c r="N2199" s="633"/>
      <c r="O2199" s="634"/>
      <c r="Q2199" s="543" t="s">
        <v>99</v>
      </c>
      <c r="R2199" s="87" t="s">
        <v>346</v>
      </c>
      <c r="S2199" s="148">
        <v>0.65</v>
      </c>
    </row>
    <row r="2200" spans="1:19" x14ac:dyDescent="0.25">
      <c r="A2200" s="177" t="s">
        <v>111</v>
      </c>
      <c r="B2200" s="635">
        <v>15.5</v>
      </c>
      <c r="C2200" s="636"/>
      <c r="D2200" s="636"/>
      <c r="E2200" s="636"/>
      <c r="F2200" s="636"/>
      <c r="G2200" s="636"/>
      <c r="H2200" s="636"/>
      <c r="I2200" s="636"/>
      <c r="J2200" s="636"/>
      <c r="K2200" s="636"/>
      <c r="L2200" s="636"/>
      <c r="M2200" s="636"/>
      <c r="N2200" s="636"/>
      <c r="O2200" s="637"/>
    </row>
    <row r="2201" spans="1:19" x14ac:dyDescent="0.25">
      <c r="A2201" s="177" t="s">
        <v>273</v>
      </c>
      <c r="B2201" s="638" t="s">
        <v>650</v>
      </c>
      <c r="C2201" s="638"/>
      <c r="D2201" s="638"/>
      <c r="E2201" s="638"/>
      <c r="F2201" s="638"/>
      <c r="G2201" s="638"/>
      <c r="H2201" s="638"/>
      <c r="I2201" s="638"/>
      <c r="J2201" s="638"/>
      <c r="K2201" s="638"/>
      <c r="L2201" s="638"/>
      <c r="M2201" s="638"/>
      <c r="N2201" s="638"/>
      <c r="O2201" s="639"/>
    </row>
    <row r="2202" spans="1:19" x14ac:dyDescent="0.25">
      <c r="A2202" s="177" t="s">
        <v>351</v>
      </c>
      <c r="B2202" s="447" t="s">
        <v>654</v>
      </c>
      <c r="C2202" s="431"/>
      <c r="D2202" s="431"/>
      <c r="E2202" s="431"/>
      <c r="F2202" s="431"/>
      <c r="G2202" s="431"/>
      <c r="H2202" s="431"/>
      <c r="I2202" s="431"/>
      <c r="J2202" s="431"/>
      <c r="K2202" s="431"/>
      <c r="L2202" s="431"/>
      <c r="M2202" s="431"/>
      <c r="N2202" s="431"/>
      <c r="O2202" s="432"/>
    </row>
    <row r="2203" spans="1:19" x14ac:dyDescent="0.25">
      <c r="B2203" s="307" t="s">
        <v>98</v>
      </c>
      <c r="C2203" s="365" t="s">
        <v>102</v>
      </c>
      <c r="D2203" s="365" t="s">
        <v>92</v>
      </c>
      <c r="E2203" s="365" t="s">
        <v>93</v>
      </c>
      <c r="F2203" s="365" t="s">
        <v>94</v>
      </c>
      <c r="G2203" s="365" t="s">
        <v>549</v>
      </c>
      <c r="H2203" s="359" t="s">
        <v>99</v>
      </c>
      <c r="I2203" s="307" t="s">
        <v>98</v>
      </c>
      <c r="J2203" s="365" t="s">
        <v>102</v>
      </c>
      <c r="K2203" s="365" t="s">
        <v>92</v>
      </c>
      <c r="L2203" s="365" t="s">
        <v>93</v>
      </c>
      <c r="M2203" s="365" t="s">
        <v>94</v>
      </c>
      <c r="N2203" s="365" t="s">
        <v>549</v>
      </c>
      <c r="O2203" s="359" t="s">
        <v>99</v>
      </c>
    </row>
    <row r="2204" spans="1:19" x14ac:dyDescent="0.25">
      <c r="B2204" s="308">
        <v>1186</v>
      </c>
      <c r="C2204" s="365" t="s">
        <v>95</v>
      </c>
      <c r="D2204" s="441">
        <v>1079.79</v>
      </c>
      <c r="E2204" s="441">
        <v>498</v>
      </c>
      <c r="F2204" s="441">
        <v>280.39999999999998</v>
      </c>
      <c r="G2204" s="441">
        <v>72.86</v>
      </c>
      <c r="H2204" s="359">
        <f>SUM(D2204:G2204)</f>
        <v>1931.05</v>
      </c>
      <c r="I2204" s="308">
        <v>959</v>
      </c>
      <c r="J2204" s="365" t="s">
        <v>95</v>
      </c>
      <c r="K2204" s="441">
        <v>891.76</v>
      </c>
      <c r="L2204" s="441">
        <v>287.08</v>
      </c>
      <c r="M2204" s="441">
        <v>74.239999999999995</v>
      </c>
      <c r="N2204" s="441">
        <v>52.35</v>
      </c>
      <c r="O2204" s="359">
        <f>SUM(K2204:N2204)</f>
        <v>1305.4299999999998</v>
      </c>
    </row>
    <row r="2205" spans="1:19" x14ac:dyDescent="0.25">
      <c r="B2205" s="308">
        <v>181</v>
      </c>
      <c r="C2205" s="365" t="s">
        <v>96</v>
      </c>
      <c r="D2205" s="441">
        <v>38.44</v>
      </c>
      <c r="E2205" s="441">
        <v>160.28</v>
      </c>
      <c r="F2205" s="441">
        <v>8.58</v>
      </c>
      <c r="G2205" s="441">
        <v>5.1100000000000003</v>
      </c>
      <c r="H2205" s="359">
        <f t="shared" ref="H2205:H2211" si="297">SUM(D2205:G2205)</f>
        <v>212.41000000000003</v>
      </c>
      <c r="I2205" s="308">
        <v>182</v>
      </c>
      <c r="J2205" s="365" t="s">
        <v>96</v>
      </c>
      <c r="K2205" s="441">
        <v>33.479999999999997</v>
      </c>
      <c r="L2205" s="441">
        <v>25.09</v>
      </c>
      <c r="M2205" s="441">
        <v>83.2</v>
      </c>
      <c r="N2205" s="441">
        <v>5.0999999999999996</v>
      </c>
      <c r="O2205" s="359">
        <f t="shared" ref="O2205:O2211" si="298">SUM(K2205:N2205)</f>
        <v>146.86999999999998</v>
      </c>
    </row>
    <row r="2206" spans="1:19" x14ac:dyDescent="0.25">
      <c r="B2206" s="307" t="s">
        <v>100</v>
      </c>
      <c r="C2206" s="365" t="s">
        <v>95</v>
      </c>
      <c r="D2206" s="444">
        <f t="shared" ref="D2206:G2207" si="299">D2204/$B2204</f>
        <v>0.91044688026981446</v>
      </c>
      <c r="E2206" s="429">
        <f t="shared" si="299"/>
        <v>0.41989881956155145</v>
      </c>
      <c r="F2206" s="429">
        <f t="shared" si="299"/>
        <v>0.23642495784148396</v>
      </c>
      <c r="G2206" s="429">
        <f t="shared" si="299"/>
        <v>6.1433389544688029E-2</v>
      </c>
      <c r="H2206" s="361">
        <f t="shared" si="297"/>
        <v>1.6282040472175379</v>
      </c>
      <c r="I2206" s="307" t="s">
        <v>100</v>
      </c>
      <c r="J2206" s="365" t="s">
        <v>95</v>
      </c>
      <c r="K2206" s="444">
        <f t="shared" ref="K2206:N2207" si="300">K2204/$I2204</f>
        <v>0.92988529718456725</v>
      </c>
      <c r="L2206" s="429">
        <f t="shared" si="300"/>
        <v>0.29935349322210636</v>
      </c>
      <c r="M2206" s="429">
        <f t="shared" si="300"/>
        <v>7.7413972888425442E-2</v>
      </c>
      <c r="N2206" s="429">
        <f t="shared" si="300"/>
        <v>5.4588112617309698E-2</v>
      </c>
      <c r="O2206" s="361">
        <f t="shared" si="298"/>
        <v>1.3612408759124086</v>
      </c>
    </row>
    <row r="2207" spans="1:19" x14ac:dyDescent="0.25">
      <c r="B2207" s="307" t="s">
        <v>100</v>
      </c>
      <c r="C2207" s="438" t="s">
        <v>96</v>
      </c>
      <c r="D2207" s="359">
        <f t="shared" si="299"/>
        <v>0.21237569060773479</v>
      </c>
      <c r="E2207" s="359">
        <f t="shared" si="299"/>
        <v>0.88552486187845303</v>
      </c>
      <c r="F2207" s="359">
        <f t="shared" si="299"/>
        <v>4.7403314917127071E-2</v>
      </c>
      <c r="G2207" s="359">
        <f t="shared" si="299"/>
        <v>2.823204419889503E-2</v>
      </c>
      <c r="H2207" s="361">
        <f t="shared" si="297"/>
        <v>1.1735359116022099</v>
      </c>
      <c r="I2207" s="307" t="s">
        <v>100</v>
      </c>
      <c r="J2207" s="438" t="s">
        <v>96</v>
      </c>
      <c r="K2207" s="359">
        <f t="shared" si="300"/>
        <v>0.18395604395604395</v>
      </c>
      <c r="L2207" s="359">
        <f t="shared" si="300"/>
        <v>0.13785714285714284</v>
      </c>
      <c r="M2207" s="359">
        <f t="shared" si="300"/>
        <v>0.45714285714285718</v>
      </c>
      <c r="N2207" s="359">
        <f t="shared" si="300"/>
        <v>2.802197802197802E-2</v>
      </c>
      <c r="O2207" s="361">
        <f t="shared" si="298"/>
        <v>0.80697802197802204</v>
      </c>
    </row>
    <row r="2208" spans="1:19" x14ac:dyDescent="0.25">
      <c r="B2208" s="307" t="s">
        <v>104</v>
      </c>
      <c r="C2208" s="365" t="s">
        <v>95</v>
      </c>
      <c r="D2208" s="359">
        <f>D2204/($B2204/7.7)</f>
        <v>7.0104409780775718</v>
      </c>
      <c r="E2208" s="359">
        <f>E2204/($B2204/7)</f>
        <v>2.9392917369308602</v>
      </c>
      <c r="F2208" s="359">
        <f>F2204/($B2204/7)</f>
        <v>1.6549747048903878</v>
      </c>
      <c r="G2208" s="359">
        <f>G2204/($B2204/7)</f>
        <v>0.43003372681281621</v>
      </c>
      <c r="H2208" s="359">
        <f t="shared" si="297"/>
        <v>12.034741146711635</v>
      </c>
      <c r="I2208" s="307" t="s">
        <v>104</v>
      </c>
      <c r="J2208" s="365" t="s">
        <v>95</v>
      </c>
      <c r="K2208" s="359">
        <f>K2204/($I2204/7.7)</f>
        <v>7.1601167883211678</v>
      </c>
      <c r="L2208" s="359">
        <f>L2204/($I2204/7)</f>
        <v>2.0954744525547446</v>
      </c>
      <c r="M2208" s="359">
        <f>M2204/($I2204/7)</f>
        <v>0.54189781021897809</v>
      </c>
      <c r="N2208" s="359">
        <f>N2204/($I2204/7)</f>
        <v>0.38211678832116791</v>
      </c>
      <c r="O2208" s="359">
        <f t="shared" si="298"/>
        <v>10.179605839416059</v>
      </c>
    </row>
    <row r="2209" spans="1:19" x14ac:dyDescent="0.25">
      <c r="B2209" s="307" t="s">
        <v>104</v>
      </c>
      <c r="C2209" s="438" t="s">
        <v>96</v>
      </c>
      <c r="D2209" s="359">
        <f>D2205/($B2205/7.7)</f>
        <v>1.635292817679558</v>
      </c>
      <c r="E2209" s="359">
        <f>E2205/($B2205/7.7)</f>
        <v>6.8185414364640886</v>
      </c>
      <c r="F2209" s="359">
        <f>F2205/($B2205/7.7)</f>
        <v>0.36500552486187848</v>
      </c>
      <c r="G2209" s="359">
        <f>G2205/($B2205/7.7)</f>
        <v>0.21738674033149175</v>
      </c>
      <c r="H2209" s="359">
        <f t="shared" si="297"/>
        <v>9.036226519337017</v>
      </c>
      <c r="I2209" s="307" t="s">
        <v>104</v>
      </c>
      <c r="J2209" s="438" t="s">
        <v>96</v>
      </c>
      <c r="K2209" s="359">
        <f>K2205/($I2205/7.7)</f>
        <v>1.4164615384615382</v>
      </c>
      <c r="L2209" s="359">
        <f>L2205/($I2205/7.7)</f>
        <v>1.0614999999999999</v>
      </c>
      <c r="M2209" s="359">
        <f>M2205/($I2205/7.7)</f>
        <v>3.52</v>
      </c>
      <c r="N2209" s="359">
        <f>N2205/($I2205/7.7)</f>
        <v>0.21576923076923074</v>
      </c>
      <c r="O2209" s="359">
        <f t="shared" si="298"/>
        <v>6.2137307692307697</v>
      </c>
    </row>
    <row r="2210" spans="1:19" x14ac:dyDescent="0.25">
      <c r="B2210" s="307" t="s">
        <v>135</v>
      </c>
      <c r="C2210" s="365" t="s">
        <v>95</v>
      </c>
      <c r="D2210" s="359">
        <f>D2204/((($B2204*$B2200)*(1-$B2197))/$B2195)</f>
        <v>0.15022373524451937</v>
      </c>
      <c r="E2210" s="359">
        <f>E2204/((($B2204*$B2200)*(1-$B2197))/$B2195)</f>
        <v>6.9283305227655981E-2</v>
      </c>
      <c r="F2210" s="359">
        <f>F2204/((($B2204*$B2200)*(1-$B2197))/$B2195)</f>
        <v>3.9010118043844855E-2</v>
      </c>
      <c r="G2210" s="359">
        <f>G2204/((($B2204*$B2200)*(1-$B2197))/$B2195)</f>
        <v>1.0136509274873523E-2</v>
      </c>
      <c r="H2210" s="359">
        <f t="shared" si="297"/>
        <v>0.26865366779089372</v>
      </c>
      <c r="I2210" s="307" t="s">
        <v>135</v>
      </c>
      <c r="J2210" s="365" t="s">
        <v>95</v>
      </c>
      <c r="K2210" s="359">
        <f>K2204/((($I2204*$B2200)*(1-$B2197))/$B2195)</f>
        <v>0.15343107403545359</v>
      </c>
      <c r="L2210" s="359">
        <f>L2204/((($I2204*$B2200)*(1-$B2197))/$B2195)</f>
        <v>4.9393326381647548E-2</v>
      </c>
      <c r="M2210" s="359">
        <f>M2204/((($I2204*$B2200)*(1-$B2197))/$B2195)</f>
        <v>1.2773305526590197E-2</v>
      </c>
      <c r="N2210" s="359">
        <f>N2204/((($I2204*$B2200)*(1-$B2197))/$B2195)</f>
        <v>9.0070385818561E-3</v>
      </c>
      <c r="O2210" s="359">
        <f t="shared" si="298"/>
        <v>0.22460474452554746</v>
      </c>
    </row>
    <row r="2211" spans="1:19" x14ac:dyDescent="0.25">
      <c r="B2211" s="307" t="s">
        <v>135</v>
      </c>
      <c r="C2211" s="438" t="s">
        <v>96</v>
      </c>
      <c r="D2211" s="359">
        <f>D2205/((($B2205*$B2200)*(1-$B2197))/$B2195)</f>
        <v>3.5041988950276243E-2</v>
      </c>
      <c r="E2211" s="359">
        <f>E2205/((($B2205*$B2200)*(1-$B2197))/$B2195)</f>
        <v>0.14611160220994474</v>
      </c>
      <c r="F2211" s="359">
        <f>F2205/((($B2205*$B2200)*(1-$B2197))/$B2195)</f>
        <v>7.8215469613259671E-3</v>
      </c>
      <c r="G2211" s="359">
        <f>G2205/((($B2205*$B2200)*(1-$B2197))/$B2195)</f>
        <v>4.6582872928176795E-3</v>
      </c>
      <c r="H2211" s="359">
        <f t="shared" si="297"/>
        <v>0.19363342541436462</v>
      </c>
      <c r="I2211" s="307" t="s">
        <v>135</v>
      </c>
      <c r="J2211" s="438" t="s">
        <v>96</v>
      </c>
      <c r="K2211" s="359">
        <f>K2205/((($I2205*$B2200)*(1-$B2197))/$B2195)</f>
        <v>3.035274725274725E-2</v>
      </c>
      <c r="L2211" s="359">
        <f>L2205/((($I2205*$B2200)*(1-$B2197))/$B2195)</f>
        <v>2.274642857142857E-2</v>
      </c>
      <c r="M2211" s="359">
        <f>M2205/((($I2205*$B2200)*(1-$B2197))/$B2195)</f>
        <v>7.5428571428571428E-2</v>
      </c>
      <c r="N2211" s="359">
        <f>N2205/((($I2205*$B2200)*(1-$B2197))/$B2195)</f>
        <v>4.6236263736263734E-3</v>
      </c>
      <c r="O2211" s="359">
        <f t="shared" si="298"/>
        <v>0.13315137362637361</v>
      </c>
    </row>
    <row r="2212" spans="1:19" ht="15.75" thickBot="1" x14ac:dyDescent="0.3">
      <c r="A2212" s="178"/>
      <c r="B2212" s="178"/>
      <c r="C2212" s="178"/>
      <c r="D2212" s="178"/>
      <c r="E2212" s="178"/>
      <c r="F2212" s="178"/>
      <c r="G2212" s="178"/>
      <c r="H2212" s="178"/>
      <c r="I2212" s="178"/>
      <c r="J2212" s="178"/>
      <c r="K2212" s="178"/>
      <c r="L2212" s="178"/>
      <c r="M2212" s="178"/>
      <c r="N2212" s="178"/>
      <c r="O2212" s="178"/>
    </row>
    <row r="2213" spans="1:19" ht="21" x14ac:dyDescent="0.25">
      <c r="A2213" s="305"/>
      <c r="B2213" s="644" t="s">
        <v>640</v>
      </c>
      <c r="C2213" s="645"/>
      <c r="D2213" s="645"/>
      <c r="E2213" s="645"/>
      <c r="F2213" s="645"/>
      <c r="G2213" s="645"/>
      <c r="H2213" s="645"/>
      <c r="I2213" s="645"/>
      <c r="J2213" s="645"/>
      <c r="K2213" s="645"/>
      <c r="L2213" s="645"/>
      <c r="M2213" s="645"/>
      <c r="N2213" s="645"/>
      <c r="O2213" s="646"/>
      <c r="Q2213" s="640" t="s">
        <v>139</v>
      </c>
      <c r="R2213" s="544" t="s">
        <v>659</v>
      </c>
      <c r="S2213" s="642" t="s">
        <v>142</v>
      </c>
    </row>
    <row r="2214" spans="1:19" ht="21.75" thickBot="1" x14ac:dyDescent="0.3">
      <c r="A2214" s="177" t="s">
        <v>285</v>
      </c>
      <c r="B2214" s="647"/>
      <c r="C2214" s="648"/>
      <c r="D2214" s="648"/>
      <c r="E2214" s="648"/>
      <c r="F2214" s="648"/>
      <c r="G2214" s="648"/>
      <c r="H2214" s="648"/>
      <c r="I2214" s="648"/>
      <c r="J2214" s="648"/>
      <c r="K2214" s="648"/>
      <c r="L2214" s="648"/>
      <c r="M2214" s="648"/>
      <c r="N2214" s="648"/>
      <c r="O2214" s="649"/>
      <c r="Q2214" s="641"/>
      <c r="R2214" s="87" t="s">
        <v>141</v>
      </c>
      <c r="S2214" s="643"/>
    </row>
    <row r="2215" spans="1:19" ht="15.75" thickBot="1" x14ac:dyDescent="0.3">
      <c r="A2215" s="177"/>
      <c r="B2215" s="650" t="s">
        <v>115</v>
      </c>
      <c r="C2215" s="651"/>
      <c r="D2215" s="651"/>
      <c r="E2215" s="651"/>
      <c r="F2215" s="651"/>
      <c r="G2215" s="651"/>
      <c r="H2215" s="651"/>
      <c r="I2215" s="651"/>
      <c r="J2215" s="651"/>
      <c r="K2215" s="651"/>
      <c r="L2215" s="651"/>
      <c r="M2215" s="651"/>
      <c r="N2215" s="651"/>
      <c r="O2215" s="652"/>
      <c r="Q2215" s="147" t="s">
        <v>143</v>
      </c>
      <c r="R2215" s="88">
        <v>7</v>
      </c>
      <c r="S2215" s="87" t="s">
        <v>576</v>
      </c>
    </row>
    <row r="2216" spans="1:19" ht="15.75" thickBot="1" x14ac:dyDescent="0.3">
      <c r="A2216" s="177" t="s">
        <v>106</v>
      </c>
      <c r="B2216" s="629">
        <v>22</v>
      </c>
      <c r="C2216" s="630"/>
      <c r="D2216" s="630"/>
      <c r="E2216" s="631"/>
      <c r="F2216" s="365" t="s">
        <v>174</v>
      </c>
      <c r="G2216" s="471"/>
      <c r="H2216" s="653">
        <v>0</v>
      </c>
      <c r="I2216" s="654"/>
      <c r="J2216" s="654"/>
      <c r="K2216" s="654"/>
      <c r="L2216" s="655"/>
      <c r="M2216" s="656">
        <f>SUM(B2216,H2217)</f>
        <v>22</v>
      </c>
      <c r="N2216" s="630"/>
      <c r="O2216" s="631"/>
      <c r="Q2216" s="147" t="s">
        <v>145</v>
      </c>
      <c r="R2216" s="88">
        <v>8</v>
      </c>
      <c r="S2216" s="89" t="s">
        <v>660</v>
      </c>
    </row>
    <row r="2217" spans="1:19" ht="29.25" thickBot="1" x14ac:dyDescent="0.3">
      <c r="A2217" s="177" t="s">
        <v>112</v>
      </c>
      <c r="B2217" s="626">
        <v>0.15</v>
      </c>
      <c r="C2217" s="627"/>
      <c r="D2217" s="627"/>
      <c r="E2217" s="628"/>
      <c r="F2217" s="290"/>
      <c r="G2217" s="472"/>
      <c r="H2217" s="626">
        <v>0</v>
      </c>
      <c r="I2217" s="627"/>
      <c r="J2217" s="627"/>
      <c r="K2217" s="627"/>
      <c r="L2217" s="628"/>
      <c r="M2217" s="657">
        <f>B2217</f>
        <v>0.15</v>
      </c>
      <c r="N2217" s="627"/>
      <c r="O2217" s="628"/>
      <c r="Q2217" s="147" t="s">
        <v>147</v>
      </c>
      <c r="R2217" s="88">
        <v>7</v>
      </c>
      <c r="S2217" s="87" t="s">
        <v>664</v>
      </c>
    </row>
    <row r="2218" spans="1:19" ht="15.75" thickBot="1" x14ac:dyDescent="0.3">
      <c r="A2218" s="177" t="s">
        <v>107</v>
      </c>
      <c r="B2218" s="629">
        <f>B2216*(1-B2217)</f>
        <v>18.7</v>
      </c>
      <c r="C2218" s="630"/>
      <c r="D2218" s="630"/>
      <c r="E2218" s="631"/>
      <c r="F2218" s="290"/>
      <c r="G2218" s="472"/>
      <c r="H2218" s="629">
        <f>H2216*(1-H2217)</f>
        <v>0</v>
      </c>
      <c r="I2218" s="630"/>
      <c r="J2218" s="630"/>
      <c r="K2218" s="630"/>
      <c r="L2218" s="631"/>
      <c r="M2218" s="656">
        <f>SUM(B2218,H2218)</f>
        <v>18.7</v>
      </c>
      <c r="N2218" s="630"/>
      <c r="O2218" s="631"/>
      <c r="Q2218" s="147" t="s">
        <v>82</v>
      </c>
      <c r="R2218" s="88">
        <v>8</v>
      </c>
      <c r="S2218" s="89" t="s">
        <v>665</v>
      </c>
    </row>
    <row r="2219" spans="1:19" ht="15.75" thickBot="1" x14ac:dyDescent="0.3">
      <c r="A2219" s="177" t="s">
        <v>108</v>
      </c>
      <c r="B2219" s="626">
        <f>B2222/B2218</f>
        <v>0.73450588235294101</v>
      </c>
      <c r="C2219" s="627"/>
      <c r="D2219" s="627"/>
      <c r="E2219" s="627"/>
      <c r="F2219" s="627"/>
      <c r="G2219" s="627"/>
      <c r="H2219" s="627"/>
      <c r="I2219" s="627"/>
      <c r="J2219" s="627"/>
      <c r="K2219" s="627"/>
      <c r="L2219" s="627"/>
      <c r="M2219" s="627"/>
      <c r="N2219" s="627"/>
      <c r="O2219" s="628"/>
      <c r="Q2219" s="147" t="s">
        <v>152</v>
      </c>
      <c r="R2219" s="88">
        <v>8</v>
      </c>
      <c r="S2219" s="89" t="s">
        <v>666</v>
      </c>
    </row>
    <row r="2220" spans="1:19" ht="15.75" thickBot="1" x14ac:dyDescent="0.3">
      <c r="A2220" s="177" t="s">
        <v>113</v>
      </c>
      <c r="B2220" s="629">
        <f>B2224*(B2228+B2229+I2228+I2229)/1000</f>
        <v>41.622</v>
      </c>
      <c r="C2220" s="630"/>
      <c r="D2220" s="630"/>
      <c r="E2220" s="630"/>
      <c r="F2220" s="630"/>
      <c r="G2220" s="630"/>
      <c r="H2220" s="630"/>
      <c r="I2220" s="630"/>
      <c r="J2220" s="630"/>
      <c r="K2220" s="630"/>
      <c r="L2220" s="630"/>
      <c r="M2220" s="630"/>
      <c r="N2220" s="630"/>
      <c r="O2220" s="631"/>
      <c r="Q2220" s="147" t="s">
        <v>154</v>
      </c>
      <c r="R2220" s="88">
        <v>9</v>
      </c>
      <c r="S2220" s="87" t="s">
        <v>520</v>
      </c>
    </row>
    <row r="2221" spans="1:19" ht="29.25" thickBot="1" x14ac:dyDescent="0.3">
      <c r="A2221" s="177" t="s">
        <v>109</v>
      </c>
      <c r="B2221" s="626">
        <v>0.67</v>
      </c>
      <c r="C2221" s="627"/>
      <c r="D2221" s="627"/>
      <c r="E2221" s="627"/>
      <c r="F2221" s="627"/>
      <c r="G2221" s="627"/>
      <c r="H2221" s="627"/>
      <c r="I2221" s="627"/>
      <c r="J2221" s="627"/>
      <c r="K2221" s="627"/>
      <c r="L2221" s="627"/>
      <c r="M2221" s="627"/>
      <c r="N2221" s="627"/>
      <c r="O2221" s="628"/>
      <c r="Q2221" s="147" t="s">
        <v>156</v>
      </c>
      <c r="R2221" s="88">
        <v>9</v>
      </c>
      <c r="S2221" s="87" t="s">
        <v>667</v>
      </c>
    </row>
    <row r="2222" spans="1:19" ht="15.75" thickBot="1" x14ac:dyDescent="0.3">
      <c r="A2222" s="177" t="s">
        <v>122</v>
      </c>
      <c r="B2222" s="629">
        <f>B2220-(B2220*B2221)</f>
        <v>13.735259999999997</v>
      </c>
      <c r="C2222" s="630"/>
      <c r="D2222" s="630"/>
      <c r="E2222" s="630"/>
      <c r="F2222" s="630"/>
      <c r="G2222" s="630"/>
      <c r="H2222" s="630"/>
      <c r="I2222" s="630"/>
      <c r="J2222" s="630"/>
      <c r="K2222" s="630"/>
      <c r="L2222" s="630"/>
      <c r="M2222" s="630"/>
      <c r="N2222" s="630"/>
      <c r="O2222" s="631"/>
      <c r="Q2222" s="147" t="s">
        <v>158</v>
      </c>
      <c r="R2222" s="88"/>
      <c r="S2222" s="87"/>
    </row>
    <row r="2223" spans="1:19" ht="15.75" thickBot="1" x14ac:dyDescent="0.3">
      <c r="A2223" s="177" t="s">
        <v>110</v>
      </c>
      <c r="B2223" s="632">
        <v>126</v>
      </c>
      <c r="C2223" s="633"/>
      <c r="D2223" s="633"/>
      <c r="E2223" s="633"/>
      <c r="F2223" s="633"/>
      <c r="G2223" s="633"/>
      <c r="H2223" s="633"/>
      <c r="I2223" s="633"/>
      <c r="J2223" s="633"/>
      <c r="K2223" s="633"/>
      <c r="L2223" s="633"/>
      <c r="M2223" s="633"/>
      <c r="N2223" s="633"/>
      <c r="O2223" s="634"/>
      <c r="Q2223" s="543" t="s">
        <v>99</v>
      </c>
      <c r="R2223" s="87" t="s">
        <v>467</v>
      </c>
      <c r="S2223" s="117">
        <v>0.72799999999999998</v>
      </c>
    </row>
    <row r="2224" spans="1:19" x14ac:dyDescent="0.25">
      <c r="A2224" s="177" t="s">
        <v>111</v>
      </c>
      <c r="B2224" s="635">
        <v>14</v>
      </c>
      <c r="C2224" s="636"/>
      <c r="D2224" s="636"/>
      <c r="E2224" s="636"/>
      <c r="F2224" s="636"/>
      <c r="G2224" s="636"/>
      <c r="H2224" s="636"/>
      <c r="I2224" s="636"/>
      <c r="J2224" s="636"/>
      <c r="K2224" s="636"/>
      <c r="L2224" s="636"/>
      <c r="M2224" s="636"/>
      <c r="N2224" s="636"/>
      <c r="O2224" s="637"/>
    </row>
    <row r="2225" spans="1:19" x14ac:dyDescent="0.25">
      <c r="A2225" s="177" t="s">
        <v>273</v>
      </c>
      <c r="B2225" s="638" t="s">
        <v>652</v>
      </c>
      <c r="C2225" s="638"/>
      <c r="D2225" s="638"/>
      <c r="E2225" s="638"/>
      <c r="F2225" s="638"/>
      <c r="G2225" s="638"/>
      <c r="H2225" s="638"/>
      <c r="I2225" s="638"/>
      <c r="J2225" s="638"/>
      <c r="K2225" s="638"/>
      <c r="L2225" s="638"/>
      <c r="M2225" s="638"/>
      <c r="N2225" s="638"/>
      <c r="O2225" s="639"/>
    </row>
    <row r="2226" spans="1:19" ht="31.5" customHeight="1" x14ac:dyDescent="0.25">
      <c r="A2226" s="177" t="s">
        <v>351</v>
      </c>
      <c r="B2226" s="658" t="s">
        <v>651</v>
      </c>
      <c r="C2226" s="658"/>
      <c r="D2226" s="658"/>
      <c r="E2226" s="658"/>
      <c r="F2226" s="658"/>
      <c r="G2226" s="658"/>
      <c r="H2226" s="658"/>
      <c r="I2226" s="658"/>
      <c r="J2226" s="658"/>
      <c r="K2226" s="658"/>
      <c r="L2226" s="658"/>
      <c r="M2226" s="658"/>
      <c r="N2226" s="658"/>
      <c r="O2226" s="659"/>
    </row>
    <row r="2227" spans="1:19" x14ac:dyDescent="0.25">
      <c r="B2227" s="307" t="s">
        <v>98</v>
      </c>
      <c r="C2227" s="365" t="s">
        <v>102</v>
      </c>
      <c r="D2227" s="365" t="s">
        <v>92</v>
      </c>
      <c r="E2227" s="365" t="s">
        <v>93</v>
      </c>
      <c r="F2227" s="365" t="s">
        <v>94</v>
      </c>
      <c r="G2227" s="365" t="s">
        <v>549</v>
      </c>
      <c r="H2227" s="359" t="s">
        <v>99</v>
      </c>
      <c r="I2227" s="307" t="s">
        <v>98</v>
      </c>
      <c r="J2227" s="365" t="s">
        <v>102</v>
      </c>
      <c r="K2227" s="365" t="s">
        <v>92</v>
      </c>
      <c r="L2227" s="365" t="s">
        <v>93</v>
      </c>
      <c r="M2227" s="365" t="s">
        <v>94</v>
      </c>
      <c r="N2227" s="365" t="s">
        <v>549</v>
      </c>
      <c r="O2227" s="359" t="s">
        <v>99</v>
      </c>
    </row>
    <row r="2228" spans="1:19" x14ac:dyDescent="0.25">
      <c r="B2228" s="308">
        <v>1289</v>
      </c>
      <c r="C2228" s="365" t="s">
        <v>95</v>
      </c>
      <c r="D2228" s="441">
        <v>1238.5</v>
      </c>
      <c r="E2228" s="441">
        <v>378.11</v>
      </c>
      <c r="F2228" s="441">
        <v>326.72000000000003</v>
      </c>
      <c r="G2228" s="441">
        <v>144.11000000000001</v>
      </c>
      <c r="H2228" s="359">
        <f>SUM(D2228:G2228)</f>
        <v>2087.44</v>
      </c>
      <c r="I2228" s="308">
        <v>1284</v>
      </c>
      <c r="J2228" s="365" t="s">
        <v>95</v>
      </c>
      <c r="K2228" s="441">
        <v>1515.76</v>
      </c>
      <c r="L2228" s="441">
        <v>391.78</v>
      </c>
      <c r="M2228" s="441">
        <v>201</v>
      </c>
      <c r="N2228" s="441">
        <v>0</v>
      </c>
      <c r="O2228" s="359">
        <f>SUM(K2228:N2228)</f>
        <v>2108.54</v>
      </c>
    </row>
    <row r="2229" spans="1:19" x14ac:dyDescent="0.25">
      <c r="B2229" s="308">
        <v>200</v>
      </c>
      <c r="C2229" s="365" t="s">
        <v>96</v>
      </c>
      <c r="D2229" s="441">
        <v>143.63999999999999</v>
      </c>
      <c r="E2229" s="441">
        <v>153.57</v>
      </c>
      <c r="F2229" s="441">
        <v>71.22</v>
      </c>
      <c r="G2229" s="441">
        <v>0</v>
      </c>
      <c r="H2229" s="359">
        <f t="shared" ref="H2229:H2235" si="301">SUM(D2229:G2229)</f>
        <v>368.42999999999995</v>
      </c>
      <c r="I2229" s="308">
        <v>200</v>
      </c>
      <c r="J2229" s="365" t="s">
        <v>96</v>
      </c>
      <c r="K2229" s="441">
        <v>142.74</v>
      </c>
      <c r="L2229" s="441">
        <v>142.05000000000001</v>
      </c>
      <c r="M2229" s="441">
        <v>39.119999999999997</v>
      </c>
      <c r="N2229" s="441">
        <v>0</v>
      </c>
      <c r="O2229" s="359">
        <f t="shared" ref="O2229:O2235" si="302">SUM(K2229:N2229)</f>
        <v>323.91000000000003</v>
      </c>
    </row>
    <row r="2230" spans="1:19" x14ac:dyDescent="0.25">
      <c r="B2230" s="307" t="s">
        <v>100</v>
      </c>
      <c r="C2230" s="365" t="s">
        <v>95</v>
      </c>
      <c r="D2230" s="444">
        <f t="shared" ref="D2230:G2231" si="303">D2228/$B2228</f>
        <v>0.96082234290147406</v>
      </c>
      <c r="E2230" s="429">
        <f t="shared" si="303"/>
        <v>0.29333591931730024</v>
      </c>
      <c r="F2230" s="429">
        <f t="shared" si="303"/>
        <v>0.25346780449961215</v>
      </c>
      <c r="G2230" s="429">
        <f t="shared" si="303"/>
        <v>0.11179984484096199</v>
      </c>
      <c r="H2230" s="359">
        <f t="shared" si="301"/>
        <v>1.6194259115593486</v>
      </c>
      <c r="I2230" s="307" t="s">
        <v>100</v>
      </c>
      <c r="J2230" s="365" t="s">
        <v>95</v>
      </c>
      <c r="K2230" s="444">
        <f t="shared" ref="K2230:N2231" si="304">K2228/$I2228</f>
        <v>1.1804984423676013</v>
      </c>
      <c r="L2230" s="429">
        <f t="shared" si="304"/>
        <v>0.30512461059190027</v>
      </c>
      <c r="M2230" s="429">
        <f t="shared" si="304"/>
        <v>0.15654205607476634</v>
      </c>
      <c r="N2230" s="429">
        <f t="shared" si="304"/>
        <v>0</v>
      </c>
      <c r="O2230" s="359">
        <f t="shared" si="302"/>
        <v>1.6421651090342679</v>
      </c>
    </row>
    <row r="2231" spans="1:19" x14ac:dyDescent="0.25">
      <c r="B2231" s="307" t="s">
        <v>100</v>
      </c>
      <c r="C2231" s="438" t="s">
        <v>96</v>
      </c>
      <c r="D2231" s="359">
        <f t="shared" si="303"/>
        <v>0.71819999999999995</v>
      </c>
      <c r="E2231" s="359">
        <f t="shared" si="303"/>
        <v>0.76784999999999992</v>
      </c>
      <c r="F2231" s="359">
        <f t="shared" si="303"/>
        <v>0.35609999999999997</v>
      </c>
      <c r="G2231" s="359">
        <f t="shared" si="303"/>
        <v>0</v>
      </c>
      <c r="H2231" s="359">
        <f t="shared" si="301"/>
        <v>1.8421499999999997</v>
      </c>
      <c r="I2231" s="307" t="s">
        <v>100</v>
      </c>
      <c r="J2231" s="438" t="s">
        <v>96</v>
      </c>
      <c r="K2231" s="359">
        <f t="shared" si="304"/>
        <v>0.7137</v>
      </c>
      <c r="L2231" s="359">
        <f t="shared" si="304"/>
        <v>0.71025000000000005</v>
      </c>
      <c r="M2231" s="359">
        <f t="shared" si="304"/>
        <v>0.1956</v>
      </c>
      <c r="N2231" s="359">
        <f t="shared" si="304"/>
        <v>0</v>
      </c>
      <c r="O2231" s="359">
        <f t="shared" si="302"/>
        <v>1.61955</v>
      </c>
    </row>
    <row r="2232" spans="1:19" x14ac:dyDescent="0.25">
      <c r="B2232" s="307" t="s">
        <v>104</v>
      </c>
      <c r="C2232" s="365" t="s">
        <v>95</v>
      </c>
      <c r="D2232" s="359">
        <f>D2228/($B2228/7.7)</f>
        <v>7.3983320403413506</v>
      </c>
      <c r="E2232" s="359">
        <f>E2228/($B2228/7)</f>
        <v>2.0533514352211015</v>
      </c>
      <c r="F2232" s="359">
        <f>F2228/($B2228/7)</f>
        <v>1.7742746314972848</v>
      </c>
      <c r="G2232" s="359">
        <f>G2228/($B2228/7)</f>
        <v>0.78259891388673397</v>
      </c>
      <c r="H2232" s="359">
        <f t="shared" si="301"/>
        <v>12.008557020946471</v>
      </c>
      <c r="I2232" s="307" t="s">
        <v>104</v>
      </c>
      <c r="J2232" s="365" t="s">
        <v>95</v>
      </c>
      <c r="K2232" s="359">
        <f>K2228/($I2228/7.7)</f>
        <v>9.0898380062305293</v>
      </c>
      <c r="L2232" s="359">
        <f>L2228/($I2228/7)</f>
        <v>2.1358722741433023</v>
      </c>
      <c r="M2232" s="359">
        <f>M2228/($I2228/7)</f>
        <v>1.0957943925233646</v>
      </c>
      <c r="N2232" s="359">
        <f>N2228/($I2228/7)</f>
        <v>0</v>
      </c>
      <c r="O2232" s="359">
        <f t="shared" si="302"/>
        <v>12.321504672897197</v>
      </c>
    </row>
    <row r="2233" spans="1:19" x14ac:dyDescent="0.25">
      <c r="B2233" s="307" t="s">
        <v>104</v>
      </c>
      <c r="C2233" s="438" t="s">
        <v>96</v>
      </c>
      <c r="D2233" s="359">
        <f>D2229/($B2229/7.7)</f>
        <v>5.5301399999999994</v>
      </c>
      <c r="E2233" s="359">
        <f>E2229/($B2229/7.7)</f>
        <v>5.912445</v>
      </c>
      <c r="F2233" s="359">
        <f>F2229/($B2229/7.7)</f>
        <v>2.7419699999999998</v>
      </c>
      <c r="G2233" s="359">
        <f>G2229/($B2229/7.7)</f>
        <v>0</v>
      </c>
      <c r="H2233" s="359">
        <f t="shared" si="301"/>
        <v>14.184555</v>
      </c>
      <c r="I2233" s="307" t="s">
        <v>104</v>
      </c>
      <c r="J2233" s="438" t="s">
        <v>96</v>
      </c>
      <c r="K2233" s="359">
        <f>K2229/($I2229/7.7)</f>
        <v>5.4954900000000002</v>
      </c>
      <c r="L2233" s="359">
        <f>L2229/($I2229/7.7)</f>
        <v>5.4689250000000005</v>
      </c>
      <c r="M2233" s="359">
        <f>M2229/($I2229/7.7)</f>
        <v>1.5061199999999999</v>
      </c>
      <c r="N2233" s="359">
        <f>N2229/($I2229/7.7)</f>
        <v>0</v>
      </c>
      <c r="O2233" s="359">
        <f t="shared" si="302"/>
        <v>12.470535</v>
      </c>
    </row>
    <row r="2234" spans="1:19" x14ac:dyDescent="0.25">
      <c r="B2234" s="307" t="s">
        <v>135</v>
      </c>
      <c r="C2234" s="365" t="s">
        <v>95</v>
      </c>
      <c r="D2234" s="359">
        <f>D2228/((($B2228*$B2224)*(1-$B2221))/$B2219)</f>
        <v>0.15275533825914878</v>
      </c>
      <c r="E2234" s="359">
        <f>E2228/((($B2228*$B2224)*(1-$B2221))/$B2219)</f>
        <v>4.6635705247611417E-2</v>
      </c>
      <c r="F2234" s="359">
        <f>F2228/((($B2228*$B2224)*(1-$B2221))/$B2219)</f>
        <v>4.0297314587023896E-2</v>
      </c>
      <c r="G2234" s="359">
        <f>G2228/((($B2228*$B2224)*(1-$B2221))/$B2219)</f>
        <v>1.7774381749314439E-2</v>
      </c>
      <c r="H2234" s="359">
        <f t="shared" si="301"/>
        <v>0.25746273984309853</v>
      </c>
      <c r="I2234" s="307" t="s">
        <v>135</v>
      </c>
      <c r="J2234" s="365" t="s">
        <v>95</v>
      </c>
      <c r="K2234" s="359">
        <f>K2228/((($I2228*$B2224)*(1-$B2221))/$B2219)</f>
        <v>0.18768031385876355</v>
      </c>
      <c r="L2234" s="359">
        <f>L2228/((($I2228*$B2224)*(1-$B2221))/$B2219)</f>
        <v>4.8509918036883398E-2</v>
      </c>
      <c r="M2234" s="359">
        <f>M2228/((($I2228*$B2224)*(1-$B2221))/$B2219)</f>
        <v>2.4887675546004295E-2</v>
      </c>
      <c r="N2234" s="359">
        <f>N2228/((($I2228*$B2224)*(1-$B2221))/$B2219)</f>
        <v>0</v>
      </c>
      <c r="O2234" s="359">
        <f t="shared" si="302"/>
        <v>0.26107790744165127</v>
      </c>
    </row>
    <row r="2235" spans="1:19" x14ac:dyDescent="0.25">
      <c r="B2235" s="307" t="s">
        <v>135</v>
      </c>
      <c r="C2235" s="438" t="s">
        <v>96</v>
      </c>
      <c r="D2235" s="359">
        <f>D2229/((($B2229*$B2224)*(1-$B2221))/$B2219)</f>
        <v>0.11418227807486629</v>
      </c>
      <c r="E2235" s="359">
        <f>E2229/((($B2229*$B2224)*(1-$B2221))/$B2219)</f>
        <v>0.12207583155080212</v>
      </c>
      <c r="F2235" s="359">
        <f>F2229/((($B2229*$B2224)*(1-$B2221))/$B2219)</f>
        <v>5.6614187165775397E-2</v>
      </c>
      <c r="G2235" s="359">
        <f>G2229/((($B2229*$B2224)*(1-$B2221))/$B2219)</f>
        <v>0</v>
      </c>
      <c r="H2235" s="359">
        <f t="shared" si="301"/>
        <v>0.29287229679144378</v>
      </c>
      <c r="I2235" s="307" t="s">
        <v>135</v>
      </c>
      <c r="J2235" s="438" t="s">
        <v>96</v>
      </c>
      <c r="K2235" s="359">
        <f>K2229/((($I2229*$B2224)*(1-$B2221))/$B2219)</f>
        <v>0.11346685026737968</v>
      </c>
      <c r="L2235" s="359">
        <f>L2229/((($I2229*$B2224)*(1-$B2221))/$B2219)</f>
        <v>0.11291835561497326</v>
      </c>
      <c r="M2235" s="359">
        <f>M2229/((($I2229*$B2224)*(1-$B2221))/$B2219)</f>
        <v>3.1097262032085557E-2</v>
      </c>
      <c r="N2235" s="359">
        <f>N2229/((($I2229*$B2224)*(1-$B2221))/$B2219)</f>
        <v>0</v>
      </c>
      <c r="O2235" s="359">
        <f t="shared" si="302"/>
        <v>0.25748246791443852</v>
      </c>
      <c r="R2235" s="542"/>
    </row>
    <row r="2236" spans="1:19" x14ac:dyDescent="0.25">
      <c r="A2236" s="178"/>
      <c r="B2236" s="178"/>
      <c r="C2236" s="178"/>
      <c r="D2236" s="178"/>
      <c r="E2236" s="178"/>
      <c r="F2236" s="178"/>
      <c r="G2236" s="178"/>
      <c r="H2236" s="178"/>
      <c r="I2236" s="178"/>
      <c r="J2236" s="178"/>
      <c r="K2236" s="178"/>
      <c r="L2236" s="178"/>
      <c r="M2236" s="178"/>
      <c r="N2236" s="178"/>
      <c r="O2236" s="178"/>
    </row>
    <row r="2237" spans="1:19" ht="21.75" thickBot="1" x14ac:dyDescent="0.3">
      <c r="A2237" s="305"/>
      <c r="B2237" s="644" t="s">
        <v>641</v>
      </c>
      <c r="C2237" s="645"/>
      <c r="D2237" s="645"/>
      <c r="E2237" s="645"/>
      <c r="F2237" s="645"/>
      <c r="G2237" s="645"/>
      <c r="H2237" s="645"/>
      <c r="I2237" s="645"/>
      <c r="J2237" s="645"/>
      <c r="K2237" s="645"/>
      <c r="L2237" s="645"/>
      <c r="M2237" s="645"/>
      <c r="N2237" s="645"/>
      <c r="O2237" s="646"/>
      <c r="Q2237" s="545" t="s">
        <v>668</v>
      </c>
      <c r="R2237"/>
      <c r="S2237"/>
    </row>
    <row r="2238" spans="1:19" ht="21" x14ac:dyDescent="0.25">
      <c r="A2238" s="177" t="s">
        <v>285</v>
      </c>
      <c r="B2238" s="647">
        <v>44629</v>
      </c>
      <c r="C2238" s="648"/>
      <c r="D2238" s="648"/>
      <c r="E2238" s="648"/>
      <c r="F2238" s="648"/>
      <c r="G2238" s="648"/>
      <c r="H2238" s="648"/>
      <c r="I2238" s="648"/>
      <c r="J2238" s="648"/>
      <c r="K2238" s="648"/>
      <c r="L2238" s="648"/>
      <c r="M2238" s="648"/>
      <c r="N2238" s="648"/>
      <c r="O2238" s="649"/>
      <c r="Q2238" s="640" t="s">
        <v>139</v>
      </c>
      <c r="R2238" s="544" t="s">
        <v>659</v>
      </c>
      <c r="S2238" s="642" t="s">
        <v>142</v>
      </c>
    </row>
    <row r="2239" spans="1:19" ht="15.75" thickBot="1" x14ac:dyDescent="0.3">
      <c r="A2239" s="177"/>
      <c r="B2239" s="650" t="s">
        <v>115</v>
      </c>
      <c r="C2239" s="651"/>
      <c r="D2239" s="651"/>
      <c r="E2239" s="651"/>
      <c r="F2239" s="651"/>
      <c r="G2239" s="651"/>
      <c r="H2239" s="651"/>
      <c r="I2239" s="651"/>
      <c r="J2239" s="651"/>
      <c r="K2239" s="651"/>
      <c r="L2239" s="651"/>
      <c r="M2239" s="651"/>
      <c r="N2239" s="651"/>
      <c r="O2239" s="652"/>
      <c r="Q2239" s="641"/>
      <c r="R2239" s="87" t="s">
        <v>141</v>
      </c>
      <c r="S2239" s="643"/>
    </row>
    <row r="2240" spans="1:19" ht="15.75" thickBot="1" x14ac:dyDescent="0.3">
      <c r="A2240" s="177" t="s">
        <v>106</v>
      </c>
      <c r="B2240" s="629">
        <v>22</v>
      </c>
      <c r="C2240" s="630"/>
      <c r="D2240" s="630"/>
      <c r="E2240" s="631"/>
      <c r="F2240" s="365" t="s">
        <v>174</v>
      </c>
      <c r="G2240" s="471"/>
      <c r="H2240" s="653">
        <v>0</v>
      </c>
      <c r="I2240" s="654"/>
      <c r="J2240" s="654"/>
      <c r="K2240" s="654"/>
      <c r="L2240" s="655"/>
      <c r="M2240" s="656">
        <f>SUM(B2240,H2241)</f>
        <v>22</v>
      </c>
      <c r="N2240" s="630"/>
      <c r="O2240" s="631"/>
      <c r="Q2240" s="147" t="s">
        <v>143</v>
      </c>
      <c r="R2240" s="88">
        <v>7</v>
      </c>
      <c r="S2240" s="87" t="s">
        <v>576</v>
      </c>
    </row>
    <row r="2241" spans="1:19" ht="15.75" thickBot="1" x14ac:dyDescent="0.3">
      <c r="A2241" s="177" t="s">
        <v>112</v>
      </c>
      <c r="B2241" s="626">
        <v>0.15</v>
      </c>
      <c r="C2241" s="627"/>
      <c r="D2241" s="627"/>
      <c r="E2241" s="628"/>
      <c r="F2241" s="290"/>
      <c r="G2241" s="472"/>
      <c r="H2241" s="626">
        <v>0</v>
      </c>
      <c r="I2241" s="627"/>
      <c r="J2241" s="627"/>
      <c r="K2241" s="627"/>
      <c r="L2241" s="628"/>
      <c r="M2241" s="657">
        <f>B2241</f>
        <v>0.15</v>
      </c>
      <c r="N2241" s="627"/>
      <c r="O2241" s="628"/>
      <c r="Q2241" s="147" t="s">
        <v>145</v>
      </c>
      <c r="R2241" s="88">
        <v>8</v>
      </c>
      <c r="S2241" s="89" t="s">
        <v>573</v>
      </c>
    </row>
    <row r="2242" spans="1:19" ht="15.75" thickBot="1" x14ac:dyDescent="0.3">
      <c r="A2242" s="177" t="s">
        <v>107</v>
      </c>
      <c r="B2242" s="629">
        <f>B2240*(1-B2241)</f>
        <v>18.7</v>
      </c>
      <c r="C2242" s="630"/>
      <c r="D2242" s="630"/>
      <c r="E2242" s="631"/>
      <c r="F2242" s="290"/>
      <c r="G2242" s="472"/>
      <c r="H2242" s="629">
        <f>H2240*(1-H2241)</f>
        <v>0</v>
      </c>
      <c r="I2242" s="630"/>
      <c r="J2242" s="630"/>
      <c r="K2242" s="630"/>
      <c r="L2242" s="631"/>
      <c r="M2242" s="656">
        <f>SUM(B2242,H2242)</f>
        <v>18.7</v>
      </c>
      <c r="N2242" s="630"/>
      <c r="O2242" s="631"/>
      <c r="Q2242" s="147" t="s">
        <v>147</v>
      </c>
      <c r="R2242" s="88">
        <v>8</v>
      </c>
      <c r="S2242" s="87" t="s">
        <v>669</v>
      </c>
    </row>
    <row r="2243" spans="1:19" ht="15.75" thickBot="1" x14ac:dyDescent="0.3">
      <c r="A2243" s="177" t="s">
        <v>108</v>
      </c>
      <c r="B2243" s="626">
        <f>B2246/B2242</f>
        <v>0.7642352941176469</v>
      </c>
      <c r="C2243" s="627"/>
      <c r="D2243" s="627"/>
      <c r="E2243" s="627"/>
      <c r="F2243" s="627"/>
      <c r="G2243" s="627"/>
      <c r="H2243" s="627"/>
      <c r="I2243" s="627"/>
      <c r="J2243" s="627"/>
      <c r="K2243" s="627"/>
      <c r="L2243" s="627"/>
      <c r="M2243" s="627"/>
      <c r="N2243" s="627"/>
      <c r="O2243" s="628"/>
      <c r="Q2243" s="147" t="s">
        <v>82</v>
      </c>
      <c r="R2243" s="88">
        <v>8</v>
      </c>
      <c r="S2243" s="89" t="s">
        <v>670</v>
      </c>
    </row>
    <row r="2244" spans="1:19" ht="15.75" thickBot="1" x14ac:dyDescent="0.3">
      <c r="A2244" s="177" t="s">
        <v>113</v>
      </c>
      <c r="B2244" s="629">
        <f>B2248*(B2252+B2253+I2252+I2253)/1000</f>
        <v>44.66</v>
      </c>
      <c r="C2244" s="630"/>
      <c r="D2244" s="630"/>
      <c r="E2244" s="630"/>
      <c r="F2244" s="630"/>
      <c r="G2244" s="630"/>
      <c r="H2244" s="630"/>
      <c r="I2244" s="630"/>
      <c r="J2244" s="630"/>
      <c r="K2244" s="630"/>
      <c r="L2244" s="630"/>
      <c r="M2244" s="630"/>
      <c r="N2244" s="630"/>
      <c r="O2244" s="631"/>
      <c r="Q2244" s="147" t="s">
        <v>152</v>
      </c>
      <c r="R2244" s="88">
        <v>8</v>
      </c>
      <c r="S2244" s="89" t="s">
        <v>671</v>
      </c>
    </row>
    <row r="2245" spans="1:19" ht="15.75" thickBot="1" x14ac:dyDescent="0.3">
      <c r="A2245" s="177" t="s">
        <v>109</v>
      </c>
      <c r="B2245" s="626">
        <v>0.68</v>
      </c>
      <c r="C2245" s="627"/>
      <c r="D2245" s="627"/>
      <c r="E2245" s="627"/>
      <c r="F2245" s="627"/>
      <c r="G2245" s="627"/>
      <c r="H2245" s="627"/>
      <c r="I2245" s="627"/>
      <c r="J2245" s="627"/>
      <c r="K2245" s="627"/>
      <c r="L2245" s="627"/>
      <c r="M2245" s="627"/>
      <c r="N2245" s="627"/>
      <c r="O2245" s="628"/>
      <c r="Q2245" s="147" t="s">
        <v>154</v>
      </c>
      <c r="R2245" s="88">
        <v>9</v>
      </c>
      <c r="S2245" s="87" t="s">
        <v>520</v>
      </c>
    </row>
    <row r="2246" spans="1:19" ht="29.25" thickBot="1" x14ac:dyDescent="0.3">
      <c r="A2246" s="177" t="s">
        <v>122</v>
      </c>
      <c r="B2246" s="629">
        <f>B2244-(B2244*B2245)</f>
        <v>14.291199999999996</v>
      </c>
      <c r="C2246" s="630"/>
      <c r="D2246" s="630"/>
      <c r="E2246" s="630"/>
      <c r="F2246" s="630"/>
      <c r="G2246" s="630"/>
      <c r="H2246" s="630"/>
      <c r="I2246" s="630"/>
      <c r="J2246" s="630"/>
      <c r="K2246" s="630"/>
      <c r="L2246" s="630"/>
      <c r="M2246" s="630"/>
      <c r="N2246" s="630"/>
      <c r="O2246" s="631"/>
      <c r="Q2246" s="147" t="s">
        <v>156</v>
      </c>
      <c r="R2246" s="88">
        <v>9</v>
      </c>
      <c r="S2246" s="87" t="s">
        <v>577</v>
      </c>
    </row>
    <row r="2247" spans="1:19" ht="15.75" thickBot="1" x14ac:dyDescent="0.3">
      <c r="A2247" s="177" t="s">
        <v>110</v>
      </c>
      <c r="B2247" s="632">
        <v>125</v>
      </c>
      <c r="C2247" s="633"/>
      <c r="D2247" s="633"/>
      <c r="E2247" s="633"/>
      <c r="F2247" s="633"/>
      <c r="G2247" s="633"/>
      <c r="H2247" s="633"/>
      <c r="I2247" s="633"/>
      <c r="J2247" s="633"/>
      <c r="K2247" s="633"/>
      <c r="L2247" s="633"/>
      <c r="M2247" s="633"/>
      <c r="N2247" s="633"/>
      <c r="O2247" s="634"/>
      <c r="Q2247" s="147" t="s">
        <v>158</v>
      </c>
      <c r="R2247" s="88"/>
      <c r="S2247" s="87"/>
    </row>
    <row r="2248" spans="1:19" ht="15.75" thickBot="1" x14ac:dyDescent="0.3">
      <c r="A2248" s="177" t="s">
        <v>111</v>
      </c>
      <c r="B2248" s="635">
        <v>14.5</v>
      </c>
      <c r="C2248" s="636"/>
      <c r="D2248" s="636"/>
      <c r="E2248" s="636"/>
      <c r="F2248" s="636"/>
      <c r="G2248" s="636"/>
      <c r="H2248" s="636"/>
      <c r="I2248" s="636"/>
      <c r="J2248" s="636"/>
      <c r="K2248" s="636"/>
      <c r="L2248" s="636"/>
      <c r="M2248" s="636"/>
      <c r="N2248" s="636"/>
      <c r="O2248" s="637"/>
      <c r="Q2248" s="543" t="s">
        <v>99</v>
      </c>
      <c r="R2248" s="87" t="s">
        <v>528</v>
      </c>
      <c r="S2248" s="148">
        <v>0.81</v>
      </c>
    </row>
    <row r="2249" spans="1:19" x14ac:dyDescent="0.25">
      <c r="A2249" s="177" t="s">
        <v>273</v>
      </c>
      <c r="B2249" s="638"/>
      <c r="C2249" s="638"/>
      <c r="D2249" s="638"/>
      <c r="E2249" s="638"/>
      <c r="F2249" s="638"/>
      <c r="G2249" s="638"/>
      <c r="H2249" s="638"/>
      <c r="I2249" s="638"/>
      <c r="J2249" s="638"/>
      <c r="K2249" s="638"/>
      <c r="L2249" s="638"/>
      <c r="M2249" s="638"/>
      <c r="N2249" s="638"/>
      <c r="O2249" s="639"/>
    </row>
    <row r="2250" spans="1:19" x14ac:dyDescent="0.25">
      <c r="A2250" s="177" t="s">
        <v>351</v>
      </c>
      <c r="B2250" s="431"/>
      <c r="C2250" s="431"/>
      <c r="D2250" s="431"/>
      <c r="E2250" s="431"/>
      <c r="F2250" s="431"/>
      <c r="G2250" s="431"/>
      <c r="H2250" s="431"/>
      <c r="I2250" s="431"/>
      <c r="J2250" s="431"/>
      <c r="K2250" s="431"/>
      <c r="L2250" s="431"/>
      <c r="M2250" s="431"/>
      <c r="N2250" s="431"/>
      <c r="O2250" s="432"/>
    </row>
    <row r="2251" spans="1:19" x14ac:dyDescent="0.25">
      <c r="B2251" s="307" t="s">
        <v>98</v>
      </c>
      <c r="C2251" s="365" t="s">
        <v>102</v>
      </c>
      <c r="D2251" s="365" t="s">
        <v>92</v>
      </c>
      <c r="E2251" s="365" t="s">
        <v>93</v>
      </c>
      <c r="F2251" s="365" t="s">
        <v>94</v>
      </c>
      <c r="G2251" s="365" t="s">
        <v>549</v>
      </c>
      <c r="H2251" s="359" t="s">
        <v>99</v>
      </c>
      <c r="I2251" s="307" t="s">
        <v>98</v>
      </c>
      <c r="J2251" s="365" t="s">
        <v>102</v>
      </c>
      <c r="K2251" s="365" t="s">
        <v>92</v>
      </c>
      <c r="L2251" s="365" t="s">
        <v>93</v>
      </c>
      <c r="M2251" s="365" t="s">
        <v>94</v>
      </c>
      <c r="N2251" s="365" t="s">
        <v>549</v>
      </c>
      <c r="O2251" s="359" t="s">
        <v>99</v>
      </c>
    </row>
    <row r="2252" spans="1:19" x14ac:dyDescent="0.25">
      <c r="B2252" s="308">
        <v>1333</v>
      </c>
      <c r="C2252" s="365" t="s">
        <v>95</v>
      </c>
      <c r="D2252" s="441">
        <v>1280.24</v>
      </c>
      <c r="E2252" s="441">
        <v>598.28</v>
      </c>
      <c r="F2252" s="441">
        <v>306.27</v>
      </c>
      <c r="G2252" s="441">
        <v>58.51</v>
      </c>
      <c r="H2252" s="359">
        <f>SUM(D2252:G2252)</f>
        <v>2243.3000000000002</v>
      </c>
      <c r="I2252" s="308">
        <v>1347</v>
      </c>
      <c r="J2252" s="365" t="s">
        <v>95</v>
      </c>
      <c r="K2252" s="441">
        <v>1547.52</v>
      </c>
      <c r="L2252" s="441">
        <v>216.75</v>
      </c>
      <c r="M2252" s="441">
        <v>177.34</v>
      </c>
      <c r="N2252" s="441">
        <v>0</v>
      </c>
      <c r="O2252" s="359">
        <f>SUM(K2252:N2252)</f>
        <v>1941.61</v>
      </c>
    </row>
    <row r="2253" spans="1:19" x14ac:dyDescent="0.25">
      <c r="B2253" s="308">
        <v>200</v>
      </c>
      <c r="C2253" s="365" t="s">
        <v>96</v>
      </c>
      <c r="D2253" s="441">
        <v>143.86000000000001</v>
      </c>
      <c r="E2253" s="441">
        <v>64</v>
      </c>
      <c r="F2253" s="441">
        <v>30.12</v>
      </c>
      <c r="G2253" s="441">
        <v>4.16</v>
      </c>
      <c r="H2253" s="359">
        <f t="shared" ref="H2253:H2259" si="305">SUM(D2253:G2253)</f>
        <v>242.14000000000001</v>
      </c>
      <c r="I2253" s="308">
        <v>200</v>
      </c>
      <c r="J2253" s="365" t="s">
        <v>96</v>
      </c>
      <c r="K2253" s="441">
        <v>192.39</v>
      </c>
      <c r="L2253" s="441">
        <v>50.6</v>
      </c>
      <c r="M2253" s="441">
        <v>39.44</v>
      </c>
      <c r="N2253" s="441">
        <v>0</v>
      </c>
      <c r="O2253" s="359">
        <f t="shared" ref="O2253:O2259" si="306">SUM(K2253:N2253)</f>
        <v>282.42999999999995</v>
      </c>
    </row>
    <row r="2254" spans="1:19" x14ac:dyDescent="0.25">
      <c r="B2254" s="307" t="s">
        <v>100</v>
      </c>
      <c r="C2254" s="365" t="s">
        <v>95</v>
      </c>
      <c r="D2254" s="444">
        <f t="shared" ref="D2254:G2255" si="307">D2252/$B2252</f>
        <v>0.96042010502625652</v>
      </c>
      <c r="E2254" s="429">
        <f t="shared" si="307"/>
        <v>0.44882220555138785</v>
      </c>
      <c r="F2254" s="429">
        <f t="shared" si="307"/>
        <v>0.22975993998499625</v>
      </c>
      <c r="G2254" s="429">
        <f t="shared" si="307"/>
        <v>4.3893473368342081E-2</v>
      </c>
      <c r="H2254" s="359">
        <f t="shared" si="305"/>
        <v>1.6828957239309827</v>
      </c>
      <c r="I2254" s="307" t="s">
        <v>100</v>
      </c>
      <c r="J2254" s="365" t="s">
        <v>95</v>
      </c>
      <c r="K2254" s="444">
        <f t="shared" ref="K2254:N2255" si="308">K2252/$I2252</f>
        <v>1.1488641425389754</v>
      </c>
      <c r="L2254" s="429">
        <f t="shared" si="308"/>
        <v>0.16091314031180401</v>
      </c>
      <c r="M2254" s="429">
        <f t="shared" si="308"/>
        <v>0.13165553080920564</v>
      </c>
      <c r="N2254" s="429">
        <f t="shared" si="308"/>
        <v>0</v>
      </c>
      <c r="O2254" s="359">
        <f t="shared" si="306"/>
        <v>1.441432813659985</v>
      </c>
    </row>
    <row r="2255" spans="1:19" x14ac:dyDescent="0.25">
      <c r="B2255" s="307" t="s">
        <v>100</v>
      </c>
      <c r="C2255" s="438" t="s">
        <v>96</v>
      </c>
      <c r="D2255" s="359">
        <f t="shared" si="307"/>
        <v>0.71930000000000005</v>
      </c>
      <c r="E2255" s="359">
        <f t="shared" si="307"/>
        <v>0.32</v>
      </c>
      <c r="F2255" s="359">
        <f t="shared" si="307"/>
        <v>0.15060000000000001</v>
      </c>
      <c r="G2255" s="359">
        <f t="shared" si="307"/>
        <v>2.0799999999999999E-2</v>
      </c>
      <c r="H2255" s="359">
        <f t="shared" si="305"/>
        <v>1.2107000000000001</v>
      </c>
      <c r="I2255" s="307" t="s">
        <v>100</v>
      </c>
      <c r="J2255" s="438" t="s">
        <v>96</v>
      </c>
      <c r="K2255" s="359">
        <f t="shared" si="308"/>
        <v>0.96194999999999997</v>
      </c>
      <c r="L2255" s="359">
        <f t="shared" si="308"/>
        <v>0.253</v>
      </c>
      <c r="M2255" s="359">
        <f t="shared" si="308"/>
        <v>0.19719999999999999</v>
      </c>
      <c r="N2255" s="359">
        <f t="shared" si="308"/>
        <v>0</v>
      </c>
      <c r="O2255" s="359">
        <f t="shared" si="306"/>
        <v>1.41215</v>
      </c>
    </row>
    <row r="2256" spans="1:19" x14ac:dyDescent="0.25">
      <c r="B2256" s="307" t="s">
        <v>104</v>
      </c>
      <c r="C2256" s="365" t="s">
        <v>95</v>
      </c>
      <c r="D2256" s="359">
        <f>D2252/($B2252/7.7)</f>
        <v>7.3952348087021758</v>
      </c>
      <c r="E2256" s="359">
        <f>E2252/($B2252/7)</f>
        <v>3.1417554388597151</v>
      </c>
      <c r="F2256" s="359">
        <f>F2252/($B2252/7)</f>
        <v>1.6083195798949736</v>
      </c>
      <c r="G2256" s="359">
        <f>G2252/($B2252/7)</f>
        <v>0.30725431357839461</v>
      </c>
      <c r="H2256" s="359">
        <f t="shared" si="305"/>
        <v>12.452564141035257</v>
      </c>
      <c r="I2256" s="307" t="s">
        <v>104</v>
      </c>
      <c r="J2256" s="365" t="s">
        <v>95</v>
      </c>
      <c r="K2256" s="359">
        <f>K2252/($I2252/7.7)</f>
        <v>8.8462538975501115</v>
      </c>
      <c r="L2256" s="359">
        <f>L2252/($I2252/7)</f>
        <v>1.126391982182628</v>
      </c>
      <c r="M2256" s="359">
        <f>M2252/($I2252/7)</f>
        <v>0.92158871566443956</v>
      </c>
      <c r="N2256" s="359">
        <f>N2252/($I2252/7)</f>
        <v>0</v>
      </c>
      <c r="O2256" s="359">
        <f t="shared" si="306"/>
        <v>10.89423459539718</v>
      </c>
    </row>
    <row r="2257" spans="1:19" x14ac:dyDescent="0.25">
      <c r="B2257" s="307" t="s">
        <v>104</v>
      </c>
      <c r="C2257" s="438" t="s">
        <v>96</v>
      </c>
      <c r="D2257" s="359">
        <f>D2253/($B2253/7.7)</f>
        <v>5.5386100000000003</v>
      </c>
      <c r="E2257" s="359">
        <f>E2253/($B2253/7.7)</f>
        <v>2.464</v>
      </c>
      <c r="F2257" s="359">
        <f>F2253/($B2253/7.7)</f>
        <v>1.1596200000000001</v>
      </c>
      <c r="G2257" s="359">
        <f>G2253/($B2253/7.7)</f>
        <v>0.16016</v>
      </c>
      <c r="H2257" s="359">
        <f t="shared" si="305"/>
        <v>9.3223900000000004</v>
      </c>
      <c r="I2257" s="307" t="s">
        <v>104</v>
      </c>
      <c r="J2257" s="438" t="s">
        <v>96</v>
      </c>
      <c r="K2257" s="359">
        <f>K2253/($I2253/7.7)</f>
        <v>7.4070149999999995</v>
      </c>
      <c r="L2257" s="359">
        <f>L2253/($I2253/7.7)</f>
        <v>1.9481000000000002</v>
      </c>
      <c r="M2257" s="359">
        <f>M2253/($I2253/7.7)</f>
        <v>1.51844</v>
      </c>
      <c r="N2257" s="359">
        <f>N2253/($I2253/7.7)</f>
        <v>0</v>
      </c>
      <c r="O2257" s="359">
        <f t="shared" si="306"/>
        <v>10.873555</v>
      </c>
    </row>
    <row r="2258" spans="1:19" x14ac:dyDescent="0.25">
      <c r="B2258" s="307" t="s">
        <v>135</v>
      </c>
      <c r="C2258" s="365" t="s">
        <v>95</v>
      </c>
      <c r="D2258" s="359">
        <f>D2252/((($B2252*$B2248)*(1-$B2245))/$B2243)</f>
        <v>0.158186840827854</v>
      </c>
      <c r="E2258" s="359">
        <f>E2252/((($B2252*$B2248)*(1-$B2245))/$B2243)</f>
        <v>7.3923657384934463E-2</v>
      </c>
      <c r="F2258" s="359">
        <f>F2252/((($B2252*$B2248)*(1-$B2245))/$B2243)</f>
        <v>3.7842813644587615E-2</v>
      </c>
      <c r="G2258" s="359">
        <f>G2252/((($B2252*$B2248)*(1-$B2245))/$B2243)</f>
        <v>7.2295132606681077E-3</v>
      </c>
      <c r="H2258" s="359">
        <f t="shared" si="305"/>
        <v>0.27718282511804421</v>
      </c>
      <c r="I2258" s="307" t="s">
        <v>135</v>
      </c>
      <c r="J2258" s="365" t="s">
        <v>95</v>
      </c>
      <c r="K2258" s="359">
        <f>K2252/((($I2252*$B2248)*(1-$B2245))/$B2243)</f>
        <v>0.18922468230053713</v>
      </c>
      <c r="L2258" s="359">
        <f>L2252/((($I2252*$B2248)*(1-$B2245))/$B2243)</f>
        <v>2.6503340757238307E-2</v>
      </c>
      <c r="M2258" s="359">
        <f>M2252/((($I2252*$B2248)*(1-$B2245))/$B2243)</f>
        <v>2.1684440368575045E-2</v>
      </c>
      <c r="N2258" s="359">
        <f>N2252/((($I2252*$B2248)*(1-$B2245))/$B2243)</f>
        <v>0</v>
      </c>
      <c r="O2258" s="359">
        <f t="shared" si="306"/>
        <v>0.23741246342635047</v>
      </c>
    </row>
    <row r="2259" spans="1:19" x14ac:dyDescent="0.25">
      <c r="B2259" s="307" t="s">
        <v>135</v>
      </c>
      <c r="C2259" s="438" t="s">
        <v>96</v>
      </c>
      <c r="D2259" s="359">
        <f>D2253/((($B2253*$B2248)*(1-$B2245))/$B2243)</f>
        <v>0.11847294117647059</v>
      </c>
      <c r="E2259" s="359">
        <f>E2253/((($B2253*$B2248)*(1-$B2245))/$B2243)</f>
        <v>5.2705882352941172E-2</v>
      </c>
      <c r="F2259" s="359">
        <f>F2253/((($B2253*$B2248)*(1-$B2245))/$B2243)</f>
        <v>2.4804705882352937E-2</v>
      </c>
      <c r="G2259" s="359">
        <f>G2253/((($B2253*$B2248)*(1-$B2245))/$B2243)</f>
        <v>3.4258823529411762E-3</v>
      </c>
      <c r="H2259" s="359">
        <f t="shared" si="305"/>
        <v>0.19940941176470589</v>
      </c>
      <c r="I2259" s="307" t="s">
        <v>135</v>
      </c>
      <c r="J2259" s="438" t="s">
        <v>96</v>
      </c>
      <c r="K2259" s="359">
        <f>K2253/((($I2253*$B2248)*(1-$B2245))/$B2243)</f>
        <v>0.15843882352941174</v>
      </c>
      <c r="L2259" s="359">
        <f>L2253/((($I2253*$B2248)*(1-$B2245))/$B2243)</f>
        <v>4.1670588235294112E-2</v>
      </c>
      <c r="M2259" s="359">
        <f>M2253/((($I2253*$B2248)*(1-$B2245))/$B2243)</f>
        <v>3.2479999999999995E-2</v>
      </c>
      <c r="N2259" s="359">
        <f>N2253/((($I2253*$B2248)*(1-$B2245))/$B2243)</f>
        <v>0</v>
      </c>
      <c r="O2259" s="359">
        <f t="shared" si="306"/>
        <v>0.23258941176470588</v>
      </c>
    </row>
    <row r="2260" spans="1:19" ht="15.75" thickBot="1" x14ac:dyDescent="0.3">
      <c r="A2260" s="178"/>
      <c r="B2260" s="178"/>
      <c r="C2260" s="178"/>
      <c r="D2260" s="178"/>
      <c r="E2260" s="178"/>
      <c r="F2260" s="178"/>
      <c r="G2260" s="178"/>
      <c r="H2260" s="178"/>
      <c r="I2260" s="178"/>
      <c r="J2260" s="178"/>
      <c r="K2260" s="178"/>
      <c r="L2260" s="178"/>
      <c r="M2260" s="178"/>
      <c r="N2260" s="178"/>
      <c r="O2260" s="178"/>
    </row>
    <row r="2261" spans="1:19" ht="21" x14ac:dyDescent="0.25">
      <c r="A2261" s="305"/>
      <c r="B2261" s="644" t="s">
        <v>649</v>
      </c>
      <c r="C2261" s="645"/>
      <c r="D2261" s="645"/>
      <c r="E2261" s="645"/>
      <c r="F2261" s="645"/>
      <c r="G2261" s="645"/>
      <c r="H2261" s="645"/>
      <c r="I2261" s="645"/>
      <c r="J2261" s="645"/>
      <c r="K2261" s="645"/>
      <c r="L2261" s="645"/>
      <c r="M2261" s="645"/>
      <c r="N2261" s="645"/>
      <c r="O2261" s="646"/>
      <c r="Q2261" s="640" t="s">
        <v>139</v>
      </c>
      <c r="R2261" s="544" t="s">
        <v>659</v>
      </c>
      <c r="S2261" s="642" t="s">
        <v>142</v>
      </c>
    </row>
    <row r="2262" spans="1:19" ht="21.75" thickBot="1" x14ac:dyDescent="0.3">
      <c r="A2262" s="177" t="s">
        <v>285</v>
      </c>
      <c r="B2262" s="647">
        <v>44644</v>
      </c>
      <c r="C2262" s="648"/>
      <c r="D2262" s="648"/>
      <c r="E2262" s="648"/>
      <c r="F2262" s="648"/>
      <c r="G2262" s="648"/>
      <c r="H2262" s="648"/>
      <c r="I2262" s="648"/>
      <c r="J2262" s="648"/>
      <c r="K2262" s="648"/>
      <c r="L2262" s="648"/>
      <c r="M2262" s="648"/>
      <c r="N2262" s="648"/>
      <c r="O2262" s="649"/>
      <c r="Q2262" s="641"/>
      <c r="R2262" s="87" t="s">
        <v>141</v>
      </c>
      <c r="S2262" s="643"/>
    </row>
    <row r="2263" spans="1:19" ht="15.75" thickBot="1" x14ac:dyDescent="0.3">
      <c r="A2263" s="177"/>
      <c r="B2263" s="650" t="s">
        <v>115</v>
      </c>
      <c r="C2263" s="651"/>
      <c r="D2263" s="651"/>
      <c r="E2263" s="651"/>
      <c r="F2263" s="651"/>
      <c r="G2263" s="651"/>
      <c r="H2263" s="651"/>
      <c r="I2263" s="651"/>
      <c r="J2263" s="651"/>
      <c r="K2263" s="651"/>
      <c r="L2263" s="651"/>
      <c r="M2263" s="651"/>
      <c r="N2263" s="651"/>
      <c r="O2263" s="652"/>
      <c r="Q2263" s="147" t="s">
        <v>143</v>
      </c>
      <c r="R2263" s="88">
        <v>6</v>
      </c>
      <c r="S2263" s="87" t="s">
        <v>690</v>
      </c>
    </row>
    <row r="2264" spans="1:19" ht="15.75" thickBot="1" x14ac:dyDescent="0.3">
      <c r="A2264" s="177" t="s">
        <v>106</v>
      </c>
      <c r="B2264" s="629">
        <v>22</v>
      </c>
      <c r="C2264" s="630"/>
      <c r="D2264" s="630"/>
      <c r="E2264" s="631"/>
      <c r="F2264" s="365" t="s">
        <v>174</v>
      </c>
      <c r="G2264" s="471"/>
      <c r="H2264" s="653">
        <v>0</v>
      </c>
      <c r="I2264" s="654"/>
      <c r="J2264" s="654"/>
      <c r="K2264" s="654"/>
      <c r="L2264" s="655"/>
      <c r="M2264" s="656">
        <f>SUM(B2264,H2265)</f>
        <v>22</v>
      </c>
      <c r="N2264" s="630"/>
      <c r="O2264" s="631"/>
      <c r="Q2264" s="147" t="s">
        <v>145</v>
      </c>
      <c r="R2264" s="88">
        <v>8</v>
      </c>
      <c r="S2264" s="89" t="s">
        <v>573</v>
      </c>
    </row>
    <row r="2265" spans="1:19" ht="15.75" thickBot="1" x14ac:dyDescent="0.3">
      <c r="A2265" s="177" t="s">
        <v>112</v>
      </c>
      <c r="B2265" s="626">
        <v>0.16</v>
      </c>
      <c r="C2265" s="627"/>
      <c r="D2265" s="627"/>
      <c r="E2265" s="628"/>
      <c r="F2265" s="290"/>
      <c r="G2265" s="472"/>
      <c r="H2265" s="626">
        <v>0</v>
      </c>
      <c r="I2265" s="627"/>
      <c r="J2265" s="627"/>
      <c r="K2265" s="627"/>
      <c r="L2265" s="628"/>
      <c r="M2265" s="657">
        <f>B2265</f>
        <v>0.16</v>
      </c>
      <c r="N2265" s="627"/>
      <c r="O2265" s="628"/>
      <c r="Q2265" s="147" t="s">
        <v>147</v>
      </c>
      <c r="R2265" s="88">
        <v>7</v>
      </c>
      <c r="S2265" s="87" t="s">
        <v>669</v>
      </c>
    </row>
    <row r="2266" spans="1:19" ht="15.75" thickBot="1" x14ac:dyDescent="0.3">
      <c r="A2266" s="177" t="s">
        <v>107</v>
      </c>
      <c r="B2266" s="629">
        <f>B2264*(1-B2265)</f>
        <v>18.48</v>
      </c>
      <c r="C2266" s="630"/>
      <c r="D2266" s="630"/>
      <c r="E2266" s="631"/>
      <c r="F2266" s="290"/>
      <c r="G2266" s="472"/>
      <c r="H2266" s="629">
        <f>H2264*(1-H2265)</f>
        <v>0</v>
      </c>
      <c r="I2266" s="630"/>
      <c r="J2266" s="630"/>
      <c r="K2266" s="630"/>
      <c r="L2266" s="631"/>
      <c r="M2266" s="656">
        <f>SUM(B2266,H2266)</f>
        <v>18.48</v>
      </c>
      <c r="N2266" s="630"/>
      <c r="O2266" s="631"/>
      <c r="Q2266" s="147" t="s">
        <v>82</v>
      </c>
      <c r="R2266" s="88">
        <v>6</v>
      </c>
      <c r="S2266" s="89" t="s">
        <v>675</v>
      </c>
    </row>
    <row r="2267" spans="1:19" ht="15.75" thickBot="1" x14ac:dyDescent="0.3">
      <c r="A2267" s="177" t="s">
        <v>108</v>
      </c>
      <c r="B2267" s="626">
        <f>B2270/B2266</f>
        <v>0.58685064935064946</v>
      </c>
      <c r="C2267" s="627"/>
      <c r="D2267" s="627"/>
      <c r="E2267" s="627"/>
      <c r="F2267" s="627"/>
      <c r="G2267" s="627"/>
      <c r="H2267" s="627"/>
      <c r="I2267" s="627"/>
      <c r="J2267" s="627"/>
      <c r="K2267" s="627"/>
      <c r="L2267" s="627"/>
      <c r="M2267" s="627"/>
      <c r="N2267" s="627"/>
      <c r="O2267" s="628"/>
      <c r="Q2267" s="147" t="s">
        <v>152</v>
      </c>
      <c r="R2267" s="88">
        <v>8</v>
      </c>
      <c r="S2267" s="89" t="s">
        <v>671</v>
      </c>
    </row>
    <row r="2268" spans="1:19" ht="15.75" thickBot="1" x14ac:dyDescent="0.3">
      <c r="A2268" s="177" t="s">
        <v>113</v>
      </c>
      <c r="B2268" s="629">
        <f>B2272*(B2276+B2277+I2276+I2277)/1000</f>
        <v>36.15</v>
      </c>
      <c r="C2268" s="630"/>
      <c r="D2268" s="630"/>
      <c r="E2268" s="630"/>
      <c r="F2268" s="630"/>
      <c r="G2268" s="630"/>
      <c r="H2268" s="630"/>
      <c r="I2268" s="630"/>
      <c r="J2268" s="630"/>
      <c r="K2268" s="630"/>
      <c r="L2268" s="630"/>
      <c r="M2268" s="630"/>
      <c r="N2268" s="630"/>
      <c r="O2268" s="631"/>
      <c r="Q2268" s="147" t="s">
        <v>154</v>
      </c>
      <c r="R2268" s="88">
        <v>9</v>
      </c>
      <c r="S2268" s="87" t="s">
        <v>520</v>
      </c>
    </row>
    <row r="2269" spans="1:19" ht="29.25" thickBot="1" x14ac:dyDescent="0.3">
      <c r="A2269" s="177" t="s">
        <v>109</v>
      </c>
      <c r="B2269" s="626">
        <v>0.7</v>
      </c>
      <c r="C2269" s="627"/>
      <c r="D2269" s="627"/>
      <c r="E2269" s="627"/>
      <c r="F2269" s="627"/>
      <c r="G2269" s="627"/>
      <c r="H2269" s="627"/>
      <c r="I2269" s="627"/>
      <c r="J2269" s="627"/>
      <c r="K2269" s="627"/>
      <c r="L2269" s="627"/>
      <c r="M2269" s="627"/>
      <c r="N2269" s="627"/>
      <c r="O2269" s="628"/>
      <c r="Q2269" s="147" t="s">
        <v>156</v>
      </c>
      <c r="R2269" s="88">
        <v>9</v>
      </c>
      <c r="S2269" s="87" t="s">
        <v>577</v>
      </c>
    </row>
    <row r="2270" spans="1:19" ht="15.75" thickBot="1" x14ac:dyDescent="0.3">
      <c r="A2270" s="177" t="s">
        <v>122</v>
      </c>
      <c r="B2270" s="629">
        <f>B2268-(B2268*B2269)</f>
        <v>10.845000000000002</v>
      </c>
      <c r="C2270" s="630"/>
      <c r="D2270" s="630"/>
      <c r="E2270" s="630"/>
      <c r="F2270" s="630"/>
      <c r="G2270" s="630"/>
      <c r="H2270" s="630"/>
      <c r="I2270" s="630"/>
      <c r="J2270" s="630"/>
      <c r="K2270" s="630"/>
      <c r="L2270" s="630"/>
      <c r="M2270" s="630"/>
      <c r="N2270" s="630"/>
      <c r="O2270" s="631"/>
      <c r="Q2270" s="147" t="s">
        <v>158</v>
      </c>
      <c r="R2270" s="88"/>
      <c r="S2270" s="87"/>
    </row>
    <row r="2271" spans="1:19" ht="15.75" thickBot="1" x14ac:dyDescent="0.3">
      <c r="A2271" s="177" t="s">
        <v>110</v>
      </c>
      <c r="B2271" s="632">
        <v>125</v>
      </c>
      <c r="C2271" s="633"/>
      <c r="D2271" s="633"/>
      <c r="E2271" s="633"/>
      <c r="F2271" s="633"/>
      <c r="G2271" s="633"/>
      <c r="H2271" s="633"/>
      <c r="I2271" s="633"/>
      <c r="J2271" s="633"/>
      <c r="K2271" s="633"/>
      <c r="L2271" s="633"/>
      <c r="M2271" s="633"/>
      <c r="N2271" s="633"/>
      <c r="O2271" s="634"/>
      <c r="Q2271" s="548" t="s">
        <v>99</v>
      </c>
      <c r="R2271" s="87" t="s">
        <v>528</v>
      </c>
      <c r="S2271" s="117">
        <v>0.75700000000000001</v>
      </c>
    </row>
    <row r="2272" spans="1:19" x14ac:dyDescent="0.25">
      <c r="A2272" s="177" t="s">
        <v>111</v>
      </c>
      <c r="B2272" s="635">
        <v>15</v>
      </c>
      <c r="C2272" s="636"/>
      <c r="D2272" s="636"/>
      <c r="E2272" s="636"/>
      <c r="F2272" s="636"/>
      <c r="G2272" s="636"/>
      <c r="H2272" s="636"/>
      <c r="I2272" s="636"/>
      <c r="J2272" s="636"/>
      <c r="K2272" s="636"/>
      <c r="L2272" s="636"/>
      <c r="M2272" s="636"/>
      <c r="N2272" s="636"/>
      <c r="O2272" s="637"/>
    </row>
    <row r="2273" spans="1:19" ht="36.75" customHeight="1" x14ac:dyDescent="0.25">
      <c r="A2273" s="177" t="s">
        <v>273</v>
      </c>
      <c r="B2273" s="660" t="s">
        <v>682</v>
      </c>
      <c r="C2273" s="660"/>
      <c r="D2273" s="660"/>
      <c r="E2273" s="660"/>
      <c r="F2273" s="660"/>
      <c r="G2273" s="660"/>
      <c r="H2273" s="660"/>
      <c r="I2273" s="660"/>
      <c r="J2273" s="660"/>
      <c r="K2273" s="660"/>
      <c r="L2273" s="660"/>
      <c r="M2273" s="660"/>
      <c r="N2273" s="660"/>
      <c r="O2273" s="661"/>
    </row>
    <row r="2274" spans="1:19" x14ac:dyDescent="0.25">
      <c r="A2274" s="177" t="s">
        <v>351</v>
      </c>
      <c r="B2274" s="447" t="s">
        <v>683</v>
      </c>
      <c r="C2274" s="447"/>
      <c r="D2274" s="447"/>
      <c r="E2274" s="447"/>
      <c r="F2274" s="447"/>
      <c r="G2274" s="447"/>
      <c r="H2274" s="447"/>
      <c r="I2274" s="447"/>
      <c r="J2274" s="447"/>
      <c r="K2274" s="447"/>
      <c r="L2274" s="447"/>
      <c r="M2274" s="447"/>
      <c r="N2274" s="431"/>
      <c r="O2274" s="432"/>
    </row>
    <row r="2275" spans="1:19" x14ac:dyDescent="0.25">
      <c r="B2275" s="307" t="s">
        <v>98</v>
      </c>
      <c r="C2275" s="365" t="s">
        <v>102</v>
      </c>
      <c r="D2275" s="365" t="s">
        <v>92</v>
      </c>
      <c r="E2275" s="365" t="s">
        <v>93</v>
      </c>
      <c r="F2275" s="365" t="s">
        <v>94</v>
      </c>
      <c r="G2275" s="365" t="s">
        <v>549</v>
      </c>
      <c r="H2275" s="359" t="s">
        <v>99</v>
      </c>
      <c r="I2275" s="307" t="s">
        <v>98</v>
      </c>
      <c r="J2275" s="365" t="s">
        <v>102</v>
      </c>
      <c r="K2275" s="365" t="s">
        <v>92</v>
      </c>
      <c r="L2275" s="365" t="s">
        <v>93</v>
      </c>
      <c r="M2275" s="365" t="s">
        <v>94</v>
      </c>
      <c r="N2275" s="365" t="s">
        <v>549</v>
      </c>
      <c r="O2275" s="359" t="s">
        <v>99</v>
      </c>
    </row>
    <row r="2276" spans="1:19" x14ac:dyDescent="0.25">
      <c r="B2276" s="308">
        <f>1079-134</f>
        <v>945</v>
      </c>
      <c r="C2276" s="365" t="s">
        <v>95</v>
      </c>
      <c r="D2276" s="441">
        <v>487.6</v>
      </c>
      <c r="E2276" s="441">
        <v>236.64</v>
      </c>
      <c r="F2276" s="441">
        <v>160.38999999999999</v>
      </c>
      <c r="G2276" s="441">
        <v>0</v>
      </c>
      <c r="H2276" s="359">
        <f>SUM(D2276:G2276)</f>
        <v>884.63</v>
      </c>
      <c r="I2276" s="308">
        <v>1064</v>
      </c>
      <c r="J2276" s="365" t="s">
        <v>95</v>
      </c>
      <c r="K2276" s="441">
        <v>554.78</v>
      </c>
      <c r="L2276" s="441">
        <v>215.24</v>
      </c>
      <c r="M2276" s="441">
        <v>52.36</v>
      </c>
      <c r="N2276" s="441"/>
      <c r="O2276" s="359">
        <f>SUM(K2276:N2276)</f>
        <v>822.38</v>
      </c>
    </row>
    <row r="2277" spans="1:19" x14ac:dyDescent="0.25">
      <c r="B2277" s="308">
        <v>200</v>
      </c>
      <c r="C2277" s="365" t="s">
        <v>96</v>
      </c>
      <c r="D2277" s="441">
        <v>85.551000000000002</v>
      </c>
      <c r="E2277" s="441">
        <v>34.909999999999997</v>
      </c>
      <c r="F2277" s="441">
        <v>12.74</v>
      </c>
      <c r="G2277" s="441">
        <v>0</v>
      </c>
      <c r="H2277" s="359">
        <f t="shared" ref="H2277:H2283" si="309">SUM(D2277:G2277)</f>
        <v>133.20099999999999</v>
      </c>
      <c r="I2277" s="308">
        <v>201</v>
      </c>
      <c r="J2277" s="365" t="s">
        <v>96</v>
      </c>
      <c r="K2277" s="441">
        <v>63.47</v>
      </c>
      <c r="L2277" s="441">
        <v>61.16</v>
      </c>
      <c r="M2277" s="441">
        <v>0</v>
      </c>
      <c r="N2277" s="441"/>
      <c r="O2277" s="359">
        <f t="shared" ref="O2277:O2283" si="310">SUM(K2277:N2277)</f>
        <v>124.63</v>
      </c>
    </row>
    <row r="2278" spans="1:19" x14ac:dyDescent="0.25">
      <c r="B2278" s="307" t="s">
        <v>100</v>
      </c>
      <c r="C2278" s="365" t="s">
        <v>95</v>
      </c>
      <c r="D2278" s="444">
        <f t="shared" ref="D2278:G2279" si="311">D2276/$B2276</f>
        <v>0.51597883597883598</v>
      </c>
      <c r="E2278" s="429">
        <f t="shared" si="311"/>
        <v>0.25041269841269842</v>
      </c>
      <c r="F2278" s="429">
        <f t="shared" si="311"/>
        <v>0.16972486772486772</v>
      </c>
      <c r="G2278" s="429">
        <f t="shared" si="311"/>
        <v>0</v>
      </c>
      <c r="H2278" s="359">
        <f t="shared" si="309"/>
        <v>0.93611640211640212</v>
      </c>
      <c r="I2278" s="307" t="s">
        <v>100</v>
      </c>
      <c r="J2278" s="365" t="s">
        <v>95</v>
      </c>
      <c r="K2278" s="444">
        <f t="shared" ref="K2278:N2279" si="312">K2276/$I2276</f>
        <v>0.52140977443609016</v>
      </c>
      <c r="L2278" s="429">
        <f t="shared" si="312"/>
        <v>0.20229323308270677</v>
      </c>
      <c r="M2278" s="429">
        <f t="shared" si="312"/>
        <v>4.9210526315789475E-2</v>
      </c>
      <c r="N2278" s="429">
        <f t="shared" si="312"/>
        <v>0</v>
      </c>
      <c r="O2278" s="359">
        <f t="shared" si="310"/>
        <v>0.77291353383458639</v>
      </c>
    </row>
    <row r="2279" spans="1:19" x14ac:dyDescent="0.25">
      <c r="B2279" s="307" t="s">
        <v>100</v>
      </c>
      <c r="C2279" s="438" t="s">
        <v>96</v>
      </c>
      <c r="D2279" s="359">
        <f t="shared" si="311"/>
        <v>0.427755</v>
      </c>
      <c r="E2279" s="359">
        <f t="shared" si="311"/>
        <v>0.17454999999999998</v>
      </c>
      <c r="F2279" s="359">
        <f t="shared" si="311"/>
        <v>6.3700000000000007E-2</v>
      </c>
      <c r="G2279" s="359">
        <f t="shared" si="311"/>
        <v>0</v>
      </c>
      <c r="H2279" s="359">
        <f t="shared" si="309"/>
        <v>0.66600499999999996</v>
      </c>
      <c r="I2279" s="307" t="s">
        <v>100</v>
      </c>
      <c r="J2279" s="438" t="s">
        <v>96</v>
      </c>
      <c r="K2279" s="359">
        <f t="shared" si="312"/>
        <v>0.31577114427860697</v>
      </c>
      <c r="L2279" s="359">
        <f t="shared" si="312"/>
        <v>0.30427860696517411</v>
      </c>
      <c r="M2279" s="359">
        <f t="shared" si="312"/>
        <v>0</v>
      </c>
      <c r="N2279" s="359">
        <f t="shared" si="312"/>
        <v>0</v>
      </c>
      <c r="O2279" s="359">
        <f t="shared" si="310"/>
        <v>0.62004975124378103</v>
      </c>
    </row>
    <row r="2280" spans="1:19" x14ac:dyDescent="0.25">
      <c r="B2280" s="307" t="s">
        <v>104</v>
      </c>
      <c r="C2280" s="365" t="s">
        <v>95</v>
      </c>
      <c r="D2280" s="359">
        <f>D2276/($B2276/7.7)</f>
        <v>3.9730370370370376</v>
      </c>
      <c r="E2280" s="359">
        <f>E2276/($B2276/7)</f>
        <v>1.7528888888888887</v>
      </c>
      <c r="F2280" s="359">
        <f>F2276/($B2276/7)</f>
        <v>1.1880740740740741</v>
      </c>
      <c r="G2280" s="359">
        <f>G2276/($B2276/7)</f>
        <v>0</v>
      </c>
      <c r="H2280" s="359">
        <f t="shared" si="309"/>
        <v>6.9140000000000006</v>
      </c>
      <c r="I2280" s="307" t="s">
        <v>104</v>
      </c>
      <c r="J2280" s="365" t="s">
        <v>95</v>
      </c>
      <c r="K2280" s="359">
        <f>K2276/($I2276/7.7)</f>
        <v>4.0148552631578944</v>
      </c>
      <c r="L2280" s="359">
        <f>L2276/($I2276/7)</f>
        <v>1.4160526315789475</v>
      </c>
      <c r="M2280" s="359">
        <f>M2276/($I2276/7)</f>
        <v>0.34447368421052632</v>
      </c>
      <c r="N2280" s="359">
        <f>N2276/($I2276/7)</f>
        <v>0</v>
      </c>
      <c r="O2280" s="359">
        <f t="shared" si="310"/>
        <v>5.7753815789473686</v>
      </c>
    </row>
    <row r="2281" spans="1:19" x14ac:dyDescent="0.25">
      <c r="B2281" s="307" t="s">
        <v>104</v>
      </c>
      <c r="C2281" s="438" t="s">
        <v>96</v>
      </c>
      <c r="D2281" s="359">
        <f>D2277/($B2277/7.7)</f>
        <v>3.2937135</v>
      </c>
      <c r="E2281" s="359">
        <f>E2277/($B2277/7.7)</f>
        <v>1.3440349999999999</v>
      </c>
      <c r="F2281" s="359">
        <f>F2277/($B2277/7.7)</f>
        <v>0.49049000000000004</v>
      </c>
      <c r="G2281" s="359">
        <f>G2277/($B2277/7.7)</f>
        <v>0</v>
      </c>
      <c r="H2281" s="359">
        <f t="shared" si="309"/>
        <v>5.1282385000000001</v>
      </c>
      <c r="I2281" s="307" t="s">
        <v>104</v>
      </c>
      <c r="J2281" s="438" t="s">
        <v>96</v>
      </c>
      <c r="K2281" s="359">
        <f>K2277/($I2277/7.7)</f>
        <v>2.4314378109452734</v>
      </c>
      <c r="L2281" s="359">
        <f>L2277/($I2277/7.7)</f>
        <v>2.3429452736318406</v>
      </c>
      <c r="M2281" s="359">
        <f>M2277/($I2277/7.7)</f>
        <v>0</v>
      </c>
      <c r="N2281" s="359">
        <f>N2277/($I2277/7.7)</f>
        <v>0</v>
      </c>
      <c r="O2281" s="359">
        <f t="shared" si="310"/>
        <v>4.7743830845771136</v>
      </c>
    </row>
    <row r="2282" spans="1:19" x14ac:dyDescent="0.25">
      <c r="B2282" s="307" t="s">
        <v>135</v>
      </c>
      <c r="C2282" s="365" t="s">
        <v>95</v>
      </c>
      <c r="D2282" s="359">
        <f>D2276/((($B2276*$B2272)*(1-$B2269))/$B2267)</f>
        <v>6.7289447765638249E-2</v>
      </c>
      <c r="E2282" s="359">
        <f>E2276/((($B2276*$B2272)*(1-$B2269))/$B2267)</f>
        <v>3.2656634370920083E-2</v>
      </c>
      <c r="F2282" s="359">
        <f>F2276/((($B2276*$B2272)*(1-$B2269))/$B2267)</f>
        <v>2.2134033074509264E-2</v>
      </c>
      <c r="G2282" s="359">
        <f>G2276/((($B2276*$B2272)*(1-$B2269))/$B2267)</f>
        <v>0</v>
      </c>
      <c r="H2282" s="359">
        <f t="shared" si="309"/>
        <v>0.1220801152110676</v>
      </c>
      <c r="I2282" s="307" t="s">
        <v>135</v>
      </c>
      <c r="J2282" s="365" t="s">
        <v>95</v>
      </c>
      <c r="K2282" s="359">
        <f>K2276/((($I2276*$B2272)*(1-$B2269))/$B2267)</f>
        <v>6.7997703267910034E-2</v>
      </c>
      <c r="L2282" s="359">
        <f>L2276/((($I2276*$B2272)*(1-$B2269))/$B2267)</f>
        <v>2.6381314487517498E-2</v>
      </c>
      <c r="M2282" s="359">
        <f>M2276/((($I2276*$B2272)*(1-$B2269))/$B2267)</f>
        <v>6.4176065162907265E-3</v>
      </c>
      <c r="N2282" s="359">
        <f>N2276/((($I2276*$B2272)*(1-$B2269))/$B2267)</f>
        <v>0</v>
      </c>
      <c r="O2282" s="359">
        <f t="shared" si="310"/>
        <v>0.10079662427171826</v>
      </c>
    </row>
    <row r="2283" spans="1:19" x14ac:dyDescent="0.25">
      <c r="B2283" s="307" t="s">
        <v>135</v>
      </c>
      <c r="C2283" s="438" t="s">
        <v>96</v>
      </c>
      <c r="D2283" s="359">
        <f>D2277/((($B2277*$B2272)*(1-$B2269))/$B2267)</f>
        <v>5.5784066558441557E-2</v>
      </c>
      <c r="E2283" s="359">
        <f>E2277/((($B2277*$B2272)*(1-$B2269))/$B2267)</f>
        <v>2.2763284632034631E-2</v>
      </c>
      <c r="F2283" s="359">
        <f>F2277/((($B2277*$B2272)*(1-$B2269))/$B2267)</f>
        <v>8.3071969696969696E-3</v>
      </c>
      <c r="G2283" s="359">
        <f>G2277/((($B2277*$B2272)*(1-$B2269))/$B2267)</f>
        <v>0</v>
      </c>
      <c r="H2283" s="359">
        <f t="shared" si="309"/>
        <v>8.6854548160173156E-2</v>
      </c>
      <c r="I2283" s="307" t="s">
        <v>135</v>
      </c>
      <c r="J2283" s="438" t="s">
        <v>96</v>
      </c>
      <c r="K2283" s="359">
        <f>K2277/((($I2277*$B2272)*(1-$B2269))/$B2267)</f>
        <v>4.1180111348021797E-2</v>
      </c>
      <c r="L2283" s="359">
        <f>L2277/((($I2277*$B2272)*(1-$B2269))/$B2267)</f>
        <v>3.9681355129116323E-2</v>
      </c>
      <c r="M2283" s="359">
        <f>M2277/((($I2277*$B2272)*(1-$B2269))/$B2267)</f>
        <v>0</v>
      </c>
      <c r="N2283" s="359">
        <f>N2277/((($I2277*$B2272)*(1-$B2269))/$B2267)</f>
        <v>0</v>
      </c>
      <c r="O2283" s="359">
        <f t="shared" si="310"/>
        <v>8.0861466477138128E-2</v>
      </c>
    </row>
    <row r="2284" spans="1:19" ht="15.75" thickBot="1" x14ac:dyDescent="0.3">
      <c r="A2284" s="178"/>
      <c r="B2284" s="178"/>
      <c r="C2284" s="178"/>
      <c r="D2284" s="178"/>
      <c r="E2284" s="178"/>
      <c r="F2284" s="178"/>
      <c r="G2284" s="178"/>
      <c r="H2284" s="178"/>
      <c r="I2284" s="178"/>
      <c r="J2284" s="178"/>
      <c r="K2284" s="178"/>
      <c r="L2284" s="178"/>
      <c r="M2284" s="178"/>
      <c r="N2284" s="178"/>
      <c r="O2284" s="178"/>
    </row>
    <row r="2285" spans="1:19" ht="21" x14ac:dyDescent="0.25">
      <c r="A2285" s="305"/>
      <c r="B2285" s="644" t="s">
        <v>653</v>
      </c>
      <c r="C2285" s="645"/>
      <c r="D2285" s="645"/>
      <c r="E2285" s="645"/>
      <c r="F2285" s="645"/>
      <c r="G2285" s="645"/>
      <c r="H2285" s="645"/>
      <c r="I2285" s="645"/>
      <c r="J2285" s="645"/>
      <c r="K2285" s="645"/>
      <c r="L2285" s="645"/>
      <c r="M2285" s="645"/>
      <c r="N2285" s="645"/>
      <c r="O2285" s="646"/>
      <c r="Q2285" s="640" t="s">
        <v>139</v>
      </c>
      <c r="R2285" s="544" t="s">
        <v>659</v>
      </c>
      <c r="S2285" s="642" t="s">
        <v>142</v>
      </c>
    </row>
    <row r="2286" spans="1:19" ht="21.75" thickBot="1" x14ac:dyDescent="0.3">
      <c r="A2286" s="177" t="s">
        <v>285</v>
      </c>
      <c r="B2286" s="647">
        <v>44657</v>
      </c>
      <c r="C2286" s="648"/>
      <c r="D2286" s="648"/>
      <c r="E2286" s="648"/>
      <c r="F2286" s="648"/>
      <c r="G2286" s="648"/>
      <c r="H2286" s="648"/>
      <c r="I2286" s="648"/>
      <c r="J2286" s="648"/>
      <c r="K2286" s="648"/>
      <c r="L2286" s="648"/>
      <c r="M2286" s="648"/>
      <c r="N2286" s="648"/>
      <c r="O2286" s="649"/>
      <c r="Q2286" s="641"/>
      <c r="R2286" s="87" t="s">
        <v>141</v>
      </c>
      <c r="S2286" s="643"/>
    </row>
    <row r="2287" spans="1:19" ht="15.75" thickBot="1" x14ac:dyDescent="0.3">
      <c r="A2287" s="177"/>
      <c r="B2287" s="650" t="s">
        <v>115</v>
      </c>
      <c r="C2287" s="651"/>
      <c r="D2287" s="651"/>
      <c r="E2287" s="651"/>
      <c r="F2287" s="651"/>
      <c r="G2287" s="651"/>
      <c r="H2287" s="651"/>
      <c r="I2287" s="651"/>
      <c r="J2287" s="651"/>
      <c r="K2287" s="651"/>
      <c r="L2287" s="651"/>
      <c r="M2287" s="651"/>
      <c r="N2287" s="651"/>
      <c r="O2287" s="652"/>
      <c r="Q2287" s="147" t="s">
        <v>143</v>
      </c>
      <c r="R2287" s="88">
        <v>9</v>
      </c>
      <c r="S2287" s="87" t="s">
        <v>576</v>
      </c>
    </row>
    <row r="2288" spans="1:19" ht="15.75" thickBot="1" x14ac:dyDescent="0.3">
      <c r="A2288" s="177" t="s">
        <v>106</v>
      </c>
      <c r="B2288" s="629">
        <v>22</v>
      </c>
      <c r="C2288" s="630"/>
      <c r="D2288" s="630"/>
      <c r="E2288" s="631"/>
      <c r="F2288" s="365" t="s">
        <v>174</v>
      </c>
      <c r="G2288" s="471"/>
      <c r="H2288" s="653">
        <v>0</v>
      </c>
      <c r="I2288" s="654"/>
      <c r="J2288" s="654"/>
      <c r="K2288" s="654"/>
      <c r="L2288" s="655"/>
      <c r="M2288" s="656">
        <f>SUM(B2288,H2289)</f>
        <v>22</v>
      </c>
      <c r="N2288" s="630"/>
      <c r="O2288" s="631"/>
      <c r="Q2288" s="147" t="s">
        <v>145</v>
      </c>
      <c r="R2288" s="88">
        <v>8.5</v>
      </c>
      <c r="S2288" s="89" t="s">
        <v>573</v>
      </c>
    </row>
    <row r="2289" spans="1:19" ht="29.25" thickBot="1" x14ac:dyDescent="0.3">
      <c r="A2289" s="177" t="s">
        <v>112</v>
      </c>
      <c r="B2289" s="626">
        <v>0.14000000000000001</v>
      </c>
      <c r="C2289" s="627"/>
      <c r="D2289" s="627"/>
      <c r="E2289" s="628"/>
      <c r="F2289" s="290"/>
      <c r="G2289" s="472"/>
      <c r="H2289" s="626">
        <v>0</v>
      </c>
      <c r="I2289" s="627"/>
      <c r="J2289" s="627"/>
      <c r="K2289" s="627"/>
      <c r="L2289" s="628"/>
      <c r="M2289" s="657">
        <f>B2289</f>
        <v>0.14000000000000001</v>
      </c>
      <c r="N2289" s="627"/>
      <c r="O2289" s="628"/>
      <c r="Q2289" s="147" t="s">
        <v>147</v>
      </c>
      <c r="R2289" s="88">
        <v>7</v>
      </c>
      <c r="S2289" s="87" t="s">
        <v>672</v>
      </c>
    </row>
    <row r="2290" spans="1:19" ht="15.75" thickBot="1" x14ac:dyDescent="0.3">
      <c r="A2290" s="177" t="s">
        <v>107</v>
      </c>
      <c r="B2290" s="629">
        <f>B2288*(1-B2289)</f>
        <v>18.919999999999998</v>
      </c>
      <c r="C2290" s="630"/>
      <c r="D2290" s="630"/>
      <c r="E2290" s="631"/>
      <c r="F2290" s="290"/>
      <c r="G2290" s="472"/>
      <c r="H2290" s="629">
        <f>H2288*(1-H2289)</f>
        <v>0</v>
      </c>
      <c r="I2290" s="630"/>
      <c r="J2290" s="630"/>
      <c r="K2290" s="630"/>
      <c r="L2290" s="631"/>
      <c r="M2290" s="656">
        <f>SUM(B2290,H2290)</f>
        <v>18.919999999999998</v>
      </c>
      <c r="N2290" s="630"/>
      <c r="O2290" s="631"/>
      <c r="Q2290" s="147" t="s">
        <v>82</v>
      </c>
      <c r="R2290" s="88">
        <v>9</v>
      </c>
      <c r="S2290" s="89" t="s">
        <v>675</v>
      </c>
    </row>
    <row r="2291" spans="1:19" ht="15.75" thickBot="1" x14ac:dyDescent="0.3">
      <c r="A2291" s="177" t="s">
        <v>108</v>
      </c>
      <c r="B2291" s="626">
        <f>B2294/B2290</f>
        <v>0.66514534883720955</v>
      </c>
      <c r="C2291" s="627"/>
      <c r="D2291" s="627"/>
      <c r="E2291" s="627"/>
      <c r="F2291" s="627"/>
      <c r="G2291" s="627"/>
      <c r="H2291" s="627"/>
      <c r="I2291" s="627"/>
      <c r="J2291" s="627"/>
      <c r="K2291" s="627"/>
      <c r="L2291" s="627"/>
      <c r="M2291" s="627"/>
      <c r="N2291" s="627"/>
      <c r="O2291" s="628"/>
      <c r="Q2291" s="147" t="s">
        <v>152</v>
      </c>
      <c r="R2291" s="88">
        <v>8.5</v>
      </c>
      <c r="S2291" s="89" t="s">
        <v>673</v>
      </c>
    </row>
    <row r="2292" spans="1:19" ht="15.75" thickBot="1" x14ac:dyDescent="0.3">
      <c r="A2292" s="177" t="s">
        <v>113</v>
      </c>
      <c r="B2292" s="629">
        <f>B2296*(B2300+B2301+I2300+I2301)/1000</f>
        <v>41.948500000000003</v>
      </c>
      <c r="C2292" s="630"/>
      <c r="D2292" s="630"/>
      <c r="E2292" s="630"/>
      <c r="F2292" s="630"/>
      <c r="G2292" s="630"/>
      <c r="H2292" s="630"/>
      <c r="I2292" s="630"/>
      <c r="J2292" s="630"/>
      <c r="K2292" s="630"/>
      <c r="L2292" s="630"/>
      <c r="M2292" s="630"/>
      <c r="N2292" s="630"/>
      <c r="O2292" s="631"/>
      <c r="Q2292" s="147" t="s">
        <v>154</v>
      </c>
      <c r="R2292" s="88">
        <v>9</v>
      </c>
      <c r="S2292" s="87" t="s">
        <v>520</v>
      </c>
    </row>
    <row r="2293" spans="1:19" ht="29.25" thickBot="1" x14ac:dyDescent="0.3">
      <c r="A2293" s="177" t="s">
        <v>109</v>
      </c>
      <c r="B2293" s="626">
        <v>0.7</v>
      </c>
      <c r="C2293" s="627"/>
      <c r="D2293" s="627"/>
      <c r="E2293" s="627"/>
      <c r="F2293" s="627"/>
      <c r="G2293" s="627"/>
      <c r="H2293" s="627"/>
      <c r="I2293" s="627"/>
      <c r="J2293" s="627"/>
      <c r="K2293" s="627"/>
      <c r="L2293" s="627"/>
      <c r="M2293" s="627"/>
      <c r="N2293" s="627"/>
      <c r="O2293" s="628"/>
      <c r="Q2293" s="147" t="s">
        <v>156</v>
      </c>
      <c r="R2293" s="88">
        <v>9</v>
      </c>
      <c r="S2293" s="87" t="s">
        <v>577</v>
      </c>
    </row>
    <row r="2294" spans="1:19" ht="15.75" thickBot="1" x14ac:dyDescent="0.3">
      <c r="A2294" s="177" t="s">
        <v>122</v>
      </c>
      <c r="B2294" s="629">
        <f>B2292-(B2292*B2293)</f>
        <v>12.584550000000004</v>
      </c>
      <c r="C2294" s="630"/>
      <c r="D2294" s="630"/>
      <c r="E2294" s="630"/>
      <c r="F2294" s="630"/>
      <c r="G2294" s="630"/>
      <c r="H2294" s="630"/>
      <c r="I2294" s="630"/>
      <c r="J2294" s="630"/>
      <c r="K2294" s="630"/>
      <c r="L2294" s="630"/>
      <c r="M2294" s="630"/>
      <c r="N2294" s="630"/>
      <c r="O2294" s="631"/>
      <c r="Q2294" s="147" t="s">
        <v>158</v>
      </c>
      <c r="R2294" s="88"/>
      <c r="S2294" s="87" t="s">
        <v>674</v>
      </c>
    </row>
    <row r="2295" spans="1:19" ht="15.75" thickBot="1" x14ac:dyDescent="0.3">
      <c r="A2295" s="177" t="s">
        <v>110</v>
      </c>
      <c r="B2295" s="632">
        <v>125</v>
      </c>
      <c r="C2295" s="633"/>
      <c r="D2295" s="633"/>
      <c r="E2295" s="633"/>
      <c r="F2295" s="633"/>
      <c r="G2295" s="633"/>
      <c r="H2295" s="633"/>
      <c r="I2295" s="633"/>
      <c r="J2295" s="633"/>
      <c r="K2295" s="633"/>
      <c r="L2295" s="633"/>
      <c r="M2295" s="633"/>
      <c r="N2295" s="633"/>
      <c r="O2295" s="634"/>
      <c r="Q2295" s="543" t="s">
        <v>99</v>
      </c>
      <c r="R2295" s="87" t="s">
        <v>541</v>
      </c>
      <c r="S2295" s="148">
        <v>0.85</v>
      </c>
    </row>
    <row r="2296" spans="1:19" x14ac:dyDescent="0.25">
      <c r="A2296" s="177" t="s">
        <v>111</v>
      </c>
      <c r="B2296" s="635">
        <v>14.5</v>
      </c>
      <c r="C2296" s="636"/>
      <c r="D2296" s="636"/>
      <c r="E2296" s="636"/>
      <c r="F2296" s="636"/>
      <c r="G2296" s="636"/>
      <c r="H2296" s="636"/>
      <c r="I2296" s="636"/>
      <c r="J2296" s="636"/>
      <c r="K2296" s="636"/>
      <c r="L2296" s="636"/>
      <c r="M2296" s="636"/>
      <c r="N2296" s="636"/>
      <c r="O2296" s="637"/>
    </row>
    <row r="2297" spans="1:19" x14ac:dyDescent="0.25">
      <c r="A2297" s="177" t="s">
        <v>273</v>
      </c>
      <c r="B2297" s="638" t="s">
        <v>676</v>
      </c>
      <c r="C2297" s="638"/>
      <c r="D2297" s="638"/>
      <c r="E2297" s="638"/>
      <c r="F2297" s="638"/>
      <c r="G2297" s="638"/>
      <c r="H2297" s="638"/>
      <c r="I2297" s="638"/>
      <c r="J2297" s="638"/>
      <c r="K2297" s="638"/>
      <c r="L2297" s="638"/>
      <c r="M2297" s="638"/>
      <c r="N2297" s="638"/>
      <c r="O2297" s="639"/>
    </row>
    <row r="2298" spans="1:19" x14ac:dyDescent="0.25">
      <c r="A2298" s="177" t="s">
        <v>351</v>
      </c>
      <c r="B2298" s="431"/>
      <c r="C2298" s="431"/>
      <c r="D2298" s="431"/>
      <c r="E2298" s="431"/>
      <c r="F2298" s="431"/>
      <c r="G2298" s="431"/>
      <c r="H2298" s="431"/>
      <c r="I2298" s="431"/>
      <c r="J2298" s="431"/>
      <c r="K2298" s="431"/>
      <c r="L2298" s="431"/>
      <c r="M2298" s="431"/>
      <c r="N2298" s="431"/>
      <c r="O2298" s="432"/>
    </row>
    <row r="2299" spans="1:19" x14ac:dyDescent="0.25">
      <c r="B2299" s="307" t="s">
        <v>98</v>
      </c>
      <c r="C2299" s="365" t="s">
        <v>102</v>
      </c>
      <c r="D2299" s="365" t="s">
        <v>92</v>
      </c>
      <c r="E2299" s="365" t="s">
        <v>93</v>
      </c>
      <c r="F2299" s="365" t="s">
        <v>94</v>
      </c>
      <c r="G2299" s="365" t="s">
        <v>549</v>
      </c>
      <c r="H2299" s="359" t="s">
        <v>99</v>
      </c>
      <c r="I2299" s="307" t="s">
        <v>98</v>
      </c>
      <c r="J2299" s="365" t="s">
        <v>102</v>
      </c>
      <c r="K2299" s="365" t="s">
        <v>92</v>
      </c>
      <c r="L2299" s="365" t="s">
        <v>93</v>
      </c>
      <c r="M2299" s="365" t="s">
        <v>94</v>
      </c>
      <c r="N2299" s="365" t="s">
        <v>549</v>
      </c>
      <c r="O2299" s="359" t="s">
        <v>99</v>
      </c>
    </row>
    <row r="2300" spans="1:19" x14ac:dyDescent="0.25">
      <c r="B2300" s="308">
        <v>1248</v>
      </c>
      <c r="C2300" s="365" t="s">
        <v>95</v>
      </c>
      <c r="D2300" s="441">
        <v>770.64</v>
      </c>
      <c r="E2300" s="441">
        <v>263.7928</v>
      </c>
      <c r="F2300" s="441">
        <v>83.16</v>
      </c>
      <c r="G2300" s="441"/>
      <c r="H2300" s="359">
        <f>SUM(D2300:G2300)</f>
        <v>1117.5928000000001</v>
      </c>
      <c r="I2300" s="308">
        <v>1246</v>
      </c>
      <c r="J2300" s="365" t="s">
        <v>95</v>
      </c>
      <c r="K2300" s="441">
        <v>731.81</v>
      </c>
      <c r="L2300" s="441">
        <v>180.14</v>
      </c>
      <c r="M2300" s="441">
        <v>49.28</v>
      </c>
      <c r="N2300" s="441"/>
      <c r="O2300" s="359">
        <f>SUM(K2300:N2300)</f>
        <v>961.2299999999999</v>
      </c>
    </row>
    <row r="2301" spans="1:19" x14ac:dyDescent="0.25">
      <c r="B2301" s="308">
        <v>200</v>
      </c>
      <c r="C2301" s="365" t="s">
        <v>96</v>
      </c>
      <c r="D2301" s="441">
        <v>70.81</v>
      </c>
      <c r="E2301" s="441">
        <v>13.6928</v>
      </c>
      <c r="F2301" s="441">
        <v>3</v>
      </c>
      <c r="G2301" s="441"/>
      <c r="H2301" s="359">
        <f t="shared" ref="H2301:H2307" si="313">SUM(D2301:G2301)</f>
        <v>87.502800000000008</v>
      </c>
      <c r="I2301" s="308">
        <v>199</v>
      </c>
      <c r="J2301" s="365" t="s">
        <v>96</v>
      </c>
      <c r="K2301" s="441">
        <v>69.64</v>
      </c>
      <c r="L2301" s="441">
        <v>12.86</v>
      </c>
      <c r="M2301" s="441">
        <v>0</v>
      </c>
      <c r="N2301" s="441"/>
      <c r="O2301" s="359">
        <f t="shared" ref="O2301:O2307" si="314">SUM(K2301:N2301)</f>
        <v>82.5</v>
      </c>
    </row>
    <row r="2302" spans="1:19" x14ac:dyDescent="0.25">
      <c r="B2302" s="307" t="s">
        <v>100</v>
      </c>
      <c r="C2302" s="365" t="s">
        <v>95</v>
      </c>
      <c r="D2302" s="444">
        <f t="shared" ref="D2302:G2303" si="315">D2300/$B2300</f>
        <v>0.61749999999999994</v>
      </c>
      <c r="E2302" s="429">
        <f t="shared" si="315"/>
        <v>0.2113724358974359</v>
      </c>
      <c r="F2302" s="429">
        <f t="shared" si="315"/>
        <v>6.6634615384615375E-2</v>
      </c>
      <c r="G2302" s="429">
        <f t="shared" si="315"/>
        <v>0</v>
      </c>
      <c r="H2302" s="359">
        <f t="shared" si="313"/>
        <v>0.89550705128205121</v>
      </c>
      <c r="I2302" s="307" t="s">
        <v>100</v>
      </c>
      <c r="J2302" s="365" t="s">
        <v>95</v>
      </c>
      <c r="K2302" s="444">
        <f t="shared" ref="K2302:N2303" si="316">K2300/$I2300</f>
        <v>0.58732744783306579</v>
      </c>
      <c r="L2302" s="429">
        <f t="shared" si="316"/>
        <v>0.14457463884430174</v>
      </c>
      <c r="M2302" s="429">
        <f t="shared" si="316"/>
        <v>3.9550561797752813E-2</v>
      </c>
      <c r="N2302" s="429">
        <f t="shared" si="316"/>
        <v>0</v>
      </c>
      <c r="O2302" s="359">
        <f t="shared" si="314"/>
        <v>0.77145264847512041</v>
      </c>
    </row>
    <row r="2303" spans="1:19" x14ac:dyDescent="0.25">
      <c r="B2303" s="307" t="s">
        <v>100</v>
      </c>
      <c r="C2303" s="438" t="s">
        <v>96</v>
      </c>
      <c r="D2303" s="359">
        <f t="shared" si="315"/>
        <v>0.35405000000000003</v>
      </c>
      <c r="E2303" s="359">
        <f t="shared" si="315"/>
        <v>6.8463999999999997E-2</v>
      </c>
      <c r="F2303" s="359">
        <f t="shared" si="315"/>
        <v>1.4999999999999999E-2</v>
      </c>
      <c r="G2303" s="359">
        <f t="shared" si="315"/>
        <v>0</v>
      </c>
      <c r="H2303" s="359">
        <f t="shared" si="313"/>
        <v>0.43751400000000007</v>
      </c>
      <c r="I2303" s="307" t="s">
        <v>100</v>
      </c>
      <c r="J2303" s="438" t="s">
        <v>96</v>
      </c>
      <c r="K2303" s="359">
        <f t="shared" si="316"/>
        <v>0.34994974874371859</v>
      </c>
      <c r="L2303" s="359">
        <f t="shared" si="316"/>
        <v>6.4623115577889439E-2</v>
      </c>
      <c r="M2303" s="359">
        <f t="shared" si="316"/>
        <v>0</v>
      </c>
      <c r="N2303" s="359">
        <f t="shared" si="316"/>
        <v>0</v>
      </c>
      <c r="O2303" s="359">
        <f t="shared" si="314"/>
        <v>0.414572864321608</v>
      </c>
    </row>
    <row r="2304" spans="1:19" x14ac:dyDescent="0.25">
      <c r="B2304" s="307" t="s">
        <v>104</v>
      </c>
      <c r="C2304" s="365" t="s">
        <v>95</v>
      </c>
      <c r="D2304" s="359">
        <f>D2300/($B2300/7.7)</f>
        <v>4.7547500000000005</v>
      </c>
      <c r="E2304" s="359">
        <f>E2300/($B2300/7)</f>
        <v>1.4796070512820514</v>
      </c>
      <c r="F2304" s="359">
        <f>F2300/($B2300/7)</f>
        <v>0.46644230769230771</v>
      </c>
      <c r="G2304" s="359">
        <f>G2300/($B2300/7)</f>
        <v>0</v>
      </c>
      <c r="H2304" s="359">
        <f t="shared" si="313"/>
        <v>6.7007993589743595</v>
      </c>
      <c r="I2304" s="307" t="s">
        <v>104</v>
      </c>
      <c r="J2304" s="365" t="s">
        <v>95</v>
      </c>
      <c r="K2304" s="359">
        <f>K2300/($I2300/7.7)</f>
        <v>4.522421348314607</v>
      </c>
      <c r="L2304" s="359">
        <f>L2300/($I2300/7)</f>
        <v>1.0120224719101123</v>
      </c>
      <c r="M2304" s="359">
        <f>M2300/($I2300/7)</f>
        <v>0.27685393258426966</v>
      </c>
      <c r="N2304" s="359">
        <f>N2300/($I2300/7)</f>
        <v>0</v>
      </c>
      <c r="O2304" s="359">
        <f t="shared" si="314"/>
        <v>5.8112977528089891</v>
      </c>
    </row>
    <row r="2305" spans="1:19" x14ac:dyDescent="0.25">
      <c r="B2305" s="307" t="s">
        <v>104</v>
      </c>
      <c r="C2305" s="438" t="s">
        <v>96</v>
      </c>
      <c r="D2305" s="359">
        <f>D2301/($B2301/7.7)</f>
        <v>2.7261850000000001</v>
      </c>
      <c r="E2305" s="359">
        <f>E2301/($B2301/7.7)</f>
        <v>0.5271728</v>
      </c>
      <c r="F2305" s="359">
        <f>F2301/($B2301/7.7)</f>
        <v>0.11550000000000001</v>
      </c>
      <c r="G2305" s="359">
        <f>G2301/($B2301/7.7)</f>
        <v>0</v>
      </c>
      <c r="H2305" s="359">
        <f t="shared" si="313"/>
        <v>3.3688577999999998</v>
      </c>
      <c r="I2305" s="307" t="s">
        <v>104</v>
      </c>
      <c r="J2305" s="438" t="s">
        <v>96</v>
      </c>
      <c r="K2305" s="359">
        <f>K2301/($I2301/7.7)</f>
        <v>2.6946130653266334</v>
      </c>
      <c r="L2305" s="359">
        <f>L2301/($I2301/7.7)</f>
        <v>0.49759798994974874</v>
      </c>
      <c r="M2305" s="359">
        <f>M2301/($I2301/7.7)</f>
        <v>0</v>
      </c>
      <c r="N2305" s="359">
        <f>N2301/($I2301/7.7)</f>
        <v>0</v>
      </c>
      <c r="O2305" s="359">
        <f t="shared" si="314"/>
        <v>3.192211055276382</v>
      </c>
    </row>
    <row r="2306" spans="1:19" x14ac:dyDescent="0.25">
      <c r="B2306" s="307" t="s">
        <v>135</v>
      </c>
      <c r="C2306" s="365" t="s">
        <v>95</v>
      </c>
      <c r="D2306" s="359">
        <f>D2300/((($B2300*$B2296)*(1-$B2293))/$B2291)</f>
        <v>9.4420058139534899E-2</v>
      </c>
      <c r="E2306" s="359">
        <f>E2300/((($B2300*$B2296)*(1-$B2293))/$B2291)</f>
        <v>3.2320320140131191E-2</v>
      </c>
      <c r="F2306" s="359">
        <f>F2300/((($B2300*$B2296)*(1-$B2293))/$B2291)</f>
        <v>1.0188897584973168E-2</v>
      </c>
      <c r="G2306" s="359">
        <f>G2300/((($B2300*$B2296)*(1-$B2293))/$B2291)</f>
        <v>0</v>
      </c>
      <c r="H2306" s="359">
        <f t="shared" si="313"/>
        <v>0.13692927586463924</v>
      </c>
      <c r="I2306" s="307" t="s">
        <v>135</v>
      </c>
      <c r="J2306" s="365" t="s">
        <v>95</v>
      </c>
      <c r="K2306" s="359">
        <f>K2300/((($I2300*$B2296)*(1-$B2293))/$B2291)</f>
        <v>8.9806464407032757E-2</v>
      </c>
      <c r="L2306" s="359">
        <f>L2300/((($I2300*$B2296)*(1-$B2293))/$B2291)</f>
        <v>2.2106470939564752E-2</v>
      </c>
      <c r="M2306" s="359">
        <f>M2300/((($I2300*$B2296)*(1-$B2293))/$B2291)</f>
        <v>6.0475568330284838E-3</v>
      </c>
      <c r="N2306" s="359">
        <f>N2300/((($I2300*$B2296)*(1-$B2293))/$B2291)</f>
        <v>0</v>
      </c>
      <c r="O2306" s="359">
        <f t="shared" si="314"/>
        <v>0.11796049217962599</v>
      </c>
    </row>
    <row r="2307" spans="1:19" x14ac:dyDescent="0.25">
      <c r="B2307" s="307" t="s">
        <v>135</v>
      </c>
      <c r="C2307" s="438" t="s">
        <v>96</v>
      </c>
      <c r="D2307" s="359">
        <f>D2301/((($B2301*$B2296)*(1-$B2293))/$B2291)</f>
        <v>5.4136715116279086E-2</v>
      </c>
      <c r="E2307" s="359">
        <f>E2301/((($B2301*$B2296)*(1-$B2293))/$B2291)</f>
        <v>1.0468623255813957E-2</v>
      </c>
      <c r="F2307" s="359">
        <f>F2301/((($B2301*$B2296)*(1-$B2293))/$B2291)</f>
        <v>2.2936046511627911E-3</v>
      </c>
      <c r="G2307" s="359">
        <f>G2301/((($B2301*$B2296)*(1-$B2293))/$B2291)</f>
        <v>0</v>
      </c>
      <c r="H2307" s="359">
        <f t="shared" si="313"/>
        <v>6.689894302325583E-2</v>
      </c>
      <c r="I2307" s="307" t="s">
        <v>135</v>
      </c>
      <c r="J2307" s="438" t="s">
        <v>96</v>
      </c>
      <c r="K2307" s="359">
        <f>K2301/((($I2301*$B2296)*(1-$B2293))/$B2291)</f>
        <v>5.3509758092789544E-2</v>
      </c>
      <c r="L2307" s="359">
        <f>L2301/((($I2301*$B2296)*(1-$B2293))/$B2291)</f>
        <v>9.8813252308051908E-3</v>
      </c>
      <c r="M2307" s="359">
        <f>M2301/((($I2301*$B2296)*(1-$B2293))/$B2291)</f>
        <v>0</v>
      </c>
      <c r="N2307" s="359">
        <f>N2301/((($I2301*$B2296)*(1-$B2293))/$B2291)</f>
        <v>0</v>
      </c>
      <c r="O2307" s="359">
        <f t="shared" si="314"/>
        <v>6.3391083323594735E-2</v>
      </c>
    </row>
    <row r="2308" spans="1:19" ht="15.75" thickBot="1" x14ac:dyDescent="0.3">
      <c r="A2308" s="178"/>
      <c r="B2308" s="178"/>
      <c r="C2308" s="178"/>
      <c r="D2308" s="178"/>
      <c r="E2308" s="178"/>
      <c r="F2308" s="178"/>
      <c r="G2308" s="178"/>
      <c r="H2308" s="178"/>
      <c r="I2308" s="178"/>
      <c r="J2308" s="178"/>
      <c r="K2308" s="178"/>
      <c r="L2308" s="178"/>
      <c r="M2308" s="178"/>
      <c r="N2308" s="178"/>
      <c r="O2308" s="178"/>
    </row>
    <row r="2309" spans="1:19" ht="21" x14ac:dyDescent="0.25">
      <c r="A2309" s="305"/>
      <c r="B2309" s="644" t="s">
        <v>655</v>
      </c>
      <c r="C2309" s="645"/>
      <c r="D2309" s="645"/>
      <c r="E2309" s="645"/>
      <c r="F2309" s="645"/>
      <c r="G2309" s="645"/>
      <c r="H2309" s="645"/>
      <c r="I2309" s="645"/>
      <c r="J2309" s="645"/>
      <c r="K2309" s="645"/>
      <c r="L2309" s="645"/>
      <c r="M2309" s="645"/>
      <c r="N2309" s="645"/>
      <c r="O2309" s="646"/>
      <c r="Q2309" s="640" t="s">
        <v>139</v>
      </c>
      <c r="R2309" s="544" t="s">
        <v>659</v>
      </c>
      <c r="S2309" s="642" t="s">
        <v>142</v>
      </c>
    </row>
    <row r="2310" spans="1:19" ht="21.75" thickBot="1" x14ac:dyDescent="0.3">
      <c r="A2310" s="177" t="s">
        <v>285</v>
      </c>
      <c r="B2310" s="647">
        <v>44672</v>
      </c>
      <c r="C2310" s="648"/>
      <c r="D2310" s="648"/>
      <c r="E2310" s="648"/>
      <c r="F2310" s="648"/>
      <c r="G2310" s="648"/>
      <c r="H2310" s="648"/>
      <c r="I2310" s="648"/>
      <c r="J2310" s="648"/>
      <c r="K2310" s="648"/>
      <c r="L2310" s="648"/>
      <c r="M2310" s="648"/>
      <c r="N2310" s="648"/>
      <c r="O2310" s="649"/>
      <c r="Q2310" s="641"/>
      <c r="R2310" s="87" t="s">
        <v>141</v>
      </c>
      <c r="S2310" s="643"/>
    </row>
    <row r="2311" spans="1:19" ht="15.75" thickBot="1" x14ac:dyDescent="0.3">
      <c r="A2311" s="177"/>
      <c r="B2311" s="650" t="s">
        <v>115</v>
      </c>
      <c r="C2311" s="651"/>
      <c r="D2311" s="651"/>
      <c r="E2311" s="651"/>
      <c r="F2311" s="651"/>
      <c r="G2311" s="651"/>
      <c r="H2311" s="651"/>
      <c r="I2311" s="651"/>
      <c r="J2311" s="651"/>
      <c r="K2311" s="651"/>
      <c r="L2311" s="651"/>
      <c r="M2311" s="651"/>
      <c r="N2311" s="651"/>
      <c r="O2311" s="652"/>
      <c r="Q2311" s="147" t="s">
        <v>143</v>
      </c>
      <c r="R2311" s="88">
        <v>8</v>
      </c>
      <c r="S2311" s="87" t="s">
        <v>576</v>
      </c>
    </row>
    <row r="2312" spans="1:19" ht="15.75" thickBot="1" x14ac:dyDescent="0.3">
      <c r="A2312" s="177" t="s">
        <v>106</v>
      </c>
      <c r="B2312" s="629">
        <v>22</v>
      </c>
      <c r="C2312" s="630"/>
      <c r="D2312" s="630"/>
      <c r="E2312" s="631"/>
      <c r="F2312" s="365" t="s">
        <v>174</v>
      </c>
      <c r="G2312" s="471"/>
      <c r="H2312" s="653">
        <v>0</v>
      </c>
      <c r="I2312" s="654"/>
      <c r="J2312" s="654"/>
      <c r="K2312" s="654"/>
      <c r="L2312" s="655"/>
      <c r="M2312" s="656">
        <f>SUM(B2312,H2313)</f>
        <v>22</v>
      </c>
      <c r="N2312" s="630"/>
      <c r="O2312" s="631"/>
      <c r="Q2312" s="147" t="s">
        <v>145</v>
      </c>
      <c r="R2312" s="88">
        <v>8</v>
      </c>
      <c r="S2312" s="89" t="s">
        <v>573</v>
      </c>
    </row>
    <row r="2313" spans="1:19" ht="29.25" thickBot="1" x14ac:dyDescent="0.3">
      <c r="A2313" s="177" t="s">
        <v>112</v>
      </c>
      <c r="B2313" s="626">
        <v>0.2</v>
      </c>
      <c r="C2313" s="627"/>
      <c r="D2313" s="627"/>
      <c r="E2313" s="628"/>
      <c r="F2313" s="290"/>
      <c r="G2313" s="472"/>
      <c r="H2313" s="626">
        <v>0</v>
      </c>
      <c r="I2313" s="627"/>
      <c r="J2313" s="627"/>
      <c r="K2313" s="627"/>
      <c r="L2313" s="628"/>
      <c r="M2313" s="657">
        <f>B2313</f>
        <v>0.2</v>
      </c>
      <c r="N2313" s="627"/>
      <c r="O2313" s="628"/>
      <c r="Q2313" s="147" t="s">
        <v>147</v>
      </c>
      <c r="R2313" s="88">
        <v>7</v>
      </c>
      <c r="S2313" s="87" t="s">
        <v>672</v>
      </c>
    </row>
    <row r="2314" spans="1:19" ht="15.75" thickBot="1" x14ac:dyDescent="0.3">
      <c r="A2314" s="177" t="s">
        <v>107</v>
      </c>
      <c r="B2314" s="629">
        <f>B2312*(1-B2313)</f>
        <v>17.600000000000001</v>
      </c>
      <c r="C2314" s="630"/>
      <c r="D2314" s="630"/>
      <c r="E2314" s="631"/>
      <c r="F2314" s="290"/>
      <c r="G2314" s="472"/>
      <c r="H2314" s="629">
        <f>H2312*(1-H2313)</f>
        <v>0</v>
      </c>
      <c r="I2314" s="630"/>
      <c r="J2314" s="630"/>
      <c r="K2314" s="630"/>
      <c r="L2314" s="631"/>
      <c r="M2314" s="656">
        <f>SUM(B2314,H2314)</f>
        <v>17.600000000000001</v>
      </c>
      <c r="N2314" s="630"/>
      <c r="O2314" s="631"/>
      <c r="Q2314" s="147" t="s">
        <v>82</v>
      </c>
      <c r="R2314" s="88">
        <v>8</v>
      </c>
      <c r="S2314" s="89" t="s">
        <v>670</v>
      </c>
    </row>
    <row r="2315" spans="1:19" ht="15.75" thickBot="1" x14ac:dyDescent="0.3">
      <c r="A2315" s="177" t="s">
        <v>108</v>
      </c>
      <c r="B2315" s="626">
        <f>B2318/B2314</f>
        <v>0.66065624999999994</v>
      </c>
      <c r="C2315" s="627"/>
      <c r="D2315" s="627"/>
      <c r="E2315" s="627"/>
      <c r="F2315" s="627"/>
      <c r="G2315" s="627"/>
      <c r="H2315" s="627"/>
      <c r="I2315" s="627"/>
      <c r="J2315" s="627"/>
      <c r="K2315" s="627"/>
      <c r="L2315" s="627"/>
      <c r="M2315" s="627"/>
      <c r="N2315" s="627"/>
      <c r="O2315" s="628"/>
      <c r="Q2315" s="147" t="s">
        <v>152</v>
      </c>
      <c r="R2315" s="88">
        <v>8</v>
      </c>
      <c r="S2315" s="89" t="s">
        <v>673</v>
      </c>
    </row>
    <row r="2316" spans="1:19" ht="15.75" thickBot="1" x14ac:dyDescent="0.3">
      <c r="A2316" s="177" t="s">
        <v>113</v>
      </c>
      <c r="B2316" s="629">
        <f>B2320*(B2324+B2325+I2324+I2325)/1000</f>
        <v>40.094999999999999</v>
      </c>
      <c r="C2316" s="630"/>
      <c r="D2316" s="630"/>
      <c r="E2316" s="630"/>
      <c r="F2316" s="630"/>
      <c r="G2316" s="630"/>
      <c r="H2316" s="630"/>
      <c r="I2316" s="630"/>
      <c r="J2316" s="630"/>
      <c r="K2316" s="630"/>
      <c r="L2316" s="630"/>
      <c r="M2316" s="630"/>
      <c r="N2316" s="630"/>
      <c r="O2316" s="631"/>
      <c r="Q2316" s="147" t="s">
        <v>154</v>
      </c>
      <c r="R2316" s="88">
        <v>7</v>
      </c>
      <c r="S2316" s="87" t="s">
        <v>520</v>
      </c>
    </row>
    <row r="2317" spans="1:19" ht="29.25" thickBot="1" x14ac:dyDescent="0.3">
      <c r="A2317" s="177" t="s">
        <v>109</v>
      </c>
      <c r="B2317" s="626">
        <v>0.71</v>
      </c>
      <c r="C2317" s="627"/>
      <c r="D2317" s="627"/>
      <c r="E2317" s="627"/>
      <c r="F2317" s="627"/>
      <c r="G2317" s="627"/>
      <c r="H2317" s="627"/>
      <c r="I2317" s="627"/>
      <c r="J2317" s="627"/>
      <c r="K2317" s="627"/>
      <c r="L2317" s="627"/>
      <c r="M2317" s="627"/>
      <c r="N2317" s="627"/>
      <c r="O2317" s="628"/>
      <c r="Q2317" s="147" t="s">
        <v>156</v>
      </c>
      <c r="R2317" s="88">
        <v>8</v>
      </c>
      <c r="S2317" s="87" t="s">
        <v>577</v>
      </c>
    </row>
    <row r="2318" spans="1:19" ht="15.75" thickBot="1" x14ac:dyDescent="0.3">
      <c r="A2318" s="177" t="s">
        <v>122</v>
      </c>
      <c r="B2318" s="629">
        <f>B2316-(B2316*B2317)</f>
        <v>11.627549999999999</v>
      </c>
      <c r="C2318" s="630"/>
      <c r="D2318" s="630"/>
      <c r="E2318" s="630"/>
      <c r="F2318" s="630"/>
      <c r="G2318" s="630"/>
      <c r="H2318" s="630"/>
      <c r="I2318" s="630"/>
      <c r="J2318" s="630"/>
      <c r="K2318" s="630"/>
      <c r="L2318" s="630"/>
      <c r="M2318" s="630"/>
      <c r="N2318" s="630"/>
      <c r="O2318" s="631"/>
      <c r="Q2318" s="147" t="s">
        <v>158</v>
      </c>
      <c r="R2318" s="88"/>
      <c r="S2318" s="87" t="s">
        <v>674</v>
      </c>
    </row>
    <row r="2319" spans="1:19" ht="15.75" thickBot="1" x14ac:dyDescent="0.3">
      <c r="A2319" s="177" t="s">
        <v>110</v>
      </c>
      <c r="B2319" s="632">
        <v>125</v>
      </c>
      <c r="C2319" s="633"/>
      <c r="D2319" s="633"/>
      <c r="E2319" s="633"/>
      <c r="F2319" s="633"/>
      <c r="G2319" s="633"/>
      <c r="H2319" s="633"/>
      <c r="I2319" s="633"/>
      <c r="J2319" s="633"/>
      <c r="K2319" s="633"/>
      <c r="L2319" s="633"/>
      <c r="M2319" s="633"/>
      <c r="N2319" s="633"/>
      <c r="O2319" s="634"/>
      <c r="Q2319" s="548" t="s">
        <v>99</v>
      </c>
      <c r="R2319" s="87" t="s">
        <v>546</v>
      </c>
      <c r="S2319" s="148">
        <v>0.77</v>
      </c>
    </row>
    <row r="2320" spans="1:19" x14ac:dyDescent="0.25">
      <c r="A2320" s="177" t="s">
        <v>111</v>
      </c>
      <c r="B2320" s="635">
        <v>15</v>
      </c>
      <c r="C2320" s="636"/>
      <c r="D2320" s="636"/>
      <c r="E2320" s="636"/>
      <c r="F2320" s="636"/>
      <c r="G2320" s="636"/>
      <c r="H2320" s="636"/>
      <c r="I2320" s="636"/>
      <c r="J2320" s="636"/>
      <c r="K2320" s="636"/>
      <c r="L2320" s="636"/>
      <c r="M2320" s="636"/>
      <c r="N2320" s="636"/>
      <c r="O2320" s="637"/>
    </row>
    <row r="2321" spans="1:19" x14ac:dyDescent="0.25">
      <c r="A2321" s="177" t="s">
        <v>273</v>
      </c>
      <c r="B2321" s="638" t="s">
        <v>658</v>
      </c>
      <c r="C2321" s="638"/>
      <c r="D2321" s="638"/>
      <c r="E2321" s="638"/>
      <c r="F2321" s="638"/>
      <c r="G2321" s="638"/>
      <c r="H2321" s="638"/>
      <c r="I2321" s="638"/>
      <c r="J2321" s="638"/>
      <c r="K2321" s="638"/>
      <c r="L2321" s="638"/>
      <c r="M2321" s="638"/>
      <c r="N2321" s="638"/>
      <c r="O2321" s="639"/>
    </row>
    <row r="2322" spans="1:19" x14ac:dyDescent="0.25">
      <c r="A2322" s="177" t="s">
        <v>351</v>
      </c>
      <c r="B2322" s="431"/>
      <c r="C2322" s="431"/>
      <c r="D2322" s="431"/>
      <c r="E2322" s="431"/>
      <c r="F2322" s="431"/>
      <c r="G2322" s="431"/>
      <c r="H2322" s="431"/>
      <c r="I2322" s="431"/>
      <c r="J2322" s="431"/>
      <c r="K2322" s="431"/>
      <c r="L2322" s="431"/>
      <c r="M2322" s="431"/>
      <c r="N2322" s="431"/>
      <c r="O2322" s="432"/>
    </row>
    <row r="2323" spans="1:19" x14ac:dyDescent="0.25">
      <c r="B2323" s="307" t="s">
        <v>98</v>
      </c>
      <c r="C2323" s="365" t="s">
        <v>102</v>
      </c>
      <c r="D2323" s="365" t="s">
        <v>92</v>
      </c>
      <c r="E2323" s="365" t="s">
        <v>93</v>
      </c>
      <c r="F2323" s="365" t="s">
        <v>94</v>
      </c>
      <c r="G2323" s="365" t="s">
        <v>549</v>
      </c>
      <c r="H2323" s="359" t="s">
        <v>99</v>
      </c>
      <c r="I2323" s="307" t="s">
        <v>98</v>
      </c>
      <c r="J2323" s="365" t="s">
        <v>102</v>
      </c>
      <c r="K2323" s="365" t="s">
        <v>92</v>
      </c>
      <c r="L2323" s="365" t="s">
        <v>93</v>
      </c>
      <c r="M2323" s="365" t="s">
        <v>94</v>
      </c>
      <c r="N2323" s="365" t="s">
        <v>549</v>
      </c>
      <c r="O2323" s="359" t="s">
        <v>99</v>
      </c>
    </row>
    <row r="2324" spans="1:19" x14ac:dyDescent="0.25">
      <c r="B2324" s="308">
        <v>1257</v>
      </c>
      <c r="C2324" s="365" t="s">
        <v>95</v>
      </c>
      <c r="D2324" s="441">
        <v>830.84</v>
      </c>
      <c r="E2324" s="441">
        <v>224.08</v>
      </c>
      <c r="F2324" s="441">
        <v>92.91</v>
      </c>
      <c r="G2324" s="441">
        <v>0</v>
      </c>
      <c r="H2324" s="359">
        <f>SUM(D2324:G2324)</f>
        <v>1147.8300000000002</v>
      </c>
      <c r="I2324" s="308">
        <v>978</v>
      </c>
      <c r="J2324" s="365" t="s">
        <v>95</v>
      </c>
      <c r="K2324" s="441">
        <v>624.16999999999996</v>
      </c>
      <c r="L2324" s="441">
        <v>132.18</v>
      </c>
      <c r="M2324" s="441">
        <v>82.11</v>
      </c>
      <c r="N2324" s="441">
        <v>0</v>
      </c>
      <c r="O2324" s="359">
        <f>SUM(K2324:N2324)</f>
        <v>838.45999999999992</v>
      </c>
    </row>
    <row r="2325" spans="1:19" x14ac:dyDescent="0.25">
      <c r="B2325" s="308">
        <v>219</v>
      </c>
      <c r="C2325" s="365" t="s">
        <v>96</v>
      </c>
      <c r="D2325" s="441">
        <v>73.41</v>
      </c>
      <c r="E2325" s="441">
        <v>34.4</v>
      </c>
      <c r="F2325" s="441">
        <v>0</v>
      </c>
      <c r="G2325" s="441">
        <v>0</v>
      </c>
      <c r="H2325" s="359">
        <f t="shared" ref="H2325:H2331" si="317">SUM(D2325:G2325)</f>
        <v>107.81</v>
      </c>
      <c r="I2325" s="308">
        <v>219</v>
      </c>
      <c r="J2325" s="365" t="s">
        <v>96</v>
      </c>
      <c r="K2325" s="441">
        <v>22.64</v>
      </c>
      <c r="L2325" s="441">
        <v>4.5</v>
      </c>
      <c r="M2325" s="441">
        <v>2.5</v>
      </c>
      <c r="N2325" s="441">
        <v>0</v>
      </c>
      <c r="O2325" s="359">
        <f t="shared" ref="O2325:O2331" si="318">SUM(K2325:N2325)</f>
        <v>29.64</v>
      </c>
    </row>
    <row r="2326" spans="1:19" x14ac:dyDescent="0.25">
      <c r="B2326" s="307" t="s">
        <v>100</v>
      </c>
      <c r="C2326" s="365" t="s">
        <v>95</v>
      </c>
      <c r="D2326" s="444">
        <f t="shared" ref="D2326:G2327" si="319">D2324/$B2324</f>
        <v>0.6609705648369133</v>
      </c>
      <c r="E2326" s="429">
        <f t="shared" si="319"/>
        <v>0.17826571201272873</v>
      </c>
      <c r="F2326" s="429">
        <f t="shared" si="319"/>
        <v>7.3914081145584717E-2</v>
      </c>
      <c r="G2326" s="429">
        <f t="shared" si="319"/>
        <v>0</v>
      </c>
      <c r="H2326" s="359">
        <f t="shared" si="317"/>
        <v>0.9131503579952267</v>
      </c>
      <c r="I2326" s="307" t="s">
        <v>100</v>
      </c>
      <c r="J2326" s="365" t="s">
        <v>95</v>
      </c>
      <c r="K2326" s="444">
        <f t="shared" ref="K2326:N2327" si="320">K2324/$I2324</f>
        <v>0.6382106339468302</v>
      </c>
      <c r="L2326" s="429">
        <f t="shared" si="320"/>
        <v>0.13515337423312884</v>
      </c>
      <c r="M2326" s="429">
        <f t="shared" si="320"/>
        <v>8.3957055214723922E-2</v>
      </c>
      <c r="N2326" s="429">
        <f t="shared" si="320"/>
        <v>0</v>
      </c>
      <c r="O2326" s="359">
        <f t="shared" si="318"/>
        <v>0.85732106339468306</v>
      </c>
    </row>
    <row r="2327" spans="1:19" x14ac:dyDescent="0.25">
      <c r="B2327" s="307" t="s">
        <v>100</v>
      </c>
      <c r="C2327" s="438" t="s">
        <v>96</v>
      </c>
      <c r="D2327" s="359">
        <f t="shared" si="319"/>
        <v>0.33520547945205476</v>
      </c>
      <c r="E2327" s="359">
        <f t="shared" si="319"/>
        <v>0.15707762557077626</v>
      </c>
      <c r="F2327" s="359">
        <f t="shared" si="319"/>
        <v>0</v>
      </c>
      <c r="G2327" s="359">
        <f t="shared" si="319"/>
        <v>0</v>
      </c>
      <c r="H2327" s="359">
        <f t="shared" si="317"/>
        <v>0.49228310502283101</v>
      </c>
      <c r="I2327" s="307" t="s">
        <v>100</v>
      </c>
      <c r="J2327" s="438" t="s">
        <v>96</v>
      </c>
      <c r="K2327" s="359">
        <f t="shared" si="320"/>
        <v>0.10337899543378996</v>
      </c>
      <c r="L2327" s="359">
        <f t="shared" si="320"/>
        <v>2.0547945205479451E-2</v>
      </c>
      <c r="M2327" s="359">
        <f t="shared" si="320"/>
        <v>1.1415525114155251E-2</v>
      </c>
      <c r="N2327" s="359">
        <f t="shared" si="320"/>
        <v>0</v>
      </c>
      <c r="O2327" s="359">
        <f t="shared" si="318"/>
        <v>0.13534246575342468</v>
      </c>
    </row>
    <row r="2328" spans="1:19" x14ac:dyDescent="0.25">
      <c r="B2328" s="307" t="s">
        <v>104</v>
      </c>
      <c r="C2328" s="365" t="s">
        <v>95</v>
      </c>
      <c r="D2328" s="359">
        <f>D2324/($B2324/7.7)</f>
        <v>5.0894733492442334</v>
      </c>
      <c r="E2328" s="359">
        <f>E2324/($B2324/7)</f>
        <v>1.2478599840891009</v>
      </c>
      <c r="F2328" s="359">
        <f>F2324/($B2324/7)</f>
        <v>0.51739856801909301</v>
      </c>
      <c r="G2328" s="359">
        <f>G2324/($B2324/7)</f>
        <v>0</v>
      </c>
      <c r="H2328" s="359">
        <f t="shared" si="317"/>
        <v>6.8547319013524275</v>
      </c>
      <c r="I2328" s="307" t="s">
        <v>104</v>
      </c>
      <c r="J2328" s="365" t="s">
        <v>95</v>
      </c>
      <c r="K2328" s="359">
        <f>K2324/($I2324/7.7)</f>
        <v>4.9142218813905929</v>
      </c>
      <c r="L2328" s="359">
        <f>L2324/($I2324/7)</f>
        <v>0.94607361963190184</v>
      </c>
      <c r="M2328" s="359">
        <f>M2324/($I2324/7)</f>
        <v>0.58769938650306741</v>
      </c>
      <c r="N2328" s="359">
        <f>N2324/($I2324/7)</f>
        <v>0</v>
      </c>
      <c r="O2328" s="359">
        <f t="shared" si="318"/>
        <v>6.4479948875255619</v>
      </c>
    </row>
    <row r="2329" spans="1:19" x14ac:dyDescent="0.25">
      <c r="B2329" s="307" t="s">
        <v>104</v>
      </c>
      <c r="C2329" s="438" t="s">
        <v>96</v>
      </c>
      <c r="D2329" s="359">
        <f>D2325/($B2325/7.7)</f>
        <v>2.5810821917808218</v>
      </c>
      <c r="E2329" s="359">
        <f>E2325/($B2325/7.7)</f>
        <v>1.2094977168949772</v>
      </c>
      <c r="F2329" s="359">
        <f>F2325/($B2325/7.7)</f>
        <v>0</v>
      </c>
      <c r="G2329" s="359">
        <f>G2325/($B2325/7.7)</f>
        <v>0</v>
      </c>
      <c r="H2329" s="359">
        <f t="shared" si="317"/>
        <v>3.7905799086757987</v>
      </c>
      <c r="I2329" s="307" t="s">
        <v>104</v>
      </c>
      <c r="J2329" s="438" t="s">
        <v>96</v>
      </c>
      <c r="K2329" s="359">
        <f>K2325/($I2325/7.7)</f>
        <v>0.79601826484018268</v>
      </c>
      <c r="L2329" s="359">
        <f>L2325/($I2325/7.7)</f>
        <v>0.15821917808219177</v>
      </c>
      <c r="M2329" s="359">
        <f>M2325/($I2325/7.7)</f>
        <v>8.7899543378995429E-2</v>
      </c>
      <c r="N2329" s="359">
        <f>N2325/($I2325/7.7)</f>
        <v>0</v>
      </c>
      <c r="O2329" s="359">
        <f t="shared" si="318"/>
        <v>1.0421369863013699</v>
      </c>
    </row>
    <row r="2330" spans="1:19" x14ac:dyDescent="0.25">
      <c r="B2330" s="307" t="s">
        <v>135</v>
      </c>
      <c r="C2330" s="365" t="s">
        <v>95</v>
      </c>
      <c r="D2330" s="359">
        <f>D2324/((($B2324*$B2320)*(1-$B2317))/$B2315)</f>
        <v>0.10038490453460619</v>
      </c>
      <c r="E2330" s="359">
        <f>E2324/((($B2324*$B2320)*(1-$B2317))/$B2315)</f>
        <v>2.7074105011933171E-2</v>
      </c>
      <c r="F2330" s="359">
        <f>F2324/((($B2324*$B2320)*(1-$B2317))/$B2315)</f>
        <v>1.1225701073985678E-2</v>
      </c>
      <c r="G2330" s="359">
        <f>G2324/((($B2324*$B2320)*(1-$B2317))/$B2315)</f>
        <v>0</v>
      </c>
      <c r="H2330" s="359">
        <f t="shared" si="317"/>
        <v>0.13868471062052504</v>
      </c>
      <c r="I2330" s="307" t="s">
        <v>135</v>
      </c>
      <c r="J2330" s="365" t="s">
        <v>95</v>
      </c>
      <c r="K2330" s="359">
        <f>K2324/((($I2324*$B2320)*(1-$B2317))/$B2315)</f>
        <v>9.6928240030674837E-2</v>
      </c>
      <c r="L2330" s="359">
        <f>L2324/((($I2324*$B2320)*(1-$B2317))/$B2315)</f>
        <v>2.052641871165644E-2</v>
      </c>
      <c r="M2330" s="359">
        <f>M2324/((($I2324*$B2320)*(1-$B2317))/$B2315)</f>
        <v>1.2750977760736195E-2</v>
      </c>
      <c r="N2330" s="359">
        <f>N2324/((($I2324*$B2320)*(1-$B2317))/$B2315)</f>
        <v>0</v>
      </c>
      <c r="O2330" s="359">
        <f t="shared" si="318"/>
        <v>0.13020563650306746</v>
      </c>
    </row>
    <row r="2331" spans="1:19" x14ac:dyDescent="0.25">
      <c r="B2331" s="307" t="s">
        <v>135</v>
      </c>
      <c r="C2331" s="438" t="s">
        <v>96</v>
      </c>
      <c r="D2331" s="359">
        <f>D2325/((($B2325*$B2320)*(1-$B2317))/$B2315)</f>
        <v>5.0909332191780815E-2</v>
      </c>
      <c r="E2331" s="359">
        <f>E2325/((($B2325*$B2320)*(1-$B2317))/$B2315)</f>
        <v>2.385616438356164E-2</v>
      </c>
      <c r="F2331" s="359">
        <f>F2325/((($B2325*$B2320)*(1-$B2317))/$B2315)</f>
        <v>0</v>
      </c>
      <c r="G2331" s="359">
        <f>G2325/((($B2325*$B2320)*(1-$B2317))/$B2315)</f>
        <v>0</v>
      </c>
      <c r="H2331" s="359">
        <f t="shared" si="317"/>
        <v>7.4765496575342455E-2</v>
      </c>
      <c r="I2331" s="307" t="s">
        <v>135</v>
      </c>
      <c r="J2331" s="438" t="s">
        <v>96</v>
      </c>
      <c r="K2331" s="359">
        <f>K2325/((($I2325*$B2320)*(1-$B2317))/$B2315)</f>
        <v>1.5700684931506847E-2</v>
      </c>
      <c r="L2331" s="359">
        <f>L2325/((($I2325*$B2320)*(1-$B2317))/$B2315)</f>
        <v>3.1207191780821915E-3</v>
      </c>
      <c r="M2331" s="359">
        <f>M2325/((($I2325*$B2320)*(1-$B2317))/$B2315)</f>
        <v>1.7337328767123286E-3</v>
      </c>
      <c r="N2331" s="359">
        <f>N2325/((($I2325*$B2320)*(1-$B2317))/$B2315)</f>
        <v>0</v>
      </c>
      <c r="O2331" s="359">
        <f t="shared" si="318"/>
        <v>2.0555136986301369E-2</v>
      </c>
    </row>
    <row r="2332" spans="1:19" ht="15.75" thickBot="1" x14ac:dyDescent="0.3">
      <c r="A2332" s="178"/>
      <c r="B2332" s="178"/>
      <c r="C2332" s="178"/>
      <c r="D2332" s="178"/>
      <c r="E2332" s="178"/>
      <c r="F2332" s="178"/>
      <c r="G2332" s="178"/>
      <c r="H2332" s="178"/>
      <c r="I2332" s="178"/>
      <c r="J2332" s="178"/>
      <c r="K2332" s="178"/>
      <c r="L2332" s="178"/>
      <c r="M2332" s="178"/>
      <c r="N2332" s="178"/>
      <c r="O2332" s="178"/>
    </row>
    <row r="2333" spans="1:19" ht="21" x14ac:dyDescent="0.25">
      <c r="A2333" s="305"/>
      <c r="B2333" s="644" t="s">
        <v>656</v>
      </c>
      <c r="C2333" s="645"/>
      <c r="D2333" s="645"/>
      <c r="E2333" s="645"/>
      <c r="F2333" s="645"/>
      <c r="G2333" s="645"/>
      <c r="H2333" s="645"/>
      <c r="I2333" s="645"/>
      <c r="J2333" s="645"/>
      <c r="K2333" s="645"/>
      <c r="L2333" s="645"/>
      <c r="M2333" s="645"/>
      <c r="N2333" s="645"/>
      <c r="O2333" s="646"/>
      <c r="Q2333" s="640" t="s">
        <v>139</v>
      </c>
      <c r="R2333" s="544" t="s">
        <v>659</v>
      </c>
      <c r="S2333" s="642" t="s">
        <v>142</v>
      </c>
    </row>
    <row r="2334" spans="1:19" ht="21.75" thickBot="1" x14ac:dyDescent="0.3">
      <c r="A2334" s="177" t="s">
        <v>285</v>
      </c>
      <c r="B2334" s="647"/>
      <c r="C2334" s="648"/>
      <c r="D2334" s="648"/>
      <c r="E2334" s="648"/>
      <c r="F2334" s="648"/>
      <c r="G2334" s="648"/>
      <c r="H2334" s="648"/>
      <c r="I2334" s="648"/>
      <c r="J2334" s="648"/>
      <c r="K2334" s="648"/>
      <c r="L2334" s="648"/>
      <c r="M2334" s="648"/>
      <c r="N2334" s="648"/>
      <c r="O2334" s="649"/>
      <c r="Q2334" s="641"/>
      <c r="R2334" s="87" t="s">
        <v>141</v>
      </c>
      <c r="S2334" s="643"/>
    </row>
    <row r="2335" spans="1:19" ht="15.75" thickBot="1" x14ac:dyDescent="0.3">
      <c r="A2335" s="177"/>
      <c r="B2335" s="650" t="s">
        <v>115</v>
      </c>
      <c r="C2335" s="651"/>
      <c r="D2335" s="651"/>
      <c r="E2335" s="651"/>
      <c r="F2335" s="651"/>
      <c r="G2335" s="651"/>
      <c r="H2335" s="651"/>
      <c r="I2335" s="651"/>
      <c r="J2335" s="651"/>
      <c r="K2335" s="651"/>
      <c r="L2335" s="651"/>
      <c r="M2335" s="651"/>
      <c r="N2335" s="651"/>
      <c r="O2335" s="652"/>
      <c r="Q2335" s="147" t="s">
        <v>143</v>
      </c>
      <c r="R2335" s="88">
        <v>7</v>
      </c>
      <c r="S2335" s="87" t="s">
        <v>566</v>
      </c>
    </row>
    <row r="2336" spans="1:19" ht="15.75" thickBot="1" x14ac:dyDescent="0.3">
      <c r="A2336" s="177" t="s">
        <v>106</v>
      </c>
      <c r="B2336" s="629">
        <v>23</v>
      </c>
      <c r="C2336" s="630"/>
      <c r="D2336" s="630"/>
      <c r="E2336" s="631"/>
      <c r="F2336" s="365" t="s">
        <v>174</v>
      </c>
      <c r="G2336" s="471"/>
      <c r="H2336" s="653">
        <v>0</v>
      </c>
      <c r="I2336" s="654"/>
      <c r="J2336" s="654"/>
      <c r="K2336" s="654"/>
      <c r="L2336" s="655"/>
      <c r="M2336" s="656">
        <f>SUM(B2336,H2337)</f>
        <v>23</v>
      </c>
      <c r="N2336" s="630"/>
      <c r="O2336" s="631"/>
      <c r="Q2336" s="147" t="s">
        <v>145</v>
      </c>
      <c r="R2336" s="88">
        <v>8</v>
      </c>
      <c r="S2336" s="89" t="s">
        <v>567</v>
      </c>
    </row>
    <row r="2337" spans="1:19" ht="15.75" thickBot="1" x14ac:dyDescent="0.3">
      <c r="A2337" s="177" t="s">
        <v>112</v>
      </c>
      <c r="B2337" s="626">
        <v>0.2</v>
      </c>
      <c r="C2337" s="627"/>
      <c r="D2337" s="627"/>
      <c r="E2337" s="628"/>
      <c r="F2337" s="290"/>
      <c r="G2337" s="472"/>
      <c r="H2337" s="626">
        <v>0</v>
      </c>
      <c r="I2337" s="627"/>
      <c r="J2337" s="627"/>
      <c r="K2337" s="627"/>
      <c r="L2337" s="628"/>
      <c r="M2337" s="657">
        <f>B2337</f>
        <v>0.2</v>
      </c>
      <c r="N2337" s="627"/>
      <c r="O2337" s="628"/>
      <c r="Q2337" s="147" t="s">
        <v>147</v>
      </c>
      <c r="R2337" s="88">
        <v>8</v>
      </c>
      <c r="S2337" s="87" t="s">
        <v>707</v>
      </c>
    </row>
    <row r="2338" spans="1:19" ht="17.25" thickBot="1" x14ac:dyDescent="0.3">
      <c r="A2338" s="177" t="s">
        <v>107</v>
      </c>
      <c r="B2338" s="629">
        <f>B2336*(1-B2337)</f>
        <v>18.400000000000002</v>
      </c>
      <c r="C2338" s="630"/>
      <c r="D2338" s="630"/>
      <c r="E2338" s="631"/>
      <c r="F2338" s="290"/>
      <c r="G2338" s="472"/>
      <c r="H2338" s="629">
        <f>H2336*(1-H2337)</f>
        <v>0</v>
      </c>
      <c r="I2338" s="630"/>
      <c r="J2338" s="630"/>
      <c r="K2338" s="630"/>
      <c r="L2338" s="631"/>
      <c r="M2338" s="656">
        <f>SUM(B2338,H2338)</f>
        <v>18.400000000000002</v>
      </c>
      <c r="N2338" s="630"/>
      <c r="O2338" s="631"/>
      <c r="Q2338" s="147" t="s">
        <v>82</v>
      </c>
      <c r="R2338" s="88">
        <v>8</v>
      </c>
      <c r="S2338" s="89" t="s">
        <v>691</v>
      </c>
    </row>
    <row r="2339" spans="1:19" ht="15.75" thickBot="1" x14ac:dyDescent="0.3">
      <c r="A2339" s="177" t="s">
        <v>108</v>
      </c>
      <c r="B2339" s="626">
        <f>B2342/B2338</f>
        <v>0.731304347826087</v>
      </c>
      <c r="C2339" s="627"/>
      <c r="D2339" s="627"/>
      <c r="E2339" s="627"/>
      <c r="F2339" s="627"/>
      <c r="G2339" s="627"/>
      <c r="H2339" s="627"/>
      <c r="I2339" s="627"/>
      <c r="J2339" s="627"/>
      <c r="K2339" s="627"/>
      <c r="L2339" s="627"/>
      <c r="M2339" s="627"/>
      <c r="N2339" s="627"/>
      <c r="O2339" s="628"/>
      <c r="Q2339" s="147" t="s">
        <v>152</v>
      </c>
      <c r="R2339" s="88">
        <v>8</v>
      </c>
      <c r="S2339" s="89" t="s">
        <v>673</v>
      </c>
    </row>
    <row r="2340" spans="1:19" ht="15.75" thickBot="1" x14ac:dyDescent="0.3">
      <c r="A2340" s="177" t="s">
        <v>113</v>
      </c>
      <c r="B2340" s="629">
        <f>B2344*(B2348+B2349+I2348+I2349)/1000</f>
        <v>46.4</v>
      </c>
      <c r="C2340" s="630"/>
      <c r="D2340" s="630"/>
      <c r="E2340" s="630"/>
      <c r="F2340" s="630"/>
      <c r="G2340" s="630"/>
      <c r="H2340" s="630"/>
      <c r="I2340" s="630"/>
      <c r="J2340" s="630"/>
      <c r="K2340" s="630"/>
      <c r="L2340" s="630"/>
      <c r="M2340" s="630"/>
      <c r="N2340" s="630"/>
      <c r="O2340" s="631"/>
      <c r="Q2340" s="147" t="s">
        <v>154</v>
      </c>
      <c r="R2340" s="88">
        <v>8</v>
      </c>
      <c r="S2340" s="87" t="s">
        <v>520</v>
      </c>
    </row>
    <row r="2341" spans="1:19" ht="29.25" thickBot="1" x14ac:dyDescent="0.3">
      <c r="A2341" s="177" t="s">
        <v>109</v>
      </c>
      <c r="B2341" s="626">
        <v>0.71</v>
      </c>
      <c r="C2341" s="627"/>
      <c r="D2341" s="627"/>
      <c r="E2341" s="627"/>
      <c r="F2341" s="627"/>
      <c r="G2341" s="627"/>
      <c r="H2341" s="627"/>
      <c r="I2341" s="627"/>
      <c r="J2341" s="627"/>
      <c r="K2341" s="627"/>
      <c r="L2341" s="627"/>
      <c r="M2341" s="627"/>
      <c r="N2341" s="627"/>
      <c r="O2341" s="628"/>
      <c r="Q2341" s="147" t="s">
        <v>156</v>
      </c>
      <c r="R2341" s="88">
        <v>7</v>
      </c>
      <c r="S2341" s="87" t="s">
        <v>708</v>
      </c>
    </row>
    <row r="2342" spans="1:19" ht="15.75" thickBot="1" x14ac:dyDescent="0.3">
      <c r="A2342" s="177" t="s">
        <v>122</v>
      </c>
      <c r="B2342" s="629">
        <f>B2340-(B2340*B2341)</f>
        <v>13.456000000000003</v>
      </c>
      <c r="C2342" s="630"/>
      <c r="D2342" s="630"/>
      <c r="E2342" s="630"/>
      <c r="F2342" s="630"/>
      <c r="G2342" s="630"/>
      <c r="H2342" s="630"/>
      <c r="I2342" s="630"/>
      <c r="J2342" s="630"/>
      <c r="K2342" s="630"/>
      <c r="L2342" s="630"/>
      <c r="M2342" s="630"/>
      <c r="N2342" s="630"/>
      <c r="O2342" s="631"/>
      <c r="Q2342" s="147" t="s">
        <v>158</v>
      </c>
      <c r="R2342" s="88"/>
      <c r="S2342" s="87"/>
    </row>
    <row r="2343" spans="1:19" ht="15.75" thickBot="1" x14ac:dyDescent="0.3">
      <c r="A2343" s="177" t="s">
        <v>110</v>
      </c>
      <c r="B2343" s="632">
        <v>125</v>
      </c>
      <c r="C2343" s="633"/>
      <c r="D2343" s="633"/>
      <c r="E2343" s="633"/>
      <c r="F2343" s="633"/>
      <c r="G2343" s="633"/>
      <c r="H2343" s="633"/>
      <c r="I2343" s="633"/>
      <c r="J2343" s="633"/>
      <c r="K2343" s="633"/>
      <c r="L2343" s="633"/>
      <c r="M2343" s="633"/>
      <c r="N2343" s="633"/>
      <c r="O2343" s="634"/>
      <c r="Q2343" s="569" t="s">
        <v>99</v>
      </c>
      <c r="R2343" s="87" t="s">
        <v>546</v>
      </c>
      <c r="S2343" s="148">
        <v>0.77</v>
      </c>
    </row>
    <row r="2344" spans="1:19" x14ac:dyDescent="0.25">
      <c r="A2344" s="177" t="s">
        <v>111</v>
      </c>
      <c r="B2344" s="635">
        <v>16</v>
      </c>
      <c r="C2344" s="636"/>
      <c r="D2344" s="636"/>
      <c r="E2344" s="636"/>
      <c r="F2344" s="636"/>
      <c r="G2344" s="636"/>
      <c r="H2344" s="636"/>
      <c r="I2344" s="636"/>
      <c r="J2344" s="636"/>
      <c r="K2344" s="636"/>
      <c r="L2344" s="636"/>
      <c r="M2344" s="636"/>
      <c r="N2344" s="636"/>
      <c r="O2344" s="637"/>
    </row>
    <row r="2345" spans="1:19" x14ac:dyDescent="0.25">
      <c r="A2345" s="177" t="s">
        <v>273</v>
      </c>
      <c r="B2345" s="638" t="s">
        <v>678</v>
      </c>
      <c r="C2345" s="638"/>
      <c r="D2345" s="638"/>
      <c r="E2345" s="638"/>
      <c r="F2345" s="638"/>
      <c r="G2345" s="638"/>
      <c r="H2345" s="638"/>
      <c r="I2345" s="638"/>
      <c r="J2345" s="638"/>
      <c r="K2345" s="638"/>
      <c r="L2345" s="638"/>
      <c r="M2345" s="638"/>
      <c r="N2345" s="638"/>
      <c r="O2345" s="639"/>
    </row>
    <row r="2346" spans="1:19" x14ac:dyDescent="0.25">
      <c r="A2346" s="177" t="s">
        <v>351</v>
      </c>
      <c r="B2346" s="431"/>
      <c r="C2346" s="431"/>
      <c r="D2346" s="431"/>
      <c r="E2346" s="431"/>
      <c r="F2346" s="431"/>
      <c r="G2346" s="431"/>
      <c r="H2346" s="431"/>
      <c r="I2346" s="431"/>
      <c r="J2346" s="431"/>
      <c r="K2346" s="431"/>
      <c r="L2346" s="431"/>
      <c r="M2346" s="431"/>
      <c r="N2346" s="431"/>
      <c r="O2346" s="432"/>
    </row>
    <row r="2347" spans="1:19" x14ac:dyDescent="0.25">
      <c r="B2347" s="307" t="s">
        <v>98</v>
      </c>
      <c r="C2347" s="365" t="s">
        <v>102</v>
      </c>
      <c r="D2347" s="365" t="s">
        <v>92</v>
      </c>
      <c r="E2347" s="365" t="s">
        <v>93</v>
      </c>
      <c r="F2347" s="365" t="s">
        <v>94</v>
      </c>
      <c r="G2347" s="365" t="s">
        <v>549</v>
      </c>
      <c r="H2347" s="359" t="s">
        <v>99</v>
      </c>
      <c r="I2347" s="307" t="s">
        <v>98</v>
      </c>
      <c r="J2347" s="365" t="s">
        <v>102</v>
      </c>
      <c r="K2347" s="365" t="s">
        <v>92</v>
      </c>
      <c r="L2347" s="365" t="s">
        <v>93</v>
      </c>
      <c r="M2347" s="365" t="s">
        <v>94</v>
      </c>
      <c r="N2347" s="365" t="s">
        <v>549</v>
      </c>
      <c r="O2347" s="359" t="s">
        <v>99</v>
      </c>
    </row>
    <row r="2348" spans="1:19" x14ac:dyDescent="0.25">
      <c r="B2348" s="308">
        <v>1235</v>
      </c>
      <c r="C2348" s="365" t="s">
        <v>95</v>
      </c>
      <c r="D2348" s="441">
        <v>274.29000000000002</v>
      </c>
      <c r="E2348" s="441">
        <v>20.48</v>
      </c>
      <c r="F2348" s="441">
        <v>9.24</v>
      </c>
      <c r="G2348" s="441">
        <v>0</v>
      </c>
      <c r="H2348" s="359">
        <f>SUM(D2348:G2348)</f>
        <v>304.01000000000005</v>
      </c>
      <c r="I2348" s="308">
        <v>1265</v>
      </c>
      <c r="J2348" s="365" t="s">
        <v>95</v>
      </c>
      <c r="K2348" s="441">
        <v>279.73</v>
      </c>
      <c r="L2348" s="441">
        <v>20.51</v>
      </c>
      <c r="M2348" s="441">
        <v>0</v>
      </c>
      <c r="N2348" s="441">
        <v>0</v>
      </c>
      <c r="O2348" s="359">
        <f>SUM(K2348:N2348)</f>
        <v>300.24</v>
      </c>
    </row>
    <row r="2349" spans="1:19" x14ac:dyDescent="0.25">
      <c r="B2349" s="308">
        <v>200</v>
      </c>
      <c r="C2349" s="365" t="s">
        <v>96</v>
      </c>
      <c r="D2349" s="441">
        <v>28</v>
      </c>
      <c r="E2349" s="441">
        <v>2.5</v>
      </c>
      <c r="F2349" s="441">
        <v>0</v>
      </c>
      <c r="G2349" s="441">
        <v>0</v>
      </c>
      <c r="H2349" s="359">
        <f t="shared" ref="H2349:H2355" si="321">SUM(D2349:G2349)</f>
        <v>30.5</v>
      </c>
      <c r="I2349" s="308">
        <v>200</v>
      </c>
      <c r="J2349" s="365" t="s">
        <v>96</v>
      </c>
      <c r="K2349" s="441">
        <v>23.9</v>
      </c>
      <c r="L2349" s="441">
        <v>2</v>
      </c>
      <c r="M2349" s="441">
        <v>0</v>
      </c>
      <c r="N2349" s="441">
        <v>0</v>
      </c>
      <c r="O2349" s="359">
        <f t="shared" ref="O2349:O2355" si="322">SUM(K2349:N2349)</f>
        <v>25.9</v>
      </c>
    </row>
    <row r="2350" spans="1:19" x14ac:dyDescent="0.25">
      <c r="B2350" s="307" t="s">
        <v>100</v>
      </c>
      <c r="C2350" s="365" t="s">
        <v>95</v>
      </c>
      <c r="D2350" s="444">
        <f t="shared" ref="D2350:G2351" si="323">D2348/$B2348</f>
        <v>0.22209716599190285</v>
      </c>
      <c r="E2350" s="429">
        <f t="shared" si="323"/>
        <v>1.6582995951417004E-2</v>
      </c>
      <c r="F2350" s="429">
        <f t="shared" si="323"/>
        <v>7.4817813765182192E-3</v>
      </c>
      <c r="G2350" s="429">
        <f t="shared" si="323"/>
        <v>0</v>
      </c>
      <c r="H2350" s="359">
        <f t="shared" si="321"/>
        <v>0.24616194331983809</v>
      </c>
      <c r="I2350" s="307" t="s">
        <v>100</v>
      </c>
      <c r="J2350" s="365" t="s">
        <v>95</v>
      </c>
      <c r="K2350" s="444">
        <f t="shared" ref="K2350:N2351" si="324">K2348/$I2348</f>
        <v>0.22113043478260871</v>
      </c>
      <c r="L2350" s="429">
        <f t="shared" si="324"/>
        <v>1.6213438735177867E-2</v>
      </c>
      <c r="M2350" s="429">
        <f t="shared" si="324"/>
        <v>0</v>
      </c>
      <c r="N2350" s="429">
        <f t="shared" si="324"/>
        <v>0</v>
      </c>
      <c r="O2350" s="359">
        <f t="shared" si="322"/>
        <v>0.23734387351778657</v>
      </c>
    </row>
    <row r="2351" spans="1:19" x14ac:dyDescent="0.25">
      <c r="B2351" s="307" t="s">
        <v>100</v>
      </c>
      <c r="C2351" s="438" t="s">
        <v>96</v>
      </c>
      <c r="D2351" s="359">
        <f t="shared" si="323"/>
        <v>0.14000000000000001</v>
      </c>
      <c r="E2351" s="359">
        <f t="shared" si="323"/>
        <v>1.2500000000000001E-2</v>
      </c>
      <c r="F2351" s="359">
        <f t="shared" si="323"/>
        <v>0</v>
      </c>
      <c r="G2351" s="359">
        <f t="shared" si="323"/>
        <v>0</v>
      </c>
      <c r="H2351" s="359">
        <f t="shared" si="321"/>
        <v>0.15250000000000002</v>
      </c>
      <c r="I2351" s="307" t="s">
        <v>100</v>
      </c>
      <c r="J2351" s="438" t="s">
        <v>96</v>
      </c>
      <c r="K2351" s="359">
        <f t="shared" si="324"/>
        <v>0.1195</v>
      </c>
      <c r="L2351" s="359">
        <f t="shared" si="324"/>
        <v>0.01</v>
      </c>
      <c r="M2351" s="359">
        <f t="shared" si="324"/>
        <v>0</v>
      </c>
      <c r="N2351" s="359">
        <f t="shared" si="324"/>
        <v>0</v>
      </c>
      <c r="O2351" s="359">
        <f t="shared" si="322"/>
        <v>0.1295</v>
      </c>
    </row>
    <row r="2352" spans="1:19" x14ac:dyDescent="0.25">
      <c r="B2352" s="307" t="s">
        <v>104</v>
      </c>
      <c r="C2352" s="365" t="s">
        <v>95</v>
      </c>
      <c r="D2352" s="359">
        <f>D2348/($B2348/7.7)</f>
        <v>1.710148178137652</v>
      </c>
      <c r="E2352" s="359">
        <f>E2348/($B2348/7)</f>
        <v>0.11608097165991904</v>
      </c>
      <c r="F2352" s="359">
        <f>F2348/($B2348/7)</f>
        <v>5.2372469635627535E-2</v>
      </c>
      <c r="G2352" s="359">
        <f>G2348/($B2348/7)</f>
        <v>0</v>
      </c>
      <c r="H2352" s="359">
        <f t="shared" si="321"/>
        <v>1.8786016194331985</v>
      </c>
      <c r="I2352" s="307" t="s">
        <v>104</v>
      </c>
      <c r="J2352" s="365" t="s">
        <v>95</v>
      </c>
      <c r="K2352" s="359">
        <f>K2348/($I2348/7.7)</f>
        <v>1.7027043478260873</v>
      </c>
      <c r="L2352" s="359">
        <f>L2348/($I2348/7)</f>
        <v>0.11349407114624506</v>
      </c>
      <c r="M2352" s="359">
        <f>M2348/($I2348/7)</f>
        <v>0</v>
      </c>
      <c r="N2352" s="359">
        <f>N2348/($I2348/7)</f>
        <v>0</v>
      </c>
      <c r="O2352" s="359">
        <f t="shared" si="322"/>
        <v>1.8161984189723324</v>
      </c>
    </row>
    <row r="2353" spans="1:19" x14ac:dyDescent="0.25">
      <c r="B2353" s="307" t="s">
        <v>104</v>
      </c>
      <c r="C2353" s="438" t="s">
        <v>96</v>
      </c>
      <c r="D2353" s="359">
        <f>D2349/($B2349/7.7)</f>
        <v>1.0780000000000001</v>
      </c>
      <c r="E2353" s="359">
        <f>E2349/($B2349/7.7)</f>
        <v>9.6250000000000002E-2</v>
      </c>
      <c r="F2353" s="359">
        <f>F2349/($B2349/7.7)</f>
        <v>0</v>
      </c>
      <c r="G2353" s="359">
        <f>G2349/($B2349/7.7)</f>
        <v>0</v>
      </c>
      <c r="H2353" s="359">
        <f t="shared" si="321"/>
        <v>1.17425</v>
      </c>
      <c r="I2353" s="307" t="s">
        <v>104</v>
      </c>
      <c r="J2353" s="438" t="s">
        <v>96</v>
      </c>
      <c r="K2353" s="359">
        <f>K2349/($I2349/7.7)</f>
        <v>0.92014999999999991</v>
      </c>
      <c r="L2353" s="359">
        <f>L2349/($I2349/7.7)</f>
        <v>7.6999999999999999E-2</v>
      </c>
      <c r="M2353" s="359">
        <f>M2349/($I2349/7.7)</f>
        <v>0</v>
      </c>
      <c r="N2353" s="359">
        <f>N2349/($I2349/7.7)</f>
        <v>0</v>
      </c>
      <c r="O2353" s="359">
        <f t="shared" si="322"/>
        <v>0.99714999999999987</v>
      </c>
    </row>
    <row r="2354" spans="1:19" x14ac:dyDescent="0.25">
      <c r="B2354" s="307" t="s">
        <v>135</v>
      </c>
      <c r="C2354" s="365" t="s">
        <v>95</v>
      </c>
      <c r="D2354" s="359">
        <f>D2348/((($B2348*$B2344)*(1-$B2341))/$B2339)</f>
        <v>3.5004444640028165E-2</v>
      </c>
      <c r="E2354" s="359">
        <f>E2348/((($B2348*$B2344)*(1-$B2341))/$B2339)</f>
        <v>2.6136243619081147E-3</v>
      </c>
      <c r="F2354" s="359">
        <f>F2348/((($B2348*$B2344)*(1-$B2341))/$B2339)</f>
        <v>1.1791938039077627E-3</v>
      </c>
      <c r="G2354" s="359">
        <f>G2348/((($B2348*$B2344)*(1-$B2341))/$B2339)</f>
        <v>0</v>
      </c>
      <c r="H2354" s="359">
        <f t="shared" si="321"/>
        <v>3.8797262805844043E-2</v>
      </c>
      <c r="I2354" s="307" t="s">
        <v>135</v>
      </c>
      <c r="J2354" s="365" t="s">
        <v>95</v>
      </c>
      <c r="K2354" s="359">
        <f>K2348/((($I2348*$B2344)*(1-$B2341))/$B2339)</f>
        <v>3.485207939508507E-2</v>
      </c>
      <c r="L2354" s="359">
        <f>L2348/((($I2348*$B2344)*(1-$B2341))/$B2339)</f>
        <v>2.5553789310878163E-3</v>
      </c>
      <c r="M2354" s="359">
        <f>M2348/((($I2348*$B2344)*(1-$B2341))/$B2339)</f>
        <v>0</v>
      </c>
      <c r="N2354" s="359">
        <f>N2348/((($I2348*$B2344)*(1-$B2341))/$B2339)</f>
        <v>0</v>
      </c>
      <c r="O2354" s="359">
        <f t="shared" si="322"/>
        <v>3.7407458326172885E-2</v>
      </c>
    </row>
    <row r="2355" spans="1:19" x14ac:dyDescent="0.25">
      <c r="B2355" s="307" t="s">
        <v>135</v>
      </c>
      <c r="C2355" s="438" t="s">
        <v>96</v>
      </c>
      <c r="D2355" s="359">
        <f>D2349/((($B2349*$B2344)*(1-$B2341))/$B2339)</f>
        <v>2.2065217391304348E-2</v>
      </c>
      <c r="E2355" s="359">
        <f>E2349/((($B2349*$B2344)*(1-$B2341))/$B2339)</f>
        <v>1.9701086956521738E-3</v>
      </c>
      <c r="F2355" s="359">
        <f>F2349/((($B2349*$B2344)*(1-$B2341))/$B2339)</f>
        <v>0</v>
      </c>
      <c r="G2355" s="359">
        <f>G2349/((($B2349*$B2344)*(1-$B2341))/$B2339)</f>
        <v>0</v>
      </c>
      <c r="H2355" s="359">
        <f t="shared" si="321"/>
        <v>2.4035326086956521E-2</v>
      </c>
      <c r="I2355" s="307" t="s">
        <v>135</v>
      </c>
      <c r="J2355" s="438" t="s">
        <v>96</v>
      </c>
      <c r="K2355" s="359">
        <f>K2349/((($I2349*$B2344)*(1-$B2341))/$B2339)</f>
        <v>1.883423913043478E-2</v>
      </c>
      <c r="L2355" s="359">
        <f>L2349/((($I2349*$B2344)*(1-$B2341))/$B2339)</f>
        <v>1.5760869565217392E-3</v>
      </c>
      <c r="M2355" s="359">
        <f>M2349/((($I2349*$B2344)*(1-$B2341))/$B2339)</f>
        <v>0</v>
      </c>
      <c r="N2355" s="359">
        <f>N2349/((($I2349*$B2344)*(1-$B2341))/$B2339)</f>
        <v>0</v>
      </c>
      <c r="O2355" s="359">
        <f t="shared" si="322"/>
        <v>2.0410326086956518E-2</v>
      </c>
    </row>
    <row r="2356" spans="1:19" ht="15.75" thickBot="1" x14ac:dyDescent="0.3">
      <c r="A2356" s="178"/>
      <c r="B2356" s="178"/>
      <c r="C2356" s="178"/>
      <c r="D2356" s="178"/>
      <c r="E2356" s="178"/>
      <c r="F2356" s="178"/>
      <c r="G2356" s="178"/>
      <c r="H2356" s="178"/>
      <c r="I2356" s="178"/>
      <c r="J2356" s="178"/>
      <c r="K2356" s="178"/>
      <c r="L2356" s="178"/>
      <c r="M2356" s="178"/>
      <c r="N2356" s="178"/>
      <c r="O2356" s="178"/>
    </row>
    <row r="2357" spans="1:19" ht="21" x14ac:dyDescent="0.25">
      <c r="A2357" s="305"/>
      <c r="B2357" s="644" t="s">
        <v>657</v>
      </c>
      <c r="C2357" s="645"/>
      <c r="D2357" s="645"/>
      <c r="E2357" s="645"/>
      <c r="F2357" s="645"/>
      <c r="G2357" s="645"/>
      <c r="H2357" s="645"/>
      <c r="I2357" s="645"/>
      <c r="J2357" s="645"/>
      <c r="K2357" s="645"/>
      <c r="L2357" s="645"/>
      <c r="M2357" s="645"/>
      <c r="N2357" s="645"/>
      <c r="O2357" s="646"/>
      <c r="Q2357" s="640" t="s">
        <v>139</v>
      </c>
      <c r="R2357" s="544" t="s">
        <v>659</v>
      </c>
      <c r="S2357" s="642" t="s">
        <v>142</v>
      </c>
    </row>
    <row r="2358" spans="1:19" ht="21.75" thickBot="1" x14ac:dyDescent="0.3">
      <c r="A2358" s="177" t="s">
        <v>285</v>
      </c>
      <c r="B2358" s="647">
        <v>44701</v>
      </c>
      <c r="C2358" s="648"/>
      <c r="D2358" s="648"/>
      <c r="E2358" s="648"/>
      <c r="F2358" s="648"/>
      <c r="G2358" s="648"/>
      <c r="H2358" s="648"/>
      <c r="I2358" s="648"/>
      <c r="J2358" s="648"/>
      <c r="K2358" s="648"/>
      <c r="L2358" s="648"/>
      <c r="M2358" s="648"/>
      <c r="N2358" s="648"/>
      <c r="O2358" s="649"/>
      <c r="Q2358" s="641"/>
      <c r="R2358" s="87" t="s">
        <v>141</v>
      </c>
      <c r="S2358" s="643"/>
    </row>
    <row r="2359" spans="1:19" ht="15.75" thickBot="1" x14ac:dyDescent="0.3">
      <c r="A2359" s="177"/>
      <c r="B2359" s="650" t="s">
        <v>115</v>
      </c>
      <c r="C2359" s="651"/>
      <c r="D2359" s="651"/>
      <c r="E2359" s="651"/>
      <c r="F2359" s="651"/>
      <c r="G2359" s="651"/>
      <c r="H2359" s="651"/>
      <c r="I2359" s="651"/>
      <c r="J2359" s="651"/>
      <c r="K2359" s="651"/>
      <c r="L2359" s="651"/>
      <c r="M2359" s="651"/>
      <c r="N2359" s="651"/>
      <c r="O2359" s="652"/>
      <c r="Q2359" s="147" t="s">
        <v>143</v>
      </c>
      <c r="R2359" s="88">
        <v>8</v>
      </c>
      <c r="S2359" s="87" t="s">
        <v>709</v>
      </c>
    </row>
    <row r="2360" spans="1:19" ht="15.75" thickBot="1" x14ac:dyDescent="0.3">
      <c r="A2360" s="177" t="s">
        <v>106</v>
      </c>
      <c r="B2360" s="629">
        <v>23</v>
      </c>
      <c r="C2360" s="630"/>
      <c r="D2360" s="630"/>
      <c r="E2360" s="631"/>
      <c r="F2360" s="365" t="s">
        <v>174</v>
      </c>
      <c r="G2360" s="471"/>
      <c r="H2360" s="653">
        <v>0</v>
      </c>
      <c r="I2360" s="654"/>
      <c r="J2360" s="654"/>
      <c r="K2360" s="654"/>
      <c r="L2360" s="655"/>
      <c r="M2360" s="656">
        <f>SUM(B2360,H2361)</f>
        <v>23</v>
      </c>
      <c r="N2360" s="630"/>
      <c r="O2360" s="631"/>
      <c r="Q2360" s="147" t="s">
        <v>145</v>
      </c>
      <c r="R2360" s="88">
        <v>8</v>
      </c>
      <c r="S2360" s="89" t="s">
        <v>567</v>
      </c>
    </row>
    <row r="2361" spans="1:19" ht="15.75" thickBot="1" x14ac:dyDescent="0.3">
      <c r="A2361" s="177" t="s">
        <v>112</v>
      </c>
      <c r="B2361" s="626">
        <v>0.2</v>
      </c>
      <c r="C2361" s="627"/>
      <c r="D2361" s="627"/>
      <c r="E2361" s="628"/>
      <c r="F2361" s="290"/>
      <c r="G2361" s="472"/>
      <c r="H2361" s="626">
        <v>0</v>
      </c>
      <c r="I2361" s="627"/>
      <c r="J2361" s="627"/>
      <c r="K2361" s="627"/>
      <c r="L2361" s="628"/>
      <c r="M2361" s="657">
        <f>B2361</f>
        <v>0.2</v>
      </c>
      <c r="N2361" s="627"/>
      <c r="O2361" s="628"/>
      <c r="Q2361" s="147" t="s">
        <v>147</v>
      </c>
      <c r="R2361" s="88">
        <v>8</v>
      </c>
      <c r="S2361" s="87" t="s">
        <v>711</v>
      </c>
    </row>
    <row r="2362" spans="1:19" ht="15.75" thickBot="1" x14ac:dyDescent="0.3">
      <c r="A2362" s="177" t="s">
        <v>107</v>
      </c>
      <c r="B2362" s="629">
        <f>B2360*(1-B2361)</f>
        <v>18.400000000000002</v>
      </c>
      <c r="C2362" s="630"/>
      <c r="D2362" s="630"/>
      <c r="E2362" s="631"/>
      <c r="F2362" s="290"/>
      <c r="G2362" s="472"/>
      <c r="H2362" s="629">
        <f>H2360*(1-H2361)</f>
        <v>0</v>
      </c>
      <c r="I2362" s="630"/>
      <c r="J2362" s="630"/>
      <c r="K2362" s="630"/>
      <c r="L2362" s="631"/>
      <c r="M2362" s="656">
        <f>SUM(B2362,H2362)</f>
        <v>18.400000000000002</v>
      </c>
      <c r="N2362" s="630"/>
      <c r="O2362" s="631"/>
      <c r="Q2362" s="147" t="s">
        <v>82</v>
      </c>
      <c r="R2362" s="88">
        <v>8</v>
      </c>
      <c r="S2362" s="89" t="s">
        <v>710</v>
      </c>
    </row>
    <row r="2363" spans="1:19" ht="15.75" thickBot="1" x14ac:dyDescent="0.3">
      <c r="A2363" s="177" t="s">
        <v>108</v>
      </c>
      <c r="B2363" s="626">
        <f>B2366/B2362</f>
        <v>0.68360054347826105</v>
      </c>
      <c r="C2363" s="627"/>
      <c r="D2363" s="627"/>
      <c r="E2363" s="627"/>
      <c r="F2363" s="627"/>
      <c r="G2363" s="627"/>
      <c r="H2363" s="627"/>
      <c r="I2363" s="627"/>
      <c r="J2363" s="627"/>
      <c r="K2363" s="627"/>
      <c r="L2363" s="627"/>
      <c r="M2363" s="627"/>
      <c r="N2363" s="627"/>
      <c r="O2363" s="628"/>
      <c r="Q2363" s="147" t="s">
        <v>152</v>
      </c>
      <c r="R2363" s="88">
        <v>8</v>
      </c>
      <c r="S2363" s="89" t="s">
        <v>673</v>
      </c>
    </row>
    <row r="2364" spans="1:19" ht="15.75" thickBot="1" x14ac:dyDescent="0.3">
      <c r="A2364" s="177" t="s">
        <v>113</v>
      </c>
      <c r="B2364" s="629">
        <f>B2368*(B2372+B2373+I2372+I2373)/1000</f>
        <v>40.575000000000003</v>
      </c>
      <c r="C2364" s="630"/>
      <c r="D2364" s="630"/>
      <c r="E2364" s="630"/>
      <c r="F2364" s="630"/>
      <c r="G2364" s="630"/>
      <c r="H2364" s="630"/>
      <c r="I2364" s="630"/>
      <c r="J2364" s="630"/>
      <c r="K2364" s="630"/>
      <c r="L2364" s="630"/>
      <c r="M2364" s="630"/>
      <c r="N2364" s="630"/>
      <c r="O2364" s="631"/>
      <c r="Q2364" s="147" t="s">
        <v>154</v>
      </c>
      <c r="R2364" s="88">
        <v>8</v>
      </c>
      <c r="S2364" s="87" t="s">
        <v>520</v>
      </c>
    </row>
    <row r="2365" spans="1:19" ht="29.25" thickBot="1" x14ac:dyDescent="0.3">
      <c r="A2365" s="177" t="s">
        <v>109</v>
      </c>
      <c r="B2365" s="626">
        <v>0.69</v>
      </c>
      <c r="C2365" s="627"/>
      <c r="D2365" s="627"/>
      <c r="E2365" s="627"/>
      <c r="F2365" s="627"/>
      <c r="G2365" s="627"/>
      <c r="H2365" s="627"/>
      <c r="I2365" s="627"/>
      <c r="J2365" s="627"/>
      <c r="K2365" s="627"/>
      <c r="L2365" s="627"/>
      <c r="M2365" s="627"/>
      <c r="N2365" s="627"/>
      <c r="O2365" s="628"/>
      <c r="Q2365" s="147" t="s">
        <v>156</v>
      </c>
      <c r="R2365" s="88">
        <v>8</v>
      </c>
      <c r="S2365" s="87" t="s">
        <v>577</v>
      </c>
    </row>
    <row r="2366" spans="1:19" ht="15.75" thickBot="1" x14ac:dyDescent="0.3">
      <c r="A2366" s="177" t="s">
        <v>122</v>
      </c>
      <c r="B2366" s="629">
        <f>B2364-(B2364*B2365)</f>
        <v>12.578250000000004</v>
      </c>
      <c r="C2366" s="630"/>
      <c r="D2366" s="630"/>
      <c r="E2366" s="630"/>
      <c r="F2366" s="630"/>
      <c r="G2366" s="630"/>
      <c r="H2366" s="630"/>
      <c r="I2366" s="630"/>
      <c r="J2366" s="630"/>
      <c r="K2366" s="630"/>
      <c r="L2366" s="630"/>
      <c r="M2366" s="630"/>
      <c r="N2366" s="630"/>
      <c r="O2366" s="631"/>
      <c r="Q2366" s="147" t="s">
        <v>158</v>
      </c>
      <c r="R2366" s="88"/>
      <c r="S2366" s="87"/>
    </row>
    <row r="2367" spans="1:19" ht="15.75" thickBot="1" x14ac:dyDescent="0.3">
      <c r="A2367" s="177" t="s">
        <v>110</v>
      </c>
      <c r="B2367" s="632">
        <v>125</v>
      </c>
      <c r="C2367" s="633"/>
      <c r="D2367" s="633"/>
      <c r="E2367" s="633"/>
      <c r="F2367" s="633"/>
      <c r="G2367" s="633"/>
      <c r="H2367" s="633"/>
      <c r="I2367" s="633"/>
      <c r="J2367" s="633"/>
      <c r="K2367" s="633"/>
      <c r="L2367" s="633"/>
      <c r="M2367" s="633"/>
      <c r="N2367" s="633"/>
      <c r="O2367" s="634"/>
      <c r="Q2367" s="570" t="s">
        <v>99</v>
      </c>
      <c r="R2367" s="87" t="s">
        <v>572</v>
      </c>
      <c r="S2367" s="148">
        <v>0.8</v>
      </c>
    </row>
    <row r="2368" spans="1:19" x14ac:dyDescent="0.25">
      <c r="A2368" s="177" t="s">
        <v>111</v>
      </c>
      <c r="B2368" s="635">
        <v>15</v>
      </c>
      <c r="C2368" s="636"/>
      <c r="D2368" s="636"/>
      <c r="E2368" s="636"/>
      <c r="F2368" s="636"/>
      <c r="G2368" s="636"/>
      <c r="H2368" s="636"/>
      <c r="I2368" s="636"/>
      <c r="J2368" s="636"/>
      <c r="K2368" s="636"/>
      <c r="L2368" s="636"/>
      <c r="M2368" s="636"/>
      <c r="N2368" s="636"/>
      <c r="O2368" s="637"/>
    </row>
    <row r="2369" spans="1:19" x14ac:dyDescent="0.25">
      <c r="A2369" s="177" t="s">
        <v>273</v>
      </c>
      <c r="B2369" s="638" t="s">
        <v>679</v>
      </c>
      <c r="C2369" s="638"/>
      <c r="D2369" s="638"/>
      <c r="E2369" s="638"/>
      <c r="F2369" s="638"/>
      <c r="G2369" s="638"/>
      <c r="H2369" s="638"/>
      <c r="I2369" s="638"/>
      <c r="J2369" s="638"/>
      <c r="K2369" s="638"/>
      <c r="L2369" s="638"/>
      <c r="M2369" s="638"/>
      <c r="N2369" s="638"/>
      <c r="O2369" s="639"/>
    </row>
    <row r="2370" spans="1:19" x14ac:dyDescent="0.25">
      <c r="A2370" s="177" t="s">
        <v>351</v>
      </c>
      <c r="B2370" s="431"/>
      <c r="C2370" s="431"/>
      <c r="D2370" s="431"/>
      <c r="E2370" s="431"/>
      <c r="F2370" s="431"/>
      <c r="G2370" s="431"/>
      <c r="H2370" s="431"/>
      <c r="I2370" s="431"/>
      <c r="J2370" s="431"/>
      <c r="K2370" s="431"/>
      <c r="L2370" s="431"/>
      <c r="M2370" s="431"/>
      <c r="N2370" s="431"/>
      <c r="O2370" s="432"/>
    </row>
    <row r="2371" spans="1:19" x14ac:dyDescent="0.25">
      <c r="B2371" s="307" t="s">
        <v>98</v>
      </c>
      <c r="C2371" s="365" t="s">
        <v>102</v>
      </c>
      <c r="D2371" s="365" t="s">
        <v>92</v>
      </c>
      <c r="E2371" s="365" t="s">
        <v>93</v>
      </c>
      <c r="F2371" s="365" t="s">
        <v>94</v>
      </c>
      <c r="G2371" s="365" t="s">
        <v>549</v>
      </c>
      <c r="H2371" s="359" t="s">
        <v>99</v>
      </c>
      <c r="I2371" s="307" t="s">
        <v>98</v>
      </c>
      <c r="J2371" s="365" t="s">
        <v>102</v>
      </c>
      <c r="K2371" s="365" t="s">
        <v>92</v>
      </c>
      <c r="L2371" s="365" t="s">
        <v>93</v>
      </c>
      <c r="M2371" s="365" t="s">
        <v>94</v>
      </c>
      <c r="N2371" s="365" t="s">
        <v>549</v>
      </c>
      <c r="O2371" s="359" t="s">
        <v>99</v>
      </c>
    </row>
    <row r="2372" spans="1:19" x14ac:dyDescent="0.25">
      <c r="B2372" s="308">
        <v>1170</v>
      </c>
      <c r="C2372" s="365" t="s">
        <v>95</v>
      </c>
      <c r="D2372" s="441">
        <v>1134.0899999999999</v>
      </c>
      <c r="E2372" s="441">
        <v>540.36</v>
      </c>
      <c r="F2372" s="441">
        <v>149.87</v>
      </c>
      <c r="G2372" s="441"/>
      <c r="H2372" s="359">
        <f>SUM(D2372:G2372)</f>
        <v>1824.3199999999997</v>
      </c>
      <c r="I2372" s="308">
        <v>1135</v>
      </c>
      <c r="J2372" s="365" t="s">
        <v>95</v>
      </c>
      <c r="K2372" s="441">
        <v>1329.08</v>
      </c>
      <c r="L2372" s="441">
        <v>698.2</v>
      </c>
      <c r="M2372" s="441">
        <v>346.6</v>
      </c>
      <c r="N2372" s="441">
        <v>169.4</v>
      </c>
      <c r="O2372" s="359">
        <f>SUM(K2372:N2372)</f>
        <v>2543.2800000000002</v>
      </c>
    </row>
    <row r="2373" spans="1:19" x14ac:dyDescent="0.25">
      <c r="B2373" s="308">
        <v>200</v>
      </c>
      <c r="C2373" s="365" t="s">
        <v>96</v>
      </c>
      <c r="D2373" s="441">
        <v>148.61000000000001</v>
      </c>
      <c r="E2373" s="441">
        <v>81.45</v>
      </c>
      <c r="F2373" s="441">
        <v>43.6</v>
      </c>
      <c r="G2373" s="441"/>
      <c r="H2373" s="359">
        <f t="shared" ref="H2373:H2379" si="325">SUM(D2373:G2373)</f>
        <v>273.66000000000003</v>
      </c>
      <c r="I2373" s="308">
        <v>200</v>
      </c>
      <c r="J2373" s="365" t="s">
        <v>96</v>
      </c>
      <c r="K2373" s="441">
        <v>168.58</v>
      </c>
      <c r="L2373" s="441">
        <v>111.84</v>
      </c>
      <c r="M2373" s="441">
        <v>64.239999999999995</v>
      </c>
      <c r="N2373" s="441">
        <v>22.54</v>
      </c>
      <c r="O2373" s="359">
        <f t="shared" ref="O2373:O2379" si="326">SUM(K2373:N2373)</f>
        <v>367.20000000000005</v>
      </c>
    </row>
    <row r="2374" spans="1:19" x14ac:dyDescent="0.25">
      <c r="B2374" s="307" t="s">
        <v>100</v>
      </c>
      <c r="C2374" s="365" t="s">
        <v>95</v>
      </c>
      <c r="D2374" s="444">
        <f t="shared" ref="D2374:G2375" si="327">D2372/$B2372</f>
        <v>0.9693076923076922</v>
      </c>
      <c r="E2374" s="429">
        <f t="shared" si="327"/>
        <v>0.46184615384615385</v>
      </c>
      <c r="F2374" s="429">
        <f t="shared" si="327"/>
        <v>0.1280940170940171</v>
      </c>
      <c r="G2374" s="429">
        <f t="shared" si="327"/>
        <v>0</v>
      </c>
      <c r="H2374" s="359">
        <f t="shared" si="325"/>
        <v>1.559247863247863</v>
      </c>
      <c r="I2374" s="307" t="s">
        <v>100</v>
      </c>
      <c r="J2374" s="365" t="s">
        <v>95</v>
      </c>
      <c r="K2374" s="444">
        <f t="shared" ref="K2374:N2375" si="328">K2372/$I2372</f>
        <v>1.1709955947136563</v>
      </c>
      <c r="L2374" s="429">
        <f t="shared" si="328"/>
        <v>0.61515418502202646</v>
      </c>
      <c r="M2374" s="429">
        <f t="shared" si="328"/>
        <v>0.30537444933920704</v>
      </c>
      <c r="N2374" s="429">
        <f t="shared" si="328"/>
        <v>0.14925110132158592</v>
      </c>
      <c r="O2374" s="359">
        <f t="shared" si="326"/>
        <v>2.2407753303964757</v>
      </c>
    </row>
    <row r="2375" spans="1:19" x14ac:dyDescent="0.25">
      <c r="B2375" s="307" t="s">
        <v>100</v>
      </c>
      <c r="C2375" s="438" t="s">
        <v>96</v>
      </c>
      <c r="D2375" s="359">
        <f t="shared" si="327"/>
        <v>0.7430500000000001</v>
      </c>
      <c r="E2375" s="359">
        <f t="shared" si="327"/>
        <v>0.40725</v>
      </c>
      <c r="F2375" s="359">
        <f t="shared" si="327"/>
        <v>0.218</v>
      </c>
      <c r="G2375" s="359">
        <f t="shared" si="327"/>
        <v>0</v>
      </c>
      <c r="H2375" s="359">
        <f t="shared" si="325"/>
        <v>1.3683000000000001</v>
      </c>
      <c r="I2375" s="307" t="s">
        <v>100</v>
      </c>
      <c r="J2375" s="438" t="s">
        <v>96</v>
      </c>
      <c r="K2375" s="359">
        <f t="shared" si="328"/>
        <v>0.84290000000000009</v>
      </c>
      <c r="L2375" s="359">
        <f t="shared" si="328"/>
        <v>0.55920000000000003</v>
      </c>
      <c r="M2375" s="359">
        <f t="shared" si="328"/>
        <v>0.32119999999999999</v>
      </c>
      <c r="N2375" s="359">
        <f t="shared" si="328"/>
        <v>0.11269999999999999</v>
      </c>
      <c r="O2375" s="359">
        <f t="shared" si="326"/>
        <v>1.8360000000000001</v>
      </c>
    </row>
    <row r="2376" spans="1:19" x14ac:dyDescent="0.25">
      <c r="B2376" s="307" t="s">
        <v>104</v>
      </c>
      <c r="C2376" s="365" t="s">
        <v>95</v>
      </c>
      <c r="D2376" s="359">
        <f>D2372/($B2372/7.7)</f>
        <v>7.4636692307692298</v>
      </c>
      <c r="E2376" s="359">
        <f>E2372/($B2372/7)</f>
        <v>3.2329230769230772</v>
      </c>
      <c r="F2376" s="359">
        <f>F2372/($B2372/7)</f>
        <v>0.8966581196581197</v>
      </c>
      <c r="G2376" s="359">
        <f>G2372/($B2372/7)</f>
        <v>0</v>
      </c>
      <c r="H2376" s="359">
        <f t="shared" si="325"/>
        <v>11.593250427350426</v>
      </c>
      <c r="I2376" s="307" t="s">
        <v>104</v>
      </c>
      <c r="J2376" s="365" t="s">
        <v>95</v>
      </c>
      <c r="K2376" s="359">
        <f>K2372/($I2372/7.7)</f>
        <v>9.0166660792951543</v>
      </c>
      <c r="L2376" s="359">
        <f>L2372/($I2372/7)</f>
        <v>4.3060792951541851</v>
      </c>
      <c r="M2376" s="359">
        <f>M2372/($I2372/7)</f>
        <v>2.1376211453744496</v>
      </c>
      <c r="N2376" s="359">
        <f>N2372/($I2372/7)</f>
        <v>1.0447577092511013</v>
      </c>
      <c r="O2376" s="359">
        <f t="shared" si="326"/>
        <v>16.505124229074891</v>
      </c>
    </row>
    <row r="2377" spans="1:19" x14ac:dyDescent="0.25">
      <c r="B2377" s="307" t="s">
        <v>104</v>
      </c>
      <c r="C2377" s="438" t="s">
        <v>96</v>
      </c>
      <c r="D2377" s="359">
        <f>D2373/($B2373/7.7)</f>
        <v>5.7214850000000004</v>
      </c>
      <c r="E2377" s="359">
        <f>E2373/($B2373/7.7)</f>
        <v>3.1358250000000001</v>
      </c>
      <c r="F2377" s="359">
        <f>F2373/($B2373/7.7)</f>
        <v>1.6786000000000001</v>
      </c>
      <c r="G2377" s="359">
        <f>G2373/($B2373/7.7)</f>
        <v>0</v>
      </c>
      <c r="H2377" s="359">
        <f t="shared" si="325"/>
        <v>10.535909999999999</v>
      </c>
      <c r="I2377" s="307" t="s">
        <v>104</v>
      </c>
      <c r="J2377" s="438" t="s">
        <v>96</v>
      </c>
      <c r="K2377" s="359">
        <f>K2373/($I2373/7.7)</f>
        <v>6.4903300000000002</v>
      </c>
      <c r="L2377" s="359">
        <f>L2373/($I2373/7.7)</f>
        <v>4.3058399999999999</v>
      </c>
      <c r="M2377" s="359">
        <f>M2373/($I2373/7.7)</f>
        <v>2.4732399999999997</v>
      </c>
      <c r="N2377" s="359">
        <f>N2373/($I2373/7.7)</f>
        <v>0.86778999999999995</v>
      </c>
      <c r="O2377" s="359">
        <f t="shared" si="326"/>
        <v>14.1372</v>
      </c>
    </row>
    <row r="2378" spans="1:19" x14ac:dyDescent="0.25">
      <c r="B2378" s="307" t="s">
        <v>135</v>
      </c>
      <c r="C2378" s="365" t="s">
        <v>95</v>
      </c>
      <c r="D2378" s="359">
        <f>D2372/((($B2372*$B2368)*(1-$B2365))/$B2363)</f>
        <v>0.14249876672240802</v>
      </c>
      <c r="E2378" s="359">
        <f>E2372/((($B2372*$B2368)*(1-$B2365))/$B2363)</f>
        <v>6.7896404682274258E-2</v>
      </c>
      <c r="F2378" s="359">
        <f>F2372/((($B2372*$B2368)*(1-$B2365))/$B2363)</f>
        <v>1.8831212839093274E-2</v>
      </c>
      <c r="G2378" s="359">
        <f>G2372/((($B2372*$B2368)*(1-$B2365))/$B2363)</f>
        <v>0</v>
      </c>
      <c r="H2378" s="359">
        <f t="shared" si="325"/>
        <v>0.22922638424377556</v>
      </c>
      <c r="I2378" s="307" t="s">
        <v>135</v>
      </c>
      <c r="J2378" s="365" t="s">
        <v>95</v>
      </c>
      <c r="K2378" s="359">
        <f>K2372/((($I2372*$B2368)*(1-$B2365))/$B2363)</f>
        <v>0.17214908063589351</v>
      </c>
      <c r="L2378" s="359">
        <f>L2372/((($I2372*$B2368)*(1-$B2365))/$B2363)</f>
        <v>9.0434351656770745E-2</v>
      </c>
      <c r="M2378" s="359">
        <f>M2372/((($I2372*$B2368)*(1-$B2365))/$B2363)</f>
        <v>4.4893363340356263E-2</v>
      </c>
      <c r="N2378" s="359">
        <f>N2372/((($I2372*$B2368)*(1-$B2365))/$B2363)</f>
        <v>2.1941534188852713E-2</v>
      </c>
      <c r="O2378" s="359">
        <f t="shared" si="326"/>
        <v>0.32941832982187319</v>
      </c>
    </row>
    <row r="2379" spans="1:19" x14ac:dyDescent="0.25">
      <c r="B2379" s="307" t="s">
        <v>135</v>
      </c>
      <c r="C2379" s="438" t="s">
        <v>96</v>
      </c>
      <c r="D2379" s="359">
        <f>D2373/((($B2373*$B2368)*(1-$B2365))/$B2363)</f>
        <v>0.10923642663043481</v>
      </c>
      <c r="E2379" s="359">
        <f>E2373/((($B2373*$B2368)*(1-$B2365))/$B2363)</f>
        <v>5.9870176630434792E-2</v>
      </c>
      <c r="F2379" s="359">
        <f>F2373/((($B2373*$B2368)*(1-$B2365))/$B2363)</f>
        <v>3.2048369565217401E-2</v>
      </c>
      <c r="G2379" s="359">
        <f>G2373/((($B2373*$B2368)*(1-$B2365))/$B2363)</f>
        <v>0</v>
      </c>
      <c r="H2379" s="359">
        <f t="shared" si="325"/>
        <v>0.20115497282608699</v>
      </c>
      <c r="I2379" s="307" t="s">
        <v>135</v>
      </c>
      <c r="J2379" s="438" t="s">
        <v>96</v>
      </c>
      <c r="K2379" s="359">
        <f>K2373/((($I2373*$B2368)*(1-$B2365))/$B2363)</f>
        <v>0.12391546195652177</v>
      </c>
      <c r="L2379" s="359">
        <f>L2373/((($I2373*$B2368)*(1-$B2365))/$B2363)</f>
        <v>8.2208478260869577E-2</v>
      </c>
      <c r="M2379" s="359">
        <f>M2373/((($I2373*$B2368)*(1-$B2365))/$B2363)</f>
        <v>4.7219891304347832E-2</v>
      </c>
      <c r="N2379" s="359">
        <f>N2373/((($I2373*$B2368)*(1-$B2365))/$B2363)</f>
        <v>1.6568125000000003E-2</v>
      </c>
      <c r="O2379" s="359">
        <f t="shared" si="326"/>
        <v>0.26991195652173916</v>
      </c>
    </row>
    <row r="2380" spans="1:19" ht="15.75" thickBot="1" x14ac:dyDescent="0.3">
      <c r="A2380" s="178"/>
      <c r="B2380" s="178"/>
      <c r="C2380" s="178"/>
      <c r="D2380" s="178"/>
      <c r="E2380" s="178"/>
      <c r="F2380" s="178"/>
      <c r="G2380" s="178"/>
      <c r="H2380" s="178"/>
      <c r="I2380" s="178"/>
      <c r="J2380" s="178"/>
      <c r="K2380" s="178"/>
      <c r="L2380" s="178"/>
      <c r="M2380" s="178"/>
      <c r="N2380" s="178"/>
      <c r="O2380" s="178"/>
    </row>
    <row r="2381" spans="1:19" ht="21" x14ac:dyDescent="0.25">
      <c r="A2381" s="305"/>
      <c r="B2381" s="644" t="s">
        <v>677</v>
      </c>
      <c r="C2381" s="645"/>
      <c r="D2381" s="645"/>
      <c r="E2381" s="645"/>
      <c r="F2381" s="645"/>
      <c r="G2381" s="645"/>
      <c r="H2381" s="645"/>
      <c r="I2381" s="645"/>
      <c r="J2381" s="645"/>
      <c r="K2381" s="645"/>
      <c r="L2381" s="645"/>
      <c r="M2381" s="645"/>
      <c r="N2381" s="645"/>
      <c r="O2381" s="646"/>
      <c r="Q2381" s="640" t="s">
        <v>139</v>
      </c>
      <c r="R2381" s="544" t="s">
        <v>659</v>
      </c>
      <c r="S2381" s="642" t="s">
        <v>142</v>
      </c>
    </row>
    <row r="2382" spans="1:19" ht="21.75" thickBot="1" x14ac:dyDescent="0.3">
      <c r="A2382" s="177" t="s">
        <v>285</v>
      </c>
      <c r="B2382" s="647">
        <v>44713</v>
      </c>
      <c r="C2382" s="648"/>
      <c r="D2382" s="648"/>
      <c r="E2382" s="648"/>
      <c r="F2382" s="648"/>
      <c r="G2382" s="648"/>
      <c r="H2382" s="648"/>
      <c r="I2382" s="648"/>
      <c r="J2382" s="648"/>
      <c r="K2382" s="648"/>
      <c r="L2382" s="648"/>
      <c r="M2382" s="648"/>
      <c r="N2382" s="648"/>
      <c r="O2382" s="649"/>
      <c r="Q2382" s="641"/>
      <c r="R2382" s="87" t="s">
        <v>141</v>
      </c>
      <c r="S2382" s="643"/>
    </row>
    <row r="2383" spans="1:19" ht="15.75" thickBot="1" x14ac:dyDescent="0.3">
      <c r="A2383" s="177"/>
      <c r="B2383" s="650" t="s">
        <v>115</v>
      </c>
      <c r="C2383" s="651"/>
      <c r="D2383" s="651"/>
      <c r="E2383" s="651"/>
      <c r="F2383" s="651"/>
      <c r="G2383" s="651"/>
      <c r="H2383" s="651"/>
      <c r="I2383" s="651"/>
      <c r="J2383" s="651"/>
      <c r="K2383" s="651"/>
      <c r="L2383" s="651"/>
      <c r="M2383" s="651"/>
      <c r="N2383" s="651"/>
      <c r="O2383" s="652"/>
      <c r="Q2383" s="147" t="s">
        <v>143</v>
      </c>
      <c r="R2383" s="88">
        <v>7</v>
      </c>
      <c r="S2383" s="87" t="s">
        <v>713</v>
      </c>
    </row>
    <row r="2384" spans="1:19" ht="15.75" thickBot="1" x14ac:dyDescent="0.3">
      <c r="A2384" s="177" t="s">
        <v>106</v>
      </c>
      <c r="B2384" s="629">
        <v>23</v>
      </c>
      <c r="C2384" s="630"/>
      <c r="D2384" s="630"/>
      <c r="E2384" s="631"/>
      <c r="F2384" s="365" t="s">
        <v>174</v>
      </c>
      <c r="G2384" s="471"/>
      <c r="H2384" s="653">
        <v>0</v>
      </c>
      <c r="I2384" s="654"/>
      <c r="J2384" s="654"/>
      <c r="K2384" s="654"/>
      <c r="L2384" s="655"/>
      <c r="M2384" s="656">
        <f>SUM(B2384,H2385)</f>
        <v>23</v>
      </c>
      <c r="N2384" s="630"/>
      <c r="O2384" s="631"/>
      <c r="Q2384" s="147" t="s">
        <v>145</v>
      </c>
      <c r="R2384" s="88">
        <v>7</v>
      </c>
      <c r="S2384" s="89" t="s">
        <v>714</v>
      </c>
    </row>
    <row r="2385" spans="1:19" ht="15.75" thickBot="1" x14ac:dyDescent="0.3">
      <c r="A2385" s="177" t="s">
        <v>112</v>
      </c>
      <c r="B2385" s="626">
        <v>0.14000000000000001</v>
      </c>
      <c r="C2385" s="627"/>
      <c r="D2385" s="627"/>
      <c r="E2385" s="628"/>
      <c r="F2385" s="290"/>
      <c r="G2385" s="472"/>
      <c r="H2385" s="626">
        <v>0</v>
      </c>
      <c r="I2385" s="627"/>
      <c r="J2385" s="627"/>
      <c r="K2385" s="627"/>
      <c r="L2385" s="628"/>
      <c r="M2385" s="657">
        <f>B2385</f>
        <v>0.14000000000000001</v>
      </c>
      <c r="N2385" s="627"/>
      <c r="O2385" s="628"/>
      <c r="Q2385" s="147" t="s">
        <v>147</v>
      </c>
      <c r="R2385" s="88">
        <v>8</v>
      </c>
      <c r="S2385" s="87" t="s">
        <v>715</v>
      </c>
    </row>
    <row r="2386" spans="1:19" ht="15.75" thickBot="1" x14ac:dyDescent="0.3">
      <c r="A2386" s="177" t="s">
        <v>107</v>
      </c>
      <c r="B2386" s="629">
        <f>B2384*(1-B2385)</f>
        <v>19.78</v>
      </c>
      <c r="C2386" s="630"/>
      <c r="D2386" s="630"/>
      <c r="E2386" s="631"/>
      <c r="F2386" s="290"/>
      <c r="G2386" s="472"/>
      <c r="H2386" s="629">
        <f>H2384*(1-H2385)</f>
        <v>0</v>
      </c>
      <c r="I2386" s="630"/>
      <c r="J2386" s="630"/>
      <c r="K2386" s="630"/>
      <c r="L2386" s="631"/>
      <c r="M2386" s="656">
        <f>SUM(B2386,H2386)</f>
        <v>19.78</v>
      </c>
      <c r="N2386" s="630"/>
      <c r="O2386" s="631"/>
      <c r="Q2386" s="147" t="s">
        <v>82</v>
      </c>
      <c r="R2386" s="88">
        <v>8</v>
      </c>
      <c r="S2386" s="89" t="s">
        <v>716</v>
      </c>
    </row>
    <row r="2387" spans="1:19" ht="15.75" thickBot="1" x14ac:dyDescent="0.3">
      <c r="A2387" s="177" t="s">
        <v>108</v>
      </c>
      <c r="B2387" s="626">
        <f>B2390/B2386</f>
        <v>0.81526933771486343</v>
      </c>
      <c r="C2387" s="627"/>
      <c r="D2387" s="627"/>
      <c r="E2387" s="627"/>
      <c r="F2387" s="627"/>
      <c r="G2387" s="627"/>
      <c r="H2387" s="627"/>
      <c r="I2387" s="627"/>
      <c r="J2387" s="627"/>
      <c r="K2387" s="627"/>
      <c r="L2387" s="627"/>
      <c r="M2387" s="627"/>
      <c r="N2387" s="627"/>
      <c r="O2387" s="628"/>
      <c r="Q2387" s="147" t="s">
        <v>152</v>
      </c>
      <c r="R2387" s="88">
        <v>7</v>
      </c>
      <c r="S2387" s="89" t="s">
        <v>717</v>
      </c>
    </row>
    <row r="2388" spans="1:19" ht="15.75" thickBot="1" x14ac:dyDescent="0.3">
      <c r="A2388" s="177" t="s">
        <v>113</v>
      </c>
      <c r="B2388" s="629">
        <f>B2392*(B2396+B2397+I2396+I2397)/1000</f>
        <v>54.664499999999997</v>
      </c>
      <c r="C2388" s="630"/>
      <c r="D2388" s="630"/>
      <c r="E2388" s="630"/>
      <c r="F2388" s="630"/>
      <c r="G2388" s="630"/>
      <c r="H2388" s="630"/>
      <c r="I2388" s="630"/>
      <c r="J2388" s="630"/>
      <c r="K2388" s="630"/>
      <c r="L2388" s="630"/>
      <c r="M2388" s="630"/>
      <c r="N2388" s="630"/>
      <c r="O2388" s="631"/>
      <c r="Q2388" s="147" t="s">
        <v>154</v>
      </c>
      <c r="R2388" s="88">
        <v>6</v>
      </c>
      <c r="S2388" s="87" t="s">
        <v>718</v>
      </c>
    </row>
    <row r="2389" spans="1:19" ht="29.25" thickBot="1" x14ac:dyDescent="0.3">
      <c r="A2389" s="177" t="s">
        <v>109</v>
      </c>
      <c r="B2389" s="626">
        <v>0.70499999999999996</v>
      </c>
      <c r="C2389" s="627"/>
      <c r="D2389" s="627"/>
      <c r="E2389" s="627"/>
      <c r="F2389" s="627"/>
      <c r="G2389" s="627"/>
      <c r="H2389" s="627"/>
      <c r="I2389" s="627"/>
      <c r="J2389" s="627"/>
      <c r="K2389" s="627"/>
      <c r="L2389" s="627"/>
      <c r="M2389" s="627"/>
      <c r="N2389" s="627"/>
      <c r="O2389" s="628"/>
      <c r="Q2389" s="147" t="s">
        <v>156</v>
      </c>
      <c r="R2389" s="88">
        <v>6</v>
      </c>
      <c r="S2389" s="87" t="s">
        <v>708</v>
      </c>
    </row>
    <row r="2390" spans="1:19" ht="15.75" thickBot="1" x14ac:dyDescent="0.3">
      <c r="A2390" s="177" t="s">
        <v>122</v>
      </c>
      <c r="B2390" s="629">
        <f>B2388-(B2388*B2389)</f>
        <v>16.126027499999999</v>
      </c>
      <c r="C2390" s="630"/>
      <c r="D2390" s="630"/>
      <c r="E2390" s="630"/>
      <c r="F2390" s="630"/>
      <c r="G2390" s="630"/>
      <c r="H2390" s="630"/>
      <c r="I2390" s="630"/>
      <c r="J2390" s="630"/>
      <c r="K2390" s="630"/>
      <c r="L2390" s="630"/>
      <c r="M2390" s="630"/>
      <c r="N2390" s="630"/>
      <c r="O2390" s="631"/>
      <c r="Q2390" s="147" t="s">
        <v>158</v>
      </c>
      <c r="R2390" s="88"/>
      <c r="S2390" s="87"/>
    </row>
    <row r="2391" spans="1:19" ht="15.75" thickBot="1" x14ac:dyDescent="0.3">
      <c r="A2391" s="177" t="s">
        <v>110</v>
      </c>
      <c r="B2391" s="632">
        <v>125</v>
      </c>
      <c r="C2391" s="633"/>
      <c r="D2391" s="633"/>
      <c r="E2391" s="633"/>
      <c r="F2391" s="633"/>
      <c r="G2391" s="633"/>
      <c r="H2391" s="633"/>
      <c r="I2391" s="633"/>
      <c r="J2391" s="633"/>
      <c r="K2391" s="633"/>
      <c r="L2391" s="633"/>
      <c r="M2391" s="633"/>
      <c r="N2391" s="633"/>
      <c r="O2391" s="634"/>
      <c r="Q2391" s="570" t="s">
        <v>99</v>
      </c>
      <c r="R2391" s="87" t="s">
        <v>712</v>
      </c>
      <c r="S2391" s="148">
        <v>0.7</v>
      </c>
    </row>
    <row r="2392" spans="1:19" x14ac:dyDescent="0.25">
      <c r="A2392" s="177" t="s">
        <v>111</v>
      </c>
      <c r="B2392" s="635">
        <v>16.5</v>
      </c>
      <c r="C2392" s="636"/>
      <c r="D2392" s="636"/>
      <c r="E2392" s="636"/>
      <c r="F2392" s="636"/>
      <c r="G2392" s="636"/>
      <c r="H2392" s="636"/>
      <c r="I2392" s="636"/>
      <c r="J2392" s="636"/>
      <c r="K2392" s="636"/>
      <c r="L2392" s="636"/>
      <c r="M2392" s="636"/>
      <c r="N2392" s="636"/>
      <c r="O2392" s="637"/>
    </row>
    <row r="2393" spans="1:19" x14ac:dyDescent="0.25">
      <c r="A2393" s="177" t="s">
        <v>273</v>
      </c>
      <c r="B2393" s="638" t="s">
        <v>686</v>
      </c>
      <c r="C2393" s="638"/>
      <c r="D2393" s="638"/>
      <c r="E2393" s="638"/>
      <c r="F2393" s="638"/>
      <c r="G2393" s="638"/>
      <c r="H2393" s="638"/>
      <c r="I2393" s="638"/>
      <c r="J2393" s="638"/>
      <c r="K2393" s="638"/>
      <c r="L2393" s="638"/>
      <c r="M2393" s="638"/>
      <c r="N2393" s="638"/>
      <c r="O2393" s="639"/>
    </row>
    <row r="2394" spans="1:19" x14ac:dyDescent="0.25">
      <c r="A2394" s="177" t="s">
        <v>351</v>
      </c>
      <c r="B2394" s="431"/>
      <c r="C2394" s="431"/>
      <c r="D2394" s="431"/>
      <c r="E2394" s="431"/>
      <c r="F2394" s="431"/>
      <c r="G2394" s="431"/>
      <c r="H2394" s="431"/>
      <c r="I2394" s="431"/>
      <c r="J2394" s="431"/>
      <c r="K2394" s="431"/>
      <c r="L2394" s="431"/>
      <c r="M2394" s="431"/>
      <c r="N2394" s="431"/>
      <c r="O2394" s="432"/>
    </row>
    <row r="2395" spans="1:19" x14ac:dyDescent="0.25">
      <c r="B2395" s="307" t="s">
        <v>98</v>
      </c>
      <c r="C2395" s="365" t="s">
        <v>102</v>
      </c>
      <c r="D2395" s="365" t="s">
        <v>92</v>
      </c>
      <c r="E2395" s="365" t="s">
        <v>93</v>
      </c>
      <c r="F2395" s="365" t="s">
        <v>94</v>
      </c>
      <c r="G2395" s="365" t="s">
        <v>549</v>
      </c>
      <c r="H2395" s="359" t="s">
        <v>99</v>
      </c>
      <c r="I2395" s="307" t="s">
        <v>98</v>
      </c>
      <c r="J2395" s="365" t="s">
        <v>102</v>
      </c>
      <c r="K2395" s="365" t="s">
        <v>92</v>
      </c>
      <c r="L2395" s="365" t="s">
        <v>93</v>
      </c>
      <c r="M2395" s="365" t="s">
        <v>94</v>
      </c>
      <c r="N2395" s="365" t="s">
        <v>549</v>
      </c>
      <c r="O2395" s="359" t="s">
        <v>99</v>
      </c>
    </row>
    <row r="2396" spans="1:19" x14ac:dyDescent="0.25">
      <c r="B2396" s="308">
        <v>581</v>
      </c>
      <c r="C2396" s="365" t="s">
        <v>95</v>
      </c>
      <c r="D2396" s="441">
        <v>141.19999999999999</v>
      </c>
      <c r="E2396" s="441">
        <v>60.77</v>
      </c>
      <c r="F2396" s="441">
        <v>27.72</v>
      </c>
      <c r="G2396" s="441">
        <v>6.16</v>
      </c>
      <c r="H2396" s="359">
        <f>SUM(D2396:G2396)</f>
        <v>235.85</v>
      </c>
      <c r="I2396" s="308">
        <v>2332</v>
      </c>
      <c r="J2396" s="365" t="s">
        <v>95</v>
      </c>
      <c r="K2396" s="441">
        <v>0</v>
      </c>
      <c r="L2396" s="441">
        <v>0</v>
      </c>
      <c r="M2396" s="441">
        <v>0</v>
      </c>
      <c r="N2396" s="441">
        <v>0</v>
      </c>
      <c r="O2396" s="359">
        <f>SUM(K2396:N2396)</f>
        <v>0</v>
      </c>
    </row>
    <row r="2397" spans="1:19" x14ac:dyDescent="0.25">
      <c r="B2397" s="308">
        <v>72</v>
      </c>
      <c r="C2397" s="365" t="s">
        <v>96</v>
      </c>
      <c r="D2397" s="441">
        <v>4</v>
      </c>
      <c r="E2397" s="441">
        <v>0</v>
      </c>
      <c r="F2397" s="441">
        <v>0</v>
      </c>
      <c r="G2397" s="441"/>
      <c r="H2397" s="359">
        <f t="shared" ref="H2397:H2403" si="329">SUM(D2397:G2397)</f>
        <v>4</v>
      </c>
      <c r="I2397" s="308">
        <v>328</v>
      </c>
      <c r="J2397" s="365" t="s">
        <v>96</v>
      </c>
      <c r="K2397" s="441">
        <v>0</v>
      </c>
      <c r="L2397" s="441">
        <v>0</v>
      </c>
      <c r="M2397" s="441">
        <v>0</v>
      </c>
      <c r="N2397" s="441">
        <v>0</v>
      </c>
      <c r="O2397" s="359">
        <f t="shared" ref="O2397:O2403" si="330">SUM(K2397:N2397)</f>
        <v>0</v>
      </c>
    </row>
    <row r="2398" spans="1:19" x14ac:dyDescent="0.25">
      <c r="B2398" s="307" t="s">
        <v>100</v>
      </c>
      <c r="C2398" s="365" t="s">
        <v>95</v>
      </c>
      <c r="D2398" s="444">
        <f t="shared" ref="D2398:G2399" si="331">D2396/$B2396</f>
        <v>0.24302925989672974</v>
      </c>
      <c r="E2398" s="429">
        <f t="shared" si="331"/>
        <v>0.10459552495697075</v>
      </c>
      <c r="F2398" s="429">
        <f t="shared" si="331"/>
        <v>4.7710843373493975E-2</v>
      </c>
      <c r="G2398" s="429">
        <f t="shared" si="331"/>
        <v>1.0602409638554217E-2</v>
      </c>
      <c r="H2398" s="359">
        <f t="shared" si="329"/>
        <v>0.40593803786574867</v>
      </c>
      <c r="I2398" s="307" t="s">
        <v>100</v>
      </c>
      <c r="J2398" s="365" t="s">
        <v>95</v>
      </c>
      <c r="K2398" s="444">
        <f t="shared" ref="K2398:N2399" si="332">K2396/$I2396</f>
        <v>0</v>
      </c>
      <c r="L2398" s="429">
        <f t="shared" si="332"/>
        <v>0</v>
      </c>
      <c r="M2398" s="429">
        <f t="shared" si="332"/>
        <v>0</v>
      </c>
      <c r="N2398" s="429">
        <f t="shared" si="332"/>
        <v>0</v>
      </c>
      <c r="O2398" s="359">
        <f t="shared" si="330"/>
        <v>0</v>
      </c>
    </row>
    <row r="2399" spans="1:19" x14ac:dyDescent="0.25">
      <c r="B2399" s="307" t="s">
        <v>100</v>
      </c>
      <c r="C2399" s="438" t="s">
        <v>96</v>
      </c>
      <c r="D2399" s="359">
        <f t="shared" si="331"/>
        <v>5.5555555555555552E-2</v>
      </c>
      <c r="E2399" s="359">
        <f t="shared" si="331"/>
        <v>0</v>
      </c>
      <c r="F2399" s="359">
        <f t="shared" si="331"/>
        <v>0</v>
      </c>
      <c r="G2399" s="359">
        <f t="shared" si="331"/>
        <v>0</v>
      </c>
      <c r="H2399" s="359">
        <f t="shared" si="329"/>
        <v>5.5555555555555552E-2</v>
      </c>
      <c r="I2399" s="307" t="s">
        <v>100</v>
      </c>
      <c r="J2399" s="438" t="s">
        <v>96</v>
      </c>
      <c r="K2399" s="359">
        <f t="shared" si="332"/>
        <v>0</v>
      </c>
      <c r="L2399" s="359">
        <f t="shared" si="332"/>
        <v>0</v>
      </c>
      <c r="M2399" s="359">
        <f t="shared" si="332"/>
        <v>0</v>
      </c>
      <c r="N2399" s="359">
        <f t="shared" si="332"/>
        <v>0</v>
      </c>
      <c r="O2399" s="359">
        <f t="shared" si="330"/>
        <v>0</v>
      </c>
    </row>
    <row r="2400" spans="1:19" x14ac:dyDescent="0.25">
      <c r="B2400" s="307" t="s">
        <v>104</v>
      </c>
      <c r="C2400" s="365" t="s">
        <v>95</v>
      </c>
      <c r="D2400" s="359">
        <f>D2396/($B2396/7.7)</f>
        <v>1.8713253012048192</v>
      </c>
      <c r="E2400" s="359">
        <f>E2396/($B2396/7)</f>
        <v>0.73216867469879521</v>
      </c>
      <c r="F2400" s="359">
        <f>F2396/($B2396/7)</f>
        <v>0.33397590361445784</v>
      </c>
      <c r="G2400" s="359">
        <f>G2396/($B2396/7)</f>
        <v>7.4216867469879516E-2</v>
      </c>
      <c r="H2400" s="359">
        <f t="shared" si="329"/>
        <v>3.0116867469879511</v>
      </c>
      <c r="I2400" s="307" t="s">
        <v>104</v>
      </c>
      <c r="J2400" s="365" t="s">
        <v>95</v>
      </c>
      <c r="K2400" s="359">
        <f>K2396/($I2396/7.7)</f>
        <v>0</v>
      </c>
      <c r="L2400" s="359">
        <f>L2396/($I2396/7)</f>
        <v>0</v>
      </c>
      <c r="M2400" s="359">
        <f>M2396/($I2396/7)</f>
        <v>0</v>
      </c>
      <c r="N2400" s="359">
        <f>N2396/($I2396/7)</f>
        <v>0</v>
      </c>
      <c r="O2400" s="359">
        <f t="shared" si="330"/>
        <v>0</v>
      </c>
    </row>
    <row r="2401" spans="1:19" x14ac:dyDescent="0.25">
      <c r="B2401" s="307" t="s">
        <v>104</v>
      </c>
      <c r="C2401" s="438" t="s">
        <v>96</v>
      </c>
      <c r="D2401" s="359">
        <f>D2397/($B2397/7.7)</f>
        <v>0.42777777777777781</v>
      </c>
      <c r="E2401" s="359">
        <f>E2397/($B2397/7.7)</f>
        <v>0</v>
      </c>
      <c r="F2401" s="359">
        <f>F2397/($B2397/7.7)</f>
        <v>0</v>
      </c>
      <c r="G2401" s="359">
        <f>G2397/($B2397/7.7)</f>
        <v>0</v>
      </c>
      <c r="H2401" s="359">
        <f t="shared" si="329"/>
        <v>0.42777777777777781</v>
      </c>
      <c r="I2401" s="307" t="s">
        <v>104</v>
      </c>
      <c r="J2401" s="438" t="s">
        <v>96</v>
      </c>
      <c r="K2401" s="359">
        <f>K2397/($I2397/7.7)</f>
        <v>0</v>
      </c>
      <c r="L2401" s="359">
        <f>L2397/($I2397/7.7)</f>
        <v>0</v>
      </c>
      <c r="M2401" s="359">
        <f>M2397/($I2397/7.7)</f>
        <v>0</v>
      </c>
      <c r="N2401" s="359">
        <f>N2397/($I2397/7.7)</f>
        <v>0</v>
      </c>
      <c r="O2401" s="359">
        <f t="shared" si="330"/>
        <v>0</v>
      </c>
    </row>
    <row r="2402" spans="1:19" x14ac:dyDescent="0.25">
      <c r="B2402" s="307" t="s">
        <v>135</v>
      </c>
      <c r="C2402" s="365" t="s">
        <v>95</v>
      </c>
      <c r="D2402" s="359">
        <f>D2396/((($B2396*$B2392)*(1-$B2389))/$B2387)</f>
        <v>4.070555804033698E-2</v>
      </c>
      <c r="E2402" s="359">
        <f>E2396/((($B2396*$B2392)*(1-$B2389))/$B2387)</f>
        <v>1.7518957238748432E-2</v>
      </c>
      <c r="F2402" s="359">
        <f>F2396/((($B2396*$B2392)*(1-$B2389))/$B2387)</f>
        <v>7.9912044538111987E-3</v>
      </c>
      <c r="G2402" s="359">
        <f>G2396/((($B2396*$B2392)*(1-$B2389))/$B2387)</f>
        <v>1.7758232119580442E-3</v>
      </c>
      <c r="H2402" s="359">
        <f t="shared" si="329"/>
        <v>6.7991542944854655E-2</v>
      </c>
      <c r="I2402" s="307" t="s">
        <v>135</v>
      </c>
      <c r="J2402" s="365" t="s">
        <v>95</v>
      </c>
      <c r="K2402" s="359">
        <f>K2396/((($I2396*$B2392)*(1-$B2389))/$B2387)</f>
        <v>0</v>
      </c>
      <c r="L2402" s="359">
        <f>L2396/((($I2396*$B2392)*(1-$B2389))/$B2387)</f>
        <v>0</v>
      </c>
      <c r="M2402" s="359">
        <f>M2396/((($I2396*$B2392)*(1-$B2389))/$B2387)</f>
        <v>0</v>
      </c>
      <c r="N2402" s="359">
        <f>N2396/((($I2396*$B2392)*(1-$B2389))/$B2387)</f>
        <v>0</v>
      </c>
      <c r="O2402" s="359">
        <f t="shared" si="330"/>
        <v>0</v>
      </c>
    </row>
    <row r="2403" spans="1:19" x14ac:dyDescent="0.25">
      <c r="B2403" s="307" t="s">
        <v>135</v>
      </c>
      <c r="C2403" s="438" t="s">
        <v>96</v>
      </c>
      <c r="D2403" s="359">
        <f>D2397/((($B2397*$B2392)*(1-$B2389))/$B2387)</f>
        <v>9.305134254578136E-3</v>
      </c>
      <c r="E2403" s="359">
        <f>E2397/((($B2397*$B2392)*(1-$B2389))/$B2387)</f>
        <v>0</v>
      </c>
      <c r="F2403" s="359">
        <f>F2397/((($B2397*$B2392)*(1-$B2389))/$B2387)</f>
        <v>0</v>
      </c>
      <c r="G2403" s="359">
        <f>G2397/((($B2397*$B2392)*(1-$B2389))/$B2387)</f>
        <v>0</v>
      </c>
      <c r="H2403" s="359">
        <f t="shared" si="329"/>
        <v>9.305134254578136E-3</v>
      </c>
      <c r="I2403" s="307" t="s">
        <v>135</v>
      </c>
      <c r="J2403" s="438" t="s">
        <v>96</v>
      </c>
      <c r="K2403" s="359">
        <f>K2397/((($I2397*$B2392)*(1-$B2389))/$B2387)</f>
        <v>0</v>
      </c>
      <c r="L2403" s="359">
        <f>L2397/((($I2397*$B2392)*(1-$B2389))/$B2387)</f>
        <v>0</v>
      </c>
      <c r="M2403" s="359">
        <f>M2397/((($I2397*$B2392)*(1-$B2389))/$B2387)</f>
        <v>0</v>
      </c>
      <c r="N2403" s="359">
        <f>N2397/((($I2397*$B2392)*(1-$B2389))/$B2387)</f>
        <v>0</v>
      </c>
      <c r="O2403" s="359">
        <f t="shared" si="330"/>
        <v>0</v>
      </c>
    </row>
    <row r="2404" spans="1:19" ht="15.75" thickBot="1" x14ac:dyDescent="0.3">
      <c r="A2404" s="178"/>
      <c r="B2404" s="178"/>
      <c r="C2404" s="178"/>
      <c r="D2404" s="178"/>
      <c r="E2404" s="178"/>
      <c r="F2404" s="178"/>
      <c r="G2404" s="178"/>
      <c r="H2404" s="178"/>
      <c r="I2404" s="178"/>
      <c r="J2404" s="178"/>
      <c r="K2404" s="178"/>
      <c r="L2404" s="178"/>
      <c r="M2404" s="178"/>
      <c r="N2404" s="178"/>
      <c r="O2404" s="178"/>
    </row>
    <row r="2405" spans="1:19" ht="21" x14ac:dyDescent="0.25">
      <c r="A2405" s="305"/>
      <c r="B2405" s="644" t="s">
        <v>681</v>
      </c>
      <c r="C2405" s="645"/>
      <c r="D2405" s="645"/>
      <c r="E2405" s="645"/>
      <c r="F2405" s="645"/>
      <c r="G2405" s="645"/>
      <c r="H2405" s="645"/>
      <c r="I2405" s="645"/>
      <c r="J2405" s="645"/>
      <c r="K2405" s="645"/>
      <c r="L2405" s="645"/>
      <c r="M2405" s="645"/>
      <c r="N2405" s="645"/>
      <c r="O2405" s="646"/>
      <c r="Q2405" s="640" t="s">
        <v>139</v>
      </c>
      <c r="R2405" s="544" t="s">
        <v>659</v>
      </c>
      <c r="S2405" s="642" t="s">
        <v>142</v>
      </c>
    </row>
    <row r="2406" spans="1:19" ht="21.75" thickBot="1" x14ac:dyDescent="0.3">
      <c r="A2406" s="177" t="s">
        <v>285</v>
      </c>
      <c r="B2406" s="647">
        <v>44729</v>
      </c>
      <c r="C2406" s="648"/>
      <c r="D2406" s="648"/>
      <c r="E2406" s="648"/>
      <c r="F2406" s="648"/>
      <c r="G2406" s="648"/>
      <c r="H2406" s="648"/>
      <c r="I2406" s="648"/>
      <c r="J2406" s="648"/>
      <c r="K2406" s="648"/>
      <c r="L2406" s="648"/>
      <c r="M2406" s="648"/>
      <c r="N2406" s="648"/>
      <c r="O2406" s="649"/>
      <c r="Q2406" s="641"/>
      <c r="R2406" s="87" t="s">
        <v>141</v>
      </c>
      <c r="S2406" s="643"/>
    </row>
    <row r="2407" spans="1:19" ht="15.75" thickBot="1" x14ac:dyDescent="0.3">
      <c r="A2407" s="177"/>
      <c r="B2407" s="650" t="s">
        <v>115</v>
      </c>
      <c r="C2407" s="651"/>
      <c r="D2407" s="651"/>
      <c r="E2407" s="651"/>
      <c r="F2407" s="651"/>
      <c r="G2407" s="651"/>
      <c r="H2407" s="651"/>
      <c r="I2407" s="651"/>
      <c r="J2407" s="651"/>
      <c r="K2407" s="651"/>
      <c r="L2407" s="651"/>
      <c r="M2407" s="651"/>
      <c r="N2407" s="651"/>
      <c r="O2407" s="652"/>
      <c r="Q2407" s="147" t="s">
        <v>143</v>
      </c>
      <c r="R2407" s="88">
        <v>7</v>
      </c>
      <c r="S2407" s="87" t="s">
        <v>713</v>
      </c>
    </row>
    <row r="2408" spans="1:19" ht="15.75" thickBot="1" x14ac:dyDescent="0.3">
      <c r="A2408" s="177" t="s">
        <v>106</v>
      </c>
      <c r="B2408" s="629">
        <v>23</v>
      </c>
      <c r="C2408" s="630"/>
      <c r="D2408" s="630"/>
      <c r="E2408" s="631"/>
      <c r="F2408" s="365" t="s">
        <v>174</v>
      </c>
      <c r="G2408" s="471"/>
      <c r="H2408" s="653">
        <v>0</v>
      </c>
      <c r="I2408" s="654"/>
      <c r="J2408" s="654"/>
      <c r="K2408" s="654"/>
      <c r="L2408" s="655"/>
      <c r="M2408" s="656">
        <f>SUM(B2408,H2409)</f>
        <v>23</v>
      </c>
      <c r="N2408" s="630"/>
      <c r="O2408" s="631"/>
      <c r="Q2408" s="147" t="s">
        <v>145</v>
      </c>
      <c r="R2408" s="88">
        <v>8</v>
      </c>
      <c r="S2408" s="89" t="s">
        <v>719</v>
      </c>
    </row>
    <row r="2409" spans="1:19" ht="15.75" thickBot="1" x14ac:dyDescent="0.3">
      <c r="A2409" s="177" t="s">
        <v>112</v>
      </c>
      <c r="B2409" s="626">
        <v>0.18</v>
      </c>
      <c r="C2409" s="627"/>
      <c r="D2409" s="627"/>
      <c r="E2409" s="628"/>
      <c r="F2409" s="290"/>
      <c r="G2409" s="472"/>
      <c r="H2409" s="626">
        <v>0</v>
      </c>
      <c r="I2409" s="627"/>
      <c r="J2409" s="627"/>
      <c r="K2409" s="627"/>
      <c r="L2409" s="628"/>
      <c r="M2409" s="657">
        <f>B2409</f>
        <v>0.18</v>
      </c>
      <c r="N2409" s="627"/>
      <c r="O2409" s="628"/>
      <c r="Q2409" s="147" t="s">
        <v>147</v>
      </c>
      <c r="R2409" s="88">
        <v>8</v>
      </c>
      <c r="S2409" s="87" t="s">
        <v>711</v>
      </c>
    </row>
    <row r="2410" spans="1:19" ht="15.75" thickBot="1" x14ac:dyDescent="0.3">
      <c r="A2410" s="177" t="s">
        <v>107</v>
      </c>
      <c r="B2410" s="629">
        <f>B2408*(1-B2409)</f>
        <v>18.860000000000003</v>
      </c>
      <c r="C2410" s="630"/>
      <c r="D2410" s="630"/>
      <c r="E2410" s="631"/>
      <c r="F2410" s="290"/>
      <c r="G2410" s="472"/>
      <c r="H2410" s="629">
        <f>H2408*(1-H2409)</f>
        <v>0</v>
      </c>
      <c r="I2410" s="630"/>
      <c r="J2410" s="630"/>
      <c r="K2410" s="630"/>
      <c r="L2410" s="631"/>
      <c r="M2410" s="656">
        <f>SUM(B2410,H2410)</f>
        <v>18.860000000000003</v>
      </c>
      <c r="N2410" s="630"/>
      <c r="O2410" s="631"/>
      <c r="Q2410" s="147" t="s">
        <v>82</v>
      </c>
      <c r="R2410" s="88">
        <v>8</v>
      </c>
      <c r="S2410" s="89" t="s">
        <v>720</v>
      </c>
    </row>
    <row r="2411" spans="1:19" ht="15.75" thickBot="1" x14ac:dyDescent="0.3">
      <c r="A2411" s="177" t="s">
        <v>108</v>
      </c>
      <c r="B2411" s="626">
        <f>B2414/B2410</f>
        <v>0.75142364793213134</v>
      </c>
      <c r="C2411" s="627"/>
      <c r="D2411" s="627"/>
      <c r="E2411" s="627"/>
      <c r="F2411" s="627"/>
      <c r="G2411" s="627"/>
      <c r="H2411" s="627"/>
      <c r="I2411" s="627"/>
      <c r="J2411" s="627"/>
      <c r="K2411" s="627"/>
      <c r="L2411" s="627"/>
      <c r="M2411" s="627"/>
      <c r="N2411" s="627"/>
      <c r="O2411" s="628"/>
      <c r="Q2411" s="147" t="s">
        <v>152</v>
      </c>
      <c r="R2411" s="88">
        <v>8</v>
      </c>
      <c r="S2411" s="89" t="s">
        <v>721</v>
      </c>
    </row>
    <row r="2412" spans="1:19" ht="15.75" thickBot="1" x14ac:dyDescent="0.3">
      <c r="A2412" s="177" t="s">
        <v>113</v>
      </c>
      <c r="B2412" s="629">
        <f>B2416*(B2420+B2421+I2420+I2421)/1000</f>
        <v>47.2395</v>
      </c>
      <c r="C2412" s="630"/>
      <c r="D2412" s="630"/>
      <c r="E2412" s="630"/>
      <c r="F2412" s="630"/>
      <c r="G2412" s="630"/>
      <c r="H2412" s="630"/>
      <c r="I2412" s="630"/>
      <c r="J2412" s="630"/>
      <c r="K2412" s="630"/>
      <c r="L2412" s="630"/>
      <c r="M2412" s="630"/>
      <c r="N2412" s="630"/>
      <c r="O2412" s="631"/>
      <c r="Q2412" s="147" t="s">
        <v>154</v>
      </c>
      <c r="R2412" s="88">
        <v>8</v>
      </c>
      <c r="S2412" s="87" t="s">
        <v>722</v>
      </c>
    </row>
    <row r="2413" spans="1:19" ht="29.25" thickBot="1" x14ac:dyDescent="0.3">
      <c r="A2413" s="177" t="s">
        <v>109</v>
      </c>
      <c r="B2413" s="626">
        <v>0.7</v>
      </c>
      <c r="C2413" s="627"/>
      <c r="D2413" s="627"/>
      <c r="E2413" s="627"/>
      <c r="F2413" s="627"/>
      <c r="G2413" s="627"/>
      <c r="H2413" s="627"/>
      <c r="I2413" s="627"/>
      <c r="J2413" s="627"/>
      <c r="K2413" s="627"/>
      <c r="L2413" s="627"/>
      <c r="M2413" s="627"/>
      <c r="N2413" s="627"/>
      <c r="O2413" s="628"/>
      <c r="Q2413" s="147" t="s">
        <v>156</v>
      </c>
      <c r="R2413" s="88">
        <v>8</v>
      </c>
      <c r="S2413" s="87" t="s">
        <v>577</v>
      </c>
    </row>
    <row r="2414" spans="1:19" ht="15.75" thickBot="1" x14ac:dyDescent="0.3">
      <c r="A2414" s="177" t="s">
        <v>122</v>
      </c>
      <c r="B2414" s="629">
        <f>B2412-(B2412*B2413)</f>
        <v>14.171849999999999</v>
      </c>
      <c r="C2414" s="630"/>
      <c r="D2414" s="630"/>
      <c r="E2414" s="630"/>
      <c r="F2414" s="630"/>
      <c r="G2414" s="630"/>
      <c r="H2414" s="630"/>
      <c r="I2414" s="630"/>
      <c r="J2414" s="630"/>
      <c r="K2414" s="630"/>
      <c r="L2414" s="630"/>
      <c r="M2414" s="630"/>
      <c r="N2414" s="630"/>
      <c r="O2414" s="631"/>
      <c r="Q2414" s="147" t="s">
        <v>158</v>
      </c>
      <c r="R2414" s="88"/>
      <c r="S2414" s="87"/>
    </row>
    <row r="2415" spans="1:19" ht="15.75" thickBot="1" x14ac:dyDescent="0.3">
      <c r="A2415" s="177" t="s">
        <v>110</v>
      </c>
      <c r="B2415" s="632">
        <v>130</v>
      </c>
      <c r="C2415" s="633"/>
      <c r="D2415" s="633"/>
      <c r="E2415" s="633"/>
      <c r="F2415" s="633"/>
      <c r="G2415" s="633"/>
      <c r="H2415" s="633"/>
      <c r="I2415" s="633"/>
      <c r="J2415" s="633"/>
      <c r="K2415" s="633"/>
      <c r="L2415" s="633"/>
      <c r="M2415" s="633"/>
      <c r="N2415" s="633"/>
      <c r="O2415" s="634"/>
      <c r="Q2415" s="570" t="s">
        <v>99</v>
      </c>
      <c r="R2415" s="87" t="s">
        <v>522</v>
      </c>
      <c r="S2415" s="148">
        <v>0.78</v>
      </c>
    </row>
    <row r="2416" spans="1:19" x14ac:dyDescent="0.25">
      <c r="A2416" s="177" t="s">
        <v>111</v>
      </c>
      <c r="B2416" s="635">
        <v>16.5</v>
      </c>
      <c r="C2416" s="636"/>
      <c r="D2416" s="636"/>
      <c r="E2416" s="636"/>
      <c r="F2416" s="636"/>
      <c r="G2416" s="636"/>
      <c r="H2416" s="636"/>
      <c r="I2416" s="636"/>
      <c r="J2416" s="636"/>
      <c r="K2416" s="636"/>
      <c r="L2416" s="636"/>
      <c r="M2416" s="636"/>
      <c r="N2416" s="636"/>
      <c r="O2416" s="637"/>
    </row>
    <row r="2417" spans="1:19" x14ac:dyDescent="0.25">
      <c r="A2417" s="177" t="s">
        <v>273</v>
      </c>
      <c r="B2417" s="638" t="s">
        <v>687</v>
      </c>
      <c r="C2417" s="638"/>
      <c r="D2417" s="638"/>
      <c r="E2417" s="638"/>
      <c r="F2417" s="638"/>
      <c r="G2417" s="638"/>
      <c r="H2417" s="638"/>
      <c r="I2417" s="638"/>
      <c r="J2417" s="638"/>
      <c r="K2417" s="638"/>
      <c r="L2417" s="638"/>
      <c r="M2417" s="638"/>
      <c r="N2417" s="638"/>
      <c r="O2417" s="639"/>
    </row>
    <row r="2418" spans="1:19" x14ac:dyDescent="0.25">
      <c r="A2418" s="177" t="s">
        <v>351</v>
      </c>
      <c r="B2418" s="669"/>
      <c r="C2418" s="669"/>
      <c r="D2418" s="669"/>
      <c r="E2418" s="669"/>
      <c r="F2418" s="669"/>
      <c r="G2418" s="669"/>
      <c r="H2418" s="669"/>
      <c r="I2418" s="669"/>
      <c r="J2418" s="669"/>
      <c r="K2418" s="669"/>
      <c r="L2418" s="669"/>
      <c r="M2418" s="669"/>
      <c r="N2418" s="669"/>
      <c r="O2418" s="670"/>
    </row>
    <row r="2419" spans="1:19" x14ac:dyDescent="0.25">
      <c r="B2419" s="307" t="s">
        <v>98</v>
      </c>
      <c r="C2419" s="365" t="s">
        <v>102</v>
      </c>
      <c r="D2419" s="365" t="s">
        <v>92</v>
      </c>
      <c r="E2419" s="365" t="s">
        <v>93</v>
      </c>
      <c r="F2419" s="365" t="s">
        <v>94</v>
      </c>
      <c r="G2419" s="365" t="s">
        <v>549</v>
      </c>
      <c r="H2419" s="359" t="s">
        <v>99</v>
      </c>
      <c r="I2419" s="307" t="s">
        <v>98</v>
      </c>
      <c r="J2419" s="365" t="s">
        <v>102</v>
      </c>
      <c r="K2419" s="365" t="s">
        <v>92</v>
      </c>
      <c r="L2419" s="365" t="s">
        <v>93</v>
      </c>
      <c r="M2419" s="365" t="s">
        <v>94</v>
      </c>
      <c r="N2419" s="365" t="s">
        <v>549</v>
      </c>
      <c r="O2419" s="359" t="s">
        <v>99</v>
      </c>
    </row>
    <row r="2420" spans="1:19" x14ac:dyDescent="0.25">
      <c r="B2420" s="308">
        <v>1230</v>
      </c>
      <c r="C2420" s="365" t="s">
        <v>95</v>
      </c>
      <c r="D2420" s="441">
        <v>229.67</v>
      </c>
      <c r="E2420" s="441">
        <v>70.84</v>
      </c>
      <c r="F2420" s="441">
        <v>32.83</v>
      </c>
      <c r="G2420" s="441">
        <v>0</v>
      </c>
      <c r="H2420" s="359">
        <f>SUM(D2420:G2420)</f>
        <v>333.34</v>
      </c>
      <c r="I2420" s="308">
        <v>1233</v>
      </c>
      <c r="J2420" s="365" t="s">
        <v>95</v>
      </c>
      <c r="K2420" s="441">
        <v>399.64</v>
      </c>
      <c r="L2420" s="441">
        <v>190.7</v>
      </c>
      <c r="M2420" s="441">
        <v>43.12</v>
      </c>
      <c r="N2420" s="441">
        <v>24.71</v>
      </c>
      <c r="O2420" s="359">
        <f>SUM(K2420:N2420)</f>
        <v>658.17</v>
      </c>
    </row>
    <row r="2421" spans="1:19" x14ac:dyDescent="0.25">
      <c r="B2421" s="308">
        <v>200</v>
      </c>
      <c r="C2421" s="365" t="s">
        <v>96</v>
      </c>
      <c r="D2421" s="441">
        <v>20.69</v>
      </c>
      <c r="E2421" s="441">
        <v>20</v>
      </c>
      <c r="F2421" s="441">
        <v>12.22</v>
      </c>
      <c r="G2421" s="441">
        <v>0</v>
      </c>
      <c r="H2421" s="359">
        <f t="shared" ref="H2421:H2427" si="333">SUM(D2421:G2421)</f>
        <v>52.91</v>
      </c>
      <c r="I2421" s="308">
        <v>200</v>
      </c>
      <c r="J2421" s="365" t="s">
        <v>96</v>
      </c>
      <c r="K2421" s="441">
        <v>18</v>
      </c>
      <c r="L2421" s="441">
        <v>42.82</v>
      </c>
      <c r="M2421" s="441">
        <v>5.5</v>
      </c>
      <c r="N2421" s="441">
        <v>0</v>
      </c>
      <c r="O2421" s="359">
        <f t="shared" ref="O2421:O2427" si="334">SUM(K2421:N2421)</f>
        <v>66.319999999999993</v>
      </c>
    </row>
    <row r="2422" spans="1:19" x14ac:dyDescent="0.25">
      <c r="B2422" s="307" t="s">
        <v>100</v>
      </c>
      <c r="C2422" s="365" t="s">
        <v>95</v>
      </c>
      <c r="D2422" s="444">
        <f t="shared" ref="D2422:G2423" si="335">D2420/$B2420</f>
        <v>0.18672357723577235</v>
      </c>
      <c r="E2422" s="429">
        <f t="shared" si="335"/>
        <v>5.7593495934959354E-2</v>
      </c>
      <c r="F2422" s="429">
        <f t="shared" si="335"/>
        <v>2.6691056910569104E-2</v>
      </c>
      <c r="G2422" s="429">
        <f t="shared" si="335"/>
        <v>0</v>
      </c>
      <c r="H2422" s="359">
        <f t="shared" si="333"/>
        <v>0.27100813008130081</v>
      </c>
      <c r="I2422" s="307" t="s">
        <v>100</v>
      </c>
      <c r="J2422" s="365" t="s">
        <v>95</v>
      </c>
      <c r="K2422" s="444">
        <f t="shared" ref="K2422:N2423" si="336">K2420/$I2420</f>
        <v>0.3241200324412003</v>
      </c>
      <c r="L2422" s="429">
        <f t="shared" si="336"/>
        <v>0.1546634225466342</v>
      </c>
      <c r="M2422" s="429">
        <f t="shared" si="336"/>
        <v>3.4971613949716138E-2</v>
      </c>
      <c r="N2422" s="429">
        <f t="shared" si="336"/>
        <v>2.0040551500405516E-2</v>
      </c>
      <c r="O2422" s="359">
        <f t="shared" si="334"/>
        <v>0.53379562043795614</v>
      </c>
    </row>
    <row r="2423" spans="1:19" x14ac:dyDescent="0.25">
      <c r="B2423" s="307" t="s">
        <v>100</v>
      </c>
      <c r="C2423" s="438" t="s">
        <v>96</v>
      </c>
      <c r="D2423" s="359">
        <f t="shared" si="335"/>
        <v>0.10345</v>
      </c>
      <c r="E2423" s="359">
        <f t="shared" si="335"/>
        <v>0.1</v>
      </c>
      <c r="F2423" s="359">
        <f t="shared" si="335"/>
        <v>6.1100000000000002E-2</v>
      </c>
      <c r="G2423" s="359">
        <f t="shared" si="335"/>
        <v>0</v>
      </c>
      <c r="H2423" s="359">
        <f t="shared" si="333"/>
        <v>0.26455000000000001</v>
      </c>
      <c r="I2423" s="307" t="s">
        <v>100</v>
      </c>
      <c r="J2423" s="438" t="s">
        <v>96</v>
      </c>
      <c r="K2423" s="359">
        <f t="shared" si="336"/>
        <v>0.09</v>
      </c>
      <c r="L2423" s="359">
        <f t="shared" si="336"/>
        <v>0.21410000000000001</v>
      </c>
      <c r="M2423" s="359">
        <f t="shared" si="336"/>
        <v>2.75E-2</v>
      </c>
      <c r="N2423" s="359">
        <f t="shared" si="336"/>
        <v>0</v>
      </c>
      <c r="O2423" s="359">
        <f t="shared" si="334"/>
        <v>0.33160000000000006</v>
      </c>
    </row>
    <row r="2424" spans="1:19" x14ac:dyDescent="0.25">
      <c r="B2424" s="307" t="s">
        <v>104</v>
      </c>
      <c r="C2424" s="365" t="s">
        <v>95</v>
      </c>
      <c r="D2424" s="359">
        <f>D2420/($B2420/7.7)</f>
        <v>1.4377715447154471</v>
      </c>
      <c r="E2424" s="359">
        <f>E2420/($B2420/7)</f>
        <v>0.40315447154471545</v>
      </c>
      <c r="F2424" s="359">
        <f>F2420/($B2420/7)</f>
        <v>0.18683739837398372</v>
      </c>
      <c r="G2424" s="359">
        <f>G2420/($B2420/7)</f>
        <v>0</v>
      </c>
      <c r="H2424" s="359">
        <f t="shared" si="333"/>
        <v>2.0277634146341463</v>
      </c>
      <c r="I2424" s="307" t="s">
        <v>104</v>
      </c>
      <c r="J2424" s="365" t="s">
        <v>95</v>
      </c>
      <c r="K2424" s="359">
        <f>K2420/($I2420/7.7)</f>
        <v>2.4957242497972425</v>
      </c>
      <c r="L2424" s="359">
        <f>L2420/($I2420/7)</f>
        <v>1.0826439578264395</v>
      </c>
      <c r="M2424" s="359">
        <f>M2420/($I2420/7)</f>
        <v>0.24480129764801298</v>
      </c>
      <c r="N2424" s="359">
        <f>N2420/($I2420/7)</f>
        <v>0.14028386050283861</v>
      </c>
      <c r="O2424" s="359">
        <f t="shared" si="334"/>
        <v>3.9634533657745337</v>
      </c>
    </row>
    <row r="2425" spans="1:19" x14ac:dyDescent="0.25">
      <c r="B2425" s="307" t="s">
        <v>104</v>
      </c>
      <c r="C2425" s="438" t="s">
        <v>96</v>
      </c>
      <c r="D2425" s="359">
        <f>D2421/($B2421/7.7)</f>
        <v>0.79656500000000008</v>
      </c>
      <c r="E2425" s="359">
        <f>E2421/($B2421/7.7)</f>
        <v>0.77</v>
      </c>
      <c r="F2425" s="359">
        <f>F2421/($B2421/7.7)</f>
        <v>0.47047000000000005</v>
      </c>
      <c r="G2425" s="359">
        <f>G2421/($B2421/7.7)</f>
        <v>0</v>
      </c>
      <c r="H2425" s="359">
        <f t="shared" si="333"/>
        <v>2.0370350000000004</v>
      </c>
      <c r="I2425" s="307" t="s">
        <v>104</v>
      </c>
      <c r="J2425" s="438" t="s">
        <v>96</v>
      </c>
      <c r="K2425" s="359">
        <f>K2421/($I2421/7.7)</f>
        <v>0.69300000000000006</v>
      </c>
      <c r="L2425" s="359">
        <f>L2421/($I2421/7.7)</f>
        <v>1.6485700000000001</v>
      </c>
      <c r="M2425" s="359">
        <f>M2421/($I2421/7.7)</f>
        <v>0.21174999999999999</v>
      </c>
      <c r="N2425" s="359">
        <f>N2421/($I2421/7.7)</f>
        <v>0</v>
      </c>
      <c r="O2425" s="359">
        <f t="shared" si="334"/>
        <v>2.5533199999999998</v>
      </c>
    </row>
    <row r="2426" spans="1:19" x14ac:dyDescent="0.25">
      <c r="B2426" s="307" t="s">
        <v>135</v>
      </c>
      <c r="C2426" s="365" t="s">
        <v>95</v>
      </c>
      <c r="D2426" s="359">
        <f>D2420/((($B2420*$B2416)*(1-$B2413))/$B2411)</f>
        <v>2.8345153850796185E-2</v>
      </c>
      <c r="E2426" s="359">
        <f>E2420/((($B2420*$B2416)*(1-$B2413))/$B2411)</f>
        <v>8.7428514772952583E-3</v>
      </c>
      <c r="F2426" s="359">
        <f>F2420/((($B2420*$B2416)*(1-$B2413))/$B2411)</f>
        <v>4.0517760304856478E-3</v>
      </c>
      <c r="G2426" s="359">
        <f>G2420/((($B2420*$B2416)*(1-$B2413))/$B2411)</f>
        <v>0</v>
      </c>
      <c r="H2426" s="359">
        <f t="shared" si="333"/>
        <v>4.1139781358577092E-2</v>
      </c>
      <c r="I2426" s="307" t="s">
        <v>135</v>
      </c>
      <c r="J2426" s="365" t="s">
        <v>95</v>
      </c>
      <c r="K2426" s="359">
        <f>K2420/((($I2420*$B2416)*(1-$B2413))/$B2411)</f>
        <v>4.9202314574716653E-2</v>
      </c>
      <c r="L2426" s="359">
        <f>L2420/((($I2420*$B2416)*(1-$B2413))/$B2411)</f>
        <v>2.347833397407283E-2</v>
      </c>
      <c r="M2426" s="359">
        <f>M2420/((($I2420*$B2416)*(1-$B2413))/$B2411)</f>
        <v>5.308787419832304E-3</v>
      </c>
      <c r="N2426" s="359">
        <f>N2420/((($I2420*$B2416)*(1-$B2413))/$B2411)</f>
        <v>3.0422109727285774E-3</v>
      </c>
      <c r="O2426" s="359">
        <f t="shared" si="334"/>
        <v>8.1031646941350371E-2</v>
      </c>
    </row>
    <row r="2427" spans="1:19" x14ac:dyDescent="0.25">
      <c r="B2427" s="307" t="s">
        <v>135</v>
      </c>
      <c r="C2427" s="438" t="s">
        <v>96</v>
      </c>
      <c r="D2427" s="359">
        <f>D2421/((($B2421*$B2416)*(1-$B2413))/$B2411)</f>
        <v>1.5703995227995756E-2</v>
      </c>
      <c r="E2427" s="359">
        <f>E2421/((($B2421*$B2416)*(1-$B2413))/$B2411)</f>
        <v>1.5180275715800632E-2</v>
      </c>
      <c r="F2427" s="359">
        <f>F2421/((($B2421*$B2416)*(1-$B2413))/$B2411)</f>
        <v>9.2751484623541866E-3</v>
      </c>
      <c r="G2427" s="359">
        <f>G2421/((($B2421*$B2416)*(1-$B2413))/$B2411)</f>
        <v>0</v>
      </c>
      <c r="H2427" s="359">
        <f t="shared" si="333"/>
        <v>4.0159419406150573E-2</v>
      </c>
      <c r="I2427" s="307" t="s">
        <v>135</v>
      </c>
      <c r="J2427" s="438" t="s">
        <v>96</v>
      </c>
      <c r="K2427" s="359">
        <f>K2421/((($I2421*$B2416)*(1-$B2413))/$B2411)</f>
        <v>1.366224814422057E-2</v>
      </c>
      <c r="L2427" s="359">
        <f>L2421/((($I2421*$B2416)*(1-$B2413))/$B2411)</f>
        <v>3.2500970307529152E-2</v>
      </c>
      <c r="M2427" s="359">
        <f>M2421/((($I2421*$B2416)*(1-$B2413))/$B2411)</f>
        <v>4.1745758218451742E-3</v>
      </c>
      <c r="N2427" s="359">
        <f>N2421/((($I2421*$B2416)*(1-$B2413))/$B2411)</f>
        <v>0</v>
      </c>
      <c r="O2427" s="359">
        <f t="shared" si="334"/>
        <v>5.0337794273594895E-2</v>
      </c>
    </row>
    <row r="2428" spans="1:19" ht="15.75" thickBot="1" x14ac:dyDescent="0.3">
      <c r="A2428" s="178"/>
      <c r="B2428" s="178"/>
      <c r="C2428" s="178"/>
      <c r="D2428" s="178"/>
      <c r="E2428" s="178"/>
      <c r="F2428" s="178"/>
      <c r="G2428" s="178"/>
      <c r="H2428" s="178"/>
      <c r="I2428" s="178"/>
      <c r="J2428" s="178"/>
      <c r="K2428" s="178"/>
      <c r="L2428" s="178"/>
      <c r="M2428" s="178"/>
      <c r="N2428" s="178"/>
      <c r="O2428" s="178"/>
    </row>
    <row r="2429" spans="1:19" ht="21" x14ac:dyDescent="0.25">
      <c r="A2429" s="305"/>
      <c r="B2429" s="644" t="s">
        <v>680</v>
      </c>
      <c r="C2429" s="645"/>
      <c r="D2429" s="645"/>
      <c r="E2429" s="645"/>
      <c r="F2429" s="645"/>
      <c r="G2429" s="645"/>
      <c r="H2429" s="645"/>
      <c r="I2429" s="645"/>
      <c r="J2429" s="645"/>
      <c r="K2429" s="645"/>
      <c r="L2429" s="645"/>
      <c r="M2429" s="645"/>
      <c r="N2429" s="645"/>
      <c r="O2429" s="646"/>
      <c r="Q2429" s="640" t="s">
        <v>139</v>
      </c>
      <c r="R2429" s="544" t="s">
        <v>659</v>
      </c>
      <c r="S2429" s="642" t="s">
        <v>142</v>
      </c>
    </row>
    <row r="2430" spans="1:19" ht="21.75" thickBot="1" x14ac:dyDescent="0.3">
      <c r="A2430" s="177" t="s">
        <v>285</v>
      </c>
      <c r="B2430" s="647">
        <v>44741</v>
      </c>
      <c r="C2430" s="648"/>
      <c r="D2430" s="648"/>
      <c r="E2430" s="648"/>
      <c r="F2430" s="648"/>
      <c r="G2430" s="648"/>
      <c r="H2430" s="648"/>
      <c r="I2430" s="648"/>
      <c r="J2430" s="648"/>
      <c r="K2430" s="648"/>
      <c r="L2430" s="648"/>
      <c r="M2430" s="648"/>
      <c r="N2430" s="648"/>
      <c r="O2430" s="649"/>
      <c r="Q2430" s="641"/>
      <c r="R2430" s="87" t="s">
        <v>141</v>
      </c>
      <c r="S2430" s="643"/>
    </row>
    <row r="2431" spans="1:19" ht="15.75" thickBot="1" x14ac:dyDescent="0.3">
      <c r="A2431" s="177"/>
      <c r="B2431" s="650" t="s">
        <v>115</v>
      </c>
      <c r="C2431" s="651"/>
      <c r="D2431" s="651"/>
      <c r="E2431" s="651"/>
      <c r="F2431" s="651"/>
      <c r="G2431" s="651"/>
      <c r="H2431" s="651"/>
      <c r="I2431" s="651"/>
      <c r="J2431" s="651"/>
      <c r="K2431" s="651"/>
      <c r="L2431" s="651"/>
      <c r="M2431" s="651"/>
      <c r="N2431" s="651"/>
      <c r="O2431" s="652"/>
      <c r="Q2431" s="147" t="s">
        <v>143</v>
      </c>
      <c r="R2431" s="88">
        <v>7</v>
      </c>
      <c r="S2431" s="87" t="s">
        <v>713</v>
      </c>
    </row>
    <row r="2432" spans="1:19" ht="15.75" thickBot="1" x14ac:dyDescent="0.3">
      <c r="A2432" s="177" t="s">
        <v>106</v>
      </c>
      <c r="B2432" s="629">
        <v>23</v>
      </c>
      <c r="C2432" s="630"/>
      <c r="D2432" s="630"/>
      <c r="E2432" s="631"/>
      <c r="F2432" s="365" t="s">
        <v>174</v>
      </c>
      <c r="G2432" s="471"/>
      <c r="H2432" s="653"/>
      <c r="I2432" s="654"/>
      <c r="J2432" s="654"/>
      <c r="K2432" s="654"/>
      <c r="L2432" s="655"/>
      <c r="M2432" s="656">
        <f>SUM(B2432,H2433)</f>
        <v>23</v>
      </c>
      <c r="N2432" s="630"/>
      <c r="O2432" s="631"/>
      <c r="Q2432" s="147" t="s">
        <v>145</v>
      </c>
      <c r="R2432" s="88">
        <v>8</v>
      </c>
      <c r="S2432" s="89" t="s">
        <v>724</v>
      </c>
    </row>
    <row r="2433" spans="1:19" ht="15.75" thickBot="1" x14ac:dyDescent="0.3">
      <c r="A2433" s="177" t="s">
        <v>112</v>
      </c>
      <c r="B2433" s="626">
        <v>0.16</v>
      </c>
      <c r="C2433" s="627"/>
      <c r="D2433" s="627"/>
      <c r="E2433" s="628"/>
      <c r="F2433" s="290"/>
      <c r="G2433" s="472"/>
      <c r="H2433" s="626"/>
      <c r="I2433" s="627"/>
      <c r="J2433" s="627"/>
      <c r="K2433" s="627"/>
      <c r="L2433" s="628"/>
      <c r="M2433" s="657">
        <f>B2433</f>
        <v>0.16</v>
      </c>
      <c r="N2433" s="627"/>
      <c r="O2433" s="628"/>
      <c r="Q2433" s="147" t="s">
        <v>147</v>
      </c>
      <c r="R2433" s="88">
        <v>6</v>
      </c>
      <c r="S2433" s="87" t="s">
        <v>723</v>
      </c>
    </row>
    <row r="2434" spans="1:19" ht="15.75" thickBot="1" x14ac:dyDescent="0.3">
      <c r="A2434" s="177" t="s">
        <v>107</v>
      </c>
      <c r="B2434" s="629">
        <f>B2432*(1-B2433)</f>
        <v>19.32</v>
      </c>
      <c r="C2434" s="630"/>
      <c r="D2434" s="630"/>
      <c r="E2434" s="631"/>
      <c r="F2434" s="290"/>
      <c r="G2434" s="472"/>
      <c r="H2434" s="629">
        <f>H2432*(1-H2433)</f>
        <v>0</v>
      </c>
      <c r="I2434" s="630"/>
      <c r="J2434" s="630"/>
      <c r="K2434" s="630"/>
      <c r="L2434" s="631"/>
      <c r="M2434" s="656">
        <f>SUM(B2434,H2434)</f>
        <v>19.32</v>
      </c>
      <c r="N2434" s="630"/>
      <c r="O2434" s="631"/>
      <c r="Q2434" s="147" t="s">
        <v>82</v>
      </c>
      <c r="R2434" s="88">
        <v>8</v>
      </c>
      <c r="S2434" s="89" t="s">
        <v>720</v>
      </c>
    </row>
    <row r="2435" spans="1:19" ht="15.75" thickBot="1" x14ac:dyDescent="0.3">
      <c r="A2435" s="177" t="s">
        <v>108</v>
      </c>
      <c r="B2435" s="626">
        <f>B2438/B2434</f>
        <v>0.69479813664596279</v>
      </c>
      <c r="C2435" s="627"/>
      <c r="D2435" s="627"/>
      <c r="E2435" s="627"/>
      <c r="F2435" s="627"/>
      <c r="G2435" s="627"/>
      <c r="H2435" s="627"/>
      <c r="I2435" s="627"/>
      <c r="J2435" s="627"/>
      <c r="K2435" s="627"/>
      <c r="L2435" s="627"/>
      <c r="M2435" s="627"/>
      <c r="N2435" s="627"/>
      <c r="O2435" s="628"/>
      <c r="Q2435" s="147" t="s">
        <v>152</v>
      </c>
      <c r="R2435" s="88">
        <v>8</v>
      </c>
      <c r="S2435" s="89" t="s">
        <v>721</v>
      </c>
    </row>
    <row r="2436" spans="1:19" ht="15.75" thickBot="1" x14ac:dyDescent="0.3">
      <c r="A2436" s="177" t="s">
        <v>113</v>
      </c>
      <c r="B2436" s="629">
        <f>B2440*(B2444+B2445+I2444+I2445)/1000</f>
        <v>44.744999999999997</v>
      </c>
      <c r="C2436" s="630"/>
      <c r="D2436" s="630"/>
      <c r="E2436" s="630"/>
      <c r="F2436" s="630"/>
      <c r="G2436" s="630"/>
      <c r="H2436" s="630"/>
      <c r="I2436" s="630"/>
      <c r="J2436" s="630"/>
      <c r="K2436" s="630"/>
      <c r="L2436" s="630"/>
      <c r="M2436" s="630"/>
      <c r="N2436" s="630"/>
      <c r="O2436" s="631"/>
      <c r="Q2436" s="147" t="s">
        <v>154</v>
      </c>
      <c r="R2436" s="88">
        <v>7</v>
      </c>
      <c r="S2436" s="87" t="s">
        <v>722</v>
      </c>
    </row>
    <row r="2437" spans="1:19" ht="29.25" thickBot="1" x14ac:dyDescent="0.3">
      <c r="A2437" s="177" t="s">
        <v>109</v>
      </c>
      <c r="B2437" s="626">
        <v>0.7</v>
      </c>
      <c r="C2437" s="627"/>
      <c r="D2437" s="627"/>
      <c r="E2437" s="627"/>
      <c r="F2437" s="627"/>
      <c r="G2437" s="627"/>
      <c r="H2437" s="627"/>
      <c r="I2437" s="627"/>
      <c r="J2437" s="627"/>
      <c r="K2437" s="627"/>
      <c r="L2437" s="627"/>
      <c r="M2437" s="627"/>
      <c r="N2437" s="627"/>
      <c r="O2437" s="628"/>
      <c r="Q2437" s="147" t="s">
        <v>156</v>
      </c>
      <c r="R2437" s="88">
        <v>7</v>
      </c>
      <c r="S2437" s="87" t="s">
        <v>577</v>
      </c>
    </row>
    <row r="2438" spans="1:19" ht="15.75" thickBot="1" x14ac:dyDescent="0.3">
      <c r="A2438" s="177" t="s">
        <v>122</v>
      </c>
      <c r="B2438" s="629">
        <f>B2436-(B2436*B2437)</f>
        <v>13.423500000000001</v>
      </c>
      <c r="C2438" s="630"/>
      <c r="D2438" s="630"/>
      <c r="E2438" s="630"/>
      <c r="F2438" s="630"/>
      <c r="G2438" s="630"/>
      <c r="H2438" s="630"/>
      <c r="I2438" s="630"/>
      <c r="J2438" s="630"/>
      <c r="K2438" s="630"/>
      <c r="L2438" s="630"/>
      <c r="M2438" s="630"/>
      <c r="N2438" s="630"/>
      <c r="O2438" s="631"/>
      <c r="Q2438" s="147" t="s">
        <v>158</v>
      </c>
      <c r="R2438" s="88"/>
      <c r="S2438" s="87"/>
    </row>
    <row r="2439" spans="1:19" ht="15.75" thickBot="1" x14ac:dyDescent="0.3">
      <c r="A2439" s="177" t="s">
        <v>110</v>
      </c>
      <c r="B2439" s="632">
        <v>125</v>
      </c>
      <c r="C2439" s="633"/>
      <c r="D2439" s="633"/>
      <c r="E2439" s="633"/>
      <c r="F2439" s="633"/>
      <c r="G2439" s="633"/>
      <c r="H2439" s="633"/>
      <c r="I2439" s="633"/>
      <c r="J2439" s="633"/>
      <c r="K2439" s="633"/>
      <c r="L2439" s="633"/>
      <c r="M2439" s="633"/>
      <c r="N2439" s="633"/>
      <c r="O2439" s="634"/>
      <c r="Q2439" s="570" t="s">
        <v>99</v>
      </c>
      <c r="R2439" s="87" t="s">
        <v>726</v>
      </c>
      <c r="S2439" s="148">
        <v>0.73</v>
      </c>
    </row>
    <row r="2440" spans="1:19" x14ac:dyDescent="0.25">
      <c r="A2440" s="177" t="s">
        <v>111</v>
      </c>
      <c r="B2440" s="635">
        <v>15</v>
      </c>
      <c r="C2440" s="636"/>
      <c r="D2440" s="636"/>
      <c r="E2440" s="636"/>
      <c r="F2440" s="636"/>
      <c r="G2440" s="636"/>
      <c r="H2440" s="636"/>
      <c r="I2440" s="636"/>
      <c r="J2440" s="636"/>
      <c r="K2440" s="636"/>
      <c r="L2440" s="636"/>
      <c r="M2440" s="636"/>
      <c r="N2440" s="636"/>
      <c r="O2440" s="637"/>
    </row>
    <row r="2441" spans="1:19" x14ac:dyDescent="0.25">
      <c r="A2441" s="177" t="s">
        <v>273</v>
      </c>
      <c r="B2441" s="638" t="s">
        <v>688</v>
      </c>
      <c r="C2441" s="638"/>
      <c r="D2441" s="638"/>
      <c r="E2441" s="638"/>
      <c r="F2441" s="638"/>
      <c r="G2441" s="638"/>
      <c r="H2441" s="638"/>
      <c r="I2441" s="638"/>
      <c r="J2441" s="638"/>
      <c r="K2441" s="638"/>
      <c r="L2441" s="638"/>
      <c r="M2441" s="638"/>
      <c r="N2441" s="638"/>
      <c r="O2441" s="639"/>
    </row>
    <row r="2442" spans="1:19" x14ac:dyDescent="0.25">
      <c r="A2442" s="177" t="s">
        <v>351</v>
      </c>
      <c r="B2442" s="431"/>
      <c r="C2442" s="431"/>
      <c r="D2442" s="431"/>
      <c r="E2442" s="431"/>
      <c r="F2442" s="431"/>
      <c r="G2442" s="431"/>
      <c r="H2442" s="431"/>
      <c r="I2442" s="431"/>
      <c r="J2442" s="431"/>
      <c r="K2442" s="431"/>
      <c r="L2442" s="431"/>
      <c r="M2442" s="431"/>
      <c r="N2442" s="431"/>
      <c r="O2442" s="432"/>
    </row>
    <row r="2443" spans="1:19" x14ac:dyDescent="0.25">
      <c r="B2443" s="307" t="s">
        <v>98</v>
      </c>
      <c r="C2443" s="365" t="s">
        <v>102</v>
      </c>
      <c r="D2443" s="365" t="s">
        <v>92</v>
      </c>
      <c r="E2443" s="365" t="s">
        <v>93</v>
      </c>
      <c r="F2443" s="365" t="s">
        <v>94</v>
      </c>
      <c r="G2443" s="365" t="s">
        <v>549</v>
      </c>
      <c r="H2443" s="359" t="s">
        <v>99</v>
      </c>
      <c r="I2443" s="307" t="s">
        <v>98</v>
      </c>
      <c r="J2443" s="365" t="s">
        <v>102</v>
      </c>
      <c r="K2443" s="365" t="s">
        <v>92</v>
      </c>
      <c r="L2443" s="365" t="s">
        <v>93</v>
      </c>
      <c r="M2443" s="365" t="s">
        <v>94</v>
      </c>
      <c r="N2443" s="365" t="s">
        <v>549</v>
      </c>
      <c r="O2443" s="359" t="s">
        <v>99</v>
      </c>
    </row>
    <row r="2444" spans="1:19" x14ac:dyDescent="0.25">
      <c r="B2444" s="308">
        <v>1042</v>
      </c>
      <c r="C2444" s="365" t="s">
        <v>95</v>
      </c>
      <c r="D2444" s="441">
        <v>197.12</v>
      </c>
      <c r="E2444" s="441">
        <v>39.44</v>
      </c>
      <c r="F2444" s="441">
        <v>0</v>
      </c>
      <c r="G2444" s="441">
        <v>0</v>
      </c>
      <c r="H2444" s="359">
        <f>SUM(D2444:G2444)</f>
        <v>236.56</v>
      </c>
      <c r="I2444" s="308">
        <v>1540</v>
      </c>
      <c r="J2444" s="365" t="s">
        <v>95</v>
      </c>
      <c r="K2444" s="441">
        <v>408.3</v>
      </c>
      <c r="L2444" s="441">
        <v>260.47000000000003</v>
      </c>
      <c r="M2444" s="441">
        <v>33.880000000000003</v>
      </c>
      <c r="N2444" s="441">
        <v>0</v>
      </c>
      <c r="O2444" s="359">
        <f>SUM(K2444:N2444)</f>
        <v>702.65</v>
      </c>
    </row>
    <row r="2445" spans="1:19" x14ac:dyDescent="0.25">
      <c r="B2445" s="308">
        <v>200</v>
      </c>
      <c r="C2445" s="365" t="s">
        <v>96</v>
      </c>
      <c r="D2445" s="441">
        <v>5</v>
      </c>
      <c r="E2445" s="441">
        <v>1.5</v>
      </c>
      <c r="F2445" s="441">
        <v>0</v>
      </c>
      <c r="G2445" s="441">
        <v>0</v>
      </c>
      <c r="H2445" s="359">
        <f t="shared" ref="H2445:H2451" si="337">SUM(D2445:G2445)</f>
        <v>6.5</v>
      </c>
      <c r="I2445" s="308">
        <v>201</v>
      </c>
      <c r="J2445" s="365" t="s">
        <v>96</v>
      </c>
      <c r="K2445" s="441">
        <v>4.16</v>
      </c>
      <c r="L2445" s="441">
        <v>4.0650000000000004</v>
      </c>
      <c r="M2445" s="441">
        <v>4.0960000000000001</v>
      </c>
      <c r="N2445" s="441">
        <v>0</v>
      </c>
      <c r="O2445" s="359">
        <f t="shared" ref="O2445:O2451" si="338">SUM(K2445:N2445)</f>
        <v>12.321000000000002</v>
      </c>
    </row>
    <row r="2446" spans="1:19" x14ac:dyDescent="0.25">
      <c r="B2446" s="307" t="s">
        <v>100</v>
      </c>
      <c r="C2446" s="365" t="s">
        <v>95</v>
      </c>
      <c r="D2446" s="444">
        <f t="shared" ref="D2446:G2447" si="339">D2444/$B2444</f>
        <v>0.1891746641074856</v>
      </c>
      <c r="E2446" s="429">
        <f t="shared" si="339"/>
        <v>3.7850287907869477E-2</v>
      </c>
      <c r="F2446" s="429">
        <f t="shared" si="339"/>
        <v>0</v>
      </c>
      <c r="G2446" s="429">
        <f t="shared" si="339"/>
        <v>0</v>
      </c>
      <c r="H2446" s="359">
        <f t="shared" si="337"/>
        <v>0.22702495201535508</v>
      </c>
      <c r="I2446" s="307" t="s">
        <v>100</v>
      </c>
      <c r="J2446" s="365" t="s">
        <v>95</v>
      </c>
      <c r="K2446" s="444">
        <f t="shared" ref="K2446:N2447" si="340">K2444/$I2444</f>
        <v>0.26512987012987016</v>
      </c>
      <c r="L2446" s="429">
        <f t="shared" si="340"/>
        <v>0.16913636363636364</v>
      </c>
      <c r="M2446" s="429">
        <f t="shared" si="340"/>
        <v>2.2000000000000002E-2</v>
      </c>
      <c r="N2446" s="429">
        <f t="shared" si="340"/>
        <v>0</v>
      </c>
      <c r="O2446" s="359">
        <f t="shared" si="338"/>
        <v>0.45626623376623382</v>
      </c>
    </row>
    <row r="2447" spans="1:19" x14ac:dyDescent="0.25">
      <c r="B2447" s="307" t="s">
        <v>100</v>
      </c>
      <c r="C2447" s="438" t="s">
        <v>96</v>
      </c>
      <c r="D2447" s="359">
        <f t="shared" si="339"/>
        <v>2.5000000000000001E-2</v>
      </c>
      <c r="E2447" s="359">
        <f t="shared" si="339"/>
        <v>7.4999999999999997E-3</v>
      </c>
      <c r="F2447" s="359">
        <f t="shared" si="339"/>
        <v>0</v>
      </c>
      <c r="G2447" s="359">
        <f t="shared" si="339"/>
        <v>0</v>
      </c>
      <c r="H2447" s="359">
        <f t="shared" si="337"/>
        <v>3.2500000000000001E-2</v>
      </c>
      <c r="I2447" s="307" t="s">
        <v>100</v>
      </c>
      <c r="J2447" s="438" t="s">
        <v>96</v>
      </c>
      <c r="K2447" s="359">
        <f t="shared" si="340"/>
        <v>2.0696517412935322E-2</v>
      </c>
      <c r="L2447" s="359">
        <f t="shared" si="340"/>
        <v>2.0223880597014927E-2</v>
      </c>
      <c r="M2447" s="359">
        <f t="shared" si="340"/>
        <v>2.0378109452736319E-2</v>
      </c>
      <c r="N2447" s="359">
        <f t="shared" si="340"/>
        <v>0</v>
      </c>
      <c r="O2447" s="359">
        <f t="shared" si="338"/>
        <v>6.1298507462686565E-2</v>
      </c>
    </row>
    <row r="2448" spans="1:19" x14ac:dyDescent="0.25">
      <c r="B2448" s="307" t="s">
        <v>104</v>
      </c>
      <c r="C2448" s="365" t="s">
        <v>95</v>
      </c>
      <c r="D2448" s="359">
        <f>D2444/($B2444/7.7)</f>
        <v>1.4566449136276391</v>
      </c>
      <c r="E2448" s="359">
        <f>E2444/($B2444/7)</f>
        <v>0.26495201535508633</v>
      </c>
      <c r="F2448" s="359">
        <f>F2444/($B2444/7)</f>
        <v>0</v>
      </c>
      <c r="G2448" s="359">
        <f>G2444/($B2444/7)</f>
        <v>0</v>
      </c>
      <c r="H2448" s="359">
        <f t="shared" si="337"/>
        <v>1.7215969289827255</v>
      </c>
      <c r="I2448" s="307" t="s">
        <v>104</v>
      </c>
      <c r="J2448" s="365" t="s">
        <v>95</v>
      </c>
      <c r="K2448" s="359">
        <f>K2444/($I2444/7.7)</f>
        <v>2.0415000000000001</v>
      </c>
      <c r="L2448" s="359">
        <f>L2444/($I2444/7)</f>
        <v>1.1839545454545455</v>
      </c>
      <c r="M2448" s="359">
        <f>M2444/($I2444/7)</f>
        <v>0.154</v>
      </c>
      <c r="N2448" s="359">
        <f>N2444/($I2444/7)</f>
        <v>0</v>
      </c>
      <c r="O2448" s="359">
        <f t="shared" si="338"/>
        <v>3.3794545454545455</v>
      </c>
    </row>
    <row r="2449" spans="1:19" x14ac:dyDescent="0.25">
      <c r="B2449" s="307" t="s">
        <v>104</v>
      </c>
      <c r="C2449" s="438" t="s">
        <v>96</v>
      </c>
      <c r="D2449" s="359">
        <f>D2445/($B2445/7.7)</f>
        <v>0.1925</v>
      </c>
      <c r="E2449" s="359">
        <f>E2445/($B2445/7.7)</f>
        <v>5.7750000000000003E-2</v>
      </c>
      <c r="F2449" s="359">
        <f>F2445/($B2445/7.7)</f>
        <v>0</v>
      </c>
      <c r="G2449" s="359">
        <f>G2445/($B2445/7.7)</f>
        <v>0</v>
      </c>
      <c r="H2449" s="359">
        <f t="shared" si="337"/>
        <v>0.25025000000000003</v>
      </c>
      <c r="I2449" s="307" t="s">
        <v>104</v>
      </c>
      <c r="J2449" s="438" t="s">
        <v>96</v>
      </c>
      <c r="K2449" s="359">
        <f>K2445/($I2445/7.7)</f>
        <v>0.15936318407960198</v>
      </c>
      <c r="L2449" s="359">
        <f>L2445/($I2445/7.7)</f>
        <v>0.15572388059701495</v>
      </c>
      <c r="M2449" s="359">
        <f>M2445/($I2445/7.7)</f>
        <v>0.15691144278606964</v>
      </c>
      <c r="N2449" s="359">
        <f>N2445/($I2445/7.7)</f>
        <v>0</v>
      </c>
      <c r="O2449" s="359">
        <f t="shared" si="338"/>
        <v>0.47199850746268657</v>
      </c>
      <c r="Q2449" s="549"/>
    </row>
    <row r="2450" spans="1:19" x14ac:dyDescent="0.25">
      <c r="B2450" s="307" t="s">
        <v>135</v>
      </c>
      <c r="C2450" s="365" t="s">
        <v>95</v>
      </c>
      <c r="D2450" s="359">
        <f>D2444/((($B2444*$B2440)*(1-$B2437))/$B2435)</f>
        <v>2.9208489805001528E-2</v>
      </c>
      <c r="E2450" s="359">
        <f>E2444/((($B2444*$B2440)*(1-$B2437))/$B2435)</f>
        <v>5.8440687799779832E-3</v>
      </c>
      <c r="F2450" s="359">
        <f>F2444/((($B2444*$B2440)*(1-$B2437))/$B2435)</f>
        <v>0</v>
      </c>
      <c r="G2450" s="359">
        <f>G2444/((($B2444*$B2440)*(1-$B2437))/$B2435)</f>
        <v>0</v>
      </c>
      <c r="H2450" s="359">
        <f t="shared" si="337"/>
        <v>3.5052558584979514E-2</v>
      </c>
      <c r="I2450" s="307" t="s">
        <v>135</v>
      </c>
      <c r="J2450" s="365" t="s">
        <v>95</v>
      </c>
      <c r="K2450" s="359">
        <f>K2444/((($I2444*$B2440)*(1-$B2437))/$B2435)</f>
        <v>4.0935942163426636E-2</v>
      </c>
      <c r="L2450" s="359">
        <f>L2444/((($I2444*$B2440)*(1-$B2437))/$B2435)</f>
        <v>2.6114584509693207E-2</v>
      </c>
      <c r="M2450" s="359">
        <f>M2444/((($I2444*$B2440)*(1-$B2437))/$B2435)</f>
        <v>3.3967908902691512E-3</v>
      </c>
      <c r="N2450" s="359">
        <f>N2444/((($I2444*$B2440)*(1-$B2437))/$B2435)</f>
        <v>0</v>
      </c>
      <c r="O2450" s="359">
        <f t="shared" si="338"/>
        <v>7.0447317563388984E-2</v>
      </c>
    </row>
    <row r="2451" spans="1:19" x14ac:dyDescent="0.25">
      <c r="B2451" s="307" t="s">
        <v>135</v>
      </c>
      <c r="C2451" s="438" t="s">
        <v>96</v>
      </c>
      <c r="D2451" s="359">
        <f>D2445/((($B2445*$B2440)*(1-$B2437))/$B2435)</f>
        <v>3.8599896480331262E-3</v>
      </c>
      <c r="E2451" s="359">
        <f>E2445/((($B2445*$B2440)*(1-$B2437))/$B2435)</f>
        <v>1.1579968944099379E-3</v>
      </c>
      <c r="F2451" s="359">
        <f>F2445/((($B2445*$B2440)*(1-$B2437))/$B2435)</f>
        <v>0</v>
      </c>
      <c r="G2451" s="359">
        <f>G2445/((($B2445*$B2440)*(1-$B2437))/$B2435)</f>
        <v>0</v>
      </c>
      <c r="H2451" s="359">
        <f t="shared" si="337"/>
        <v>5.0179865424430639E-3</v>
      </c>
      <c r="I2451" s="307" t="s">
        <v>135</v>
      </c>
      <c r="J2451" s="438" t="s">
        <v>96</v>
      </c>
      <c r="K2451" s="359">
        <f>K2445/((($I2445*$B2440)*(1-$B2437))/$B2435)</f>
        <v>3.1955337185707077E-3</v>
      </c>
      <c r="L2451" s="359">
        <f>L2445/((($I2445*$B2440)*(1-$B2437))/$B2435)</f>
        <v>3.1225587899014248E-3</v>
      </c>
      <c r="M2451" s="359">
        <f>M2445/((($I2445*$B2440)*(1-$B2437))/$B2435)</f>
        <v>3.1463716613619277E-3</v>
      </c>
      <c r="N2451" s="359">
        <f>N2445/((($I2445*$B2440)*(1-$B2437))/$B2435)</f>
        <v>0</v>
      </c>
      <c r="O2451" s="359">
        <f t="shared" si="338"/>
        <v>9.4644641698340606E-3</v>
      </c>
    </row>
    <row r="2452" spans="1:19" ht="15.75" thickBot="1" x14ac:dyDescent="0.3">
      <c r="A2452" s="178"/>
      <c r="B2452" s="178"/>
      <c r="C2452" s="178"/>
      <c r="D2452" s="178"/>
      <c r="E2452" s="178"/>
      <c r="F2452" s="178"/>
      <c r="G2452" s="178"/>
      <c r="H2452" s="178"/>
      <c r="I2452" s="178"/>
      <c r="J2452" s="178"/>
      <c r="K2452" s="178"/>
      <c r="L2452" s="178"/>
      <c r="M2452" s="178"/>
      <c r="N2452" s="178"/>
      <c r="O2452" s="178"/>
    </row>
    <row r="2453" spans="1:19" ht="21" x14ac:dyDescent="0.25">
      <c r="A2453" s="305"/>
      <c r="B2453" s="644" t="s">
        <v>685</v>
      </c>
      <c r="C2453" s="645"/>
      <c r="D2453" s="645"/>
      <c r="E2453" s="645"/>
      <c r="F2453" s="645"/>
      <c r="G2453" s="645"/>
      <c r="H2453" s="645"/>
      <c r="I2453" s="645"/>
      <c r="J2453" s="645"/>
      <c r="K2453" s="645"/>
      <c r="L2453" s="645"/>
      <c r="M2453" s="645"/>
      <c r="N2453" s="645"/>
      <c r="O2453" s="646"/>
      <c r="Q2453" s="640" t="s">
        <v>139</v>
      </c>
      <c r="R2453" s="544" t="s">
        <v>659</v>
      </c>
      <c r="S2453" s="642" t="s">
        <v>142</v>
      </c>
    </row>
    <row r="2454" spans="1:19" ht="21.75" thickBot="1" x14ac:dyDescent="0.3">
      <c r="A2454" s="177" t="s">
        <v>285</v>
      </c>
      <c r="B2454" s="647">
        <v>44756</v>
      </c>
      <c r="C2454" s="648"/>
      <c r="D2454" s="648"/>
      <c r="E2454" s="648"/>
      <c r="F2454" s="648"/>
      <c r="G2454" s="648"/>
      <c r="H2454" s="648"/>
      <c r="I2454" s="648"/>
      <c r="J2454" s="648"/>
      <c r="K2454" s="648"/>
      <c r="L2454" s="648"/>
      <c r="M2454" s="648"/>
      <c r="N2454" s="648"/>
      <c r="O2454" s="649"/>
      <c r="Q2454" s="641"/>
      <c r="R2454" s="87" t="s">
        <v>141</v>
      </c>
      <c r="S2454" s="643"/>
    </row>
    <row r="2455" spans="1:19" ht="15.75" thickBot="1" x14ac:dyDescent="0.3">
      <c r="A2455" s="177"/>
      <c r="B2455" s="650" t="s">
        <v>115</v>
      </c>
      <c r="C2455" s="651"/>
      <c r="D2455" s="651"/>
      <c r="E2455" s="651"/>
      <c r="F2455" s="651"/>
      <c r="G2455" s="651"/>
      <c r="H2455" s="651"/>
      <c r="I2455" s="651"/>
      <c r="J2455" s="651"/>
      <c r="K2455" s="651"/>
      <c r="L2455" s="651"/>
      <c r="M2455" s="651"/>
      <c r="N2455" s="651"/>
      <c r="O2455" s="652"/>
      <c r="Q2455" s="147" t="s">
        <v>143</v>
      </c>
      <c r="R2455" s="88">
        <v>8</v>
      </c>
      <c r="S2455" s="87" t="s">
        <v>576</v>
      </c>
    </row>
    <row r="2456" spans="1:19" ht="15.75" thickBot="1" x14ac:dyDescent="0.3">
      <c r="A2456" s="177" t="s">
        <v>106</v>
      </c>
      <c r="B2456" s="629">
        <v>20</v>
      </c>
      <c r="C2456" s="630"/>
      <c r="D2456" s="630"/>
      <c r="E2456" s="631"/>
      <c r="F2456" s="365" t="s">
        <v>174</v>
      </c>
      <c r="G2456" s="471"/>
      <c r="H2456" s="653"/>
      <c r="I2456" s="654"/>
      <c r="J2456" s="654"/>
      <c r="K2456" s="654"/>
      <c r="L2456" s="655"/>
      <c r="M2456" s="656">
        <f>SUM(B2456,H2457)</f>
        <v>20</v>
      </c>
      <c r="N2456" s="630"/>
      <c r="O2456" s="631"/>
      <c r="Q2456" s="147" t="s">
        <v>145</v>
      </c>
      <c r="R2456" s="88">
        <v>8</v>
      </c>
      <c r="S2456" s="89" t="s">
        <v>724</v>
      </c>
    </row>
    <row r="2457" spans="1:19" ht="15.75" thickBot="1" x14ac:dyDescent="0.3">
      <c r="A2457" s="177" t="s">
        <v>112</v>
      </c>
      <c r="B2457" s="626">
        <v>0.16</v>
      </c>
      <c r="C2457" s="627"/>
      <c r="D2457" s="627"/>
      <c r="E2457" s="628"/>
      <c r="F2457" s="290"/>
      <c r="G2457" s="472"/>
      <c r="H2457" s="626"/>
      <c r="I2457" s="627"/>
      <c r="J2457" s="627"/>
      <c r="K2457" s="627"/>
      <c r="L2457" s="628"/>
      <c r="M2457" s="657">
        <f>B2457</f>
        <v>0.16</v>
      </c>
      <c r="N2457" s="627"/>
      <c r="O2457" s="628"/>
      <c r="Q2457" s="147" t="s">
        <v>147</v>
      </c>
      <c r="R2457" s="88">
        <v>6</v>
      </c>
      <c r="S2457" s="87" t="s">
        <v>725</v>
      </c>
    </row>
    <row r="2458" spans="1:19" ht="15.75" thickBot="1" x14ac:dyDescent="0.3">
      <c r="A2458" s="177" t="s">
        <v>107</v>
      </c>
      <c r="B2458" s="629">
        <f>B2456*(1-B2457)</f>
        <v>16.8</v>
      </c>
      <c r="C2458" s="630"/>
      <c r="D2458" s="630"/>
      <c r="E2458" s="631"/>
      <c r="F2458" s="290"/>
      <c r="G2458" s="472"/>
      <c r="H2458" s="629">
        <f>H2456*(1-H2457)</f>
        <v>0</v>
      </c>
      <c r="I2458" s="630"/>
      <c r="J2458" s="630"/>
      <c r="K2458" s="630"/>
      <c r="L2458" s="631"/>
      <c r="M2458" s="656">
        <f>SUM(B2458,H2458)</f>
        <v>16.8</v>
      </c>
      <c r="N2458" s="630"/>
      <c r="O2458" s="631"/>
      <c r="Q2458" s="147" t="s">
        <v>82</v>
      </c>
      <c r="R2458" s="88">
        <v>8</v>
      </c>
      <c r="S2458" s="89" t="s">
        <v>720</v>
      </c>
    </row>
    <row r="2459" spans="1:19" ht="15.75" thickBot="1" x14ac:dyDescent="0.3">
      <c r="A2459" s="177" t="s">
        <v>108</v>
      </c>
      <c r="B2459" s="626">
        <f>B2462/B2458</f>
        <v>0.72374851190476197</v>
      </c>
      <c r="C2459" s="627"/>
      <c r="D2459" s="627"/>
      <c r="E2459" s="627"/>
      <c r="F2459" s="627"/>
      <c r="G2459" s="627"/>
      <c r="H2459" s="627"/>
      <c r="I2459" s="627"/>
      <c r="J2459" s="627"/>
      <c r="K2459" s="627"/>
      <c r="L2459" s="627"/>
      <c r="M2459" s="627"/>
      <c r="N2459" s="627"/>
      <c r="O2459" s="628"/>
      <c r="Q2459" s="147" t="s">
        <v>152</v>
      </c>
      <c r="R2459" s="88">
        <v>8</v>
      </c>
      <c r="S2459" s="89" t="s">
        <v>721</v>
      </c>
    </row>
    <row r="2460" spans="1:19" ht="15.75" thickBot="1" x14ac:dyDescent="0.3">
      <c r="A2460" s="177" t="s">
        <v>113</v>
      </c>
      <c r="B2460" s="629">
        <f>B2464*(B2468+B2469+I2468+I2469)/1000</f>
        <v>39.222499999999997</v>
      </c>
      <c r="C2460" s="630"/>
      <c r="D2460" s="630"/>
      <c r="E2460" s="630"/>
      <c r="F2460" s="630"/>
      <c r="G2460" s="630"/>
      <c r="H2460" s="630"/>
      <c r="I2460" s="630"/>
      <c r="J2460" s="630"/>
      <c r="K2460" s="630"/>
      <c r="L2460" s="630"/>
      <c r="M2460" s="630"/>
      <c r="N2460" s="630"/>
      <c r="O2460" s="631"/>
      <c r="Q2460" s="147" t="s">
        <v>154</v>
      </c>
      <c r="R2460" s="88">
        <v>8</v>
      </c>
      <c r="S2460" s="87" t="s">
        <v>722</v>
      </c>
    </row>
    <row r="2461" spans="1:19" ht="29.25" thickBot="1" x14ac:dyDescent="0.3">
      <c r="A2461" s="177" t="s">
        <v>109</v>
      </c>
      <c r="B2461" s="626">
        <v>0.69</v>
      </c>
      <c r="C2461" s="627"/>
      <c r="D2461" s="627"/>
      <c r="E2461" s="627"/>
      <c r="F2461" s="627"/>
      <c r="G2461" s="627"/>
      <c r="H2461" s="627"/>
      <c r="I2461" s="627"/>
      <c r="J2461" s="627"/>
      <c r="K2461" s="627"/>
      <c r="L2461" s="627"/>
      <c r="M2461" s="627"/>
      <c r="N2461" s="627"/>
      <c r="O2461" s="628"/>
      <c r="Q2461" s="147" t="s">
        <v>156</v>
      </c>
      <c r="R2461" s="88">
        <v>8</v>
      </c>
      <c r="S2461" s="87" t="s">
        <v>577</v>
      </c>
    </row>
    <row r="2462" spans="1:19" ht="15.75" thickBot="1" x14ac:dyDescent="0.3">
      <c r="A2462" s="177" t="s">
        <v>122</v>
      </c>
      <c r="B2462" s="629">
        <f>B2460-(B2460*B2461)</f>
        <v>12.158975000000002</v>
      </c>
      <c r="C2462" s="630"/>
      <c r="D2462" s="630"/>
      <c r="E2462" s="630"/>
      <c r="F2462" s="630"/>
      <c r="G2462" s="630"/>
      <c r="H2462" s="630"/>
      <c r="I2462" s="630"/>
      <c r="J2462" s="630"/>
      <c r="K2462" s="630"/>
      <c r="L2462" s="630"/>
      <c r="M2462" s="630"/>
      <c r="N2462" s="630"/>
      <c r="O2462" s="631"/>
      <c r="Q2462" s="147" t="s">
        <v>158</v>
      </c>
      <c r="R2462" s="88"/>
      <c r="S2462" s="87"/>
    </row>
    <row r="2463" spans="1:19" ht="15.75" thickBot="1" x14ac:dyDescent="0.3">
      <c r="A2463" s="177" t="s">
        <v>110</v>
      </c>
      <c r="B2463" s="632">
        <v>125</v>
      </c>
      <c r="C2463" s="633"/>
      <c r="D2463" s="633"/>
      <c r="E2463" s="633"/>
      <c r="F2463" s="633"/>
      <c r="G2463" s="633"/>
      <c r="H2463" s="633"/>
      <c r="I2463" s="633"/>
      <c r="J2463" s="633"/>
      <c r="K2463" s="633"/>
      <c r="L2463" s="633"/>
      <c r="M2463" s="633"/>
      <c r="N2463" s="633"/>
      <c r="O2463" s="634"/>
      <c r="Q2463" s="570" t="s">
        <v>99</v>
      </c>
      <c r="R2463" s="87" t="s">
        <v>572</v>
      </c>
      <c r="S2463" s="148">
        <v>0.8</v>
      </c>
    </row>
    <row r="2464" spans="1:19" x14ac:dyDescent="0.25">
      <c r="A2464" s="177" t="s">
        <v>111</v>
      </c>
      <c r="B2464" s="635">
        <v>14.5</v>
      </c>
      <c r="C2464" s="636"/>
      <c r="D2464" s="636"/>
      <c r="E2464" s="636"/>
      <c r="F2464" s="636"/>
      <c r="G2464" s="636"/>
      <c r="H2464" s="636"/>
      <c r="I2464" s="636"/>
      <c r="J2464" s="636"/>
      <c r="K2464" s="636"/>
      <c r="L2464" s="636"/>
      <c r="M2464" s="636"/>
      <c r="N2464" s="636"/>
      <c r="O2464" s="637"/>
    </row>
    <row r="2465" spans="1:19" x14ac:dyDescent="0.25">
      <c r="A2465" s="177" t="s">
        <v>273</v>
      </c>
      <c r="B2465" s="638" t="s">
        <v>689</v>
      </c>
      <c r="C2465" s="638"/>
      <c r="D2465" s="638"/>
      <c r="E2465" s="638"/>
      <c r="F2465" s="638"/>
      <c r="G2465" s="638"/>
      <c r="H2465" s="638"/>
      <c r="I2465" s="638"/>
      <c r="J2465" s="638"/>
      <c r="K2465" s="638"/>
      <c r="L2465" s="638"/>
      <c r="M2465" s="638"/>
      <c r="N2465" s="638"/>
      <c r="O2465" s="639"/>
    </row>
    <row r="2466" spans="1:19" x14ac:dyDescent="0.25">
      <c r="A2466" s="177" t="s">
        <v>351</v>
      </c>
      <c r="B2466" s="431"/>
      <c r="C2466" s="431"/>
      <c r="D2466" s="431"/>
      <c r="E2466" s="431"/>
      <c r="F2466" s="431"/>
      <c r="G2466" s="431"/>
      <c r="H2466" s="431"/>
      <c r="I2466" s="431"/>
      <c r="J2466" s="431"/>
      <c r="K2466" s="431"/>
      <c r="L2466" s="431"/>
      <c r="M2466" s="431"/>
      <c r="N2466" s="431"/>
      <c r="O2466" s="432"/>
    </row>
    <row r="2467" spans="1:19" x14ac:dyDescent="0.25">
      <c r="B2467" s="307" t="s">
        <v>98</v>
      </c>
      <c r="C2467" s="365" t="s">
        <v>102</v>
      </c>
      <c r="D2467" s="365" t="s">
        <v>92</v>
      </c>
      <c r="E2467" s="365" t="s">
        <v>93</v>
      </c>
      <c r="F2467" s="365" t="s">
        <v>94</v>
      </c>
      <c r="G2467" s="365" t="s">
        <v>549</v>
      </c>
      <c r="H2467" s="359" t="s">
        <v>99</v>
      </c>
      <c r="I2467" s="307" t="s">
        <v>98</v>
      </c>
      <c r="J2467" s="365" t="s">
        <v>102</v>
      </c>
      <c r="K2467" s="365" t="s">
        <v>92</v>
      </c>
      <c r="L2467" s="365" t="s">
        <v>93</v>
      </c>
      <c r="M2467" s="365" t="s">
        <v>94</v>
      </c>
      <c r="N2467" s="365" t="s">
        <v>549</v>
      </c>
      <c r="O2467" s="359" t="s">
        <v>99</v>
      </c>
    </row>
    <row r="2468" spans="1:19" x14ac:dyDescent="0.25">
      <c r="B2468" s="308">
        <v>1100</v>
      </c>
      <c r="C2468" s="365" t="s">
        <v>95</v>
      </c>
      <c r="D2468" s="441">
        <f>596.48+133</f>
        <v>729.48</v>
      </c>
      <c r="E2468" s="441">
        <v>302.13</v>
      </c>
      <c r="F2468" s="441">
        <v>100.5</v>
      </c>
      <c r="G2468" s="441"/>
      <c r="H2468" s="359">
        <f>SUM(D2468:G2468)</f>
        <v>1132.1100000000001</v>
      </c>
      <c r="I2468" s="308">
        <v>1132</v>
      </c>
      <c r="J2468" s="365" t="s">
        <v>95</v>
      </c>
      <c r="K2468" s="441">
        <v>768.36</v>
      </c>
      <c r="L2468" s="441">
        <v>591.24</v>
      </c>
      <c r="M2468" s="441">
        <v>207</v>
      </c>
      <c r="N2468" s="441"/>
      <c r="O2468" s="359">
        <f>SUM(K2468:N2468)</f>
        <v>1566.6</v>
      </c>
    </row>
    <row r="2469" spans="1:19" x14ac:dyDescent="0.25">
      <c r="B2469" s="308">
        <v>237</v>
      </c>
      <c r="C2469" s="365" t="s">
        <v>96</v>
      </c>
      <c r="D2469" s="441">
        <v>49.96</v>
      </c>
      <c r="E2469" s="441">
        <v>29.38</v>
      </c>
      <c r="F2469" s="441">
        <v>29.38</v>
      </c>
      <c r="G2469" s="441"/>
      <c r="H2469" s="359">
        <f t="shared" ref="H2469:H2475" si="341">SUM(D2469:G2469)</f>
        <v>108.72</v>
      </c>
      <c r="I2469" s="308">
        <v>236</v>
      </c>
      <c r="J2469" s="365" t="s">
        <v>96</v>
      </c>
      <c r="K2469" s="441">
        <v>106.675</v>
      </c>
      <c r="L2469" s="441">
        <v>66.88</v>
      </c>
      <c r="M2469" s="441">
        <v>23.72</v>
      </c>
      <c r="N2469" s="441"/>
      <c r="O2469" s="359">
        <f t="shared" ref="O2469:O2475" si="342">SUM(K2469:N2469)</f>
        <v>197.27500000000001</v>
      </c>
    </row>
    <row r="2470" spans="1:19" x14ac:dyDescent="0.25">
      <c r="B2470" s="307" t="s">
        <v>100</v>
      </c>
      <c r="C2470" s="365" t="s">
        <v>95</v>
      </c>
      <c r="D2470" s="444">
        <f t="shared" ref="D2470:G2471" si="343">D2468/$B2468</f>
        <v>0.6631636363636364</v>
      </c>
      <c r="E2470" s="429">
        <f t="shared" si="343"/>
        <v>0.27466363636363633</v>
      </c>
      <c r="F2470" s="429">
        <f t="shared" si="343"/>
        <v>9.1363636363636369E-2</v>
      </c>
      <c r="G2470" s="429">
        <f t="shared" si="343"/>
        <v>0</v>
      </c>
      <c r="H2470" s="359">
        <f t="shared" si="341"/>
        <v>1.029190909090909</v>
      </c>
      <c r="I2470" s="307" t="s">
        <v>100</v>
      </c>
      <c r="J2470" s="365" t="s">
        <v>95</v>
      </c>
      <c r="K2470" s="444">
        <f t="shared" ref="K2470:N2471" si="344">K2468/$I2468</f>
        <v>0.67876325088339229</v>
      </c>
      <c r="L2470" s="429">
        <f t="shared" si="344"/>
        <v>0.52229681978798592</v>
      </c>
      <c r="M2470" s="429">
        <f t="shared" si="344"/>
        <v>0.18286219081272084</v>
      </c>
      <c r="N2470" s="429">
        <f t="shared" si="344"/>
        <v>0</v>
      </c>
      <c r="O2470" s="359">
        <f t="shared" si="342"/>
        <v>1.3839222614840989</v>
      </c>
    </row>
    <row r="2471" spans="1:19" x14ac:dyDescent="0.25">
      <c r="B2471" s="307" t="s">
        <v>100</v>
      </c>
      <c r="C2471" s="438" t="s">
        <v>96</v>
      </c>
      <c r="D2471" s="359">
        <f t="shared" si="343"/>
        <v>0.21080168776371308</v>
      </c>
      <c r="E2471" s="359">
        <f t="shared" si="343"/>
        <v>0.12396624472573839</v>
      </c>
      <c r="F2471" s="359">
        <f t="shared" si="343"/>
        <v>0.12396624472573839</v>
      </c>
      <c r="G2471" s="359">
        <f t="shared" si="343"/>
        <v>0</v>
      </c>
      <c r="H2471" s="359">
        <f t="shared" si="341"/>
        <v>0.45873417721518983</v>
      </c>
      <c r="I2471" s="307" t="s">
        <v>100</v>
      </c>
      <c r="J2471" s="438" t="s">
        <v>96</v>
      </c>
      <c r="K2471" s="359">
        <f t="shared" si="344"/>
        <v>0.45201271186440678</v>
      </c>
      <c r="L2471" s="359">
        <f t="shared" si="344"/>
        <v>0.28338983050847455</v>
      </c>
      <c r="M2471" s="359">
        <f t="shared" si="344"/>
        <v>0.10050847457627118</v>
      </c>
      <c r="N2471" s="359">
        <f t="shared" si="344"/>
        <v>0</v>
      </c>
      <c r="O2471" s="359">
        <f t="shared" si="342"/>
        <v>0.8359110169491526</v>
      </c>
    </row>
    <row r="2472" spans="1:19" x14ac:dyDescent="0.25">
      <c r="B2472" s="307" t="s">
        <v>104</v>
      </c>
      <c r="C2472" s="365" t="s">
        <v>95</v>
      </c>
      <c r="D2472" s="359">
        <f>D2468/($B2468/7.7)</f>
        <v>5.1063599999999996</v>
      </c>
      <c r="E2472" s="359">
        <f>E2468/($B2468/7)</f>
        <v>1.9226454545454545</v>
      </c>
      <c r="F2472" s="359">
        <f>F2468/($B2468/7)</f>
        <v>0.63954545454545453</v>
      </c>
      <c r="G2472" s="359">
        <f>G2468/($B2468/7)</f>
        <v>0</v>
      </c>
      <c r="H2472" s="359">
        <f t="shared" si="341"/>
        <v>7.668550909090909</v>
      </c>
      <c r="I2472" s="307" t="s">
        <v>104</v>
      </c>
      <c r="J2472" s="365" t="s">
        <v>95</v>
      </c>
      <c r="K2472" s="359">
        <f>K2468/($I2468/7.7)</f>
        <v>5.226477031802121</v>
      </c>
      <c r="L2472" s="359">
        <f>L2468/($I2468/7)</f>
        <v>3.6560777385159011</v>
      </c>
      <c r="M2472" s="359">
        <f>M2468/($I2468/7)</f>
        <v>1.2800353356890459</v>
      </c>
      <c r="N2472" s="359">
        <f>N2468/($I2468/7)</f>
        <v>0</v>
      </c>
      <c r="O2472" s="359">
        <f t="shared" si="342"/>
        <v>10.162590106007068</v>
      </c>
    </row>
    <row r="2473" spans="1:19" x14ac:dyDescent="0.25">
      <c r="B2473" s="307" t="s">
        <v>104</v>
      </c>
      <c r="C2473" s="438" t="s">
        <v>96</v>
      </c>
      <c r="D2473" s="359">
        <f>D2469/($B2469/7.7)</f>
        <v>1.6231729957805907</v>
      </c>
      <c r="E2473" s="359">
        <f>E2469/($B2469/7.7)</f>
        <v>0.95454008438818561</v>
      </c>
      <c r="F2473" s="359">
        <f>F2469/($B2469/7.7)</f>
        <v>0.95454008438818561</v>
      </c>
      <c r="G2473" s="359">
        <f>G2469/($B2469/7.7)</f>
        <v>0</v>
      </c>
      <c r="H2473" s="359">
        <f t="shared" si="341"/>
        <v>3.5322531645569617</v>
      </c>
      <c r="I2473" s="307" t="s">
        <v>104</v>
      </c>
      <c r="J2473" s="438" t="s">
        <v>96</v>
      </c>
      <c r="K2473" s="359">
        <f>K2469/($I2469/7.7)</f>
        <v>3.4804978813559324</v>
      </c>
      <c r="L2473" s="359">
        <f>L2469/($I2469/7.7)</f>
        <v>2.1821016949152541</v>
      </c>
      <c r="M2473" s="359">
        <f>M2469/($I2469/7.7)</f>
        <v>0.77391525423728813</v>
      </c>
      <c r="N2473" s="359">
        <f>N2469/($I2469/7.7)</f>
        <v>0</v>
      </c>
      <c r="O2473" s="359">
        <f t="shared" si="342"/>
        <v>6.4365148305084743</v>
      </c>
    </row>
    <row r="2474" spans="1:19" x14ac:dyDescent="0.25">
      <c r="B2474" s="307" t="s">
        <v>135</v>
      </c>
      <c r="C2474" s="365" t="s">
        <v>95</v>
      </c>
      <c r="D2474" s="359">
        <f>D2468/((($B2468*$B2464)*(1-$B2461))/$B2459)</f>
        <v>0.10677724025974025</v>
      </c>
      <c r="E2474" s="359">
        <f>E2468/((($B2468*$B2464)*(1-$B2461))/$B2459)</f>
        <v>4.4224115259740258E-2</v>
      </c>
      <c r="F2474" s="359">
        <f>F2468/((($B2468*$B2464)*(1-$B2461))/$B2459)</f>
        <v>1.4710633116883115E-2</v>
      </c>
      <c r="G2474" s="359">
        <f>G2468/((($B2468*$B2464)*(1-$B2461))/$B2459)</f>
        <v>0</v>
      </c>
      <c r="H2474" s="359">
        <f t="shared" si="341"/>
        <v>0.16571198863636363</v>
      </c>
      <c r="I2474" s="307" t="s">
        <v>135</v>
      </c>
      <c r="J2474" s="365" t="s">
        <v>95</v>
      </c>
      <c r="K2474" s="359">
        <f>K2468/((($I2468*$B2464)*(1-$B2461))/$B2459)</f>
        <v>0.10928896390711761</v>
      </c>
      <c r="L2474" s="359">
        <f>L2468/((($I2468*$B2464)*(1-$B2461))/$B2459)</f>
        <v>8.4096005805148907E-2</v>
      </c>
      <c r="M2474" s="359">
        <f>M2468/((($I2468*$B2464)*(1-$B2461))/$B2459)</f>
        <v>2.9442989651691061E-2</v>
      </c>
      <c r="N2474" s="359">
        <f>N2468/((($I2468*$B2464)*(1-$B2461))/$B2459)</f>
        <v>0</v>
      </c>
      <c r="O2474" s="359">
        <f t="shared" si="342"/>
        <v>0.22282795936395758</v>
      </c>
    </row>
    <row r="2475" spans="1:19" x14ac:dyDescent="0.25">
      <c r="B2475" s="307" t="s">
        <v>135</v>
      </c>
      <c r="C2475" s="438" t="s">
        <v>96</v>
      </c>
      <c r="D2475" s="359">
        <f>D2469/((($B2469*$B2464)*(1-$B2461))/$B2459)</f>
        <v>3.3941581273859746E-2</v>
      </c>
      <c r="E2475" s="359">
        <f>E2469/((($B2469*$B2464)*(1-$B2461))/$B2459)</f>
        <v>1.9960041189471565E-2</v>
      </c>
      <c r="F2475" s="359">
        <f>F2469/((($B2469*$B2464)*(1-$B2461))/$B2459)</f>
        <v>1.9960041189471565E-2</v>
      </c>
      <c r="G2475" s="359">
        <f>G2469/((($B2469*$B2464)*(1-$B2461))/$B2459)</f>
        <v>0</v>
      </c>
      <c r="H2475" s="359">
        <f t="shared" si="341"/>
        <v>7.3861663652802875E-2</v>
      </c>
      <c r="I2475" s="307" t="s">
        <v>135</v>
      </c>
      <c r="J2475" s="438" t="s">
        <v>96</v>
      </c>
      <c r="K2475" s="359">
        <f>K2469/((($I2469*$B2464)*(1-$B2461))/$B2459)</f>
        <v>7.2779427713882155E-2</v>
      </c>
      <c r="L2475" s="359">
        <f>L2469/((($I2469*$B2464)*(1-$B2461))/$B2459)</f>
        <v>4.5629136400322831E-2</v>
      </c>
      <c r="M2475" s="359">
        <f>M2469/((($I2469*$B2464)*(1-$B2461))/$B2459)</f>
        <v>1.6183060936238901E-2</v>
      </c>
      <c r="N2475" s="359">
        <f>N2469/((($I2469*$B2464)*(1-$B2461))/$B2459)</f>
        <v>0</v>
      </c>
      <c r="O2475" s="359">
        <f t="shared" si="342"/>
        <v>0.13459162505044389</v>
      </c>
    </row>
    <row r="2476" spans="1:19" ht="15.75" thickBot="1" x14ac:dyDescent="0.3">
      <c r="A2476" s="178"/>
      <c r="B2476" s="178"/>
      <c r="C2476" s="178"/>
      <c r="D2476" s="178"/>
      <c r="E2476" s="178"/>
      <c r="F2476" s="178"/>
      <c r="G2476" s="178"/>
      <c r="H2476" s="178"/>
      <c r="I2476" s="178"/>
      <c r="J2476" s="178"/>
      <c r="K2476" s="178"/>
      <c r="L2476" s="178"/>
      <c r="M2476" s="178"/>
      <c r="N2476" s="178"/>
      <c r="O2476" s="178"/>
    </row>
    <row r="2477" spans="1:19" ht="21" x14ac:dyDescent="0.25">
      <c r="A2477" s="305"/>
      <c r="B2477" s="644" t="s">
        <v>684</v>
      </c>
      <c r="C2477" s="645"/>
      <c r="D2477" s="645"/>
      <c r="E2477" s="645"/>
      <c r="F2477" s="645"/>
      <c r="G2477" s="645"/>
      <c r="H2477" s="645"/>
      <c r="I2477" s="645"/>
      <c r="J2477" s="645"/>
      <c r="K2477" s="645"/>
      <c r="L2477" s="645"/>
      <c r="M2477" s="645"/>
      <c r="N2477" s="645"/>
      <c r="O2477" s="646"/>
      <c r="Q2477" s="640" t="s">
        <v>139</v>
      </c>
      <c r="R2477" s="544" t="s">
        <v>659</v>
      </c>
      <c r="S2477" s="642" t="s">
        <v>142</v>
      </c>
    </row>
    <row r="2478" spans="1:19" ht="21.75" thickBot="1" x14ac:dyDescent="0.3">
      <c r="A2478" s="177" t="s">
        <v>285</v>
      </c>
      <c r="B2478" s="647">
        <v>44767</v>
      </c>
      <c r="C2478" s="648"/>
      <c r="D2478" s="648"/>
      <c r="E2478" s="648"/>
      <c r="F2478" s="648"/>
      <c r="G2478" s="648"/>
      <c r="H2478" s="648"/>
      <c r="I2478" s="648"/>
      <c r="J2478" s="648"/>
      <c r="K2478" s="648"/>
      <c r="L2478" s="648"/>
      <c r="M2478" s="648"/>
      <c r="N2478" s="648"/>
      <c r="O2478" s="649"/>
      <c r="Q2478" s="641"/>
      <c r="R2478" s="87" t="s">
        <v>141</v>
      </c>
      <c r="S2478" s="643"/>
    </row>
    <row r="2479" spans="1:19" ht="15.75" thickBot="1" x14ac:dyDescent="0.3">
      <c r="A2479" s="177"/>
      <c r="B2479" s="650" t="s">
        <v>115</v>
      </c>
      <c r="C2479" s="651"/>
      <c r="D2479" s="651"/>
      <c r="E2479" s="651"/>
      <c r="F2479" s="651"/>
      <c r="G2479" s="651"/>
      <c r="H2479" s="651"/>
      <c r="I2479" s="651"/>
      <c r="J2479" s="651"/>
      <c r="K2479" s="651"/>
      <c r="L2479" s="651"/>
      <c r="M2479" s="651"/>
      <c r="N2479" s="651"/>
      <c r="O2479" s="652"/>
      <c r="Q2479" s="147" t="s">
        <v>143</v>
      </c>
      <c r="R2479" s="88">
        <v>8</v>
      </c>
      <c r="S2479" s="87" t="s">
        <v>576</v>
      </c>
    </row>
    <row r="2480" spans="1:19" ht="15.75" thickBot="1" x14ac:dyDescent="0.3">
      <c r="A2480" s="177" t="s">
        <v>106</v>
      </c>
      <c r="B2480" s="629">
        <v>15</v>
      </c>
      <c r="C2480" s="630"/>
      <c r="D2480" s="630"/>
      <c r="E2480" s="631"/>
      <c r="F2480" s="365" t="s">
        <v>174</v>
      </c>
      <c r="G2480" s="471"/>
      <c r="H2480" s="653"/>
      <c r="I2480" s="654"/>
      <c r="J2480" s="654"/>
      <c r="K2480" s="654"/>
      <c r="L2480" s="655"/>
      <c r="M2480" s="656">
        <f>SUM(B2480,H2481)</f>
        <v>15</v>
      </c>
      <c r="N2480" s="630"/>
      <c r="O2480" s="631"/>
      <c r="Q2480" s="147" t="s">
        <v>145</v>
      </c>
      <c r="R2480" s="88">
        <v>8</v>
      </c>
      <c r="S2480" s="89" t="s">
        <v>724</v>
      </c>
    </row>
    <row r="2481" spans="1:19" ht="15.75" thickBot="1" x14ac:dyDescent="0.3">
      <c r="A2481" s="177" t="s">
        <v>112</v>
      </c>
      <c r="B2481" s="626">
        <v>0.12</v>
      </c>
      <c r="C2481" s="627"/>
      <c r="D2481" s="627"/>
      <c r="E2481" s="628"/>
      <c r="F2481" s="290"/>
      <c r="G2481" s="472"/>
      <c r="H2481" s="626"/>
      <c r="I2481" s="627"/>
      <c r="J2481" s="627"/>
      <c r="K2481" s="627"/>
      <c r="L2481" s="628"/>
      <c r="M2481" s="657">
        <f>B2481</f>
        <v>0.12</v>
      </c>
      <c r="N2481" s="627"/>
      <c r="O2481" s="628"/>
      <c r="Q2481" s="147" t="s">
        <v>147</v>
      </c>
      <c r="R2481" s="88">
        <v>6</v>
      </c>
      <c r="S2481" s="87" t="s">
        <v>727</v>
      </c>
    </row>
    <row r="2482" spans="1:19" ht="15.75" thickBot="1" x14ac:dyDescent="0.3">
      <c r="A2482" s="177" t="s">
        <v>107</v>
      </c>
      <c r="B2482" s="629">
        <f>B2480*(1-B2481)</f>
        <v>13.2</v>
      </c>
      <c r="C2482" s="630"/>
      <c r="D2482" s="630"/>
      <c r="E2482" s="631"/>
      <c r="F2482" s="290"/>
      <c r="G2482" s="472"/>
      <c r="H2482" s="629">
        <f>H2480*(1-H2481)</f>
        <v>0</v>
      </c>
      <c r="I2482" s="630"/>
      <c r="J2482" s="630"/>
      <c r="K2482" s="630"/>
      <c r="L2482" s="631"/>
      <c r="M2482" s="656">
        <f>SUM(B2482,H2482)</f>
        <v>13.2</v>
      </c>
      <c r="N2482" s="630"/>
      <c r="O2482" s="631"/>
      <c r="Q2482" s="147" t="s">
        <v>82</v>
      </c>
      <c r="R2482" s="88">
        <v>8</v>
      </c>
      <c r="S2482" s="89" t="s">
        <v>729</v>
      </c>
    </row>
    <row r="2483" spans="1:19" ht="15.75" thickBot="1" x14ac:dyDescent="0.3">
      <c r="A2483" s="177" t="s">
        <v>108</v>
      </c>
      <c r="B2483" s="626">
        <f>B2486/B2482</f>
        <v>0.81035227272727295</v>
      </c>
      <c r="C2483" s="627"/>
      <c r="D2483" s="627"/>
      <c r="E2483" s="627"/>
      <c r="F2483" s="627"/>
      <c r="G2483" s="627"/>
      <c r="H2483" s="627"/>
      <c r="I2483" s="627"/>
      <c r="J2483" s="627"/>
      <c r="K2483" s="627"/>
      <c r="L2483" s="627"/>
      <c r="M2483" s="627"/>
      <c r="N2483" s="627"/>
      <c r="O2483" s="628"/>
      <c r="Q2483" s="147" t="s">
        <v>152</v>
      </c>
      <c r="R2483" s="88">
        <v>6</v>
      </c>
      <c r="S2483" s="89" t="s">
        <v>728</v>
      </c>
    </row>
    <row r="2484" spans="1:19" ht="15.75" thickBot="1" x14ac:dyDescent="0.3">
      <c r="A2484" s="177" t="s">
        <v>113</v>
      </c>
      <c r="B2484" s="629">
        <f>B2488*(B2492+B2493+I2492+I2493)/1000</f>
        <v>35.655500000000004</v>
      </c>
      <c r="C2484" s="630"/>
      <c r="D2484" s="630"/>
      <c r="E2484" s="630"/>
      <c r="F2484" s="630"/>
      <c r="G2484" s="630"/>
      <c r="H2484" s="630"/>
      <c r="I2484" s="630"/>
      <c r="J2484" s="630"/>
      <c r="K2484" s="630"/>
      <c r="L2484" s="630"/>
      <c r="M2484" s="630"/>
      <c r="N2484" s="630"/>
      <c r="O2484" s="631"/>
      <c r="Q2484" s="147" t="s">
        <v>154</v>
      </c>
      <c r="R2484" s="88">
        <v>8</v>
      </c>
      <c r="S2484" s="87" t="s">
        <v>722</v>
      </c>
    </row>
    <row r="2485" spans="1:19" ht="29.25" thickBot="1" x14ac:dyDescent="0.3">
      <c r="A2485" s="177" t="s">
        <v>109</v>
      </c>
      <c r="B2485" s="626">
        <v>0.7</v>
      </c>
      <c r="C2485" s="627"/>
      <c r="D2485" s="627"/>
      <c r="E2485" s="627"/>
      <c r="F2485" s="627"/>
      <c r="G2485" s="627"/>
      <c r="H2485" s="627"/>
      <c r="I2485" s="627"/>
      <c r="J2485" s="627"/>
      <c r="K2485" s="627"/>
      <c r="L2485" s="627"/>
      <c r="M2485" s="627"/>
      <c r="N2485" s="627"/>
      <c r="O2485" s="628"/>
      <c r="Q2485" s="147" t="s">
        <v>156</v>
      </c>
      <c r="R2485" s="88">
        <v>8</v>
      </c>
      <c r="S2485" s="87" t="s">
        <v>577</v>
      </c>
    </row>
    <row r="2486" spans="1:19" ht="15.75" thickBot="1" x14ac:dyDescent="0.3">
      <c r="A2486" s="177" t="s">
        <v>122</v>
      </c>
      <c r="B2486" s="629">
        <f>B2484-(B2484*B2485)</f>
        <v>10.696650000000002</v>
      </c>
      <c r="C2486" s="630"/>
      <c r="D2486" s="630"/>
      <c r="E2486" s="630"/>
      <c r="F2486" s="630"/>
      <c r="G2486" s="630"/>
      <c r="H2486" s="630"/>
      <c r="I2486" s="630"/>
      <c r="J2486" s="630"/>
      <c r="K2486" s="630"/>
      <c r="L2486" s="630"/>
      <c r="M2486" s="630"/>
      <c r="N2486" s="630"/>
      <c r="O2486" s="631"/>
      <c r="Q2486" s="147" t="s">
        <v>158</v>
      </c>
      <c r="R2486" s="88"/>
      <c r="S2486" s="87"/>
    </row>
    <row r="2487" spans="1:19" ht="15.75" thickBot="1" x14ac:dyDescent="0.3">
      <c r="A2487" s="177" t="s">
        <v>110</v>
      </c>
      <c r="B2487" s="632">
        <v>125</v>
      </c>
      <c r="C2487" s="633"/>
      <c r="D2487" s="633"/>
      <c r="E2487" s="633"/>
      <c r="F2487" s="633"/>
      <c r="G2487" s="633"/>
      <c r="H2487" s="633"/>
      <c r="I2487" s="633"/>
      <c r="J2487" s="633"/>
      <c r="K2487" s="633"/>
      <c r="L2487" s="633"/>
      <c r="M2487" s="633"/>
      <c r="N2487" s="633"/>
      <c r="O2487" s="634"/>
      <c r="Q2487" s="570" t="s">
        <v>99</v>
      </c>
      <c r="R2487" s="87" t="s">
        <v>726</v>
      </c>
      <c r="S2487" s="148">
        <v>0.74</v>
      </c>
    </row>
    <row r="2488" spans="1:19" x14ac:dyDescent="0.25">
      <c r="A2488" s="177" t="s">
        <v>111</v>
      </c>
      <c r="B2488" s="635">
        <v>14.5</v>
      </c>
      <c r="C2488" s="636"/>
      <c r="D2488" s="636"/>
      <c r="E2488" s="636"/>
      <c r="F2488" s="636"/>
      <c r="G2488" s="636"/>
      <c r="H2488" s="636"/>
      <c r="I2488" s="636"/>
      <c r="J2488" s="636"/>
      <c r="K2488" s="636"/>
      <c r="L2488" s="636"/>
      <c r="M2488" s="636"/>
      <c r="N2488" s="636"/>
      <c r="O2488" s="637"/>
    </row>
    <row r="2489" spans="1:19" x14ac:dyDescent="0.25">
      <c r="A2489" s="177" t="s">
        <v>273</v>
      </c>
      <c r="B2489" s="638" t="s">
        <v>692</v>
      </c>
      <c r="C2489" s="638"/>
      <c r="D2489" s="638"/>
      <c r="E2489" s="638"/>
      <c r="F2489" s="638"/>
      <c r="G2489" s="638"/>
      <c r="H2489" s="638"/>
      <c r="I2489" s="638"/>
      <c r="J2489" s="638"/>
      <c r="K2489" s="638"/>
      <c r="L2489" s="638"/>
      <c r="M2489" s="638"/>
      <c r="N2489" s="638"/>
      <c r="O2489" s="639"/>
    </row>
    <row r="2490" spans="1:19" x14ac:dyDescent="0.25">
      <c r="A2490" s="177" t="s">
        <v>351</v>
      </c>
      <c r="B2490" s="431"/>
      <c r="C2490" s="431"/>
      <c r="D2490" s="431"/>
      <c r="E2490" s="431"/>
      <c r="F2490" s="431"/>
      <c r="G2490" s="431"/>
      <c r="H2490" s="431"/>
      <c r="I2490" s="431"/>
      <c r="J2490" s="431"/>
      <c r="K2490" s="431"/>
      <c r="L2490" s="431"/>
      <c r="M2490" s="431"/>
      <c r="N2490" s="431"/>
      <c r="O2490" s="432"/>
    </row>
    <row r="2491" spans="1:19" x14ac:dyDescent="0.25">
      <c r="B2491" s="307" t="s">
        <v>98</v>
      </c>
      <c r="C2491" s="365" t="s">
        <v>102</v>
      </c>
      <c r="D2491" s="365" t="s">
        <v>92</v>
      </c>
      <c r="E2491" s="365" t="s">
        <v>93</v>
      </c>
      <c r="F2491" s="365" t="s">
        <v>94</v>
      </c>
      <c r="G2491" s="365" t="s">
        <v>549</v>
      </c>
      <c r="H2491" s="359" t="s">
        <v>99</v>
      </c>
      <c r="I2491" s="307" t="s">
        <v>98</v>
      </c>
      <c r="J2491" s="365" t="s">
        <v>102</v>
      </c>
      <c r="K2491" s="365" t="s">
        <v>92</v>
      </c>
      <c r="L2491" s="365" t="s">
        <v>93</v>
      </c>
      <c r="M2491" s="365" t="s">
        <v>94</v>
      </c>
      <c r="N2491" s="365" t="s">
        <v>549</v>
      </c>
      <c r="O2491" s="359" t="s">
        <v>99</v>
      </c>
    </row>
    <row r="2492" spans="1:19" x14ac:dyDescent="0.25">
      <c r="B2492" s="308">
        <v>1055</v>
      </c>
      <c r="C2492" s="365" t="s">
        <v>95</v>
      </c>
      <c r="D2492" s="441">
        <v>931.84</v>
      </c>
      <c r="E2492" s="441">
        <v>208.6</v>
      </c>
      <c r="F2492" s="441">
        <v>99.8</v>
      </c>
      <c r="G2492" s="441">
        <v>0</v>
      </c>
      <c r="H2492" s="359">
        <f>SUM(D2492:G2492)</f>
        <v>1240.24</v>
      </c>
      <c r="I2492" s="308">
        <v>1104</v>
      </c>
      <c r="J2492" s="365" t="s">
        <v>95</v>
      </c>
      <c r="K2492" s="441">
        <v>950.76</v>
      </c>
      <c r="L2492" s="441">
        <v>608.65</v>
      </c>
      <c r="M2492" s="441">
        <v>153.68</v>
      </c>
      <c r="N2492" s="441">
        <v>40</v>
      </c>
      <c r="O2492" s="359">
        <f>SUM(K2492:N2492)</f>
        <v>1753.09</v>
      </c>
      <c r="Q2492" s="561"/>
    </row>
    <row r="2493" spans="1:19" x14ac:dyDescent="0.25">
      <c r="B2493" s="308">
        <v>150</v>
      </c>
      <c r="C2493" s="365" t="s">
        <v>96</v>
      </c>
      <c r="D2493" s="441">
        <v>95.66</v>
      </c>
      <c r="E2493" s="441">
        <v>62.9</v>
      </c>
      <c r="F2493" s="441">
        <v>13.2</v>
      </c>
      <c r="G2493" s="441">
        <v>0</v>
      </c>
      <c r="H2493" s="359">
        <f t="shared" ref="H2493:H2499" si="345">SUM(D2493:G2493)</f>
        <v>171.76</v>
      </c>
      <c r="I2493" s="308">
        <v>150</v>
      </c>
      <c r="J2493" s="365" t="s">
        <v>96</v>
      </c>
      <c r="K2493" s="441">
        <v>76.56</v>
      </c>
      <c r="L2493" s="441">
        <v>73.349999999999994</v>
      </c>
      <c r="M2493" s="441">
        <v>17.3</v>
      </c>
      <c r="N2493" s="441">
        <v>3.1</v>
      </c>
      <c r="O2493" s="359">
        <f t="shared" ref="O2493:O2499" si="346">SUM(K2493:N2493)</f>
        <v>170.31</v>
      </c>
    </row>
    <row r="2494" spans="1:19" x14ac:dyDescent="0.25">
      <c r="B2494" s="307" t="s">
        <v>100</v>
      </c>
      <c r="C2494" s="365" t="s">
        <v>95</v>
      </c>
      <c r="D2494" s="444">
        <f t="shared" ref="D2494:G2495" si="347">D2492/$B2492</f>
        <v>0.88326066350710908</v>
      </c>
      <c r="E2494" s="429">
        <f t="shared" si="347"/>
        <v>0.19772511848341232</v>
      </c>
      <c r="F2494" s="429">
        <f t="shared" si="347"/>
        <v>9.459715639810426E-2</v>
      </c>
      <c r="G2494" s="429">
        <f t="shared" si="347"/>
        <v>0</v>
      </c>
      <c r="H2494" s="359">
        <f t="shared" si="345"/>
        <v>1.1755829383886256</v>
      </c>
      <c r="I2494" s="307" t="s">
        <v>100</v>
      </c>
      <c r="J2494" s="365" t="s">
        <v>95</v>
      </c>
      <c r="K2494" s="444">
        <f t="shared" ref="K2494:N2495" si="348">K2492/$I2492</f>
        <v>0.86119565217391303</v>
      </c>
      <c r="L2494" s="429">
        <f t="shared" si="348"/>
        <v>0.55131340579710142</v>
      </c>
      <c r="M2494" s="429">
        <f t="shared" si="348"/>
        <v>0.13920289855072465</v>
      </c>
      <c r="N2494" s="429">
        <f t="shared" si="348"/>
        <v>3.6231884057971016E-2</v>
      </c>
      <c r="O2494" s="359">
        <f t="shared" si="346"/>
        <v>1.5879438405797102</v>
      </c>
    </row>
    <row r="2495" spans="1:19" x14ac:dyDescent="0.25">
      <c r="B2495" s="307" t="s">
        <v>100</v>
      </c>
      <c r="C2495" s="438" t="s">
        <v>96</v>
      </c>
      <c r="D2495" s="359">
        <f t="shared" si="347"/>
        <v>0.63773333333333326</v>
      </c>
      <c r="E2495" s="359">
        <f t="shared" si="347"/>
        <v>0.41933333333333334</v>
      </c>
      <c r="F2495" s="359">
        <f t="shared" si="347"/>
        <v>8.7999999999999995E-2</v>
      </c>
      <c r="G2495" s="359">
        <f t="shared" si="347"/>
        <v>0</v>
      </c>
      <c r="H2495" s="359">
        <f t="shared" si="345"/>
        <v>1.1450666666666667</v>
      </c>
      <c r="I2495" s="307" t="s">
        <v>100</v>
      </c>
      <c r="J2495" s="438" t="s">
        <v>96</v>
      </c>
      <c r="K2495" s="359">
        <f t="shared" si="348"/>
        <v>0.51039999999999996</v>
      </c>
      <c r="L2495" s="359">
        <f t="shared" si="348"/>
        <v>0.48899999999999993</v>
      </c>
      <c r="M2495" s="359">
        <f t="shared" si="348"/>
        <v>0.11533333333333334</v>
      </c>
      <c r="N2495" s="359">
        <f t="shared" si="348"/>
        <v>2.0666666666666667E-2</v>
      </c>
      <c r="O2495" s="359">
        <f t="shared" si="346"/>
        <v>1.1353999999999997</v>
      </c>
    </row>
    <row r="2496" spans="1:19" x14ac:dyDescent="0.25">
      <c r="B2496" s="307" t="s">
        <v>104</v>
      </c>
      <c r="C2496" s="365" t="s">
        <v>95</v>
      </c>
      <c r="D2496" s="359">
        <f>D2492/($B2492/7.7)</f>
        <v>6.8011071090047404</v>
      </c>
      <c r="E2496" s="359">
        <f>E2492/($B2492/7)</f>
        <v>1.3840758293838862</v>
      </c>
      <c r="F2496" s="359">
        <f>F2492/($B2492/7)</f>
        <v>0.66218009478672979</v>
      </c>
      <c r="G2496" s="359">
        <f>G2492/($B2492/7)</f>
        <v>0</v>
      </c>
      <c r="H2496" s="359">
        <f t="shared" si="345"/>
        <v>8.8473630331753554</v>
      </c>
      <c r="I2496" s="307" t="s">
        <v>104</v>
      </c>
      <c r="J2496" s="365" t="s">
        <v>95</v>
      </c>
      <c r="K2496" s="359">
        <f>K2492/($I2492/7.7)</f>
        <v>6.6312065217391307</v>
      </c>
      <c r="L2496" s="359">
        <f>L2492/($I2492/7)</f>
        <v>3.8591938405797097</v>
      </c>
      <c r="M2496" s="359">
        <f>M2492/($I2492/7)</f>
        <v>0.97442028985507245</v>
      </c>
      <c r="N2496" s="359">
        <f>N2492/($I2492/7)</f>
        <v>0.25362318840579706</v>
      </c>
      <c r="O2496" s="359">
        <f t="shared" si="346"/>
        <v>11.71844384057971</v>
      </c>
    </row>
    <row r="2497" spans="1:19" x14ac:dyDescent="0.25">
      <c r="B2497" s="307" t="s">
        <v>104</v>
      </c>
      <c r="C2497" s="438" t="s">
        <v>96</v>
      </c>
      <c r="D2497" s="359">
        <f>D2493/($B2493/7.7)</f>
        <v>4.9105466666666668</v>
      </c>
      <c r="E2497" s="359">
        <f>E2493/($B2493/7.7)</f>
        <v>3.2288666666666668</v>
      </c>
      <c r="F2497" s="359">
        <f>F2493/($B2493/7.7)</f>
        <v>0.67759999999999998</v>
      </c>
      <c r="G2497" s="359">
        <f>G2493/($B2493/7.7)</f>
        <v>0</v>
      </c>
      <c r="H2497" s="359">
        <f t="shared" si="345"/>
        <v>8.8170133333333336</v>
      </c>
      <c r="I2497" s="307" t="s">
        <v>104</v>
      </c>
      <c r="J2497" s="438" t="s">
        <v>96</v>
      </c>
      <c r="K2497" s="359">
        <f>K2493/($I2493/7.7)</f>
        <v>3.9300800000000002</v>
      </c>
      <c r="L2497" s="359">
        <f>L2493/($I2493/7.7)</f>
        <v>3.7652999999999999</v>
      </c>
      <c r="M2497" s="359">
        <f>M2493/($I2493/7.7)</f>
        <v>0.88806666666666678</v>
      </c>
      <c r="N2497" s="359">
        <f>N2493/($I2493/7.7)</f>
        <v>0.15913333333333335</v>
      </c>
      <c r="O2497" s="359">
        <f t="shared" si="346"/>
        <v>8.7425800000000002</v>
      </c>
    </row>
    <row r="2498" spans="1:19" x14ac:dyDescent="0.25">
      <c r="B2498" s="307" t="s">
        <v>135</v>
      </c>
      <c r="C2498" s="365" t="s">
        <v>95</v>
      </c>
      <c r="D2498" s="359">
        <f>D2492/((($B2492*$B2488)*(1-$B2485))/$B2483)</f>
        <v>0.16454075542151372</v>
      </c>
      <c r="E2498" s="359">
        <f>E2492/((($B2492*$B2488)*(1-$B2485))/$B2483)</f>
        <v>3.6833792905356891E-2</v>
      </c>
      <c r="F2498" s="359">
        <f>F2492/((($B2492*$B2488)*(1-$B2485))/$B2483)</f>
        <v>1.7622303604768061E-2</v>
      </c>
      <c r="G2498" s="359">
        <f>G2492/((($B2492*$B2488)*(1-$B2485))/$B2483)</f>
        <v>0</v>
      </c>
      <c r="H2498" s="359">
        <f t="shared" si="345"/>
        <v>0.2189968519316387</v>
      </c>
      <c r="I2498" s="307" t="s">
        <v>135</v>
      </c>
      <c r="J2498" s="365" t="s">
        <v>95</v>
      </c>
      <c r="K2498" s="359">
        <f>K2492/((($I2492*$B2488)*(1-$B2485))/$B2483)</f>
        <v>0.16043031126482216</v>
      </c>
      <c r="L2498" s="359">
        <f>L2492/((($I2492*$B2488)*(1-$B2485))/$B2483)</f>
        <v>0.10270300491326308</v>
      </c>
      <c r="M2498" s="359">
        <f>M2492/((($I2492*$B2488)*(1-$B2485))/$B2483)</f>
        <v>2.5931812692138786E-2</v>
      </c>
      <c r="N2498" s="359">
        <f>N2492/((($I2492*$B2488)*(1-$B2485))/$B2483)</f>
        <v>6.7495608256477836E-3</v>
      </c>
      <c r="O2498" s="359">
        <f t="shared" si="346"/>
        <v>0.29581468969587177</v>
      </c>
    </row>
    <row r="2499" spans="1:19" x14ac:dyDescent="0.25">
      <c r="B2499" s="307" t="s">
        <v>135</v>
      </c>
      <c r="C2499" s="438" t="s">
        <v>96</v>
      </c>
      <c r="D2499" s="359">
        <f>D2493/((($B2493*$B2488)*(1-$B2485))/$B2483)</f>
        <v>0.11880198989898991</v>
      </c>
      <c r="E2499" s="359">
        <f>E2493/((($B2493*$B2488)*(1-$B2485))/$B2483)</f>
        <v>7.8116717171717184E-2</v>
      </c>
      <c r="F2499" s="359">
        <f>F2493/((($B2493*$B2488)*(1-$B2485))/$B2483)</f>
        <v>1.6393333333333333E-2</v>
      </c>
      <c r="G2499" s="359">
        <f>G2493/((($B2493*$B2488)*(1-$B2485))/$B2483)</f>
        <v>0</v>
      </c>
      <c r="H2499" s="359">
        <f t="shared" si="345"/>
        <v>0.21331204040404042</v>
      </c>
      <c r="I2499" s="307" t="s">
        <v>135</v>
      </c>
      <c r="J2499" s="438" t="s">
        <v>96</v>
      </c>
      <c r="K2499" s="359">
        <f>K2493/((($I2493*$B2488)*(1-$B2485))/$B2483)</f>
        <v>9.5081333333333351E-2</v>
      </c>
      <c r="L2499" s="359">
        <f>L2493/((($I2493*$B2488)*(1-$B2485))/$B2483)</f>
        <v>9.1094772727272733E-2</v>
      </c>
      <c r="M2499" s="359">
        <f>M2493/((($I2493*$B2488)*(1-$B2485))/$B2483)</f>
        <v>2.1485202020202022E-2</v>
      </c>
      <c r="N2499" s="359">
        <f>N2493/((($I2493*$B2488)*(1-$B2485))/$B2483)</f>
        <v>3.8499494949494955E-3</v>
      </c>
      <c r="O2499" s="359">
        <f t="shared" si="346"/>
        <v>0.21151125757575759</v>
      </c>
    </row>
    <row r="2500" spans="1:19" ht="15.75" thickBot="1" x14ac:dyDescent="0.3">
      <c r="A2500" s="178"/>
      <c r="B2500" s="178"/>
      <c r="C2500" s="178"/>
      <c r="D2500" s="178"/>
      <c r="E2500" s="178"/>
      <c r="F2500" s="178"/>
      <c r="G2500" s="178"/>
      <c r="H2500" s="178"/>
      <c r="I2500" s="178"/>
      <c r="J2500" s="178"/>
      <c r="K2500" s="178"/>
      <c r="L2500" s="178"/>
      <c r="M2500" s="178"/>
      <c r="N2500" s="178"/>
      <c r="O2500" s="178"/>
    </row>
    <row r="2501" spans="1:19" ht="21" x14ac:dyDescent="0.25">
      <c r="A2501" s="305"/>
      <c r="B2501" s="644" t="s">
        <v>693</v>
      </c>
      <c r="C2501" s="645"/>
      <c r="D2501" s="645"/>
      <c r="E2501" s="645"/>
      <c r="F2501" s="645"/>
      <c r="G2501" s="645"/>
      <c r="H2501" s="645"/>
      <c r="I2501" s="645"/>
      <c r="J2501" s="645"/>
      <c r="K2501" s="645"/>
      <c r="L2501" s="645"/>
      <c r="M2501" s="645"/>
      <c r="N2501" s="645"/>
      <c r="O2501" s="646"/>
      <c r="Q2501" s="640" t="s">
        <v>139</v>
      </c>
      <c r="R2501" s="544" t="s">
        <v>659</v>
      </c>
      <c r="S2501" s="642" t="s">
        <v>142</v>
      </c>
    </row>
    <row r="2502" spans="1:19" ht="21.75" thickBot="1" x14ac:dyDescent="0.3">
      <c r="A2502" s="177" t="s">
        <v>285</v>
      </c>
      <c r="B2502" s="647">
        <v>44782</v>
      </c>
      <c r="C2502" s="648"/>
      <c r="D2502" s="648"/>
      <c r="E2502" s="648"/>
      <c r="F2502" s="648"/>
      <c r="G2502" s="648"/>
      <c r="H2502" s="648"/>
      <c r="I2502" s="648"/>
      <c r="J2502" s="648"/>
      <c r="K2502" s="648"/>
      <c r="L2502" s="648"/>
      <c r="M2502" s="648"/>
      <c r="N2502" s="648"/>
      <c r="O2502" s="649"/>
      <c r="Q2502" s="641"/>
      <c r="R2502" s="87" t="s">
        <v>141</v>
      </c>
      <c r="S2502" s="643"/>
    </row>
    <row r="2503" spans="1:19" ht="15.75" thickBot="1" x14ac:dyDescent="0.3">
      <c r="A2503" s="177"/>
      <c r="B2503" s="650" t="s">
        <v>115</v>
      </c>
      <c r="C2503" s="651"/>
      <c r="D2503" s="651"/>
      <c r="E2503" s="651"/>
      <c r="F2503" s="651"/>
      <c r="G2503" s="651"/>
      <c r="H2503" s="651"/>
      <c r="I2503" s="651"/>
      <c r="J2503" s="651"/>
      <c r="K2503" s="651"/>
      <c r="L2503" s="651"/>
      <c r="M2503" s="651"/>
      <c r="N2503" s="651"/>
      <c r="O2503" s="652"/>
      <c r="Q2503" s="147" t="s">
        <v>143</v>
      </c>
      <c r="R2503" s="88">
        <v>8</v>
      </c>
      <c r="S2503" s="87" t="s">
        <v>576</v>
      </c>
    </row>
    <row r="2504" spans="1:19" ht="15.75" thickBot="1" x14ac:dyDescent="0.3">
      <c r="A2504" s="177" t="s">
        <v>106</v>
      </c>
      <c r="B2504" s="629">
        <v>15</v>
      </c>
      <c r="C2504" s="630"/>
      <c r="D2504" s="630"/>
      <c r="E2504" s="631"/>
      <c r="F2504" s="365" t="s">
        <v>174</v>
      </c>
      <c r="G2504" s="471"/>
      <c r="H2504" s="653"/>
      <c r="I2504" s="654"/>
      <c r="J2504" s="654"/>
      <c r="K2504" s="654"/>
      <c r="L2504" s="655"/>
      <c r="M2504" s="656">
        <f>SUM(B2504,H2505)</f>
        <v>15</v>
      </c>
      <c r="N2504" s="630"/>
      <c r="O2504" s="631"/>
      <c r="Q2504" s="147" t="s">
        <v>145</v>
      </c>
      <c r="R2504" s="88">
        <v>8</v>
      </c>
      <c r="S2504" s="89" t="s">
        <v>724</v>
      </c>
    </row>
    <row r="2505" spans="1:19" ht="15.75" thickBot="1" x14ac:dyDescent="0.3">
      <c r="A2505" s="177" t="s">
        <v>112</v>
      </c>
      <c r="B2505" s="626">
        <v>0.12</v>
      </c>
      <c r="C2505" s="627"/>
      <c r="D2505" s="627"/>
      <c r="E2505" s="628"/>
      <c r="F2505" s="290"/>
      <c r="G2505" s="472"/>
      <c r="H2505" s="626"/>
      <c r="I2505" s="627"/>
      <c r="J2505" s="627"/>
      <c r="K2505" s="627"/>
      <c r="L2505" s="628"/>
      <c r="M2505" s="657">
        <f>B2505</f>
        <v>0.12</v>
      </c>
      <c r="N2505" s="627"/>
      <c r="O2505" s="628"/>
      <c r="Q2505" s="147" t="s">
        <v>147</v>
      </c>
      <c r="R2505" s="88">
        <v>8</v>
      </c>
      <c r="S2505" s="87" t="s">
        <v>730</v>
      </c>
    </row>
    <row r="2506" spans="1:19" ht="15.75" thickBot="1" x14ac:dyDescent="0.3">
      <c r="A2506" s="177" t="s">
        <v>107</v>
      </c>
      <c r="B2506" s="629">
        <f>B2504*(1-B2505)</f>
        <v>13.2</v>
      </c>
      <c r="C2506" s="630"/>
      <c r="D2506" s="630"/>
      <c r="E2506" s="631"/>
      <c r="F2506" s="290"/>
      <c r="G2506" s="472"/>
      <c r="H2506" s="629">
        <f>H2504*(1-H2505)</f>
        <v>0</v>
      </c>
      <c r="I2506" s="630"/>
      <c r="J2506" s="630"/>
      <c r="K2506" s="630"/>
      <c r="L2506" s="631"/>
      <c r="M2506" s="656">
        <f>SUM(B2506,H2506)</f>
        <v>13.2</v>
      </c>
      <c r="N2506" s="630"/>
      <c r="O2506" s="631"/>
      <c r="Q2506" s="147" t="s">
        <v>82</v>
      </c>
      <c r="R2506" s="88">
        <v>8</v>
      </c>
      <c r="S2506" s="89" t="s">
        <v>729</v>
      </c>
    </row>
    <row r="2507" spans="1:19" ht="15.75" thickBot="1" x14ac:dyDescent="0.3">
      <c r="A2507" s="177" t="s">
        <v>108</v>
      </c>
      <c r="B2507" s="626">
        <f>B2510/B2506</f>
        <v>0.86437575757575746</v>
      </c>
      <c r="C2507" s="627"/>
      <c r="D2507" s="627"/>
      <c r="E2507" s="627"/>
      <c r="F2507" s="627"/>
      <c r="G2507" s="627"/>
      <c r="H2507" s="627"/>
      <c r="I2507" s="627"/>
      <c r="J2507" s="627"/>
      <c r="K2507" s="627"/>
      <c r="L2507" s="627"/>
      <c r="M2507" s="627"/>
      <c r="N2507" s="627"/>
      <c r="O2507" s="628"/>
      <c r="Q2507" s="147" t="s">
        <v>152</v>
      </c>
      <c r="R2507" s="88">
        <v>6</v>
      </c>
      <c r="S2507" s="89" t="s">
        <v>728</v>
      </c>
    </row>
    <row r="2508" spans="1:19" ht="15.75" thickBot="1" x14ac:dyDescent="0.3">
      <c r="A2508" s="177" t="s">
        <v>113</v>
      </c>
      <c r="B2508" s="629">
        <f>B2512*(B2516+B2517+I2516+I2517)/1000</f>
        <v>35.655500000000004</v>
      </c>
      <c r="C2508" s="630"/>
      <c r="D2508" s="630"/>
      <c r="E2508" s="630"/>
      <c r="F2508" s="630"/>
      <c r="G2508" s="630"/>
      <c r="H2508" s="630"/>
      <c r="I2508" s="630"/>
      <c r="J2508" s="630"/>
      <c r="K2508" s="630"/>
      <c r="L2508" s="630"/>
      <c r="M2508" s="630"/>
      <c r="N2508" s="630"/>
      <c r="O2508" s="631"/>
      <c r="Q2508" s="147" t="s">
        <v>154</v>
      </c>
      <c r="R2508" s="88">
        <v>8</v>
      </c>
      <c r="S2508" s="87" t="s">
        <v>722</v>
      </c>
    </row>
    <row r="2509" spans="1:19" ht="29.25" thickBot="1" x14ac:dyDescent="0.3">
      <c r="A2509" s="177" t="s">
        <v>109</v>
      </c>
      <c r="B2509" s="626">
        <v>0.68</v>
      </c>
      <c r="C2509" s="627"/>
      <c r="D2509" s="627"/>
      <c r="E2509" s="627"/>
      <c r="F2509" s="627"/>
      <c r="G2509" s="627"/>
      <c r="H2509" s="627"/>
      <c r="I2509" s="627"/>
      <c r="J2509" s="627"/>
      <c r="K2509" s="627"/>
      <c r="L2509" s="627"/>
      <c r="M2509" s="627"/>
      <c r="N2509" s="627"/>
      <c r="O2509" s="628"/>
      <c r="Q2509" s="147" t="s">
        <v>156</v>
      </c>
      <c r="R2509" s="88">
        <v>7</v>
      </c>
      <c r="S2509" s="87" t="s">
        <v>577</v>
      </c>
    </row>
    <row r="2510" spans="1:19" ht="15.75" thickBot="1" x14ac:dyDescent="0.3">
      <c r="A2510" s="177" t="s">
        <v>122</v>
      </c>
      <c r="B2510" s="629">
        <f>B2508-(B2508*B2509)</f>
        <v>11.409759999999999</v>
      </c>
      <c r="C2510" s="630"/>
      <c r="D2510" s="630"/>
      <c r="E2510" s="630"/>
      <c r="F2510" s="630"/>
      <c r="G2510" s="630"/>
      <c r="H2510" s="630"/>
      <c r="I2510" s="630"/>
      <c r="J2510" s="630"/>
      <c r="K2510" s="630"/>
      <c r="L2510" s="630"/>
      <c r="M2510" s="630"/>
      <c r="N2510" s="630"/>
      <c r="O2510" s="631"/>
      <c r="Q2510" s="147" t="s">
        <v>158</v>
      </c>
      <c r="R2510" s="88"/>
      <c r="S2510" s="87"/>
    </row>
    <row r="2511" spans="1:19" ht="15.75" thickBot="1" x14ac:dyDescent="0.3">
      <c r="A2511" s="177" t="s">
        <v>110</v>
      </c>
      <c r="B2511" s="632">
        <v>125</v>
      </c>
      <c r="C2511" s="633"/>
      <c r="D2511" s="633"/>
      <c r="E2511" s="633"/>
      <c r="F2511" s="633"/>
      <c r="G2511" s="633"/>
      <c r="H2511" s="633"/>
      <c r="I2511" s="633"/>
      <c r="J2511" s="633"/>
      <c r="K2511" s="633"/>
      <c r="L2511" s="633"/>
      <c r="M2511" s="633"/>
      <c r="N2511" s="633"/>
      <c r="O2511" s="634"/>
      <c r="Q2511" s="571" t="s">
        <v>99</v>
      </c>
      <c r="R2511" s="87" t="s">
        <v>565</v>
      </c>
      <c r="S2511" s="148">
        <v>0.76</v>
      </c>
    </row>
    <row r="2512" spans="1:19" x14ac:dyDescent="0.25">
      <c r="A2512" s="177" t="s">
        <v>111</v>
      </c>
      <c r="B2512" s="635">
        <v>14.5</v>
      </c>
      <c r="C2512" s="636"/>
      <c r="D2512" s="636"/>
      <c r="E2512" s="636"/>
      <c r="F2512" s="636"/>
      <c r="G2512" s="636"/>
      <c r="H2512" s="636"/>
      <c r="I2512" s="636"/>
      <c r="J2512" s="636"/>
      <c r="K2512" s="636"/>
      <c r="L2512" s="636"/>
      <c r="M2512" s="636"/>
      <c r="N2512" s="636"/>
      <c r="O2512" s="637"/>
    </row>
    <row r="2513" spans="1:19" x14ac:dyDescent="0.25">
      <c r="A2513" s="177" t="s">
        <v>273</v>
      </c>
      <c r="B2513" s="638" t="s">
        <v>701</v>
      </c>
      <c r="C2513" s="638"/>
      <c r="D2513" s="638"/>
      <c r="E2513" s="638"/>
      <c r="F2513" s="638"/>
      <c r="G2513" s="638"/>
      <c r="H2513" s="638"/>
      <c r="I2513" s="638"/>
      <c r="J2513" s="638"/>
      <c r="K2513" s="638"/>
      <c r="L2513" s="638"/>
      <c r="M2513" s="638"/>
      <c r="N2513" s="638"/>
      <c r="O2513" s="639"/>
    </row>
    <row r="2514" spans="1:19" x14ac:dyDescent="0.25">
      <c r="A2514" s="177" t="s">
        <v>351</v>
      </c>
      <c r="B2514" s="431"/>
      <c r="C2514" s="431"/>
      <c r="D2514" s="431"/>
      <c r="E2514" s="431"/>
      <c r="F2514" s="431"/>
      <c r="G2514" s="431"/>
      <c r="H2514" s="431"/>
      <c r="I2514" s="431"/>
      <c r="J2514" s="431"/>
      <c r="K2514" s="431"/>
      <c r="L2514" s="431"/>
      <c r="M2514" s="431"/>
      <c r="N2514" s="431"/>
      <c r="O2514" s="432"/>
    </row>
    <row r="2515" spans="1:19" x14ac:dyDescent="0.25">
      <c r="B2515" s="307" t="s">
        <v>98</v>
      </c>
      <c r="C2515" s="365" t="s">
        <v>102</v>
      </c>
      <c r="D2515" s="365" t="s">
        <v>92</v>
      </c>
      <c r="E2515" s="365" t="s">
        <v>93</v>
      </c>
      <c r="F2515" s="365" t="s">
        <v>94</v>
      </c>
      <c r="G2515" s="365" t="s">
        <v>549</v>
      </c>
      <c r="H2515" s="359" t="s">
        <v>99</v>
      </c>
      <c r="I2515" s="307" t="s">
        <v>98</v>
      </c>
      <c r="J2515" s="365" t="s">
        <v>102</v>
      </c>
      <c r="K2515" s="365" t="s">
        <v>92</v>
      </c>
      <c r="L2515" s="365" t="s">
        <v>93</v>
      </c>
      <c r="M2515" s="365" t="s">
        <v>94</v>
      </c>
      <c r="N2515" s="365" t="s">
        <v>549</v>
      </c>
      <c r="O2515" s="359" t="s">
        <v>99</v>
      </c>
    </row>
    <row r="2516" spans="1:19" x14ac:dyDescent="0.25">
      <c r="B2516" s="308">
        <v>1114</v>
      </c>
      <c r="C2516" s="365" t="s">
        <v>95</v>
      </c>
      <c r="D2516" s="441">
        <v>966.37</v>
      </c>
      <c r="E2516" s="441">
        <v>602.36</v>
      </c>
      <c r="F2516" s="441">
        <v>116.04</v>
      </c>
      <c r="G2516" s="441">
        <v>0</v>
      </c>
      <c r="H2516" s="359">
        <f>SUM(D2516:G2516)</f>
        <v>1684.77</v>
      </c>
      <c r="I2516" s="308">
        <v>1105</v>
      </c>
      <c r="J2516" s="365" t="s">
        <v>95</v>
      </c>
      <c r="K2516" s="441">
        <v>1127.31</v>
      </c>
      <c r="L2516" s="441">
        <v>648.54</v>
      </c>
      <c r="M2516" s="441">
        <v>227.9</v>
      </c>
      <c r="N2516" s="441">
        <v>88.3</v>
      </c>
      <c r="O2516" s="359">
        <f>SUM(K2516:N2516)</f>
        <v>2092.0500000000002</v>
      </c>
    </row>
    <row r="2517" spans="1:19" x14ac:dyDescent="0.25">
      <c r="B2517" s="308">
        <v>120</v>
      </c>
      <c r="C2517" s="365" t="s">
        <v>96</v>
      </c>
      <c r="D2517" s="441">
        <v>101.2</v>
      </c>
      <c r="E2517" s="441">
        <v>40.28</v>
      </c>
      <c r="F2517" s="441">
        <v>5</v>
      </c>
      <c r="G2517" s="441">
        <v>0</v>
      </c>
      <c r="H2517" s="359">
        <f t="shared" ref="H2517:H2523" si="349">SUM(D2517:G2517)</f>
        <v>146.48000000000002</v>
      </c>
      <c r="I2517" s="308">
        <v>120</v>
      </c>
      <c r="J2517" s="365" t="s">
        <v>96</v>
      </c>
      <c r="K2517" s="441">
        <v>120.64</v>
      </c>
      <c r="L2517" s="441">
        <v>116.73</v>
      </c>
      <c r="M2517" s="441">
        <v>20.8</v>
      </c>
      <c r="N2517" s="441">
        <v>0</v>
      </c>
      <c r="O2517" s="359">
        <f t="shared" ref="O2517:O2523" si="350">SUM(K2517:N2517)</f>
        <v>258.17</v>
      </c>
    </row>
    <row r="2518" spans="1:19" x14ac:dyDescent="0.25">
      <c r="B2518" s="307" t="s">
        <v>100</v>
      </c>
      <c r="C2518" s="365" t="s">
        <v>95</v>
      </c>
      <c r="D2518" s="429">
        <f t="shared" ref="D2518:G2519" si="351">D2516/$B2516</f>
        <v>0.86747755834829443</v>
      </c>
      <c r="E2518" s="429">
        <f t="shared" si="351"/>
        <v>0.54071813285457815</v>
      </c>
      <c r="F2518" s="429">
        <f t="shared" si="351"/>
        <v>0.10416517055655297</v>
      </c>
      <c r="G2518" s="429">
        <f t="shared" si="351"/>
        <v>0</v>
      </c>
      <c r="H2518" s="359">
        <f t="shared" si="349"/>
        <v>1.5123608617594255</v>
      </c>
      <c r="I2518" s="307" t="s">
        <v>100</v>
      </c>
      <c r="J2518" s="365" t="s">
        <v>95</v>
      </c>
      <c r="K2518" s="444">
        <f t="shared" ref="K2518:N2519" si="352">K2516/$I2516</f>
        <v>1.0201900452488688</v>
      </c>
      <c r="L2518" s="429">
        <f t="shared" si="352"/>
        <v>0.58691402714932128</v>
      </c>
      <c r="M2518" s="429">
        <f t="shared" si="352"/>
        <v>0.20624434389140273</v>
      </c>
      <c r="N2518" s="429">
        <f t="shared" si="352"/>
        <v>7.9909502262443435E-2</v>
      </c>
      <c r="O2518" s="359">
        <f t="shared" si="350"/>
        <v>1.8932579185520364</v>
      </c>
    </row>
    <row r="2519" spans="1:19" x14ac:dyDescent="0.25">
      <c r="B2519" s="307" t="s">
        <v>100</v>
      </c>
      <c r="C2519" s="438" t="s">
        <v>96</v>
      </c>
      <c r="D2519" s="359">
        <f t="shared" si="351"/>
        <v>0.84333333333333338</v>
      </c>
      <c r="E2519" s="359">
        <f t="shared" si="351"/>
        <v>0.33566666666666667</v>
      </c>
      <c r="F2519" s="359">
        <f t="shared" si="351"/>
        <v>4.1666666666666664E-2</v>
      </c>
      <c r="G2519" s="359">
        <f t="shared" si="351"/>
        <v>0</v>
      </c>
      <c r="H2519" s="359">
        <f t="shared" si="349"/>
        <v>1.2206666666666668</v>
      </c>
      <c r="I2519" s="307" t="s">
        <v>100</v>
      </c>
      <c r="J2519" s="438" t="s">
        <v>96</v>
      </c>
      <c r="K2519" s="361">
        <f t="shared" si="352"/>
        <v>1.0053333333333334</v>
      </c>
      <c r="L2519" s="359">
        <f t="shared" si="352"/>
        <v>0.97275</v>
      </c>
      <c r="M2519" s="359">
        <f t="shared" si="352"/>
        <v>0.17333333333333334</v>
      </c>
      <c r="N2519" s="359">
        <f t="shared" si="352"/>
        <v>0</v>
      </c>
      <c r="O2519" s="359">
        <f t="shared" si="350"/>
        <v>2.151416666666667</v>
      </c>
    </row>
    <row r="2520" spans="1:19" x14ac:dyDescent="0.25">
      <c r="B2520" s="307" t="s">
        <v>104</v>
      </c>
      <c r="C2520" s="365" t="s">
        <v>95</v>
      </c>
      <c r="D2520" s="359">
        <f>D2516/($B2516/7.7)</f>
        <v>6.6795771992818675</v>
      </c>
      <c r="E2520" s="359">
        <f>E2516/($B2516/7)</f>
        <v>3.7850269299820467</v>
      </c>
      <c r="F2520" s="359">
        <f>F2516/($B2516/7)</f>
        <v>0.72915619389587083</v>
      </c>
      <c r="G2520" s="359">
        <f>G2516/($B2516/7)</f>
        <v>0</v>
      </c>
      <c r="H2520" s="359">
        <f t="shared" si="349"/>
        <v>11.193760323159786</v>
      </c>
      <c r="I2520" s="307" t="s">
        <v>104</v>
      </c>
      <c r="J2520" s="365" t="s">
        <v>95</v>
      </c>
      <c r="K2520" s="359">
        <f>K2516/($I2516/7.7)</f>
        <v>7.855463348416289</v>
      </c>
      <c r="L2520" s="359">
        <f>L2516/($I2516/7)</f>
        <v>4.1083981900452482</v>
      </c>
      <c r="M2520" s="359">
        <f>M2516/($I2516/7)</f>
        <v>1.443710407239819</v>
      </c>
      <c r="N2520" s="359">
        <f>N2516/($I2516/7)</f>
        <v>0.55936651583710406</v>
      </c>
      <c r="O2520" s="359">
        <f t="shared" si="350"/>
        <v>13.96693846153846</v>
      </c>
    </row>
    <row r="2521" spans="1:19" x14ac:dyDescent="0.25">
      <c r="B2521" s="307" t="s">
        <v>104</v>
      </c>
      <c r="C2521" s="438" t="s">
        <v>96</v>
      </c>
      <c r="D2521" s="359">
        <f>D2517/($B2517/7.7)</f>
        <v>6.4936666666666669</v>
      </c>
      <c r="E2521" s="359">
        <f>E2517/($B2517/7.7)</f>
        <v>2.5846333333333336</v>
      </c>
      <c r="F2521" s="359">
        <f>F2517/($B2517/7.7)</f>
        <v>0.32083333333333336</v>
      </c>
      <c r="G2521" s="359">
        <f>G2517/($B2517/7.7)</f>
        <v>0</v>
      </c>
      <c r="H2521" s="359">
        <f t="shared" si="349"/>
        <v>9.3991333333333333</v>
      </c>
      <c r="I2521" s="307" t="s">
        <v>104</v>
      </c>
      <c r="J2521" s="438" t="s">
        <v>96</v>
      </c>
      <c r="K2521" s="359">
        <f>K2517/($I2517/7.7)</f>
        <v>7.7410666666666668</v>
      </c>
      <c r="L2521" s="359">
        <f>L2517/($I2517/7.7)</f>
        <v>7.4901750000000007</v>
      </c>
      <c r="M2521" s="359">
        <f>M2517/($I2517/7.7)</f>
        <v>1.3346666666666667</v>
      </c>
      <c r="N2521" s="359">
        <f>N2517/($I2517/7.7)</f>
        <v>0</v>
      </c>
      <c r="O2521" s="359">
        <f t="shared" si="350"/>
        <v>16.565908333333333</v>
      </c>
    </row>
    <row r="2522" spans="1:19" x14ac:dyDescent="0.25">
      <c r="B2522" s="307" t="s">
        <v>135</v>
      </c>
      <c r="C2522" s="365" t="s">
        <v>95</v>
      </c>
      <c r="D2522" s="359">
        <f>D2516/((($B2516*$B2512)*(1-$B2509))/$B2507)</f>
        <v>0.16160055424079212</v>
      </c>
      <c r="E2522" s="359">
        <f>E2516/((($B2516*$B2512)*(1-$B2509))/$B2507)</f>
        <v>0.10072923399162179</v>
      </c>
      <c r="F2522" s="359">
        <f>F2516/((($B2516*$B2512)*(1-$B2509))/$B2507)</f>
        <v>1.9404708666557861E-2</v>
      </c>
      <c r="G2522" s="359">
        <f>G2516/((($B2516*$B2512)*(1-$B2509))/$B2507)</f>
        <v>0</v>
      </c>
      <c r="H2522" s="359">
        <f t="shared" si="349"/>
        <v>0.28173449689897179</v>
      </c>
      <c r="I2522" s="307" t="s">
        <v>135</v>
      </c>
      <c r="J2522" s="365" t="s">
        <v>95</v>
      </c>
      <c r="K2522" s="359">
        <f>K2516/((($I2516*$B2512)*(1-$B2509))/$B2507)</f>
        <v>0.19004903948992186</v>
      </c>
      <c r="L2522" s="359">
        <f>L2516/((($I2516*$B2512)*(1-$B2509))/$B2507)</f>
        <v>0.10933496914849856</v>
      </c>
      <c r="M2522" s="359">
        <f>M2516/((($I2516*$B2512)*(1-$B2509))/$B2507)</f>
        <v>3.8420821335527225E-2</v>
      </c>
      <c r="N2522" s="359">
        <f>N2516/((($I2516*$B2512)*(1-$B2509))/$B2507)</f>
        <v>1.4886171671465791E-2</v>
      </c>
      <c r="O2522" s="359">
        <f t="shared" si="350"/>
        <v>0.35269100164541339</v>
      </c>
    </row>
    <row r="2523" spans="1:19" x14ac:dyDescent="0.25">
      <c r="B2523" s="307" t="s">
        <v>135</v>
      </c>
      <c r="C2523" s="438" t="s">
        <v>96</v>
      </c>
      <c r="D2523" s="359">
        <f>D2517/((($B2517*$B2512)*(1-$B2509))/$B2507)</f>
        <v>0.15710277777777779</v>
      </c>
      <c r="E2523" s="359">
        <f>E2517/((($B2517*$B2512)*(1-$B2509))/$B2507)</f>
        <v>6.2530631313131316E-2</v>
      </c>
      <c r="F2523" s="359">
        <f>F2517/((($B2517*$B2512)*(1-$B2509))/$B2507)</f>
        <v>7.7619949494949492E-3</v>
      </c>
      <c r="G2523" s="359">
        <f>G2517/((($B2517*$B2512)*(1-$B2509))/$B2507)</f>
        <v>0</v>
      </c>
      <c r="H2523" s="359">
        <f t="shared" si="349"/>
        <v>0.22739540404040406</v>
      </c>
      <c r="I2523" s="307" t="s">
        <v>135</v>
      </c>
      <c r="J2523" s="438" t="s">
        <v>96</v>
      </c>
      <c r="K2523" s="359">
        <f>K2517/((($I2517*$B2512)*(1-$B2509))/$B2507)</f>
        <v>0.18728141414141414</v>
      </c>
      <c r="L2523" s="359">
        <f>L2517/((($I2517*$B2512)*(1-$B2509))/$B2507)</f>
        <v>0.18121153409090909</v>
      </c>
      <c r="M2523" s="359">
        <f>M2517/((($I2517*$B2512)*(1-$B2509))/$B2507)</f>
        <v>3.2289898989898987E-2</v>
      </c>
      <c r="N2523" s="359">
        <f>N2517/((($I2517*$B2512)*(1-$B2509))/$B2507)</f>
        <v>0</v>
      </c>
      <c r="O2523" s="359">
        <f t="shared" si="350"/>
        <v>0.40078284722222224</v>
      </c>
    </row>
    <row r="2524" spans="1:19" ht="15.75" thickBot="1" x14ac:dyDescent="0.3">
      <c r="A2524" s="178"/>
      <c r="B2524" s="178"/>
      <c r="C2524" s="178"/>
      <c r="D2524" s="178"/>
      <c r="E2524" s="178"/>
      <c r="F2524" s="178"/>
      <c r="G2524" s="178"/>
      <c r="H2524" s="178"/>
      <c r="I2524" s="178"/>
      <c r="J2524" s="178"/>
      <c r="K2524" s="178"/>
      <c r="L2524" s="178"/>
      <c r="M2524" s="178"/>
      <c r="N2524" s="178"/>
      <c r="O2524" s="178"/>
    </row>
    <row r="2525" spans="1:19" ht="21" x14ac:dyDescent="0.25">
      <c r="A2525" s="305"/>
      <c r="B2525" s="644" t="s">
        <v>694</v>
      </c>
      <c r="C2525" s="645"/>
      <c r="D2525" s="645"/>
      <c r="E2525" s="645"/>
      <c r="F2525" s="645"/>
      <c r="G2525" s="645"/>
      <c r="H2525" s="645"/>
      <c r="I2525" s="645"/>
      <c r="J2525" s="645"/>
      <c r="K2525" s="645"/>
      <c r="L2525" s="645"/>
      <c r="M2525" s="645"/>
      <c r="N2525" s="645"/>
      <c r="O2525" s="646"/>
      <c r="Q2525" s="640" t="s">
        <v>139</v>
      </c>
      <c r="R2525" s="544" t="s">
        <v>659</v>
      </c>
      <c r="S2525" s="642" t="s">
        <v>142</v>
      </c>
    </row>
    <row r="2526" spans="1:19" ht="21.75" thickBot="1" x14ac:dyDescent="0.3">
      <c r="A2526" s="177" t="s">
        <v>285</v>
      </c>
      <c r="B2526" s="647">
        <v>44797</v>
      </c>
      <c r="C2526" s="648"/>
      <c r="D2526" s="648"/>
      <c r="E2526" s="648"/>
      <c r="F2526" s="648"/>
      <c r="G2526" s="648"/>
      <c r="H2526" s="648"/>
      <c r="I2526" s="648"/>
      <c r="J2526" s="648"/>
      <c r="K2526" s="648"/>
      <c r="L2526" s="648"/>
      <c r="M2526" s="648"/>
      <c r="N2526" s="648"/>
      <c r="O2526" s="649"/>
      <c r="Q2526" s="641"/>
      <c r="R2526" s="87" t="s">
        <v>141</v>
      </c>
      <c r="S2526" s="643"/>
    </row>
    <row r="2527" spans="1:19" ht="15.75" thickBot="1" x14ac:dyDescent="0.3">
      <c r="A2527" s="177"/>
      <c r="B2527" s="650" t="s">
        <v>115</v>
      </c>
      <c r="C2527" s="651"/>
      <c r="D2527" s="651"/>
      <c r="E2527" s="651"/>
      <c r="F2527" s="651"/>
      <c r="G2527" s="651"/>
      <c r="H2527" s="651"/>
      <c r="I2527" s="651"/>
      <c r="J2527" s="651"/>
      <c r="K2527" s="651"/>
      <c r="L2527" s="651"/>
      <c r="M2527" s="651"/>
      <c r="N2527" s="651"/>
      <c r="O2527" s="652"/>
      <c r="Q2527" s="147" t="s">
        <v>143</v>
      </c>
      <c r="R2527" s="88">
        <v>8</v>
      </c>
      <c r="S2527" s="87" t="s">
        <v>576</v>
      </c>
    </row>
    <row r="2528" spans="1:19" ht="15.75" thickBot="1" x14ac:dyDescent="0.3">
      <c r="A2528" s="177" t="s">
        <v>106</v>
      </c>
      <c r="B2528" s="629">
        <v>18</v>
      </c>
      <c r="C2528" s="630"/>
      <c r="D2528" s="630"/>
      <c r="E2528" s="631"/>
      <c r="F2528" s="365" t="s">
        <v>174</v>
      </c>
      <c r="G2528" s="471"/>
      <c r="H2528" s="653"/>
      <c r="I2528" s="654"/>
      <c r="J2528" s="654"/>
      <c r="K2528" s="654"/>
      <c r="L2528" s="655"/>
      <c r="M2528" s="656">
        <f>SUM(B2528,H2529)</f>
        <v>18</v>
      </c>
      <c r="N2528" s="630"/>
      <c r="O2528" s="631"/>
      <c r="Q2528" s="147" t="s">
        <v>145</v>
      </c>
      <c r="R2528" s="88">
        <v>7</v>
      </c>
      <c r="S2528" s="89" t="s">
        <v>731</v>
      </c>
    </row>
    <row r="2529" spans="1:19" ht="15.75" thickBot="1" x14ac:dyDescent="0.3">
      <c r="A2529" s="177" t="s">
        <v>112</v>
      </c>
      <c r="B2529" s="626">
        <v>0.2</v>
      </c>
      <c r="C2529" s="627"/>
      <c r="D2529" s="627"/>
      <c r="E2529" s="628"/>
      <c r="F2529" s="290"/>
      <c r="G2529" s="472"/>
      <c r="H2529" s="626"/>
      <c r="I2529" s="627"/>
      <c r="J2529" s="627"/>
      <c r="K2529" s="627"/>
      <c r="L2529" s="628"/>
      <c r="M2529" s="657">
        <f>B2529</f>
        <v>0.2</v>
      </c>
      <c r="N2529" s="627"/>
      <c r="O2529" s="628"/>
      <c r="Q2529" s="147" t="s">
        <v>147</v>
      </c>
      <c r="R2529" s="88">
        <v>7</v>
      </c>
      <c r="S2529" s="87" t="s">
        <v>723</v>
      </c>
    </row>
    <row r="2530" spans="1:19" ht="15.75" thickBot="1" x14ac:dyDescent="0.3">
      <c r="A2530" s="177" t="s">
        <v>107</v>
      </c>
      <c r="B2530" s="629">
        <f>B2528*(1-B2529)</f>
        <v>14.4</v>
      </c>
      <c r="C2530" s="630"/>
      <c r="D2530" s="630"/>
      <c r="E2530" s="631"/>
      <c r="F2530" s="290"/>
      <c r="G2530" s="472"/>
      <c r="H2530" s="629">
        <f>H2528*(1-H2529)</f>
        <v>0</v>
      </c>
      <c r="I2530" s="630"/>
      <c r="J2530" s="630"/>
      <c r="K2530" s="630"/>
      <c r="L2530" s="631"/>
      <c r="M2530" s="656">
        <f>SUM(B2530,H2530)</f>
        <v>14.4</v>
      </c>
      <c r="N2530" s="630"/>
      <c r="O2530" s="631"/>
      <c r="Q2530" s="147" t="s">
        <v>82</v>
      </c>
      <c r="R2530" s="88">
        <v>8</v>
      </c>
      <c r="S2530" s="89" t="s">
        <v>729</v>
      </c>
    </row>
    <row r="2531" spans="1:19" ht="15.75" thickBot="1" x14ac:dyDescent="0.3">
      <c r="A2531" s="177" t="s">
        <v>108</v>
      </c>
      <c r="B2531" s="626">
        <f>B2534/B2530</f>
        <v>0.77514583333333342</v>
      </c>
      <c r="C2531" s="627"/>
      <c r="D2531" s="627"/>
      <c r="E2531" s="627"/>
      <c r="F2531" s="627"/>
      <c r="G2531" s="627"/>
      <c r="H2531" s="627"/>
      <c r="I2531" s="627"/>
      <c r="J2531" s="627"/>
      <c r="K2531" s="627"/>
      <c r="L2531" s="627"/>
      <c r="M2531" s="627"/>
      <c r="N2531" s="627"/>
      <c r="O2531" s="628"/>
      <c r="Q2531" s="147" t="s">
        <v>152</v>
      </c>
      <c r="R2531" s="88">
        <v>7</v>
      </c>
      <c r="S2531" s="89" t="s">
        <v>728</v>
      </c>
    </row>
    <row r="2532" spans="1:19" ht="15.75" thickBot="1" x14ac:dyDescent="0.3">
      <c r="A2532" s="177" t="s">
        <v>113</v>
      </c>
      <c r="B2532" s="629">
        <f>B2536*(B2540+B2541+I2540+I2541)/1000</f>
        <v>37.207000000000001</v>
      </c>
      <c r="C2532" s="630"/>
      <c r="D2532" s="630"/>
      <c r="E2532" s="630"/>
      <c r="F2532" s="630"/>
      <c r="G2532" s="630"/>
      <c r="H2532" s="630"/>
      <c r="I2532" s="630"/>
      <c r="J2532" s="630"/>
      <c r="K2532" s="630"/>
      <c r="L2532" s="630"/>
      <c r="M2532" s="630"/>
      <c r="N2532" s="630"/>
      <c r="O2532" s="631"/>
      <c r="Q2532" s="147" t="s">
        <v>154</v>
      </c>
      <c r="R2532" s="88">
        <v>8</v>
      </c>
      <c r="S2532" s="87" t="s">
        <v>722</v>
      </c>
    </row>
    <row r="2533" spans="1:19" ht="29.25" thickBot="1" x14ac:dyDescent="0.3">
      <c r="A2533" s="177" t="s">
        <v>109</v>
      </c>
      <c r="B2533" s="626">
        <v>0.7</v>
      </c>
      <c r="C2533" s="627"/>
      <c r="D2533" s="627"/>
      <c r="E2533" s="627"/>
      <c r="F2533" s="627"/>
      <c r="G2533" s="627"/>
      <c r="H2533" s="627"/>
      <c r="I2533" s="627"/>
      <c r="J2533" s="627"/>
      <c r="K2533" s="627"/>
      <c r="L2533" s="627"/>
      <c r="M2533" s="627"/>
      <c r="N2533" s="627"/>
      <c r="O2533" s="628"/>
      <c r="Q2533" s="147" t="s">
        <v>156</v>
      </c>
      <c r="R2533" s="88">
        <v>8</v>
      </c>
      <c r="S2533" s="87" t="s">
        <v>662</v>
      </c>
    </row>
    <row r="2534" spans="1:19" ht="15.75" thickBot="1" x14ac:dyDescent="0.3">
      <c r="A2534" s="177" t="s">
        <v>122</v>
      </c>
      <c r="B2534" s="629">
        <f>B2532-(B2532*B2533)</f>
        <v>11.162100000000002</v>
      </c>
      <c r="C2534" s="630"/>
      <c r="D2534" s="630"/>
      <c r="E2534" s="630"/>
      <c r="F2534" s="630"/>
      <c r="G2534" s="630"/>
      <c r="H2534" s="630"/>
      <c r="I2534" s="630"/>
      <c r="J2534" s="630"/>
      <c r="K2534" s="630"/>
      <c r="L2534" s="630"/>
      <c r="M2534" s="630"/>
      <c r="N2534" s="630"/>
      <c r="O2534" s="631"/>
      <c r="Q2534" s="147" t="s">
        <v>158</v>
      </c>
      <c r="R2534" s="88"/>
      <c r="S2534" s="87"/>
    </row>
    <row r="2535" spans="1:19" ht="15.75" thickBot="1" x14ac:dyDescent="0.3">
      <c r="A2535" s="177" t="s">
        <v>110</v>
      </c>
      <c r="B2535" s="632">
        <v>125</v>
      </c>
      <c r="C2535" s="633"/>
      <c r="D2535" s="633"/>
      <c r="E2535" s="633"/>
      <c r="F2535" s="633"/>
      <c r="G2535" s="633"/>
      <c r="H2535" s="633"/>
      <c r="I2535" s="633"/>
      <c r="J2535" s="633"/>
      <c r="K2535" s="633"/>
      <c r="L2535" s="633"/>
      <c r="M2535" s="633"/>
      <c r="N2535" s="633"/>
      <c r="O2535" s="634"/>
      <c r="Q2535" s="571" t="s">
        <v>99</v>
      </c>
      <c r="R2535" s="87" t="s">
        <v>565</v>
      </c>
      <c r="S2535" s="148">
        <v>0.76</v>
      </c>
    </row>
    <row r="2536" spans="1:19" x14ac:dyDescent="0.25">
      <c r="A2536" s="177" t="s">
        <v>111</v>
      </c>
      <c r="B2536" s="635">
        <v>14.5</v>
      </c>
      <c r="C2536" s="636"/>
      <c r="D2536" s="636"/>
      <c r="E2536" s="636"/>
      <c r="F2536" s="636"/>
      <c r="G2536" s="636"/>
      <c r="H2536" s="636"/>
      <c r="I2536" s="636"/>
      <c r="J2536" s="636"/>
      <c r="K2536" s="636"/>
      <c r="L2536" s="636"/>
      <c r="M2536" s="636"/>
      <c r="N2536" s="636"/>
      <c r="O2536" s="637"/>
    </row>
    <row r="2537" spans="1:19" x14ac:dyDescent="0.25">
      <c r="A2537" s="177" t="s">
        <v>273</v>
      </c>
      <c r="B2537" s="638" t="s">
        <v>700</v>
      </c>
      <c r="C2537" s="638"/>
      <c r="D2537" s="638"/>
      <c r="E2537" s="638"/>
      <c r="F2537" s="638"/>
      <c r="G2537" s="638"/>
      <c r="H2537" s="638"/>
      <c r="I2537" s="638"/>
      <c r="J2537" s="638"/>
      <c r="K2537" s="638"/>
      <c r="L2537" s="638"/>
      <c r="M2537" s="638"/>
      <c r="N2537" s="638"/>
      <c r="O2537" s="639"/>
    </row>
    <row r="2538" spans="1:19" x14ac:dyDescent="0.25">
      <c r="A2538" s="177" t="s">
        <v>351</v>
      </c>
      <c r="B2538" s="431"/>
      <c r="C2538" s="431"/>
      <c r="D2538" s="431"/>
      <c r="E2538" s="431"/>
      <c r="F2538" s="431"/>
      <c r="G2538" s="431"/>
      <c r="H2538" s="431"/>
      <c r="I2538" s="431"/>
      <c r="J2538" s="431"/>
      <c r="K2538" s="431"/>
      <c r="L2538" s="431"/>
      <c r="M2538" s="431"/>
      <c r="N2538" s="431"/>
      <c r="O2538" s="432"/>
    </row>
    <row r="2539" spans="1:19" x14ac:dyDescent="0.25">
      <c r="B2539" s="307" t="s">
        <v>98</v>
      </c>
      <c r="C2539" s="365" t="s">
        <v>102</v>
      </c>
      <c r="D2539" s="365" t="s">
        <v>92</v>
      </c>
      <c r="E2539" s="365" t="s">
        <v>93</v>
      </c>
      <c r="F2539" s="365" t="s">
        <v>94</v>
      </c>
      <c r="G2539" s="365" t="s">
        <v>549</v>
      </c>
      <c r="H2539" s="359" t="s">
        <v>99</v>
      </c>
      <c r="I2539" s="307" t="s">
        <v>98</v>
      </c>
      <c r="J2539" s="365" t="s">
        <v>102</v>
      </c>
      <c r="K2539" s="365" t="s">
        <v>92</v>
      </c>
      <c r="L2539" s="365" t="s">
        <v>93</v>
      </c>
      <c r="M2539" s="365" t="s">
        <v>94</v>
      </c>
      <c r="N2539" s="365" t="s">
        <v>549</v>
      </c>
      <c r="O2539" s="359" t="s">
        <v>99</v>
      </c>
    </row>
    <row r="2540" spans="1:19" x14ac:dyDescent="0.25">
      <c r="B2540" s="308">
        <v>1026</v>
      </c>
      <c r="C2540" s="365" t="s">
        <v>95</v>
      </c>
      <c r="D2540" s="441">
        <v>1012</v>
      </c>
      <c r="E2540" s="441">
        <v>567.1</v>
      </c>
      <c r="F2540" s="441">
        <v>196.8</v>
      </c>
      <c r="G2540" s="441">
        <v>0</v>
      </c>
      <c r="H2540" s="359">
        <f>SUM(D2540:G2540)</f>
        <v>1775.8999999999999</v>
      </c>
      <c r="I2540" s="308">
        <v>1179</v>
      </c>
      <c r="J2540" s="365" t="s">
        <v>95</v>
      </c>
      <c r="K2540" s="441">
        <v>1272.7</v>
      </c>
      <c r="L2540" s="441">
        <v>757.5</v>
      </c>
      <c r="M2540" s="441">
        <v>258.3</v>
      </c>
      <c r="N2540" s="441"/>
      <c r="O2540" s="359">
        <f>SUM(K2540:N2540)</f>
        <v>2288.5</v>
      </c>
    </row>
    <row r="2541" spans="1:19" x14ac:dyDescent="0.25">
      <c r="B2541" s="308">
        <v>181</v>
      </c>
      <c r="C2541" s="365" t="s">
        <v>96</v>
      </c>
      <c r="D2541" s="441">
        <v>170.38</v>
      </c>
      <c r="E2541" s="441">
        <v>70.8</v>
      </c>
      <c r="F2541" s="441">
        <v>34.299999999999997</v>
      </c>
      <c r="G2541" s="441"/>
      <c r="H2541" s="359">
        <f t="shared" ref="H2541:H2547" si="353">SUM(D2541:G2541)</f>
        <v>275.48</v>
      </c>
      <c r="I2541" s="308">
        <v>180</v>
      </c>
      <c r="J2541" s="365" t="s">
        <v>96</v>
      </c>
      <c r="K2541" s="441">
        <v>171.83</v>
      </c>
      <c r="L2541" s="441">
        <v>54.1</v>
      </c>
      <c r="M2541" s="441">
        <v>4.2</v>
      </c>
      <c r="N2541" s="441"/>
      <c r="O2541" s="359">
        <f t="shared" ref="O2541:O2547" si="354">SUM(K2541:N2541)</f>
        <v>230.13</v>
      </c>
    </row>
    <row r="2542" spans="1:19" x14ac:dyDescent="0.25">
      <c r="B2542" s="307" t="s">
        <v>100</v>
      </c>
      <c r="C2542" s="365" t="s">
        <v>95</v>
      </c>
      <c r="D2542" s="444">
        <f t="shared" ref="D2542:G2543" si="355">D2540/$B2540</f>
        <v>0.98635477582845998</v>
      </c>
      <c r="E2542" s="429">
        <f t="shared" si="355"/>
        <v>0.55272904483430807</v>
      </c>
      <c r="F2542" s="429">
        <f t="shared" si="355"/>
        <v>0.19181286549707605</v>
      </c>
      <c r="G2542" s="429">
        <f t="shared" si="355"/>
        <v>0</v>
      </c>
      <c r="H2542" s="359">
        <f t="shared" si="353"/>
        <v>1.7308966861598443</v>
      </c>
      <c r="I2542" s="307" t="s">
        <v>100</v>
      </c>
      <c r="J2542" s="365" t="s">
        <v>95</v>
      </c>
      <c r="K2542" s="444">
        <f t="shared" ref="K2542:N2543" si="356">K2540/$I2540</f>
        <v>1.0794741306191689</v>
      </c>
      <c r="L2542" s="429">
        <f t="shared" si="356"/>
        <v>0.64249363867684484</v>
      </c>
      <c r="M2542" s="429">
        <f t="shared" si="356"/>
        <v>0.21908396946564887</v>
      </c>
      <c r="N2542" s="429">
        <f t="shared" si="356"/>
        <v>0</v>
      </c>
      <c r="O2542" s="359">
        <f t="shared" si="354"/>
        <v>1.9410517387616626</v>
      </c>
    </row>
    <row r="2543" spans="1:19" x14ac:dyDescent="0.25">
      <c r="B2543" s="307" t="s">
        <v>100</v>
      </c>
      <c r="C2543" s="438" t="s">
        <v>96</v>
      </c>
      <c r="D2543" s="359">
        <f t="shared" si="355"/>
        <v>0.9413259668508287</v>
      </c>
      <c r="E2543" s="359">
        <f t="shared" si="355"/>
        <v>0.39116022099447512</v>
      </c>
      <c r="F2543" s="359">
        <f t="shared" si="355"/>
        <v>0.18950276243093922</v>
      </c>
      <c r="G2543" s="359">
        <f t="shared" si="355"/>
        <v>0</v>
      </c>
      <c r="H2543" s="359">
        <f t="shared" si="353"/>
        <v>1.5219889502762429</v>
      </c>
      <c r="I2543" s="307" t="s">
        <v>100</v>
      </c>
      <c r="J2543" s="438" t="s">
        <v>96</v>
      </c>
      <c r="K2543" s="359">
        <f t="shared" si="356"/>
        <v>0.95461111111111119</v>
      </c>
      <c r="L2543" s="359">
        <f t="shared" si="356"/>
        <v>0.30055555555555558</v>
      </c>
      <c r="M2543" s="359">
        <f t="shared" si="356"/>
        <v>2.3333333333333334E-2</v>
      </c>
      <c r="N2543" s="359">
        <f t="shared" si="356"/>
        <v>0</v>
      </c>
      <c r="O2543" s="359">
        <f t="shared" si="354"/>
        <v>1.2785000000000002</v>
      </c>
    </row>
    <row r="2544" spans="1:19" x14ac:dyDescent="0.25">
      <c r="B2544" s="307" t="s">
        <v>104</v>
      </c>
      <c r="C2544" s="365" t="s">
        <v>95</v>
      </c>
      <c r="D2544" s="359">
        <f>D2540/($B2540/7.7)</f>
        <v>7.594931773879142</v>
      </c>
      <c r="E2544" s="359">
        <f>E2540/($B2540/7)</f>
        <v>3.8691033138401556</v>
      </c>
      <c r="F2544" s="359">
        <f>F2540/($B2540/7)</f>
        <v>1.342690058479532</v>
      </c>
      <c r="G2544" s="359">
        <f>G2540/($B2540/7)</f>
        <v>0</v>
      </c>
      <c r="H2544" s="359">
        <f t="shared" si="353"/>
        <v>12.806725146198829</v>
      </c>
      <c r="I2544" s="307" t="s">
        <v>104</v>
      </c>
      <c r="J2544" s="365" t="s">
        <v>95</v>
      </c>
      <c r="K2544" s="359">
        <f>K2540/($I2540/7.7)</f>
        <v>8.3119508057675997</v>
      </c>
      <c r="L2544" s="359">
        <f>L2540/($I2540/7)</f>
        <v>4.497455470737914</v>
      </c>
      <c r="M2544" s="359">
        <f>M2540/($I2540/7)</f>
        <v>1.5335877862595422</v>
      </c>
      <c r="N2544" s="359">
        <f>N2540/($I2540/7)</f>
        <v>0</v>
      </c>
      <c r="O2544" s="359">
        <f t="shared" si="354"/>
        <v>14.342994062765055</v>
      </c>
    </row>
    <row r="2545" spans="1:19" x14ac:dyDescent="0.25">
      <c r="B2545" s="307" t="s">
        <v>104</v>
      </c>
      <c r="C2545" s="438" t="s">
        <v>96</v>
      </c>
      <c r="D2545" s="359">
        <f>D2541/($B2541/7.7)</f>
        <v>7.2482099447513813</v>
      </c>
      <c r="E2545" s="359">
        <f>E2541/($B2541/7.7)</f>
        <v>3.0119337016574583</v>
      </c>
      <c r="F2545" s="359">
        <f>F2541/($B2541/7.7)</f>
        <v>1.459171270718232</v>
      </c>
      <c r="G2545" s="359">
        <f>G2541/($B2541/7.7)</f>
        <v>0</v>
      </c>
      <c r="H2545" s="359">
        <f t="shared" si="353"/>
        <v>11.71931491712707</v>
      </c>
      <c r="I2545" s="307" t="s">
        <v>104</v>
      </c>
      <c r="J2545" s="438" t="s">
        <v>96</v>
      </c>
      <c r="K2545" s="359">
        <f>K2541/($I2541/7.7)</f>
        <v>7.3505055555555563</v>
      </c>
      <c r="L2545" s="359">
        <f>L2541/($I2541/7.7)</f>
        <v>2.3142777777777779</v>
      </c>
      <c r="M2545" s="359">
        <f>M2541/($I2541/7.7)</f>
        <v>0.1796666666666667</v>
      </c>
      <c r="N2545" s="359">
        <f>N2541/($I2541/7.7)</f>
        <v>0</v>
      </c>
      <c r="O2545" s="359">
        <f t="shared" si="354"/>
        <v>9.8444500000000001</v>
      </c>
    </row>
    <row r="2546" spans="1:19" x14ac:dyDescent="0.25">
      <c r="B2546" s="307" t="s">
        <v>135</v>
      </c>
      <c r="C2546" s="365" t="s">
        <v>95</v>
      </c>
      <c r="D2546" s="359">
        <f>D2540/((($B2540*$B2536)*(1-$B2533))/$B2531)</f>
        <v>0.17576294130387698</v>
      </c>
      <c r="E2546" s="359">
        <f>E2540/((($B2540*$B2536)*(1-$B2533))/$B2531)</f>
        <v>9.8493245072557953E-2</v>
      </c>
      <c r="F2546" s="359">
        <f>F2540/((($B2540*$B2536)*(1-$B2533))/$B2531)</f>
        <v>3.4179987004548412E-2</v>
      </c>
      <c r="G2546" s="359">
        <f>G2540/((($B2540*$B2536)*(1-$B2533))/$B2531)</f>
        <v>0</v>
      </c>
      <c r="H2546" s="359">
        <f t="shared" si="353"/>
        <v>0.30843617338098339</v>
      </c>
      <c r="I2546" s="307" t="s">
        <v>135</v>
      </c>
      <c r="J2546" s="365" t="s">
        <v>95</v>
      </c>
      <c r="K2546" s="359">
        <f>K2540/((($I2540*$B2536)*(1-$B2533))/$B2531)</f>
        <v>0.19235629299783244</v>
      </c>
      <c r="L2546" s="359">
        <f>L2540/((($I2540*$B2536)*(1-$B2533))/$B2531)</f>
        <v>0.11448879700310997</v>
      </c>
      <c r="M2546" s="359">
        <f>M2540/((($I2540*$B2536)*(1-$B2533))/$B2531)</f>
        <v>3.9039546225614931E-2</v>
      </c>
      <c r="N2546" s="359">
        <f>N2540/((($I2540*$B2536)*(1-$B2533))/$B2531)</f>
        <v>0</v>
      </c>
      <c r="O2546" s="359">
        <f t="shared" si="354"/>
        <v>0.34588463622655735</v>
      </c>
    </row>
    <row r="2547" spans="1:19" x14ac:dyDescent="0.25">
      <c r="B2547" s="307" t="s">
        <v>135</v>
      </c>
      <c r="C2547" s="438" t="s">
        <v>96</v>
      </c>
      <c r="D2547" s="359">
        <f>D2541/((($B2541*$B2536)*(1-$B2533))/$B2531)</f>
        <v>0.16773905770411293</v>
      </c>
      <c r="E2547" s="359">
        <f>E2541/((($B2541*$B2536)*(1-$B2533))/$B2531)</f>
        <v>6.9702578268876603E-2</v>
      </c>
      <c r="F2547" s="359">
        <f>F2541/((($B2541*$B2536)*(1-$B2533))/$B2531)</f>
        <v>3.3768339472068747E-2</v>
      </c>
      <c r="G2547" s="359">
        <f>G2541/((($B2541*$B2536)*(1-$B2533))/$B2531)</f>
        <v>0</v>
      </c>
      <c r="H2547" s="359">
        <f t="shared" si="353"/>
        <v>0.27120997544505826</v>
      </c>
      <c r="I2547" s="307" t="s">
        <v>135</v>
      </c>
      <c r="J2547" s="438" t="s">
        <v>96</v>
      </c>
      <c r="K2547" s="359">
        <f>K2541/((($I2541*$B2536)*(1-$B2533))/$B2531)</f>
        <v>0.17010639660493829</v>
      </c>
      <c r="L2547" s="359">
        <f>L2541/((($I2541*$B2536)*(1-$B2533))/$B2531)</f>
        <v>5.355733024691358E-2</v>
      </c>
      <c r="M2547" s="359">
        <f>M2541/((($I2541*$B2536)*(1-$B2533))/$B2531)</f>
        <v>4.1578703703703699E-3</v>
      </c>
      <c r="N2547" s="359">
        <f>N2541/((($I2541*$B2536)*(1-$B2533))/$B2531)</f>
        <v>0</v>
      </c>
      <c r="O2547" s="359">
        <f t="shared" si="354"/>
        <v>0.22782159722222226</v>
      </c>
    </row>
    <row r="2548" spans="1:19" ht="15.75" thickBot="1" x14ac:dyDescent="0.3">
      <c r="A2548" s="178"/>
      <c r="B2548" s="178"/>
      <c r="C2548" s="178"/>
      <c r="D2548" s="178"/>
      <c r="E2548" s="178"/>
      <c r="F2548" s="178"/>
      <c r="G2548" s="178"/>
      <c r="H2548" s="178"/>
      <c r="I2548" s="178"/>
      <c r="J2548" s="178"/>
      <c r="K2548" s="178"/>
      <c r="L2548" s="178"/>
      <c r="M2548" s="178"/>
      <c r="N2548" s="178"/>
      <c r="O2548" s="178"/>
    </row>
    <row r="2549" spans="1:19" ht="21" x14ac:dyDescent="0.25">
      <c r="A2549" s="305"/>
      <c r="B2549" s="644" t="s">
        <v>695</v>
      </c>
      <c r="C2549" s="645"/>
      <c r="D2549" s="645"/>
      <c r="E2549" s="645"/>
      <c r="F2549" s="645"/>
      <c r="G2549" s="645"/>
      <c r="H2549" s="645"/>
      <c r="I2549" s="645"/>
      <c r="J2549" s="645"/>
      <c r="K2549" s="645"/>
      <c r="L2549" s="645"/>
      <c r="M2549" s="645"/>
      <c r="N2549" s="645"/>
      <c r="O2549" s="646"/>
      <c r="Q2549" s="640" t="s">
        <v>139</v>
      </c>
      <c r="R2549" s="544" t="s">
        <v>659</v>
      </c>
      <c r="S2549" s="642" t="s">
        <v>142</v>
      </c>
    </row>
    <row r="2550" spans="1:19" ht="21.75" thickBot="1" x14ac:dyDescent="0.3">
      <c r="A2550" s="177" t="s">
        <v>285</v>
      </c>
      <c r="B2550" s="647">
        <v>44811</v>
      </c>
      <c r="C2550" s="648"/>
      <c r="D2550" s="648"/>
      <c r="E2550" s="648"/>
      <c r="F2550" s="648"/>
      <c r="G2550" s="648"/>
      <c r="H2550" s="648"/>
      <c r="I2550" s="648"/>
      <c r="J2550" s="648"/>
      <c r="K2550" s="648"/>
      <c r="L2550" s="648"/>
      <c r="M2550" s="648"/>
      <c r="N2550" s="648"/>
      <c r="O2550" s="649"/>
      <c r="Q2550" s="641"/>
      <c r="R2550" s="87" t="s">
        <v>141</v>
      </c>
      <c r="S2550" s="643"/>
    </row>
    <row r="2551" spans="1:19" ht="15.75" thickBot="1" x14ac:dyDescent="0.3">
      <c r="A2551" s="177"/>
      <c r="B2551" s="650" t="s">
        <v>115</v>
      </c>
      <c r="C2551" s="651"/>
      <c r="D2551" s="651"/>
      <c r="E2551" s="651"/>
      <c r="F2551" s="651"/>
      <c r="G2551" s="651"/>
      <c r="H2551" s="651"/>
      <c r="I2551" s="651"/>
      <c r="J2551" s="651"/>
      <c r="K2551" s="651"/>
      <c r="L2551" s="651"/>
      <c r="M2551" s="651"/>
      <c r="N2551" s="651"/>
      <c r="O2551" s="652"/>
      <c r="Q2551" s="147" t="s">
        <v>143</v>
      </c>
      <c r="R2551" s="88">
        <v>8</v>
      </c>
      <c r="S2551" s="87" t="s">
        <v>576</v>
      </c>
    </row>
    <row r="2552" spans="1:19" ht="15.75" thickBot="1" x14ac:dyDescent="0.3">
      <c r="A2552" s="177" t="s">
        <v>106</v>
      </c>
      <c r="B2552" s="629">
        <v>20.5</v>
      </c>
      <c r="C2552" s="630"/>
      <c r="D2552" s="630"/>
      <c r="E2552" s="631"/>
      <c r="F2552" s="365" t="s">
        <v>174</v>
      </c>
      <c r="G2552" s="471"/>
      <c r="H2552" s="653"/>
      <c r="I2552" s="654"/>
      <c r="J2552" s="654"/>
      <c r="K2552" s="654"/>
      <c r="L2552" s="655"/>
      <c r="M2552" s="656">
        <f>SUM(B2552,H2553)</f>
        <v>20.5</v>
      </c>
      <c r="N2552" s="630"/>
      <c r="O2552" s="631"/>
      <c r="Q2552" s="147" t="s">
        <v>145</v>
      </c>
      <c r="R2552" s="88">
        <v>8</v>
      </c>
      <c r="S2552" s="89" t="s">
        <v>732</v>
      </c>
    </row>
    <row r="2553" spans="1:19" ht="15.75" thickBot="1" x14ac:dyDescent="0.3">
      <c r="A2553" s="177" t="s">
        <v>112</v>
      </c>
      <c r="B2553" s="626">
        <v>0.2</v>
      </c>
      <c r="C2553" s="627"/>
      <c r="D2553" s="627"/>
      <c r="E2553" s="628"/>
      <c r="F2553" s="290"/>
      <c r="G2553" s="472"/>
      <c r="H2553" s="626"/>
      <c r="I2553" s="627"/>
      <c r="J2553" s="627"/>
      <c r="K2553" s="627"/>
      <c r="L2553" s="628"/>
      <c r="M2553" s="657">
        <f>B2553</f>
        <v>0.2</v>
      </c>
      <c r="N2553" s="627"/>
      <c r="O2553" s="628"/>
      <c r="Q2553" s="147" t="s">
        <v>147</v>
      </c>
      <c r="R2553" s="88">
        <v>8</v>
      </c>
      <c r="S2553" s="87" t="s">
        <v>733</v>
      </c>
    </row>
    <row r="2554" spans="1:19" ht="15.75" thickBot="1" x14ac:dyDescent="0.3">
      <c r="A2554" s="177" t="s">
        <v>107</v>
      </c>
      <c r="B2554" s="629">
        <f>B2552*(1-B2553)</f>
        <v>16.400000000000002</v>
      </c>
      <c r="C2554" s="630"/>
      <c r="D2554" s="630"/>
      <c r="E2554" s="631"/>
      <c r="F2554" s="290"/>
      <c r="G2554" s="472"/>
      <c r="H2554" s="629">
        <f>H2552*(1-H2553)</f>
        <v>0</v>
      </c>
      <c r="I2554" s="630"/>
      <c r="J2554" s="630"/>
      <c r="K2554" s="630"/>
      <c r="L2554" s="631"/>
      <c r="M2554" s="656">
        <f>SUM(B2554,H2554)</f>
        <v>16.400000000000002</v>
      </c>
      <c r="N2554" s="630"/>
      <c r="O2554" s="631"/>
      <c r="Q2554" s="147" t="s">
        <v>82</v>
      </c>
      <c r="R2554" s="88">
        <v>8</v>
      </c>
      <c r="S2554" s="89" t="s">
        <v>675</v>
      </c>
    </row>
    <row r="2555" spans="1:19" ht="15.75" thickBot="1" x14ac:dyDescent="0.3">
      <c r="A2555" s="177" t="s">
        <v>108</v>
      </c>
      <c r="B2555" s="626">
        <f>B2558/B2554</f>
        <v>0.67531097560975595</v>
      </c>
      <c r="C2555" s="627"/>
      <c r="D2555" s="627"/>
      <c r="E2555" s="627"/>
      <c r="F2555" s="627"/>
      <c r="G2555" s="627"/>
      <c r="H2555" s="627"/>
      <c r="I2555" s="627"/>
      <c r="J2555" s="627"/>
      <c r="K2555" s="627"/>
      <c r="L2555" s="627"/>
      <c r="M2555" s="627"/>
      <c r="N2555" s="627"/>
      <c r="O2555" s="628"/>
      <c r="Q2555" s="147" t="s">
        <v>152</v>
      </c>
      <c r="R2555" s="88">
        <v>7</v>
      </c>
      <c r="S2555" s="89" t="s">
        <v>728</v>
      </c>
    </row>
    <row r="2556" spans="1:19" ht="15.75" thickBot="1" x14ac:dyDescent="0.3">
      <c r="A2556" s="177" t="s">
        <v>113</v>
      </c>
      <c r="B2556" s="629">
        <f>B2560*(B2564+B2565+I2564+I2565)/1000</f>
        <v>38.19</v>
      </c>
      <c r="C2556" s="630"/>
      <c r="D2556" s="630"/>
      <c r="E2556" s="630"/>
      <c r="F2556" s="630"/>
      <c r="G2556" s="630"/>
      <c r="H2556" s="630"/>
      <c r="I2556" s="630"/>
      <c r="J2556" s="630"/>
      <c r="K2556" s="630"/>
      <c r="L2556" s="630"/>
      <c r="M2556" s="630"/>
      <c r="N2556" s="630"/>
      <c r="O2556" s="631"/>
      <c r="Q2556" s="147" t="s">
        <v>154</v>
      </c>
      <c r="R2556" s="88">
        <v>8</v>
      </c>
      <c r="S2556" s="87" t="s">
        <v>722</v>
      </c>
    </row>
    <row r="2557" spans="1:19" ht="29.25" thickBot="1" x14ac:dyDescent="0.3">
      <c r="A2557" s="177" t="s">
        <v>109</v>
      </c>
      <c r="B2557" s="626">
        <v>0.71</v>
      </c>
      <c r="C2557" s="627"/>
      <c r="D2557" s="627"/>
      <c r="E2557" s="627"/>
      <c r="F2557" s="627"/>
      <c r="G2557" s="627"/>
      <c r="H2557" s="627"/>
      <c r="I2557" s="627"/>
      <c r="J2557" s="627"/>
      <c r="K2557" s="627"/>
      <c r="L2557" s="627"/>
      <c r="M2557" s="627"/>
      <c r="N2557" s="627"/>
      <c r="O2557" s="628"/>
      <c r="Q2557" s="147" t="s">
        <v>156</v>
      </c>
      <c r="R2557" s="88">
        <v>8</v>
      </c>
      <c r="S2557" s="87" t="s">
        <v>662</v>
      </c>
    </row>
    <row r="2558" spans="1:19" ht="15.75" thickBot="1" x14ac:dyDescent="0.3">
      <c r="A2558" s="177" t="s">
        <v>122</v>
      </c>
      <c r="B2558" s="629">
        <f>B2556-(B2556*B2557)</f>
        <v>11.075099999999999</v>
      </c>
      <c r="C2558" s="630"/>
      <c r="D2558" s="630"/>
      <c r="E2558" s="630"/>
      <c r="F2558" s="630"/>
      <c r="G2558" s="630"/>
      <c r="H2558" s="630"/>
      <c r="I2558" s="630"/>
      <c r="J2558" s="630"/>
      <c r="K2558" s="630"/>
      <c r="L2558" s="630"/>
      <c r="M2558" s="630"/>
      <c r="N2558" s="630"/>
      <c r="O2558" s="631"/>
      <c r="Q2558" s="147" t="s">
        <v>158</v>
      </c>
      <c r="R2558" s="88"/>
      <c r="S2558" s="87"/>
    </row>
    <row r="2559" spans="1:19" ht="15.75" thickBot="1" x14ac:dyDescent="0.3">
      <c r="A2559" s="177" t="s">
        <v>110</v>
      </c>
      <c r="B2559" s="632">
        <v>125</v>
      </c>
      <c r="C2559" s="633"/>
      <c r="D2559" s="633"/>
      <c r="E2559" s="633"/>
      <c r="F2559" s="633"/>
      <c r="G2559" s="633"/>
      <c r="H2559" s="633"/>
      <c r="I2559" s="633"/>
      <c r="J2559" s="633"/>
      <c r="K2559" s="633"/>
      <c r="L2559" s="633"/>
      <c r="M2559" s="633"/>
      <c r="N2559" s="633"/>
      <c r="O2559" s="634"/>
      <c r="Q2559" s="571" t="s">
        <v>99</v>
      </c>
      <c r="R2559" s="87" t="s">
        <v>522</v>
      </c>
      <c r="S2559" s="148">
        <v>0.78</v>
      </c>
    </row>
    <row r="2560" spans="1:19" x14ac:dyDescent="0.25">
      <c r="A2560" s="177" t="s">
        <v>111</v>
      </c>
      <c r="B2560" s="635">
        <v>15</v>
      </c>
      <c r="C2560" s="636"/>
      <c r="D2560" s="636"/>
      <c r="E2560" s="636"/>
      <c r="F2560" s="636"/>
      <c r="G2560" s="636"/>
      <c r="H2560" s="636"/>
      <c r="I2560" s="636"/>
      <c r="J2560" s="636"/>
      <c r="K2560" s="636"/>
      <c r="L2560" s="636"/>
      <c r="M2560" s="636"/>
      <c r="N2560" s="636"/>
      <c r="O2560" s="637"/>
    </row>
    <row r="2561" spans="1:19" x14ac:dyDescent="0.25">
      <c r="A2561" s="177" t="s">
        <v>273</v>
      </c>
      <c r="B2561" s="638" t="s">
        <v>702</v>
      </c>
      <c r="C2561" s="638"/>
      <c r="D2561" s="638"/>
      <c r="E2561" s="638"/>
      <c r="F2561" s="638"/>
      <c r="G2561" s="638"/>
      <c r="H2561" s="638"/>
      <c r="I2561" s="638"/>
      <c r="J2561" s="638"/>
      <c r="K2561" s="638"/>
      <c r="L2561" s="638"/>
      <c r="M2561" s="638"/>
      <c r="N2561" s="638"/>
      <c r="O2561" s="639"/>
    </row>
    <row r="2562" spans="1:19" x14ac:dyDescent="0.25">
      <c r="A2562" s="177" t="s">
        <v>351</v>
      </c>
      <c r="B2562" s="431"/>
      <c r="C2562" s="431"/>
      <c r="D2562" s="431"/>
      <c r="E2562" s="431"/>
      <c r="F2562" s="431"/>
      <c r="G2562" s="431"/>
      <c r="H2562" s="431"/>
      <c r="I2562" s="431"/>
      <c r="J2562" s="431"/>
      <c r="K2562" s="431"/>
      <c r="L2562" s="431"/>
      <c r="M2562" s="431"/>
      <c r="N2562" s="431"/>
      <c r="O2562" s="432"/>
    </row>
    <row r="2563" spans="1:19" x14ac:dyDescent="0.25">
      <c r="B2563" s="307" t="s">
        <v>98</v>
      </c>
      <c r="C2563" s="365" t="s">
        <v>102</v>
      </c>
      <c r="D2563" s="365" t="s">
        <v>92</v>
      </c>
      <c r="E2563" s="365" t="s">
        <v>93</v>
      </c>
      <c r="F2563" s="365" t="s">
        <v>94</v>
      </c>
      <c r="G2563" s="365" t="s">
        <v>549</v>
      </c>
      <c r="H2563" s="359" t="s">
        <v>99</v>
      </c>
      <c r="I2563" s="307" t="s">
        <v>98</v>
      </c>
      <c r="J2563" s="365" t="s">
        <v>102</v>
      </c>
      <c r="K2563" s="365" t="s">
        <v>92</v>
      </c>
      <c r="L2563" s="365" t="s">
        <v>93</v>
      </c>
      <c r="M2563" s="365" t="s">
        <v>94</v>
      </c>
      <c r="N2563" s="365" t="s">
        <v>549</v>
      </c>
      <c r="O2563" s="359" t="s">
        <v>99</v>
      </c>
    </row>
    <row r="2564" spans="1:19" x14ac:dyDescent="0.25">
      <c r="B2564" s="308">
        <v>1115</v>
      </c>
      <c r="C2564" s="365" t="s">
        <v>95</v>
      </c>
      <c r="D2564" s="441">
        <v>864.52</v>
      </c>
      <c r="E2564" s="441">
        <v>486.36</v>
      </c>
      <c r="F2564" s="441">
        <v>255</v>
      </c>
      <c r="G2564" s="441">
        <v>0</v>
      </c>
      <c r="H2564" s="359">
        <f>SUM(D2564:G2564)</f>
        <v>1605.88</v>
      </c>
      <c r="I2564" s="308">
        <v>1131</v>
      </c>
      <c r="J2564" s="365" t="s">
        <v>95</v>
      </c>
      <c r="K2564" s="441">
        <v>1013.16</v>
      </c>
      <c r="L2564" s="441">
        <v>554.70000000000005</v>
      </c>
      <c r="M2564" s="441">
        <v>182.27</v>
      </c>
      <c r="N2564" s="441"/>
      <c r="O2564" s="359">
        <f>SUM(K2564:N2564)</f>
        <v>1750.13</v>
      </c>
    </row>
    <row r="2565" spans="1:19" x14ac:dyDescent="0.25">
      <c r="B2565" s="308">
        <v>150</v>
      </c>
      <c r="C2565" s="365" t="s">
        <v>96</v>
      </c>
      <c r="D2565" s="441">
        <v>139.58000000000001</v>
      </c>
      <c r="E2565" s="441">
        <v>61.44</v>
      </c>
      <c r="F2565" s="441">
        <v>45.44</v>
      </c>
      <c r="G2565" s="441">
        <v>0</v>
      </c>
      <c r="H2565" s="359">
        <f t="shared" ref="H2565:H2571" si="357">SUM(D2565:G2565)</f>
        <v>246.46</v>
      </c>
      <c r="I2565" s="308">
        <v>150</v>
      </c>
      <c r="J2565" s="365" t="s">
        <v>96</v>
      </c>
      <c r="K2565" s="441">
        <v>121.9</v>
      </c>
      <c r="L2565" s="441">
        <v>22.2</v>
      </c>
      <c r="M2565" s="441">
        <v>0</v>
      </c>
      <c r="N2565" s="441"/>
      <c r="O2565" s="359">
        <f t="shared" ref="O2565:O2571" si="358">SUM(K2565:N2565)</f>
        <v>144.1</v>
      </c>
    </row>
    <row r="2566" spans="1:19" x14ac:dyDescent="0.25">
      <c r="B2566" s="307" t="s">
        <v>100</v>
      </c>
      <c r="C2566" s="365" t="s">
        <v>95</v>
      </c>
      <c r="D2566" s="444">
        <f t="shared" ref="D2566:G2567" si="359">D2564/$B2564</f>
        <v>0.77535426008968611</v>
      </c>
      <c r="E2566" s="429">
        <f t="shared" si="359"/>
        <v>0.43619730941704038</v>
      </c>
      <c r="F2566" s="429">
        <f t="shared" si="359"/>
        <v>0.22869955156950672</v>
      </c>
      <c r="G2566" s="429">
        <f t="shared" si="359"/>
        <v>0</v>
      </c>
      <c r="H2566" s="359">
        <f t="shared" si="357"/>
        <v>1.4402511210762332</v>
      </c>
      <c r="I2566" s="307" t="s">
        <v>100</v>
      </c>
      <c r="J2566" s="365" t="s">
        <v>95</v>
      </c>
      <c r="K2566" s="444">
        <f t="shared" ref="K2566:N2567" si="360">K2564/$I2564</f>
        <v>0.89580901856763928</v>
      </c>
      <c r="L2566" s="429">
        <f t="shared" si="360"/>
        <v>0.49045092838196291</v>
      </c>
      <c r="M2566" s="429">
        <f t="shared" si="360"/>
        <v>0.161158267020336</v>
      </c>
      <c r="N2566" s="429">
        <f t="shared" si="360"/>
        <v>0</v>
      </c>
      <c r="O2566" s="359">
        <f t="shared" si="358"/>
        <v>1.5474182139699382</v>
      </c>
    </row>
    <row r="2567" spans="1:19" x14ac:dyDescent="0.25">
      <c r="B2567" s="307" t="s">
        <v>100</v>
      </c>
      <c r="C2567" s="438" t="s">
        <v>96</v>
      </c>
      <c r="D2567" s="359">
        <f t="shared" si="359"/>
        <v>0.93053333333333343</v>
      </c>
      <c r="E2567" s="359">
        <f t="shared" si="359"/>
        <v>0.40959999999999996</v>
      </c>
      <c r="F2567" s="359">
        <f t="shared" si="359"/>
        <v>0.30293333333333333</v>
      </c>
      <c r="G2567" s="359">
        <f t="shared" si="359"/>
        <v>0</v>
      </c>
      <c r="H2567" s="359">
        <f t="shared" si="357"/>
        <v>1.6430666666666667</v>
      </c>
      <c r="I2567" s="307" t="s">
        <v>100</v>
      </c>
      <c r="J2567" s="438" t="s">
        <v>96</v>
      </c>
      <c r="K2567" s="359">
        <f t="shared" si="360"/>
        <v>0.81266666666666676</v>
      </c>
      <c r="L2567" s="359">
        <f t="shared" si="360"/>
        <v>0.14799999999999999</v>
      </c>
      <c r="M2567" s="359">
        <f t="shared" si="360"/>
        <v>0</v>
      </c>
      <c r="N2567" s="359">
        <f t="shared" si="360"/>
        <v>0</v>
      </c>
      <c r="O2567" s="359">
        <f t="shared" si="358"/>
        <v>0.96066666666666678</v>
      </c>
    </row>
    <row r="2568" spans="1:19" x14ac:dyDescent="0.25">
      <c r="B2568" s="307" t="s">
        <v>104</v>
      </c>
      <c r="C2568" s="365" t="s">
        <v>95</v>
      </c>
      <c r="D2568" s="359">
        <f>D2564/($B2564/7.7)</f>
        <v>5.970227802690582</v>
      </c>
      <c r="E2568" s="359">
        <f>E2564/($B2564/7)</f>
        <v>3.0533811659192827</v>
      </c>
      <c r="F2568" s="359">
        <f>F2564/($B2564/7)</f>
        <v>1.6008968609865473</v>
      </c>
      <c r="G2568" s="359">
        <f>G2564/($B2564/7)</f>
        <v>0</v>
      </c>
      <c r="H2568" s="359">
        <f t="shared" si="357"/>
        <v>10.62450582959641</v>
      </c>
      <c r="I2568" s="307" t="s">
        <v>104</v>
      </c>
      <c r="J2568" s="365" t="s">
        <v>95</v>
      </c>
      <c r="K2568" s="359">
        <f>K2564/($I2564/7.7)</f>
        <v>6.8977294429708218</v>
      </c>
      <c r="L2568" s="359">
        <f>L2564/($I2564/7)</f>
        <v>3.43315649867374</v>
      </c>
      <c r="M2568" s="359">
        <f>M2564/($I2564/7)</f>
        <v>1.1281078691423518</v>
      </c>
      <c r="N2568" s="359">
        <f>N2564/($I2564/7)</f>
        <v>0</v>
      </c>
      <c r="O2568" s="359">
        <f t="shared" si="358"/>
        <v>11.458993810786914</v>
      </c>
    </row>
    <row r="2569" spans="1:19" x14ac:dyDescent="0.25">
      <c r="B2569" s="307" t="s">
        <v>104</v>
      </c>
      <c r="C2569" s="438" t="s">
        <v>96</v>
      </c>
      <c r="D2569" s="359">
        <f>D2565/($B2565/7.7)</f>
        <v>7.1651066666666674</v>
      </c>
      <c r="E2569" s="359">
        <f>E2565/($B2565/7.7)</f>
        <v>3.1539199999999998</v>
      </c>
      <c r="F2569" s="359">
        <f>F2565/($B2565/7.7)</f>
        <v>2.3325866666666668</v>
      </c>
      <c r="G2569" s="359">
        <f>G2565/($B2565/7.7)</f>
        <v>0</v>
      </c>
      <c r="H2569" s="359">
        <f t="shared" si="357"/>
        <v>12.651613333333334</v>
      </c>
      <c r="I2569" s="307" t="s">
        <v>104</v>
      </c>
      <c r="J2569" s="438" t="s">
        <v>96</v>
      </c>
      <c r="K2569" s="359">
        <f>K2565/($I2565/7.7)</f>
        <v>6.2575333333333338</v>
      </c>
      <c r="L2569" s="359">
        <f>L2565/($I2565/7.7)</f>
        <v>1.1395999999999999</v>
      </c>
      <c r="M2569" s="359">
        <f>M2565/($I2565/7.7)</f>
        <v>0</v>
      </c>
      <c r="N2569" s="359">
        <f>N2565/($I2565/7.7)</f>
        <v>0</v>
      </c>
      <c r="O2569" s="359">
        <f t="shared" si="358"/>
        <v>7.3971333333333336</v>
      </c>
    </row>
    <row r="2570" spans="1:19" x14ac:dyDescent="0.25">
      <c r="B2570" s="307" t="s">
        <v>135</v>
      </c>
      <c r="C2570" s="365" t="s">
        <v>95</v>
      </c>
      <c r="D2570" s="359">
        <f>D2564/((($B2564*$B2560)*(1-$B2557))/$B2555)</f>
        <v>0.12036902110904513</v>
      </c>
      <c r="E2570" s="359">
        <f>E2564/((($B2564*$B2560)*(1-$B2557))/$B2555)</f>
        <v>6.7716972547303925E-2</v>
      </c>
      <c r="F2570" s="359">
        <f>F2564/((($B2564*$B2560)*(1-$B2557))/$B2555)</f>
        <v>3.5504210871705119E-2</v>
      </c>
      <c r="G2570" s="359">
        <f>G2564/((($B2564*$B2560)*(1-$B2557))/$B2555)</f>
        <v>0</v>
      </c>
      <c r="H2570" s="359">
        <f t="shared" si="357"/>
        <v>0.22359020452805417</v>
      </c>
      <c r="I2570" s="307" t="s">
        <v>135</v>
      </c>
      <c r="J2570" s="365" t="s">
        <v>95</v>
      </c>
      <c r="K2570" s="359">
        <f>K2564/((($I2564*$B2560)*(1-$B2557))/$B2555)</f>
        <v>0.13906888788251273</v>
      </c>
      <c r="L2570" s="359">
        <f>L2564/((($I2564*$B2560)*(1-$B2557))/$B2555)</f>
        <v>7.6139516076858371E-2</v>
      </c>
      <c r="M2570" s="359">
        <f>M2564/((($I2564*$B2560)*(1-$B2557))/$B2555)</f>
        <v>2.5018838282547275E-2</v>
      </c>
      <c r="N2570" s="359">
        <f>N2564/((($I2564*$B2560)*(1-$B2557))/$B2555)</f>
        <v>0</v>
      </c>
      <c r="O2570" s="359">
        <f t="shared" si="358"/>
        <v>0.24022724224191838</v>
      </c>
    </row>
    <row r="2571" spans="1:19" x14ac:dyDescent="0.25">
      <c r="B2571" s="307" t="s">
        <v>135</v>
      </c>
      <c r="C2571" s="438" t="s">
        <v>96</v>
      </c>
      <c r="D2571" s="359">
        <f>D2565/((($B2565*$B2560)*(1-$B2557))/$B2555)</f>
        <v>0.14445962601626011</v>
      </c>
      <c r="E2571" s="359">
        <f>E2565/((($B2565*$B2560)*(1-$B2557))/$B2555)</f>
        <v>6.358790243902436E-2</v>
      </c>
      <c r="F2571" s="359">
        <f>F2565/((($B2565*$B2560)*(1-$B2557))/$B2555)</f>
        <v>4.7028552845528433E-2</v>
      </c>
      <c r="G2571" s="359">
        <f>G2565/((($B2565*$B2560)*(1-$B2557))/$B2555)</f>
        <v>0</v>
      </c>
      <c r="H2571" s="359">
        <f t="shared" si="357"/>
        <v>0.25507608130081288</v>
      </c>
      <c r="I2571" s="307" t="s">
        <v>135</v>
      </c>
      <c r="J2571" s="438" t="s">
        <v>96</v>
      </c>
      <c r="K2571" s="359">
        <f>K2565/((($I2565*$B2560)*(1-$B2557))/$B2555)</f>
        <v>0.1261615447154471</v>
      </c>
      <c r="L2571" s="359">
        <f>L2565/((($I2565*$B2560)*(1-$B2557))/$B2555)</f>
        <v>2.29760975609756E-2</v>
      </c>
      <c r="M2571" s="359">
        <f>M2565/((($I2565*$B2560)*(1-$B2557))/$B2555)</f>
        <v>0</v>
      </c>
      <c r="N2571" s="359">
        <f>N2565/((($I2565*$B2560)*(1-$B2557))/$B2555)</f>
        <v>0</v>
      </c>
      <c r="O2571" s="359">
        <f t="shared" si="358"/>
        <v>0.1491376422764227</v>
      </c>
    </row>
    <row r="2572" spans="1:19" x14ac:dyDescent="0.25">
      <c r="A2572" s="178"/>
      <c r="B2572" s="178"/>
      <c r="C2572" s="178"/>
      <c r="D2572" s="178"/>
      <c r="E2572" s="178"/>
      <c r="F2572" s="178"/>
      <c r="G2572" s="178"/>
      <c r="H2572" s="178"/>
      <c r="I2572" s="178"/>
      <c r="J2572" s="178"/>
      <c r="K2572" s="178"/>
      <c r="L2572" s="178"/>
      <c r="M2572" s="178"/>
      <c r="N2572" s="178"/>
      <c r="O2572" s="178"/>
    </row>
    <row r="2573" spans="1:19" ht="21.75" thickBot="1" x14ac:dyDescent="0.3">
      <c r="A2573" s="305"/>
      <c r="B2573" s="644" t="s">
        <v>696</v>
      </c>
      <c r="C2573" s="645"/>
      <c r="D2573" s="645"/>
      <c r="E2573" s="645"/>
      <c r="F2573" s="645"/>
      <c r="G2573" s="645"/>
      <c r="H2573" s="645"/>
      <c r="I2573" s="645"/>
      <c r="J2573" s="645"/>
      <c r="K2573" s="645"/>
      <c r="L2573" s="645"/>
      <c r="M2573" s="645"/>
      <c r="N2573" s="645"/>
      <c r="O2573" s="646"/>
      <c r="R2573" s="572"/>
    </row>
    <row r="2574" spans="1:19" ht="21" x14ac:dyDescent="0.25">
      <c r="A2574" s="177" t="s">
        <v>285</v>
      </c>
      <c r="B2574" s="647">
        <v>44824</v>
      </c>
      <c r="C2574" s="648"/>
      <c r="D2574" s="648"/>
      <c r="E2574" s="648"/>
      <c r="F2574" s="648"/>
      <c r="G2574" s="648"/>
      <c r="H2574" s="648"/>
      <c r="I2574" s="648"/>
      <c r="J2574" s="648"/>
      <c r="K2574" s="648"/>
      <c r="L2574" s="648"/>
      <c r="M2574" s="648"/>
      <c r="N2574" s="648"/>
      <c r="O2574" s="649"/>
      <c r="Q2574" s="640" t="s">
        <v>139</v>
      </c>
      <c r="R2574" s="544" t="s">
        <v>659</v>
      </c>
      <c r="S2574" s="642" t="s">
        <v>142</v>
      </c>
    </row>
    <row r="2575" spans="1:19" ht="15.75" thickBot="1" x14ac:dyDescent="0.3">
      <c r="A2575" s="177"/>
      <c r="B2575" s="650" t="s">
        <v>115</v>
      </c>
      <c r="C2575" s="651"/>
      <c r="D2575" s="651"/>
      <c r="E2575" s="651"/>
      <c r="F2575" s="651"/>
      <c r="G2575" s="651"/>
      <c r="H2575" s="651"/>
      <c r="I2575" s="651"/>
      <c r="J2575" s="651"/>
      <c r="K2575" s="651"/>
      <c r="L2575" s="651"/>
      <c r="M2575" s="651"/>
      <c r="N2575" s="651"/>
      <c r="O2575" s="652"/>
      <c r="Q2575" s="641"/>
      <c r="R2575" s="87" t="s">
        <v>141</v>
      </c>
      <c r="S2575" s="643"/>
    </row>
    <row r="2576" spans="1:19" ht="15.75" thickBot="1" x14ac:dyDescent="0.3">
      <c r="A2576" s="177" t="s">
        <v>106</v>
      </c>
      <c r="B2576" s="629">
        <v>20.5</v>
      </c>
      <c r="C2576" s="630"/>
      <c r="D2576" s="630"/>
      <c r="E2576" s="631"/>
      <c r="F2576" s="365" t="s">
        <v>174</v>
      </c>
      <c r="G2576" s="471"/>
      <c r="H2576" s="653"/>
      <c r="I2576" s="654"/>
      <c r="J2576" s="654"/>
      <c r="K2576" s="654"/>
      <c r="L2576" s="655"/>
      <c r="M2576" s="656">
        <f>SUM(B2576,H2577)</f>
        <v>20.5</v>
      </c>
      <c r="N2576" s="630"/>
      <c r="O2576" s="631"/>
      <c r="Q2576" s="147" t="s">
        <v>143</v>
      </c>
      <c r="R2576" s="88">
        <v>8</v>
      </c>
      <c r="S2576" s="87" t="s">
        <v>576</v>
      </c>
    </row>
    <row r="2577" spans="1:19" ht="15.75" thickBot="1" x14ac:dyDescent="0.3">
      <c r="A2577" s="177" t="s">
        <v>112</v>
      </c>
      <c r="B2577" s="626">
        <v>0.2</v>
      </c>
      <c r="C2577" s="627"/>
      <c r="D2577" s="627"/>
      <c r="E2577" s="628"/>
      <c r="F2577" s="290"/>
      <c r="G2577" s="472"/>
      <c r="H2577" s="626"/>
      <c r="I2577" s="627"/>
      <c r="J2577" s="627"/>
      <c r="K2577" s="627"/>
      <c r="L2577" s="628"/>
      <c r="M2577" s="657">
        <f>B2577</f>
        <v>0.2</v>
      </c>
      <c r="N2577" s="627"/>
      <c r="O2577" s="628"/>
      <c r="Q2577" s="147" t="s">
        <v>145</v>
      </c>
      <c r="R2577" s="88">
        <v>8</v>
      </c>
      <c r="S2577" s="89" t="s">
        <v>732</v>
      </c>
    </row>
    <row r="2578" spans="1:19" ht="15.75" thickBot="1" x14ac:dyDescent="0.3">
      <c r="A2578" s="177" t="s">
        <v>107</v>
      </c>
      <c r="B2578" s="629">
        <f>B2576*(1-B2577)</f>
        <v>16.400000000000002</v>
      </c>
      <c r="C2578" s="630"/>
      <c r="D2578" s="630"/>
      <c r="E2578" s="631"/>
      <c r="F2578" s="290"/>
      <c r="G2578" s="472"/>
      <c r="H2578" s="629">
        <f>H2576*(1-H2577)</f>
        <v>0</v>
      </c>
      <c r="I2578" s="630"/>
      <c r="J2578" s="630"/>
      <c r="K2578" s="630"/>
      <c r="L2578" s="631"/>
      <c r="M2578" s="656">
        <f>SUM(B2578,H2578)</f>
        <v>16.400000000000002</v>
      </c>
      <c r="N2578" s="630"/>
      <c r="O2578" s="631"/>
      <c r="Q2578" s="147" t="s">
        <v>147</v>
      </c>
      <c r="R2578" s="88">
        <v>8</v>
      </c>
      <c r="S2578" s="87" t="s">
        <v>725</v>
      </c>
    </row>
    <row r="2579" spans="1:19" ht="15.75" thickBot="1" x14ac:dyDescent="0.3">
      <c r="A2579" s="177" t="s">
        <v>108</v>
      </c>
      <c r="B2579" s="626">
        <f>B2582/B2578</f>
        <v>0.76956097560975578</v>
      </c>
      <c r="C2579" s="627"/>
      <c r="D2579" s="627"/>
      <c r="E2579" s="627"/>
      <c r="F2579" s="627"/>
      <c r="G2579" s="627"/>
      <c r="H2579" s="627"/>
      <c r="I2579" s="627"/>
      <c r="J2579" s="627"/>
      <c r="K2579" s="627"/>
      <c r="L2579" s="627"/>
      <c r="M2579" s="627"/>
      <c r="N2579" s="627"/>
      <c r="O2579" s="628"/>
      <c r="Q2579" s="147" t="s">
        <v>82</v>
      </c>
      <c r="R2579" s="88">
        <v>8</v>
      </c>
      <c r="S2579" s="89" t="s">
        <v>734</v>
      </c>
    </row>
    <row r="2580" spans="1:19" ht="15.75" thickBot="1" x14ac:dyDescent="0.3">
      <c r="A2580" s="177" t="s">
        <v>113</v>
      </c>
      <c r="B2580" s="629">
        <f>B2584*(B2588+B2589+I2588+I2589)/1000</f>
        <v>39.44</v>
      </c>
      <c r="C2580" s="630"/>
      <c r="D2580" s="630"/>
      <c r="E2580" s="630"/>
      <c r="F2580" s="630"/>
      <c r="G2580" s="630"/>
      <c r="H2580" s="630"/>
      <c r="I2580" s="630"/>
      <c r="J2580" s="630"/>
      <c r="K2580" s="630"/>
      <c r="L2580" s="630"/>
      <c r="M2580" s="630"/>
      <c r="N2580" s="630"/>
      <c r="O2580" s="631"/>
      <c r="Q2580" s="147" t="s">
        <v>152</v>
      </c>
      <c r="R2580" s="88">
        <v>8</v>
      </c>
      <c r="S2580" s="89" t="s">
        <v>728</v>
      </c>
    </row>
    <row r="2581" spans="1:19" ht="15.75" thickBot="1" x14ac:dyDescent="0.3">
      <c r="A2581" s="177" t="s">
        <v>109</v>
      </c>
      <c r="B2581" s="626">
        <v>0.68</v>
      </c>
      <c r="C2581" s="627"/>
      <c r="D2581" s="627"/>
      <c r="E2581" s="627"/>
      <c r="F2581" s="627"/>
      <c r="G2581" s="627"/>
      <c r="H2581" s="627"/>
      <c r="I2581" s="627"/>
      <c r="J2581" s="627"/>
      <c r="K2581" s="627"/>
      <c r="L2581" s="627"/>
      <c r="M2581" s="627"/>
      <c r="N2581" s="627"/>
      <c r="O2581" s="628"/>
      <c r="Q2581" s="147" t="s">
        <v>154</v>
      </c>
      <c r="R2581" s="88">
        <v>8</v>
      </c>
      <c r="S2581" s="87" t="s">
        <v>722</v>
      </c>
    </row>
    <row r="2582" spans="1:19" ht="29.25" thickBot="1" x14ac:dyDescent="0.3">
      <c r="A2582" s="177" t="s">
        <v>122</v>
      </c>
      <c r="B2582" s="629">
        <f>B2580-(B2580*B2581)</f>
        <v>12.620799999999996</v>
      </c>
      <c r="C2582" s="630"/>
      <c r="D2582" s="630"/>
      <c r="E2582" s="630"/>
      <c r="F2582" s="630"/>
      <c r="G2582" s="630"/>
      <c r="H2582" s="630"/>
      <c r="I2582" s="630"/>
      <c r="J2582" s="630"/>
      <c r="K2582" s="630"/>
      <c r="L2582" s="630"/>
      <c r="M2582" s="630"/>
      <c r="N2582" s="630"/>
      <c r="O2582" s="631"/>
      <c r="Q2582" s="147" t="s">
        <v>156</v>
      </c>
      <c r="R2582" s="88">
        <v>8</v>
      </c>
      <c r="S2582" s="87" t="s">
        <v>662</v>
      </c>
    </row>
    <row r="2583" spans="1:19" ht="15.75" thickBot="1" x14ac:dyDescent="0.3">
      <c r="A2583" s="177" t="s">
        <v>110</v>
      </c>
      <c r="B2583" s="632">
        <v>125</v>
      </c>
      <c r="C2583" s="633"/>
      <c r="D2583" s="633"/>
      <c r="E2583" s="633"/>
      <c r="F2583" s="633"/>
      <c r="G2583" s="633"/>
      <c r="H2583" s="633"/>
      <c r="I2583" s="633"/>
      <c r="J2583" s="633"/>
      <c r="K2583" s="633"/>
      <c r="L2583" s="633"/>
      <c r="M2583" s="633"/>
      <c r="N2583" s="633"/>
      <c r="O2583" s="634"/>
      <c r="Q2583" s="147" t="s">
        <v>158</v>
      </c>
      <c r="R2583" s="88"/>
      <c r="S2583" s="87"/>
    </row>
    <row r="2584" spans="1:19" ht="15.75" thickBot="1" x14ac:dyDescent="0.3">
      <c r="A2584" s="177" t="s">
        <v>111</v>
      </c>
      <c r="B2584" s="635">
        <v>14.5</v>
      </c>
      <c r="C2584" s="636"/>
      <c r="D2584" s="636"/>
      <c r="E2584" s="636"/>
      <c r="F2584" s="636"/>
      <c r="G2584" s="636"/>
      <c r="H2584" s="636"/>
      <c r="I2584" s="636"/>
      <c r="J2584" s="636"/>
      <c r="K2584" s="636"/>
      <c r="L2584" s="636"/>
      <c r="M2584" s="636"/>
      <c r="N2584" s="636"/>
      <c r="O2584" s="637"/>
      <c r="Q2584" s="571" t="s">
        <v>99</v>
      </c>
      <c r="R2584" s="87" t="s">
        <v>572</v>
      </c>
      <c r="S2584" s="148">
        <v>0.8</v>
      </c>
    </row>
    <row r="2585" spans="1:19" x14ac:dyDescent="0.25">
      <c r="A2585" s="177" t="s">
        <v>273</v>
      </c>
      <c r="B2585" s="638" t="s">
        <v>706</v>
      </c>
      <c r="C2585" s="638"/>
      <c r="D2585" s="638"/>
      <c r="E2585" s="638"/>
      <c r="F2585" s="638"/>
      <c r="G2585" s="638"/>
      <c r="H2585" s="638"/>
      <c r="I2585" s="638"/>
      <c r="J2585" s="638"/>
      <c r="K2585" s="638"/>
      <c r="L2585" s="638"/>
      <c r="M2585" s="638"/>
      <c r="N2585" s="638"/>
      <c r="O2585" s="639"/>
    </row>
    <row r="2586" spans="1:19" x14ac:dyDescent="0.25">
      <c r="A2586" s="177" t="s">
        <v>351</v>
      </c>
      <c r="B2586" s="431"/>
      <c r="C2586" s="431"/>
      <c r="D2586" s="431"/>
      <c r="E2586" s="431"/>
      <c r="F2586" s="431"/>
      <c r="G2586" s="431"/>
      <c r="H2586" s="431"/>
      <c r="I2586" s="431"/>
      <c r="J2586" s="431"/>
      <c r="K2586" s="431"/>
      <c r="L2586" s="431"/>
      <c r="M2586" s="431"/>
      <c r="N2586" s="431"/>
      <c r="O2586" s="432"/>
    </row>
    <row r="2587" spans="1:19" x14ac:dyDescent="0.25">
      <c r="B2587" s="307" t="s">
        <v>98</v>
      </c>
      <c r="C2587" s="365" t="s">
        <v>102</v>
      </c>
      <c r="D2587" s="365" t="s">
        <v>92</v>
      </c>
      <c r="E2587" s="365" t="s">
        <v>93</v>
      </c>
      <c r="F2587" s="365" t="s">
        <v>94</v>
      </c>
      <c r="G2587" s="365" t="s">
        <v>549</v>
      </c>
      <c r="H2587" s="359" t="s">
        <v>99</v>
      </c>
      <c r="I2587" s="307" t="s">
        <v>98</v>
      </c>
      <c r="J2587" s="365" t="s">
        <v>102</v>
      </c>
      <c r="K2587" s="365" t="s">
        <v>92</v>
      </c>
      <c r="L2587" s="365" t="s">
        <v>93</v>
      </c>
      <c r="M2587" s="365" t="s">
        <v>94</v>
      </c>
      <c r="N2587" s="365" t="s">
        <v>549</v>
      </c>
      <c r="O2587" s="359" t="s">
        <v>99</v>
      </c>
    </row>
    <row r="2588" spans="1:19" x14ac:dyDescent="0.25">
      <c r="B2588" s="308">
        <v>1219</v>
      </c>
      <c r="C2588" s="365" t="s">
        <v>95</v>
      </c>
      <c r="D2588" s="441">
        <v>917</v>
      </c>
      <c r="E2588" s="441">
        <v>730.56</v>
      </c>
      <c r="F2588" s="441">
        <v>222.76</v>
      </c>
      <c r="G2588" s="441">
        <v>0</v>
      </c>
      <c r="H2588" s="359">
        <f>SUM(D2588:G2588)</f>
        <v>1870.32</v>
      </c>
      <c r="I2588" s="308">
        <v>1201</v>
      </c>
      <c r="J2588" s="365" t="s">
        <v>95</v>
      </c>
      <c r="K2588" s="441">
        <v>1510.8</v>
      </c>
      <c r="L2588" s="441">
        <v>423.63</v>
      </c>
      <c r="M2588" s="441">
        <v>535.79999999999995</v>
      </c>
      <c r="N2588" s="441">
        <v>393.11</v>
      </c>
      <c r="O2588" s="359">
        <f>SUM(K2588:N2588)</f>
        <v>2863.3399999999997</v>
      </c>
    </row>
    <row r="2589" spans="1:19" x14ac:dyDescent="0.25">
      <c r="B2589" s="308">
        <v>150</v>
      </c>
      <c r="C2589" s="365" t="s">
        <v>96</v>
      </c>
      <c r="D2589" s="441">
        <v>96.56</v>
      </c>
      <c r="E2589" s="441">
        <v>39.700000000000003</v>
      </c>
      <c r="F2589" s="441">
        <v>26.14</v>
      </c>
      <c r="G2589" s="441">
        <v>0</v>
      </c>
      <c r="H2589" s="359">
        <f t="shared" ref="H2589:H2595" si="361">SUM(D2589:G2589)</f>
        <v>162.39999999999998</v>
      </c>
      <c r="I2589" s="308">
        <v>150</v>
      </c>
      <c r="J2589" s="365" t="s">
        <v>96</v>
      </c>
      <c r="K2589" s="441">
        <v>161</v>
      </c>
      <c r="L2589" s="441">
        <v>91.59</v>
      </c>
      <c r="M2589" s="441">
        <v>65.344999999999999</v>
      </c>
      <c r="N2589" s="441">
        <v>31.2</v>
      </c>
      <c r="O2589" s="359">
        <f t="shared" ref="O2589:O2595" si="362">SUM(K2589:N2589)</f>
        <v>349.13499999999999</v>
      </c>
      <c r="Q2589" s="561"/>
    </row>
    <row r="2590" spans="1:19" x14ac:dyDescent="0.25">
      <c r="B2590" s="307" t="s">
        <v>100</v>
      </c>
      <c r="C2590" s="365" t="s">
        <v>95</v>
      </c>
      <c r="D2590" s="444">
        <f t="shared" ref="D2590:G2591" si="363">D2588/$B2588</f>
        <v>0.75225594749794911</v>
      </c>
      <c r="E2590" s="429">
        <f t="shared" si="363"/>
        <v>0.59931091058244457</v>
      </c>
      <c r="F2590" s="429">
        <f t="shared" si="363"/>
        <v>0.18273995077932731</v>
      </c>
      <c r="G2590" s="429">
        <f t="shared" si="363"/>
        <v>0</v>
      </c>
      <c r="H2590" s="359">
        <f t="shared" si="361"/>
        <v>1.5343068088597209</v>
      </c>
      <c r="I2590" s="307" t="s">
        <v>100</v>
      </c>
      <c r="J2590" s="365" t="s">
        <v>95</v>
      </c>
      <c r="K2590" s="444">
        <f>K2588/$I2588</f>
        <v>1.2579517069109076</v>
      </c>
      <c r="L2590" s="429">
        <f t="shared" ref="K2590:N2591" si="364">L2588/$I2588</f>
        <v>0.35273105745212324</v>
      </c>
      <c r="M2590" s="429">
        <f t="shared" si="364"/>
        <v>0.44612822647793504</v>
      </c>
      <c r="N2590" s="429">
        <f t="shared" si="364"/>
        <v>0.32731890091590343</v>
      </c>
      <c r="O2590" s="386">
        <f t="shared" si="362"/>
        <v>2.384129891756869</v>
      </c>
    </row>
    <row r="2591" spans="1:19" x14ac:dyDescent="0.25">
      <c r="B2591" s="307" t="s">
        <v>100</v>
      </c>
      <c r="C2591" s="438" t="s">
        <v>96</v>
      </c>
      <c r="D2591" s="359">
        <f t="shared" si="363"/>
        <v>0.64373333333333338</v>
      </c>
      <c r="E2591" s="359">
        <f t="shared" si="363"/>
        <v>0.26466666666666666</v>
      </c>
      <c r="F2591" s="359">
        <f t="shared" si="363"/>
        <v>0.17426666666666668</v>
      </c>
      <c r="G2591" s="359">
        <f t="shared" si="363"/>
        <v>0</v>
      </c>
      <c r="H2591" s="359">
        <f t="shared" si="361"/>
        <v>1.0826666666666669</v>
      </c>
      <c r="I2591" s="307" t="s">
        <v>100</v>
      </c>
      <c r="J2591" s="438" t="s">
        <v>96</v>
      </c>
      <c r="K2591" s="359">
        <f t="shared" si="364"/>
        <v>1.0733333333333333</v>
      </c>
      <c r="L2591" s="359">
        <f t="shared" si="364"/>
        <v>0.61060000000000003</v>
      </c>
      <c r="M2591" s="359">
        <f t="shared" si="364"/>
        <v>0.43563333333333332</v>
      </c>
      <c r="N2591" s="359">
        <f t="shared" si="364"/>
        <v>0.20799999999999999</v>
      </c>
      <c r="O2591" s="359">
        <f t="shared" si="362"/>
        <v>2.3275666666666668</v>
      </c>
      <c r="Q2591" s="580"/>
    </row>
    <row r="2592" spans="1:19" x14ac:dyDescent="0.25">
      <c r="B2592" s="307" t="s">
        <v>104</v>
      </c>
      <c r="C2592" s="365" t="s">
        <v>95</v>
      </c>
      <c r="D2592" s="359">
        <f>D2588/($B2588/7.7)</f>
        <v>5.7923707957342092</v>
      </c>
      <c r="E2592" s="359">
        <f>E2588/($B2588/7)</f>
        <v>4.1951763740771124</v>
      </c>
      <c r="F2592" s="359">
        <f>F2588/($B2588/7)</f>
        <v>1.2791796554552912</v>
      </c>
      <c r="G2592" s="359">
        <f>G2588/($B2588/7)</f>
        <v>0</v>
      </c>
      <c r="H2592" s="359">
        <f t="shared" si="361"/>
        <v>11.266726825266613</v>
      </c>
      <c r="I2592" s="307" t="s">
        <v>104</v>
      </c>
      <c r="J2592" s="365" t="s">
        <v>95</v>
      </c>
      <c r="K2592" s="359">
        <f>K2588/($I2588/7.7)</f>
        <v>9.6862281432139881</v>
      </c>
      <c r="L2592" s="359">
        <f>L2588/($I2588/7)</f>
        <v>2.4691174021648625</v>
      </c>
      <c r="M2592" s="359">
        <f>M2588/($I2588/7)</f>
        <v>3.122897585345545</v>
      </c>
      <c r="N2592" s="359">
        <f>N2588/($I2588/7)</f>
        <v>2.2912323064113238</v>
      </c>
      <c r="O2592" s="359">
        <f t="shared" si="362"/>
        <v>17.569475437135718</v>
      </c>
    </row>
    <row r="2593" spans="1:19" x14ac:dyDescent="0.25">
      <c r="B2593" s="307" t="s">
        <v>104</v>
      </c>
      <c r="C2593" s="438" t="s">
        <v>96</v>
      </c>
      <c r="D2593" s="359">
        <f>D2589/($B2589/7.7)</f>
        <v>4.9567466666666666</v>
      </c>
      <c r="E2593" s="359">
        <f>E2589/($B2589/7.7)</f>
        <v>2.0379333333333336</v>
      </c>
      <c r="F2593" s="359">
        <f>F2589/($B2589/7.7)</f>
        <v>1.3418533333333333</v>
      </c>
      <c r="G2593" s="359">
        <f>G2589/($B2589/7.7)</f>
        <v>0</v>
      </c>
      <c r="H2593" s="359">
        <f t="shared" si="361"/>
        <v>8.3365333333333336</v>
      </c>
      <c r="I2593" s="307" t="s">
        <v>104</v>
      </c>
      <c r="J2593" s="438" t="s">
        <v>96</v>
      </c>
      <c r="K2593" s="359">
        <f>K2589/($I2589/7.7)</f>
        <v>8.2646666666666668</v>
      </c>
      <c r="L2593" s="359">
        <f>L2589/($I2589/7.7)</f>
        <v>4.7016200000000001</v>
      </c>
      <c r="M2593" s="359">
        <f>M2589/($I2589/7.7)</f>
        <v>3.354376666666667</v>
      </c>
      <c r="N2593" s="359">
        <f>N2589/($I2589/7.7)</f>
        <v>1.6016000000000001</v>
      </c>
      <c r="O2593" s="359">
        <f t="shared" si="362"/>
        <v>17.922263333333337</v>
      </c>
    </row>
    <row r="2594" spans="1:19" x14ac:dyDescent="0.25">
      <c r="B2594" s="307" t="s">
        <v>135</v>
      </c>
      <c r="C2594" s="365" t="s">
        <v>95</v>
      </c>
      <c r="D2594" s="359">
        <f>D2588/((($B2588*$B2584)*(1-$B2581))/$B2579)</f>
        <v>0.12476440104844032</v>
      </c>
      <c r="E2594" s="359">
        <f>E2588/((($B2588*$B2584)*(1-$B2581))/$B2579)</f>
        <v>9.9397907120990794E-2</v>
      </c>
      <c r="F2594" s="359">
        <f>F2588/((($B2588*$B2584)*(1-$B2581))/$B2579)</f>
        <v>3.0308089397546964E-2</v>
      </c>
      <c r="G2594" s="359">
        <f>G2588/((($B2588*$B2584)*(1-$B2581))/$B2579)</f>
        <v>0</v>
      </c>
      <c r="H2594" s="359">
        <f t="shared" si="361"/>
        <v>0.25447039756697809</v>
      </c>
      <c r="I2594" s="307" t="s">
        <v>135</v>
      </c>
      <c r="J2594" s="365" t="s">
        <v>95</v>
      </c>
      <c r="K2594" s="359">
        <f>K2588/((($I2588*$B2584)*(1-$B2581))/$B2579)</f>
        <v>0.2086358928535163</v>
      </c>
      <c r="L2594" s="359">
        <f>L2588/((($I2588*$B2584)*(1-$B2581))/$B2579)</f>
        <v>5.8501736357913108E-2</v>
      </c>
      <c r="M2594" s="359">
        <f>M2588/((($I2588*$B2584)*(1-$B2581))/$B2579)</f>
        <v>7.3991998537803833E-2</v>
      </c>
      <c r="N2594" s="359">
        <f>N2588/((($I2588*$B2584)*(1-$B2581))/$B2579)</f>
        <v>5.4287037225076648E-2</v>
      </c>
      <c r="O2594" s="359">
        <f t="shared" si="362"/>
        <v>0.39541666497430994</v>
      </c>
    </row>
    <row r="2595" spans="1:19" x14ac:dyDescent="0.25">
      <c r="B2595" s="307" t="s">
        <v>135</v>
      </c>
      <c r="C2595" s="438" t="s">
        <v>96</v>
      </c>
      <c r="D2595" s="359">
        <f>D2589/((($B2589*$B2584)*(1-$B2581))/$B2579)</f>
        <v>0.10676552845528453</v>
      </c>
      <c r="E2595" s="359">
        <f>E2589/((($B2589*$B2584)*(1-$B2581))/$B2579)</f>
        <v>4.389593495934959E-2</v>
      </c>
      <c r="F2595" s="359">
        <f>F2589/((($B2589*$B2584)*(1-$B2581))/$B2579)</f>
        <v>2.8902764227642271E-2</v>
      </c>
      <c r="G2595" s="359">
        <f>G2589/((($B2589*$B2584)*(1-$B2581))/$B2579)</f>
        <v>0</v>
      </c>
      <c r="H2595" s="359">
        <f t="shared" si="361"/>
        <v>0.17956422764227639</v>
      </c>
      <c r="I2595" s="307" t="s">
        <v>135</v>
      </c>
      <c r="J2595" s="438" t="s">
        <v>96</v>
      </c>
      <c r="K2595" s="359">
        <f>K2589/((($I2589*$B2584)*(1-$B2581))/$B2579)</f>
        <v>0.17801626016260158</v>
      </c>
      <c r="L2595" s="359">
        <f>L2589/((($I2589*$B2584)*(1-$B2581))/$B2579)</f>
        <v>0.10127024390243901</v>
      </c>
      <c r="M2595" s="359">
        <f>M2589/((($I2589*$B2584)*(1-$B2581))/$B2579)</f>
        <v>7.2251382113821122E-2</v>
      </c>
      <c r="N2595" s="359">
        <f>N2589/((($I2589*$B2584)*(1-$B2581))/$B2579)</f>
        <v>3.4497560975609749E-2</v>
      </c>
      <c r="O2595" s="359">
        <f t="shared" si="362"/>
        <v>0.38603544715447147</v>
      </c>
    </row>
    <row r="2596" spans="1:19" x14ac:dyDescent="0.25">
      <c r="A2596" s="178"/>
      <c r="B2596" s="178"/>
      <c r="C2596" s="178"/>
      <c r="D2596" s="178"/>
      <c r="E2596" s="178"/>
      <c r="F2596" s="178"/>
      <c r="G2596" s="178"/>
      <c r="H2596" s="178"/>
      <c r="I2596" s="178"/>
      <c r="J2596" s="178"/>
      <c r="K2596" s="178"/>
      <c r="L2596" s="178"/>
      <c r="M2596" s="178"/>
      <c r="N2596" s="178"/>
      <c r="O2596" s="178"/>
    </row>
    <row r="2597" spans="1:19" ht="21.75" thickBot="1" x14ac:dyDescent="0.3">
      <c r="A2597" s="305"/>
      <c r="B2597" s="644" t="s">
        <v>699</v>
      </c>
      <c r="C2597" s="645"/>
      <c r="D2597" s="645"/>
      <c r="E2597" s="645"/>
      <c r="F2597" s="645"/>
      <c r="G2597" s="645"/>
      <c r="H2597" s="645"/>
      <c r="I2597" s="645"/>
      <c r="J2597" s="645"/>
      <c r="K2597" s="645"/>
      <c r="L2597" s="645"/>
      <c r="M2597" s="645"/>
      <c r="N2597" s="645"/>
      <c r="O2597" s="646"/>
    </row>
    <row r="2598" spans="1:19" ht="21" x14ac:dyDescent="0.25">
      <c r="A2598" s="177" t="s">
        <v>285</v>
      </c>
      <c r="B2598" s="647">
        <v>44842</v>
      </c>
      <c r="C2598" s="648"/>
      <c r="D2598" s="648"/>
      <c r="E2598" s="648"/>
      <c r="F2598" s="648"/>
      <c r="G2598" s="648"/>
      <c r="H2598" s="648"/>
      <c r="I2598" s="648"/>
      <c r="J2598" s="648"/>
      <c r="K2598" s="648"/>
      <c r="L2598" s="648"/>
      <c r="M2598" s="648"/>
      <c r="N2598" s="648"/>
      <c r="O2598" s="649"/>
      <c r="Q2598" s="640" t="s">
        <v>139</v>
      </c>
      <c r="R2598" s="544" t="s">
        <v>659</v>
      </c>
      <c r="S2598" s="642" t="s">
        <v>142</v>
      </c>
    </row>
    <row r="2599" spans="1:19" ht="15.75" thickBot="1" x14ac:dyDescent="0.3">
      <c r="A2599" s="177"/>
      <c r="B2599" s="650" t="s">
        <v>115</v>
      </c>
      <c r="C2599" s="651"/>
      <c r="D2599" s="651"/>
      <c r="E2599" s="651"/>
      <c r="F2599" s="651"/>
      <c r="G2599" s="651"/>
      <c r="H2599" s="651"/>
      <c r="I2599" s="651"/>
      <c r="J2599" s="651"/>
      <c r="K2599" s="651"/>
      <c r="L2599" s="651"/>
      <c r="M2599" s="651"/>
      <c r="N2599" s="651"/>
      <c r="O2599" s="652"/>
      <c r="Q2599" s="641"/>
      <c r="R2599" s="87" t="s">
        <v>141</v>
      </c>
      <c r="S2599" s="643"/>
    </row>
    <row r="2600" spans="1:19" ht="15.75" thickBot="1" x14ac:dyDescent="0.3">
      <c r="A2600" s="177" t="s">
        <v>106</v>
      </c>
      <c r="B2600" s="629">
        <v>20.5</v>
      </c>
      <c r="C2600" s="630"/>
      <c r="D2600" s="630"/>
      <c r="E2600" s="631"/>
      <c r="F2600" s="365" t="s">
        <v>174</v>
      </c>
      <c r="G2600" s="471"/>
      <c r="H2600" s="653"/>
      <c r="I2600" s="654"/>
      <c r="J2600" s="654"/>
      <c r="K2600" s="654"/>
      <c r="L2600" s="655"/>
      <c r="M2600" s="656">
        <f>SUM(B2600,H2601)</f>
        <v>20.5</v>
      </c>
      <c r="N2600" s="630"/>
      <c r="O2600" s="631"/>
      <c r="Q2600" s="147" t="s">
        <v>143</v>
      </c>
      <c r="R2600" s="88">
        <v>9</v>
      </c>
      <c r="S2600" s="87" t="s">
        <v>576</v>
      </c>
    </row>
    <row r="2601" spans="1:19" ht="15.75" thickBot="1" x14ac:dyDescent="0.3">
      <c r="A2601" s="177" t="s">
        <v>112</v>
      </c>
      <c r="B2601" s="626">
        <v>0.15</v>
      </c>
      <c r="C2601" s="627"/>
      <c r="D2601" s="627"/>
      <c r="E2601" s="628"/>
      <c r="F2601" s="290"/>
      <c r="G2601" s="472"/>
      <c r="H2601" s="626"/>
      <c r="I2601" s="627"/>
      <c r="J2601" s="627"/>
      <c r="K2601" s="627"/>
      <c r="L2601" s="628"/>
      <c r="M2601" s="657">
        <f>B2601</f>
        <v>0.15</v>
      </c>
      <c r="N2601" s="627"/>
      <c r="O2601" s="628"/>
      <c r="Q2601" s="147" t="s">
        <v>145</v>
      </c>
      <c r="R2601" s="88">
        <v>7</v>
      </c>
      <c r="S2601" s="89" t="s">
        <v>749</v>
      </c>
    </row>
    <row r="2602" spans="1:19" ht="15.75" thickBot="1" x14ac:dyDescent="0.3">
      <c r="A2602" s="177" t="s">
        <v>107</v>
      </c>
      <c r="B2602" s="629">
        <f>B2600*(1-B2601)</f>
        <v>17.425000000000001</v>
      </c>
      <c r="C2602" s="630"/>
      <c r="D2602" s="630"/>
      <c r="E2602" s="631"/>
      <c r="F2602" s="290"/>
      <c r="G2602" s="472"/>
      <c r="H2602" s="629">
        <f>H2600*(1-H2601)</f>
        <v>0</v>
      </c>
      <c r="I2602" s="630"/>
      <c r="J2602" s="630"/>
      <c r="K2602" s="630"/>
      <c r="L2602" s="631"/>
      <c r="M2602" s="656">
        <f>SUM(B2602,H2602)</f>
        <v>17.425000000000001</v>
      </c>
      <c r="N2602" s="630"/>
      <c r="O2602" s="631"/>
      <c r="Q2602" s="147" t="s">
        <v>147</v>
      </c>
      <c r="R2602" s="88">
        <v>8</v>
      </c>
      <c r="S2602" s="87" t="s">
        <v>725</v>
      </c>
    </row>
    <row r="2603" spans="1:19" ht="15.75" thickBot="1" x14ac:dyDescent="0.3">
      <c r="A2603" s="177" t="s">
        <v>108</v>
      </c>
      <c r="B2603" s="626">
        <f>B2606/B2602</f>
        <v>0.66065078909612618</v>
      </c>
      <c r="C2603" s="627"/>
      <c r="D2603" s="627"/>
      <c r="E2603" s="627"/>
      <c r="F2603" s="627"/>
      <c r="G2603" s="627"/>
      <c r="H2603" s="627"/>
      <c r="I2603" s="627"/>
      <c r="J2603" s="627"/>
      <c r="K2603" s="627"/>
      <c r="L2603" s="627"/>
      <c r="M2603" s="627"/>
      <c r="N2603" s="627"/>
      <c r="O2603" s="628"/>
      <c r="Q2603" s="147" t="s">
        <v>82</v>
      </c>
      <c r="R2603" s="88">
        <v>8</v>
      </c>
      <c r="S2603" s="89" t="s">
        <v>670</v>
      </c>
    </row>
    <row r="2604" spans="1:19" ht="15.75" thickBot="1" x14ac:dyDescent="0.3">
      <c r="A2604" s="177" t="s">
        <v>113</v>
      </c>
      <c r="B2604" s="629">
        <f>B2608*(B2612+B2613+I2612+I2613)/1000</f>
        <v>35.974499999999999</v>
      </c>
      <c r="C2604" s="630"/>
      <c r="D2604" s="630"/>
      <c r="E2604" s="630"/>
      <c r="F2604" s="630"/>
      <c r="G2604" s="630"/>
      <c r="H2604" s="630"/>
      <c r="I2604" s="630"/>
      <c r="J2604" s="630"/>
      <c r="K2604" s="630"/>
      <c r="L2604" s="630"/>
      <c r="M2604" s="630"/>
      <c r="N2604" s="630"/>
      <c r="O2604" s="631"/>
      <c r="Q2604" s="147" t="s">
        <v>152</v>
      </c>
      <c r="R2604" s="88">
        <v>9</v>
      </c>
      <c r="S2604" s="89" t="s">
        <v>750</v>
      </c>
    </row>
    <row r="2605" spans="1:19" ht="15.75" thickBot="1" x14ac:dyDescent="0.3">
      <c r="A2605" s="177" t="s">
        <v>109</v>
      </c>
      <c r="B2605" s="626">
        <v>0.68</v>
      </c>
      <c r="C2605" s="627"/>
      <c r="D2605" s="627"/>
      <c r="E2605" s="627"/>
      <c r="F2605" s="627"/>
      <c r="G2605" s="627"/>
      <c r="H2605" s="627"/>
      <c r="I2605" s="627"/>
      <c r="J2605" s="627"/>
      <c r="K2605" s="627"/>
      <c r="L2605" s="627"/>
      <c r="M2605" s="627"/>
      <c r="N2605" s="627"/>
      <c r="O2605" s="628"/>
      <c r="Q2605" s="147" t="s">
        <v>154</v>
      </c>
      <c r="R2605" s="88">
        <v>8</v>
      </c>
      <c r="S2605" s="87" t="s">
        <v>722</v>
      </c>
    </row>
    <row r="2606" spans="1:19" ht="29.25" thickBot="1" x14ac:dyDescent="0.3">
      <c r="A2606" s="177" t="s">
        <v>122</v>
      </c>
      <c r="B2606" s="629">
        <f>B2604-(B2604*B2605)</f>
        <v>11.511839999999999</v>
      </c>
      <c r="C2606" s="630"/>
      <c r="D2606" s="630"/>
      <c r="E2606" s="630"/>
      <c r="F2606" s="630"/>
      <c r="G2606" s="630"/>
      <c r="H2606" s="630"/>
      <c r="I2606" s="630"/>
      <c r="J2606" s="630"/>
      <c r="K2606" s="630"/>
      <c r="L2606" s="630"/>
      <c r="M2606" s="630"/>
      <c r="N2606" s="630"/>
      <c r="O2606" s="631"/>
      <c r="Q2606" s="147" t="s">
        <v>156</v>
      </c>
      <c r="R2606" s="88">
        <v>8</v>
      </c>
      <c r="S2606" s="87" t="s">
        <v>577</v>
      </c>
    </row>
    <row r="2607" spans="1:19" ht="15.75" thickBot="1" x14ac:dyDescent="0.3">
      <c r="A2607" s="177" t="s">
        <v>110</v>
      </c>
      <c r="B2607" s="632">
        <v>125</v>
      </c>
      <c r="C2607" s="633"/>
      <c r="D2607" s="633"/>
      <c r="E2607" s="633"/>
      <c r="F2607" s="633"/>
      <c r="G2607" s="633"/>
      <c r="H2607" s="633"/>
      <c r="I2607" s="633"/>
      <c r="J2607" s="633"/>
      <c r="K2607" s="633"/>
      <c r="L2607" s="633"/>
      <c r="M2607" s="633"/>
      <c r="N2607" s="633"/>
      <c r="O2607" s="634"/>
      <c r="Q2607" s="147" t="s">
        <v>158</v>
      </c>
      <c r="R2607" s="88"/>
      <c r="S2607" s="87" t="s">
        <v>751</v>
      </c>
    </row>
    <row r="2608" spans="1:19" ht="15.75" thickBot="1" x14ac:dyDescent="0.3">
      <c r="A2608" s="177" t="s">
        <v>111</v>
      </c>
      <c r="B2608" s="635">
        <v>14.5</v>
      </c>
      <c r="C2608" s="636"/>
      <c r="D2608" s="636"/>
      <c r="E2608" s="636"/>
      <c r="F2608" s="636"/>
      <c r="G2608" s="636"/>
      <c r="H2608" s="636"/>
      <c r="I2608" s="636"/>
      <c r="J2608" s="636"/>
      <c r="K2608" s="636"/>
      <c r="L2608" s="636"/>
      <c r="M2608" s="636"/>
      <c r="N2608" s="636"/>
      <c r="O2608" s="637"/>
      <c r="Q2608" s="583" t="s">
        <v>99</v>
      </c>
      <c r="R2608" s="87" t="s">
        <v>528</v>
      </c>
      <c r="S2608" s="148">
        <v>0.81</v>
      </c>
    </row>
    <row r="2609" spans="1:19" x14ac:dyDescent="0.25">
      <c r="A2609" s="177" t="s">
        <v>273</v>
      </c>
      <c r="B2609" s="638" t="s">
        <v>737</v>
      </c>
      <c r="C2609" s="638"/>
      <c r="D2609" s="638"/>
      <c r="E2609" s="638"/>
      <c r="F2609" s="638"/>
      <c r="G2609" s="638"/>
      <c r="H2609" s="638"/>
      <c r="I2609" s="638"/>
      <c r="J2609" s="638"/>
      <c r="K2609" s="638"/>
      <c r="L2609" s="638"/>
      <c r="M2609" s="638"/>
      <c r="N2609" s="638"/>
      <c r="O2609" s="639"/>
    </row>
    <row r="2610" spans="1:19" x14ac:dyDescent="0.25">
      <c r="A2610" s="177" t="s">
        <v>351</v>
      </c>
      <c r="B2610" s="431"/>
      <c r="C2610" s="431"/>
      <c r="D2610" s="431"/>
      <c r="E2610" s="431"/>
      <c r="F2610" s="431"/>
      <c r="G2610" s="431"/>
      <c r="H2610" s="431"/>
      <c r="I2610" s="431"/>
      <c r="J2610" s="431"/>
      <c r="K2610" s="431"/>
      <c r="L2610" s="431"/>
      <c r="M2610" s="431"/>
      <c r="N2610" s="431"/>
      <c r="O2610" s="432"/>
    </row>
    <row r="2611" spans="1:19" x14ac:dyDescent="0.25">
      <c r="B2611" s="307" t="s">
        <v>98</v>
      </c>
      <c r="C2611" s="365" t="s">
        <v>102</v>
      </c>
      <c r="D2611" s="365" t="s">
        <v>92</v>
      </c>
      <c r="E2611" s="365" t="s">
        <v>93</v>
      </c>
      <c r="F2611" s="365" t="s">
        <v>94</v>
      </c>
      <c r="G2611" s="365" t="s">
        <v>549</v>
      </c>
      <c r="H2611" s="359" t="s">
        <v>99</v>
      </c>
      <c r="I2611" s="307" t="s">
        <v>98</v>
      </c>
      <c r="J2611" s="365" t="s">
        <v>102</v>
      </c>
      <c r="K2611" s="365" t="s">
        <v>92</v>
      </c>
      <c r="L2611" s="365" t="s">
        <v>93</v>
      </c>
      <c r="M2611" s="365" t="s">
        <v>94</v>
      </c>
      <c r="N2611" s="365" t="s">
        <v>549</v>
      </c>
      <c r="O2611" s="359" t="s">
        <v>99</v>
      </c>
    </row>
    <row r="2612" spans="1:19" x14ac:dyDescent="0.25">
      <c r="B2612" s="308">
        <v>1094</v>
      </c>
      <c r="C2612" s="365" t="s">
        <v>95</v>
      </c>
      <c r="D2612" s="441">
        <v>1464.32</v>
      </c>
      <c r="E2612" s="441">
        <v>691.83</v>
      </c>
      <c r="F2612" s="441">
        <v>298</v>
      </c>
      <c r="G2612" s="441">
        <v>0</v>
      </c>
      <c r="H2612" s="359">
        <f>SUM(D2612:G2612)</f>
        <v>2454.15</v>
      </c>
      <c r="I2612" s="308">
        <v>1087</v>
      </c>
      <c r="J2612" s="365" t="s">
        <v>95</v>
      </c>
      <c r="K2612" s="441">
        <v>1657</v>
      </c>
      <c r="L2612" s="441">
        <v>380</v>
      </c>
      <c r="M2612" s="441">
        <v>167</v>
      </c>
      <c r="N2612" s="441">
        <v>0</v>
      </c>
      <c r="O2612" s="359">
        <f>SUM(K2612:N2612)</f>
        <v>2204</v>
      </c>
    </row>
    <row r="2613" spans="1:19" x14ac:dyDescent="0.25">
      <c r="B2613" s="308">
        <v>150</v>
      </c>
      <c r="C2613" s="365" t="s">
        <v>96</v>
      </c>
      <c r="D2613" s="441">
        <v>192.4</v>
      </c>
      <c r="E2613" s="441">
        <v>82.29</v>
      </c>
      <c r="F2613" s="441">
        <v>37.44</v>
      </c>
      <c r="G2613" s="441">
        <v>0</v>
      </c>
      <c r="H2613" s="359">
        <f t="shared" ref="H2613:H2619" si="365">SUM(D2613:G2613)</f>
        <v>312.13</v>
      </c>
      <c r="I2613" s="308">
        <v>150</v>
      </c>
      <c r="J2613" s="365" t="s">
        <v>96</v>
      </c>
      <c r="K2613" s="441">
        <v>171.85</v>
      </c>
      <c r="L2613" s="441">
        <v>67.739999999999995</v>
      </c>
      <c r="M2613" s="441">
        <v>27</v>
      </c>
      <c r="N2613" s="441">
        <v>0</v>
      </c>
      <c r="O2613" s="359">
        <f t="shared" ref="O2613:O2619" si="366">SUM(K2613:N2613)</f>
        <v>266.58999999999997</v>
      </c>
    </row>
    <row r="2614" spans="1:19" x14ac:dyDescent="0.25">
      <c r="B2614" s="307" t="s">
        <v>100</v>
      </c>
      <c r="C2614" s="365" t="s">
        <v>95</v>
      </c>
      <c r="D2614" s="444">
        <f t="shared" ref="D2614:G2615" si="367">D2612/$B2612</f>
        <v>1.3385009140767823</v>
      </c>
      <c r="E2614" s="429">
        <f t="shared" si="367"/>
        <v>0.63238574040219386</v>
      </c>
      <c r="F2614" s="429">
        <f t="shared" si="367"/>
        <v>0.27239488117001825</v>
      </c>
      <c r="G2614" s="429">
        <f t="shared" si="367"/>
        <v>0</v>
      </c>
      <c r="H2614" s="359">
        <f t="shared" si="365"/>
        <v>2.2432815356489941</v>
      </c>
      <c r="I2614" s="307" t="s">
        <v>100</v>
      </c>
      <c r="J2614" s="365" t="s">
        <v>95</v>
      </c>
      <c r="K2614" s="444">
        <f t="shared" ref="K2614:N2615" si="368">K2612/$I2612</f>
        <v>1.5243790248390063</v>
      </c>
      <c r="L2614" s="429">
        <f t="shared" si="368"/>
        <v>0.34958601655933763</v>
      </c>
      <c r="M2614" s="429">
        <f t="shared" si="368"/>
        <v>0.15363385464581417</v>
      </c>
      <c r="N2614" s="429">
        <f t="shared" si="368"/>
        <v>0</v>
      </c>
      <c r="O2614" s="359">
        <f t="shared" si="366"/>
        <v>2.0275988960441582</v>
      </c>
    </row>
    <row r="2615" spans="1:19" x14ac:dyDescent="0.25">
      <c r="B2615" s="307" t="s">
        <v>100</v>
      </c>
      <c r="C2615" s="438" t="s">
        <v>96</v>
      </c>
      <c r="D2615" s="361">
        <f t="shared" si="367"/>
        <v>1.2826666666666666</v>
      </c>
      <c r="E2615" s="359">
        <f t="shared" si="367"/>
        <v>0.54860000000000009</v>
      </c>
      <c r="F2615" s="359">
        <f t="shared" si="367"/>
        <v>0.24959999999999999</v>
      </c>
      <c r="G2615" s="359">
        <f t="shared" si="367"/>
        <v>0</v>
      </c>
      <c r="H2615" s="359">
        <f t="shared" si="365"/>
        <v>2.0808666666666666</v>
      </c>
      <c r="I2615" s="307" t="s">
        <v>100</v>
      </c>
      <c r="J2615" s="438" t="s">
        <v>96</v>
      </c>
      <c r="K2615" s="359">
        <f t="shared" si="368"/>
        <v>1.1456666666666666</v>
      </c>
      <c r="L2615" s="359">
        <f t="shared" si="368"/>
        <v>0.45159999999999995</v>
      </c>
      <c r="M2615" s="359">
        <f t="shared" si="368"/>
        <v>0.18</v>
      </c>
      <c r="N2615" s="359">
        <f t="shared" si="368"/>
        <v>0</v>
      </c>
      <c r="O2615" s="359">
        <f t="shared" si="366"/>
        <v>1.7772666666666666</v>
      </c>
    </row>
    <row r="2616" spans="1:19" x14ac:dyDescent="0.25">
      <c r="B2616" s="307" t="s">
        <v>104</v>
      </c>
      <c r="C2616" s="365" t="s">
        <v>95</v>
      </c>
      <c r="D2616" s="359">
        <f>D2612/($B2612/7.7)</f>
        <v>10.306457038391224</v>
      </c>
      <c r="E2616" s="359">
        <f>E2612/($B2612/7)</f>
        <v>4.4267001828153569</v>
      </c>
      <c r="F2616" s="359">
        <f>F2612/($B2612/7)</f>
        <v>1.9067641681901282</v>
      </c>
      <c r="G2616" s="359">
        <f>G2612/($B2612/7)</f>
        <v>0</v>
      </c>
      <c r="H2616" s="359">
        <f t="shared" si="365"/>
        <v>16.639921389396712</v>
      </c>
      <c r="I2616" s="307" t="s">
        <v>104</v>
      </c>
      <c r="J2616" s="365" t="s">
        <v>95</v>
      </c>
      <c r="K2616" s="359">
        <f>K2612/($I2612/7.7)</f>
        <v>11.737718491260351</v>
      </c>
      <c r="L2616" s="359">
        <f>L2612/($I2612/7)</f>
        <v>2.4471021159153636</v>
      </c>
      <c r="M2616" s="359">
        <f>M2612/($I2612/7)</f>
        <v>1.0754369825206993</v>
      </c>
      <c r="N2616" s="359">
        <f>N2612/($I2612/7)</f>
        <v>0</v>
      </c>
      <c r="O2616" s="359">
        <f t="shared" si="366"/>
        <v>15.260257589696414</v>
      </c>
    </row>
    <row r="2617" spans="1:19" x14ac:dyDescent="0.25">
      <c r="B2617" s="307" t="s">
        <v>104</v>
      </c>
      <c r="C2617" s="438" t="s">
        <v>96</v>
      </c>
      <c r="D2617" s="359">
        <f>D2613/($B2613/7.7)</f>
        <v>9.8765333333333345</v>
      </c>
      <c r="E2617" s="359">
        <f>E2613/($B2613/7.7)</f>
        <v>4.2242200000000008</v>
      </c>
      <c r="F2617" s="359">
        <f>F2613/($B2613/7.7)</f>
        <v>1.9219200000000001</v>
      </c>
      <c r="G2617" s="359">
        <f>G2613/($B2613/7.7)</f>
        <v>0</v>
      </c>
      <c r="H2617" s="359">
        <f t="shared" si="365"/>
        <v>16.022673333333337</v>
      </c>
      <c r="I2617" s="307" t="s">
        <v>104</v>
      </c>
      <c r="J2617" s="438" t="s">
        <v>96</v>
      </c>
      <c r="K2617" s="359">
        <f>K2613/($I2613/7.7)</f>
        <v>8.8216333333333328</v>
      </c>
      <c r="L2617" s="359">
        <f>L2613/($I2613/7.7)</f>
        <v>3.4773199999999997</v>
      </c>
      <c r="M2617" s="359">
        <f>M2613/($I2613/7.7)</f>
        <v>1.3860000000000001</v>
      </c>
      <c r="N2617" s="359">
        <f>N2613/($I2613/7.7)</f>
        <v>0</v>
      </c>
      <c r="O2617" s="359">
        <f t="shared" si="366"/>
        <v>13.684953333333333</v>
      </c>
    </row>
    <row r="2618" spans="1:19" x14ac:dyDescent="0.25">
      <c r="B2618" s="307" t="s">
        <v>135</v>
      </c>
      <c r="C2618" s="365" t="s">
        <v>95</v>
      </c>
      <c r="D2618" s="359">
        <f>D2612/((($B2612*$B2608)*(1-$B2605))/$B2603)</f>
        <v>0.19057794937299843</v>
      </c>
      <c r="E2618" s="359">
        <f>E2612/((($B2612*$B2608)*(1-$B2605))/$B2603)</f>
        <v>9.0040116036605056E-2</v>
      </c>
      <c r="F2618" s="359">
        <f>F2612/((($B2612*$B2608)*(1-$B2605))/$B2603)</f>
        <v>3.8784028704896154E-2</v>
      </c>
      <c r="G2618" s="359">
        <f>G2612/((($B2612*$B2608)*(1-$B2605))/$B2603)</f>
        <v>0</v>
      </c>
      <c r="H2618" s="359">
        <f t="shared" si="365"/>
        <v>0.31940209411449966</v>
      </c>
      <c r="I2618" s="307" t="s">
        <v>135</v>
      </c>
      <c r="J2618" s="365" t="s">
        <v>95</v>
      </c>
      <c r="K2618" s="359">
        <f>K2612/((($I2612*$B2608)*(1-$B2605))/$B2603)</f>
        <v>0.21704357880204161</v>
      </c>
      <c r="L2618" s="359">
        <f>L2612/((($I2612*$B2608)*(1-$B2605))/$B2603)</f>
        <v>4.9774628813986609E-2</v>
      </c>
      <c r="M2618" s="359">
        <f>M2612/((($I2612*$B2608)*(1-$B2605))/$B2603)</f>
        <v>2.1874639505094114E-2</v>
      </c>
      <c r="N2618" s="359">
        <f>N2612/((($I2612*$B2608)*(1-$B2605))/$B2603)</f>
        <v>0</v>
      </c>
      <c r="O2618" s="359">
        <f t="shared" si="366"/>
        <v>0.28869284712112231</v>
      </c>
    </row>
    <row r="2619" spans="1:19" x14ac:dyDescent="0.25">
      <c r="B2619" s="307" t="s">
        <v>135</v>
      </c>
      <c r="C2619" s="438" t="s">
        <v>96</v>
      </c>
      <c r="D2619" s="359">
        <f>D2613/((($B2613*$B2608)*(1-$B2605))/$B2603)</f>
        <v>0.18262817790530847</v>
      </c>
      <c r="E2619" s="359">
        <f>E2613/((($B2613*$B2608)*(1-$B2605))/$B2603)</f>
        <v>7.811056527977045E-2</v>
      </c>
      <c r="F2619" s="359">
        <f>F2613/((($B2613*$B2608)*(1-$B2605))/$B2603)</f>
        <v>3.5538456241032995E-2</v>
      </c>
      <c r="G2619" s="359">
        <f>G2613/((($B2613*$B2608)*(1-$B2605))/$B2603)</f>
        <v>0</v>
      </c>
      <c r="H2619" s="359">
        <f t="shared" si="365"/>
        <v>0.29627719942611197</v>
      </c>
      <c r="I2619" s="307" t="s">
        <v>135</v>
      </c>
      <c r="J2619" s="438" t="s">
        <v>96</v>
      </c>
      <c r="K2619" s="359">
        <f>K2613/((($I2613*$B2608)*(1-$B2605))/$B2603)</f>
        <v>0.163121893830703</v>
      </c>
      <c r="L2619" s="359">
        <f>L2613/((($I2613*$B2608)*(1-$B2605))/$B2603)</f>
        <v>6.429954662840745E-2</v>
      </c>
      <c r="M2619" s="359">
        <f>M2613/((($I2613*$B2608)*(1-$B2605))/$B2603)</f>
        <v>2.5628694404591104E-2</v>
      </c>
      <c r="N2619" s="359">
        <f>N2613/((($I2613*$B2608)*(1-$B2605))/$B2603)</f>
        <v>0</v>
      </c>
      <c r="O2619" s="359">
        <f t="shared" si="366"/>
        <v>0.25305013486370154</v>
      </c>
    </row>
    <row r="2620" spans="1:19" x14ac:dyDescent="0.25">
      <c r="A2620" s="178"/>
      <c r="B2620" s="178"/>
      <c r="C2620" s="178"/>
      <c r="D2620" s="178"/>
      <c r="E2620" s="178"/>
      <c r="F2620" s="178"/>
      <c r="G2620" s="178"/>
      <c r="H2620" s="178"/>
      <c r="I2620" s="178"/>
      <c r="J2620" s="178"/>
      <c r="K2620" s="178"/>
      <c r="L2620" s="178"/>
      <c r="M2620" s="178"/>
      <c r="N2620" s="178"/>
      <c r="O2620" s="178"/>
    </row>
    <row r="2621" spans="1:19" ht="21.75" thickBot="1" x14ac:dyDescent="0.3">
      <c r="A2621" s="305"/>
      <c r="B2621" s="644" t="s">
        <v>698</v>
      </c>
      <c r="C2621" s="645"/>
      <c r="D2621" s="645"/>
      <c r="E2621" s="645"/>
      <c r="F2621" s="645"/>
      <c r="G2621" s="645"/>
      <c r="H2621" s="645"/>
      <c r="I2621" s="645"/>
      <c r="J2621" s="645"/>
      <c r="K2621" s="645"/>
      <c r="L2621" s="645"/>
      <c r="M2621" s="645"/>
      <c r="N2621" s="645"/>
      <c r="O2621" s="646"/>
    </row>
    <row r="2622" spans="1:19" ht="21" x14ac:dyDescent="0.25">
      <c r="A2622" s="177" t="s">
        <v>285</v>
      </c>
      <c r="B2622" s="647">
        <v>44852</v>
      </c>
      <c r="C2622" s="648"/>
      <c r="D2622" s="648"/>
      <c r="E2622" s="648"/>
      <c r="F2622" s="648"/>
      <c r="G2622" s="648"/>
      <c r="H2622" s="648"/>
      <c r="I2622" s="648"/>
      <c r="J2622" s="648"/>
      <c r="K2622" s="648"/>
      <c r="L2622" s="648"/>
      <c r="M2622" s="648"/>
      <c r="N2622" s="648"/>
      <c r="O2622" s="649"/>
      <c r="Q2622" s="640" t="s">
        <v>139</v>
      </c>
      <c r="R2622" s="544" t="s">
        <v>659</v>
      </c>
      <c r="S2622" s="642" t="s">
        <v>142</v>
      </c>
    </row>
    <row r="2623" spans="1:19" ht="15.75" thickBot="1" x14ac:dyDescent="0.3">
      <c r="A2623" s="177"/>
      <c r="B2623" s="650" t="s">
        <v>115</v>
      </c>
      <c r="C2623" s="651"/>
      <c r="D2623" s="651"/>
      <c r="E2623" s="651"/>
      <c r="F2623" s="651"/>
      <c r="G2623" s="651"/>
      <c r="H2623" s="651"/>
      <c r="I2623" s="651"/>
      <c r="J2623" s="651"/>
      <c r="K2623" s="651"/>
      <c r="L2623" s="651"/>
      <c r="M2623" s="651"/>
      <c r="N2623" s="651"/>
      <c r="O2623" s="652"/>
      <c r="Q2623" s="641"/>
      <c r="R2623" s="87" t="s">
        <v>141</v>
      </c>
      <c r="S2623" s="643"/>
    </row>
    <row r="2624" spans="1:19" ht="15.75" thickBot="1" x14ac:dyDescent="0.3">
      <c r="A2624" s="177" t="s">
        <v>106</v>
      </c>
      <c r="B2624" s="629">
        <v>20.2</v>
      </c>
      <c r="C2624" s="630"/>
      <c r="D2624" s="630"/>
      <c r="E2624" s="631"/>
      <c r="F2624" s="365" t="s">
        <v>174</v>
      </c>
      <c r="G2624" s="471"/>
      <c r="H2624" s="653"/>
      <c r="I2624" s="654"/>
      <c r="J2624" s="654"/>
      <c r="K2624" s="654"/>
      <c r="L2624" s="655"/>
      <c r="M2624" s="656">
        <f>SUM(B2624,H2625)</f>
        <v>20.2</v>
      </c>
      <c r="N2624" s="630"/>
      <c r="O2624" s="631"/>
      <c r="Q2624" s="147" t="s">
        <v>143</v>
      </c>
      <c r="R2624" s="88">
        <v>9</v>
      </c>
      <c r="S2624" s="87" t="s">
        <v>576</v>
      </c>
    </row>
    <row r="2625" spans="1:19" ht="15.75" thickBot="1" x14ac:dyDescent="0.3">
      <c r="A2625" s="177" t="s">
        <v>112</v>
      </c>
      <c r="B2625" s="626">
        <v>0.17</v>
      </c>
      <c r="C2625" s="627"/>
      <c r="D2625" s="627"/>
      <c r="E2625" s="628"/>
      <c r="F2625" s="290"/>
      <c r="G2625" s="472"/>
      <c r="H2625" s="626"/>
      <c r="I2625" s="627"/>
      <c r="J2625" s="627"/>
      <c r="K2625" s="627"/>
      <c r="L2625" s="628"/>
      <c r="M2625" s="657">
        <f>B2625</f>
        <v>0.17</v>
      </c>
      <c r="N2625" s="627"/>
      <c r="O2625" s="628"/>
      <c r="Q2625" s="147" t="s">
        <v>145</v>
      </c>
      <c r="R2625" s="88">
        <v>8</v>
      </c>
      <c r="S2625" s="89" t="s">
        <v>724</v>
      </c>
    </row>
    <row r="2626" spans="1:19" ht="15.75" thickBot="1" x14ac:dyDescent="0.3">
      <c r="A2626" s="177" t="s">
        <v>107</v>
      </c>
      <c r="B2626" s="629">
        <f>B2624*(1-B2625)</f>
        <v>16.765999999999998</v>
      </c>
      <c r="C2626" s="630"/>
      <c r="D2626" s="630"/>
      <c r="E2626" s="631"/>
      <c r="F2626" s="290"/>
      <c r="G2626" s="472"/>
      <c r="H2626" s="629">
        <f>H2624*(1-H2625)</f>
        <v>0</v>
      </c>
      <c r="I2626" s="630"/>
      <c r="J2626" s="630"/>
      <c r="K2626" s="630"/>
      <c r="L2626" s="631"/>
      <c r="M2626" s="656">
        <f>SUM(B2626,H2626)</f>
        <v>16.765999999999998</v>
      </c>
      <c r="N2626" s="630"/>
      <c r="O2626" s="631"/>
      <c r="Q2626" s="147" t="s">
        <v>147</v>
      </c>
      <c r="R2626" s="88">
        <v>8</v>
      </c>
      <c r="S2626" s="87" t="s">
        <v>725</v>
      </c>
    </row>
    <row r="2627" spans="1:19" ht="15.75" thickBot="1" x14ac:dyDescent="0.3">
      <c r="A2627" s="177" t="s">
        <v>108</v>
      </c>
      <c r="B2627" s="626">
        <f>B2630/B2626</f>
        <v>0.7084814505546938</v>
      </c>
      <c r="C2627" s="627"/>
      <c r="D2627" s="627"/>
      <c r="E2627" s="627"/>
      <c r="F2627" s="627"/>
      <c r="G2627" s="627"/>
      <c r="H2627" s="627"/>
      <c r="I2627" s="627"/>
      <c r="J2627" s="627"/>
      <c r="K2627" s="627"/>
      <c r="L2627" s="627"/>
      <c r="M2627" s="627"/>
      <c r="N2627" s="627"/>
      <c r="O2627" s="628"/>
      <c r="Q2627" s="147" t="s">
        <v>82</v>
      </c>
      <c r="R2627" s="88">
        <v>8</v>
      </c>
      <c r="S2627" s="89" t="s">
        <v>670</v>
      </c>
    </row>
    <row r="2628" spans="1:19" ht="15.75" thickBot="1" x14ac:dyDescent="0.3">
      <c r="A2628" s="177" t="s">
        <v>113</v>
      </c>
      <c r="B2628" s="629">
        <f>B2632*(B2636+B2637+I2636+I2637)/1000</f>
        <v>37.119999999999997</v>
      </c>
      <c r="C2628" s="630"/>
      <c r="D2628" s="630"/>
      <c r="E2628" s="630"/>
      <c r="F2628" s="630"/>
      <c r="G2628" s="630"/>
      <c r="H2628" s="630"/>
      <c r="I2628" s="630"/>
      <c r="J2628" s="630"/>
      <c r="K2628" s="630"/>
      <c r="L2628" s="630"/>
      <c r="M2628" s="630"/>
      <c r="N2628" s="630"/>
      <c r="O2628" s="631"/>
      <c r="Q2628" s="147" t="s">
        <v>152</v>
      </c>
      <c r="R2628" s="88">
        <v>7</v>
      </c>
      <c r="S2628" s="89" t="s">
        <v>750</v>
      </c>
    </row>
    <row r="2629" spans="1:19" ht="15.75" thickBot="1" x14ac:dyDescent="0.3">
      <c r="A2629" s="177" t="s">
        <v>109</v>
      </c>
      <c r="B2629" s="626">
        <v>0.68</v>
      </c>
      <c r="C2629" s="627"/>
      <c r="D2629" s="627"/>
      <c r="E2629" s="627"/>
      <c r="F2629" s="627"/>
      <c r="G2629" s="627"/>
      <c r="H2629" s="627"/>
      <c r="I2629" s="627"/>
      <c r="J2629" s="627"/>
      <c r="K2629" s="627"/>
      <c r="L2629" s="627"/>
      <c r="M2629" s="627"/>
      <c r="N2629" s="627"/>
      <c r="O2629" s="628"/>
      <c r="Q2629" s="147" t="s">
        <v>154</v>
      </c>
      <c r="R2629" s="88">
        <v>8</v>
      </c>
      <c r="S2629" s="87" t="s">
        <v>722</v>
      </c>
    </row>
    <row r="2630" spans="1:19" ht="29.25" thickBot="1" x14ac:dyDescent="0.3">
      <c r="A2630" s="177" t="s">
        <v>122</v>
      </c>
      <c r="B2630" s="629">
        <f>B2628-(B2628*B2629)</f>
        <v>11.878399999999996</v>
      </c>
      <c r="C2630" s="630"/>
      <c r="D2630" s="630"/>
      <c r="E2630" s="630"/>
      <c r="F2630" s="630"/>
      <c r="G2630" s="630"/>
      <c r="H2630" s="630"/>
      <c r="I2630" s="630"/>
      <c r="J2630" s="630"/>
      <c r="K2630" s="630"/>
      <c r="L2630" s="630"/>
      <c r="M2630" s="630"/>
      <c r="N2630" s="630"/>
      <c r="O2630" s="631"/>
      <c r="Q2630" s="147" t="s">
        <v>156</v>
      </c>
      <c r="R2630" s="88">
        <v>8</v>
      </c>
      <c r="S2630" s="87" t="s">
        <v>577</v>
      </c>
    </row>
    <row r="2631" spans="1:19" ht="15.75" thickBot="1" x14ac:dyDescent="0.3">
      <c r="A2631" s="177" t="s">
        <v>110</v>
      </c>
      <c r="B2631" s="632">
        <v>125</v>
      </c>
      <c r="C2631" s="633"/>
      <c r="D2631" s="633"/>
      <c r="E2631" s="633"/>
      <c r="F2631" s="633"/>
      <c r="G2631" s="633"/>
      <c r="H2631" s="633"/>
      <c r="I2631" s="633"/>
      <c r="J2631" s="633"/>
      <c r="K2631" s="633"/>
      <c r="L2631" s="633"/>
      <c r="M2631" s="633"/>
      <c r="N2631" s="633"/>
      <c r="O2631" s="634"/>
      <c r="Q2631" s="147" t="s">
        <v>158</v>
      </c>
      <c r="R2631" s="88"/>
      <c r="S2631" s="87"/>
    </row>
    <row r="2632" spans="1:19" ht="15.75" thickBot="1" x14ac:dyDescent="0.3">
      <c r="A2632" s="177" t="s">
        <v>111</v>
      </c>
      <c r="B2632" s="635">
        <v>14.5</v>
      </c>
      <c r="C2632" s="636"/>
      <c r="D2632" s="636"/>
      <c r="E2632" s="636"/>
      <c r="F2632" s="636"/>
      <c r="G2632" s="636"/>
      <c r="H2632" s="636"/>
      <c r="I2632" s="636"/>
      <c r="J2632" s="636"/>
      <c r="K2632" s="636"/>
      <c r="L2632" s="636"/>
      <c r="M2632" s="636"/>
      <c r="N2632" s="636"/>
      <c r="O2632" s="637"/>
      <c r="Q2632" s="583" t="s">
        <v>99</v>
      </c>
      <c r="R2632" s="87" t="s">
        <v>572</v>
      </c>
      <c r="S2632" s="148">
        <v>0.8</v>
      </c>
    </row>
    <row r="2633" spans="1:19" x14ac:dyDescent="0.25">
      <c r="A2633" s="177" t="s">
        <v>273</v>
      </c>
      <c r="B2633" s="638" t="s">
        <v>736</v>
      </c>
      <c r="C2633" s="638"/>
      <c r="D2633" s="638"/>
      <c r="E2633" s="638"/>
      <c r="F2633" s="638"/>
      <c r="G2633" s="638"/>
      <c r="H2633" s="638"/>
      <c r="I2633" s="638"/>
      <c r="J2633" s="638"/>
      <c r="K2633" s="638"/>
      <c r="L2633" s="638"/>
      <c r="M2633" s="638"/>
      <c r="N2633" s="638"/>
      <c r="O2633" s="639"/>
    </row>
    <row r="2634" spans="1:19" x14ac:dyDescent="0.25">
      <c r="A2634" s="177" t="s">
        <v>351</v>
      </c>
      <c r="B2634" s="431"/>
      <c r="C2634" s="431"/>
      <c r="D2634" s="431"/>
      <c r="E2634" s="431"/>
      <c r="F2634" s="431"/>
      <c r="G2634" s="431"/>
      <c r="H2634" s="431"/>
      <c r="I2634" s="431"/>
      <c r="J2634" s="431"/>
      <c r="K2634" s="431"/>
      <c r="L2634" s="431"/>
      <c r="M2634" s="431"/>
      <c r="N2634" s="431"/>
      <c r="O2634" s="432"/>
    </row>
    <row r="2635" spans="1:19" x14ac:dyDescent="0.25">
      <c r="B2635" s="307" t="s">
        <v>98</v>
      </c>
      <c r="C2635" s="365" t="s">
        <v>102</v>
      </c>
      <c r="D2635" s="365" t="s">
        <v>92</v>
      </c>
      <c r="E2635" s="365" t="s">
        <v>93</v>
      </c>
      <c r="F2635" s="365" t="s">
        <v>94</v>
      </c>
      <c r="G2635" s="365" t="s">
        <v>549</v>
      </c>
      <c r="H2635" s="359" t="s">
        <v>99</v>
      </c>
      <c r="I2635" s="307" t="s">
        <v>98</v>
      </c>
      <c r="J2635" s="365" t="s">
        <v>102</v>
      </c>
      <c r="K2635" s="365" t="s">
        <v>92</v>
      </c>
      <c r="L2635" s="365" t="s">
        <v>93</v>
      </c>
      <c r="M2635" s="365" t="s">
        <v>94</v>
      </c>
      <c r="N2635" s="365" t="s">
        <v>549</v>
      </c>
      <c r="O2635" s="359" t="s">
        <v>99</v>
      </c>
    </row>
    <row r="2636" spans="1:19" x14ac:dyDescent="0.25">
      <c r="B2636" s="308">
        <v>1168</v>
      </c>
      <c r="C2636" s="365" t="s">
        <v>95</v>
      </c>
      <c r="D2636" s="441">
        <v>1069</v>
      </c>
      <c r="E2636" s="441">
        <v>663.28</v>
      </c>
      <c r="F2636" s="441">
        <v>292.04000000000002</v>
      </c>
      <c r="G2636" s="441"/>
      <c r="H2636" s="359">
        <f>SUM(D2636:G2636)</f>
        <v>2024.32</v>
      </c>
      <c r="I2636" s="308">
        <v>1092</v>
      </c>
      <c r="J2636" s="365" t="s">
        <v>95</v>
      </c>
      <c r="K2636" s="441">
        <v>1182</v>
      </c>
      <c r="L2636" s="441">
        <v>557.44000000000005</v>
      </c>
      <c r="M2636" s="441">
        <v>341.28</v>
      </c>
      <c r="N2636" s="441">
        <v>83.16</v>
      </c>
      <c r="O2636" s="359">
        <f>SUM(K2636:N2636)</f>
        <v>2163.88</v>
      </c>
    </row>
    <row r="2637" spans="1:19" x14ac:dyDescent="0.25">
      <c r="B2637" s="308">
        <v>150</v>
      </c>
      <c r="C2637" s="365" t="s">
        <v>96</v>
      </c>
      <c r="D2637" s="441">
        <v>145.38</v>
      </c>
      <c r="E2637" s="441">
        <v>52.85</v>
      </c>
      <c r="F2637" s="441">
        <v>0</v>
      </c>
      <c r="G2637" s="441"/>
      <c r="H2637" s="359">
        <f t="shared" ref="H2637:H2643" si="369">SUM(D2637:G2637)</f>
        <v>198.23</v>
      </c>
      <c r="I2637" s="308">
        <v>150</v>
      </c>
      <c r="J2637" s="365" t="s">
        <v>96</v>
      </c>
      <c r="K2637" s="441">
        <v>106.44</v>
      </c>
      <c r="L2637" s="441">
        <v>46</v>
      </c>
      <c r="M2637" s="441">
        <v>22.59</v>
      </c>
      <c r="N2637" s="441">
        <v>0</v>
      </c>
      <c r="O2637" s="359">
        <f t="shared" ref="O2637:O2643" si="370">SUM(K2637:N2637)</f>
        <v>175.03</v>
      </c>
    </row>
    <row r="2638" spans="1:19" x14ac:dyDescent="0.25">
      <c r="B2638" s="307" t="s">
        <v>100</v>
      </c>
      <c r="C2638" s="365" t="s">
        <v>95</v>
      </c>
      <c r="D2638" s="429">
        <f t="shared" ref="D2638:G2639" si="371">D2636/$B2636</f>
        <v>0.91523972602739723</v>
      </c>
      <c r="E2638" s="429">
        <f t="shared" si="371"/>
        <v>0.56787671232876713</v>
      </c>
      <c r="F2638" s="429">
        <f t="shared" si="371"/>
        <v>0.25003424657534246</v>
      </c>
      <c r="G2638" s="429">
        <f t="shared" si="371"/>
        <v>0</v>
      </c>
      <c r="H2638" s="359">
        <f t="shared" si="369"/>
        <v>1.7331506849315068</v>
      </c>
      <c r="I2638" s="307" t="s">
        <v>100</v>
      </c>
      <c r="J2638" s="365" t="s">
        <v>95</v>
      </c>
      <c r="K2638" s="444">
        <f t="shared" ref="K2638:N2639" si="372">K2636/$I2636</f>
        <v>1.0824175824175823</v>
      </c>
      <c r="L2638" s="429">
        <f t="shared" si="372"/>
        <v>0.51047619047619053</v>
      </c>
      <c r="M2638" s="429">
        <f t="shared" si="372"/>
        <v>0.31252747252747248</v>
      </c>
      <c r="N2638" s="429">
        <f t="shared" si="372"/>
        <v>7.6153846153846155E-2</v>
      </c>
      <c r="O2638" s="359">
        <f t="shared" si="370"/>
        <v>1.9815750915750916</v>
      </c>
    </row>
    <row r="2639" spans="1:19" x14ac:dyDescent="0.25">
      <c r="B2639" s="307" t="s">
        <v>100</v>
      </c>
      <c r="C2639" s="438" t="s">
        <v>96</v>
      </c>
      <c r="D2639" s="359">
        <f t="shared" si="371"/>
        <v>0.96919999999999995</v>
      </c>
      <c r="E2639" s="359">
        <f t="shared" si="371"/>
        <v>0.35233333333333333</v>
      </c>
      <c r="F2639" s="359">
        <f t="shared" si="371"/>
        <v>0</v>
      </c>
      <c r="G2639" s="359">
        <f t="shared" si="371"/>
        <v>0</v>
      </c>
      <c r="H2639" s="359">
        <f t="shared" si="369"/>
        <v>1.3215333333333332</v>
      </c>
      <c r="I2639" s="307" t="s">
        <v>100</v>
      </c>
      <c r="J2639" s="438" t="s">
        <v>96</v>
      </c>
      <c r="K2639" s="359">
        <f t="shared" si="372"/>
        <v>0.70960000000000001</v>
      </c>
      <c r="L2639" s="359">
        <f t="shared" si="372"/>
        <v>0.30666666666666664</v>
      </c>
      <c r="M2639" s="359">
        <f t="shared" si="372"/>
        <v>0.15060000000000001</v>
      </c>
      <c r="N2639" s="359">
        <f t="shared" si="372"/>
        <v>0</v>
      </c>
      <c r="O2639" s="359">
        <f t="shared" si="370"/>
        <v>1.1668666666666667</v>
      </c>
    </row>
    <row r="2640" spans="1:19" x14ac:dyDescent="0.25">
      <c r="B2640" s="307" t="s">
        <v>104</v>
      </c>
      <c r="C2640" s="365" t="s">
        <v>95</v>
      </c>
      <c r="D2640" s="359">
        <f>D2636/($B2636/7.7)</f>
        <v>7.04734589041096</v>
      </c>
      <c r="E2640" s="359">
        <f>E2636/($B2636/7)</f>
        <v>3.9751369863013695</v>
      </c>
      <c r="F2640" s="359">
        <f>F2636/($B2636/7)</f>
        <v>1.7502397260273974</v>
      </c>
      <c r="G2640" s="359">
        <f>G2636/($B2636/7)</f>
        <v>0</v>
      </c>
      <c r="H2640" s="359">
        <f t="shared" si="369"/>
        <v>12.772722602739726</v>
      </c>
      <c r="I2640" s="307" t="s">
        <v>104</v>
      </c>
      <c r="J2640" s="365" t="s">
        <v>95</v>
      </c>
      <c r="K2640" s="359">
        <f>K2636/($I2636/7.7)</f>
        <v>8.3346153846153843</v>
      </c>
      <c r="L2640" s="359">
        <f>L2636/($I2636/7)</f>
        <v>3.5733333333333337</v>
      </c>
      <c r="M2640" s="359">
        <f>M2636/($I2636/7)</f>
        <v>2.1876923076923074</v>
      </c>
      <c r="N2640" s="359">
        <f>N2636/($I2636/7)</f>
        <v>0.533076923076923</v>
      </c>
      <c r="O2640" s="359">
        <f t="shared" si="370"/>
        <v>14.628717948717949</v>
      </c>
    </row>
    <row r="2641" spans="1:19" x14ac:dyDescent="0.25">
      <c r="B2641" s="307" t="s">
        <v>104</v>
      </c>
      <c r="C2641" s="438" t="s">
        <v>96</v>
      </c>
      <c r="D2641" s="359">
        <f>D2637/($B2637/7.7)</f>
        <v>7.4628399999999999</v>
      </c>
      <c r="E2641" s="359">
        <f>E2637/($B2637/7.7)</f>
        <v>2.712966666666667</v>
      </c>
      <c r="F2641" s="359">
        <f>F2637/($B2637/7.7)</f>
        <v>0</v>
      </c>
      <c r="G2641" s="359">
        <f>G2637/($B2637/7.7)</f>
        <v>0</v>
      </c>
      <c r="H2641" s="359">
        <f t="shared" si="369"/>
        <v>10.175806666666666</v>
      </c>
      <c r="I2641" s="307" t="s">
        <v>104</v>
      </c>
      <c r="J2641" s="438" t="s">
        <v>96</v>
      </c>
      <c r="K2641" s="359">
        <f>K2637/($I2637/7.7)</f>
        <v>5.4639199999999999</v>
      </c>
      <c r="L2641" s="359">
        <f>L2637/($I2637/7.7)</f>
        <v>2.3613333333333335</v>
      </c>
      <c r="M2641" s="359">
        <f>M2637/($I2637/7.7)</f>
        <v>1.1596200000000001</v>
      </c>
      <c r="N2641" s="359">
        <f>N2637/($I2637/7.7)</f>
        <v>0</v>
      </c>
      <c r="O2641" s="359">
        <f t="shared" si="370"/>
        <v>8.9848733333333328</v>
      </c>
    </row>
    <row r="2642" spans="1:19" x14ac:dyDescent="0.25">
      <c r="B2642" s="307" t="s">
        <v>135</v>
      </c>
      <c r="C2642" s="365" t="s">
        <v>95</v>
      </c>
      <c r="D2642" s="359">
        <f>D2636/((($B2636*$B2632)*(1-$B2629))/$B2627)</f>
        <v>0.13974792428904548</v>
      </c>
      <c r="E2642" s="359">
        <f>E2636/((($B2636*$B2632)*(1-$B2629))/$B2627)</f>
        <v>8.6709076915283512E-2</v>
      </c>
      <c r="F2642" s="359">
        <f>F2636/((($B2636*$B2632)*(1-$B2629))/$B2627)</f>
        <v>3.8177721056475995E-2</v>
      </c>
      <c r="G2642" s="359">
        <f>G2636/((($B2636*$B2632)*(1-$B2629))/$B2627)</f>
        <v>0</v>
      </c>
      <c r="H2642" s="359">
        <f t="shared" si="369"/>
        <v>0.26463472226080498</v>
      </c>
      <c r="I2642" s="307" t="s">
        <v>135</v>
      </c>
      <c r="J2642" s="365" t="s">
        <v>95</v>
      </c>
      <c r="K2642" s="359">
        <f>K2636/((($I2636*$B2632)*(1-$B2629))/$B2627)</f>
        <v>0.16527430579679175</v>
      </c>
      <c r="L2642" s="359">
        <f>L2636/((($I2636*$B2632)*(1-$B2629))/$B2627)</f>
        <v>7.7944593082371921E-2</v>
      </c>
      <c r="M2642" s="359">
        <f>M2636/((($I2636*$B2632)*(1-$B2629))/$B2627)</f>
        <v>4.7719809714322409E-2</v>
      </c>
      <c r="N2642" s="359">
        <f>N2636/((($I2636*$B2632)*(1-$B2629))/$B2627)</f>
        <v>1.1627928316464638E-2</v>
      </c>
      <c r="O2642" s="359">
        <f t="shared" si="370"/>
        <v>0.30256663690995073</v>
      </c>
    </row>
    <row r="2643" spans="1:19" x14ac:dyDescent="0.25">
      <c r="B2643" s="307" t="s">
        <v>135</v>
      </c>
      <c r="C2643" s="438" t="s">
        <v>96</v>
      </c>
      <c r="D2643" s="359">
        <f>D2637/((($B2637*$B2632)*(1-$B2629))/$B2627)</f>
        <v>0.14798711678396753</v>
      </c>
      <c r="E2643" s="359">
        <f>E2637/((($B2637*$B2632)*(1-$B2629))/$B2627)</f>
        <v>5.3797765318700543E-2</v>
      </c>
      <c r="F2643" s="359">
        <f>F2637/((($B2637*$B2632)*(1-$B2629))/$B2627)</f>
        <v>0</v>
      </c>
      <c r="G2643" s="359">
        <f>G2637/((($B2637*$B2632)*(1-$B2629))/$B2627)</f>
        <v>0</v>
      </c>
      <c r="H2643" s="359">
        <f t="shared" si="369"/>
        <v>0.20178488210266807</v>
      </c>
      <c r="I2643" s="307" t="s">
        <v>135</v>
      </c>
      <c r="J2643" s="438" t="s">
        <v>96</v>
      </c>
      <c r="K2643" s="359">
        <f>K2637/((($I2637*$B2632)*(1-$B2629))/$B2627)</f>
        <v>0.10834880114517474</v>
      </c>
      <c r="L2643" s="359">
        <f>L2637/((($I2637*$B2632)*(1-$B2629))/$B2627)</f>
        <v>4.682492345620104E-2</v>
      </c>
      <c r="M2643" s="359">
        <f>M2637/((($I2637*$B2632)*(1-$B2629))/$B2627)</f>
        <v>2.2995109149469162E-2</v>
      </c>
      <c r="N2643" s="359">
        <f>N2637/((($I2637*$B2632)*(1-$B2629))/$B2627)</f>
        <v>0</v>
      </c>
      <c r="O2643" s="359">
        <f t="shared" si="370"/>
        <v>0.17816883375084497</v>
      </c>
    </row>
    <row r="2644" spans="1:19" x14ac:dyDescent="0.25">
      <c r="A2644" s="178"/>
      <c r="B2644" s="178"/>
      <c r="C2644" s="178"/>
      <c r="D2644" s="178"/>
      <c r="E2644" s="178"/>
      <c r="F2644" s="178"/>
      <c r="G2644" s="178"/>
      <c r="H2644" s="178"/>
      <c r="I2644" s="178"/>
      <c r="J2644" s="178"/>
      <c r="K2644" s="178"/>
      <c r="L2644" s="178"/>
      <c r="M2644" s="178"/>
      <c r="N2644" s="178"/>
      <c r="O2644" s="178"/>
    </row>
    <row r="2645" spans="1:19" ht="21.75" thickBot="1" x14ac:dyDescent="0.3">
      <c r="A2645" s="305"/>
      <c r="B2645" s="644" t="s">
        <v>697</v>
      </c>
      <c r="C2645" s="645"/>
      <c r="D2645" s="645"/>
      <c r="E2645" s="645"/>
      <c r="F2645" s="645"/>
      <c r="G2645" s="645"/>
      <c r="H2645" s="645"/>
      <c r="I2645" s="645"/>
      <c r="J2645" s="645"/>
      <c r="K2645" s="645"/>
      <c r="L2645" s="645"/>
      <c r="M2645" s="645"/>
      <c r="N2645" s="645"/>
      <c r="O2645" s="646"/>
    </row>
    <row r="2646" spans="1:19" ht="21" x14ac:dyDescent="0.25">
      <c r="A2646" s="177" t="s">
        <v>285</v>
      </c>
      <c r="B2646" s="647">
        <v>44867</v>
      </c>
      <c r="C2646" s="648"/>
      <c r="D2646" s="648"/>
      <c r="E2646" s="648"/>
      <c r="F2646" s="648"/>
      <c r="G2646" s="648"/>
      <c r="H2646" s="648"/>
      <c r="I2646" s="648"/>
      <c r="J2646" s="648"/>
      <c r="K2646" s="648"/>
      <c r="L2646" s="648"/>
      <c r="M2646" s="648"/>
      <c r="N2646" s="648"/>
      <c r="O2646" s="649"/>
      <c r="Q2646" s="640" t="s">
        <v>139</v>
      </c>
      <c r="R2646" s="544" t="s">
        <v>659</v>
      </c>
      <c r="S2646" s="642" t="s">
        <v>142</v>
      </c>
    </row>
    <row r="2647" spans="1:19" ht="15.75" thickBot="1" x14ac:dyDescent="0.3">
      <c r="A2647" s="177"/>
      <c r="B2647" s="650" t="s">
        <v>115</v>
      </c>
      <c r="C2647" s="651"/>
      <c r="D2647" s="651"/>
      <c r="E2647" s="651"/>
      <c r="F2647" s="651"/>
      <c r="G2647" s="651"/>
      <c r="H2647" s="651"/>
      <c r="I2647" s="651"/>
      <c r="J2647" s="651"/>
      <c r="K2647" s="651"/>
      <c r="L2647" s="651"/>
      <c r="M2647" s="651"/>
      <c r="N2647" s="651"/>
      <c r="O2647" s="652"/>
      <c r="Q2647" s="641"/>
      <c r="R2647" s="87" t="s">
        <v>141</v>
      </c>
      <c r="S2647" s="643"/>
    </row>
    <row r="2648" spans="1:19" ht="15.75" thickBot="1" x14ac:dyDescent="0.3">
      <c r="A2648" s="177" t="s">
        <v>106</v>
      </c>
      <c r="B2648" s="629">
        <v>20</v>
      </c>
      <c r="C2648" s="630"/>
      <c r="D2648" s="630"/>
      <c r="E2648" s="631"/>
      <c r="F2648" s="365" t="s">
        <v>174</v>
      </c>
      <c r="G2648" s="471"/>
      <c r="H2648" s="653"/>
      <c r="I2648" s="654"/>
      <c r="J2648" s="654"/>
      <c r="K2648" s="654"/>
      <c r="L2648" s="655"/>
      <c r="M2648" s="656">
        <f>SUM(B2648,H2649)</f>
        <v>20</v>
      </c>
      <c r="N2648" s="630"/>
      <c r="O2648" s="631"/>
      <c r="Q2648" s="147" t="s">
        <v>143</v>
      </c>
      <c r="R2648" s="88">
        <v>9</v>
      </c>
      <c r="S2648" s="87" t="s">
        <v>576</v>
      </c>
    </row>
    <row r="2649" spans="1:19" ht="15.75" thickBot="1" x14ac:dyDescent="0.3">
      <c r="A2649" s="177" t="s">
        <v>112</v>
      </c>
      <c r="B2649" s="626">
        <v>0.15</v>
      </c>
      <c r="C2649" s="627"/>
      <c r="D2649" s="627"/>
      <c r="E2649" s="628"/>
      <c r="F2649" s="290"/>
      <c r="G2649" s="472"/>
      <c r="H2649" s="626"/>
      <c r="I2649" s="627"/>
      <c r="J2649" s="627"/>
      <c r="K2649" s="627"/>
      <c r="L2649" s="628"/>
      <c r="M2649" s="657">
        <f>B2649</f>
        <v>0.15</v>
      </c>
      <c r="N2649" s="627"/>
      <c r="O2649" s="628"/>
      <c r="Q2649" s="147" t="s">
        <v>145</v>
      </c>
      <c r="R2649" s="88">
        <v>7</v>
      </c>
      <c r="S2649" s="89" t="s">
        <v>719</v>
      </c>
    </row>
    <row r="2650" spans="1:19" ht="15.75" thickBot="1" x14ac:dyDescent="0.3">
      <c r="A2650" s="177" t="s">
        <v>107</v>
      </c>
      <c r="B2650" s="629">
        <f>B2648*(1-B2649)</f>
        <v>17</v>
      </c>
      <c r="C2650" s="630"/>
      <c r="D2650" s="630"/>
      <c r="E2650" s="631"/>
      <c r="F2650" s="290"/>
      <c r="G2650" s="472"/>
      <c r="H2650" s="629">
        <f>H2648*(1-H2649)</f>
        <v>0</v>
      </c>
      <c r="I2650" s="630"/>
      <c r="J2650" s="630"/>
      <c r="K2650" s="630"/>
      <c r="L2650" s="631"/>
      <c r="M2650" s="656">
        <f>SUM(B2650,H2650)</f>
        <v>17</v>
      </c>
      <c r="N2650" s="630"/>
      <c r="O2650" s="631"/>
      <c r="Q2650" s="147" t="s">
        <v>147</v>
      </c>
      <c r="R2650" s="88">
        <v>8</v>
      </c>
      <c r="S2650" s="87" t="s">
        <v>725</v>
      </c>
    </row>
    <row r="2651" spans="1:19" ht="15.75" thickBot="1" x14ac:dyDescent="0.3">
      <c r="A2651" s="177" t="s">
        <v>108</v>
      </c>
      <c r="B2651" s="626">
        <f>B2654/B2650</f>
        <v>0.72105088235294135</v>
      </c>
      <c r="C2651" s="627"/>
      <c r="D2651" s="627"/>
      <c r="E2651" s="627"/>
      <c r="F2651" s="627"/>
      <c r="G2651" s="627"/>
      <c r="H2651" s="627"/>
      <c r="I2651" s="627"/>
      <c r="J2651" s="627"/>
      <c r="K2651" s="627"/>
      <c r="L2651" s="627"/>
      <c r="M2651" s="627"/>
      <c r="N2651" s="627"/>
      <c r="O2651" s="628"/>
      <c r="Q2651" s="147" t="s">
        <v>82</v>
      </c>
      <c r="R2651" s="88">
        <v>8</v>
      </c>
      <c r="S2651" s="89" t="s">
        <v>729</v>
      </c>
    </row>
    <row r="2652" spans="1:19" ht="15.75" thickBot="1" x14ac:dyDescent="0.3">
      <c r="A2652" s="177" t="s">
        <v>113</v>
      </c>
      <c r="B2652" s="629">
        <f>B2656*(B2660+B2661+I2660+I2661)/1000</f>
        <v>39.541499999999999</v>
      </c>
      <c r="C2652" s="630"/>
      <c r="D2652" s="630"/>
      <c r="E2652" s="630"/>
      <c r="F2652" s="630"/>
      <c r="G2652" s="630"/>
      <c r="H2652" s="630"/>
      <c r="I2652" s="630"/>
      <c r="J2652" s="630"/>
      <c r="K2652" s="630"/>
      <c r="L2652" s="630"/>
      <c r="M2652" s="630"/>
      <c r="N2652" s="630"/>
      <c r="O2652" s="631"/>
      <c r="Q2652" s="147" t="s">
        <v>152</v>
      </c>
      <c r="R2652" s="88">
        <v>8</v>
      </c>
      <c r="S2652" s="89" t="s">
        <v>752</v>
      </c>
    </row>
    <row r="2653" spans="1:19" ht="15.75" thickBot="1" x14ac:dyDescent="0.3">
      <c r="A2653" s="177" t="s">
        <v>109</v>
      </c>
      <c r="B2653" s="626">
        <v>0.69</v>
      </c>
      <c r="C2653" s="627"/>
      <c r="D2653" s="627"/>
      <c r="E2653" s="627"/>
      <c r="F2653" s="627"/>
      <c r="G2653" s="627"/>
      <c r="H2653" s="627"/>
      <c r="I2653" s="627"/>
      <c r="J2653" s="627"/>
      <c r="K2653" s="627"/>
      <c r="L2653" s="627"/>
      <c r="M2653" s="627"/>
      <c r="N2653" s="627"/>
      <c r="O2653" s="628"/>
      <c r="Q2653" s="147" t="s">
        <v>154</v>
      </c>
      <c r="R2653" s="88">
        <v>8</v>
      </c>
      <c r="S2653" s="87" t="s">
        <v>722</v>
      </c>
    </row>
    <row r="2654" spans="1:19" ht="29.25" thickBot="1" x14ac:dyDescent="0.3">
      <c r="A2654" s="177" t="s">
        <v>122</v>
      </c>
      <c r="B2654" s="629">
        <f>B2652-(B2652*B2653)</f>
        <v>12.257865000000002</v>
      </c>
      <c r="C2654" s="630"/>
      <c r="D2654" s="630"/>
      <c r="E2654" s="630"/>
      <c r="F2654" s="630"/>
      <c r="G2654" s="630"/>
      <c r="H2654" s="630"/>
      <c r="I2654" s="630"/>
      <c r="J2654" s="630"/>
      <c r="K2654" s="630"/>
      <c r="L2654" s="630"/>
      <c r="M2654" s="630"/>
      <c r="N2654" s="630"/>
      <c r="O2654" s="631"/>
      <c r="Q2654" s="147" t="s">
        <v>156</v>
      </c>
      <c r="R2654" s="88">
        <v>8</v>
      </c>
      <c r="S2654" s="87" t="s">
        <v>577</v>
      </c>
    </row>
    <row r="2655" spans="1:19" ht="15.75" thickBot="1" x14ac:dyDescent="0.3">
      <c r="A2655" s="177" t="s">
        <v>110</v>
      </c>
      <c r="B2655" s="632">
        <v>125</v>
      </c>
      <c r="C2655" s="633"/>
      <c r="D2655" s="633"/>
      <c r="E2655" s="633"/>
      <c r="F2655" s="633"/>
      <c r="G2655" s="633"/>
      <c r="H2655" s="633"/>
      <c r="I2655" s="633"/>
      <c r="J2655" s="633"/>
      <c r="K2655" s="633"/>
      <c r="L2655" s="633"/>
      <c r="M2655" s="633"/>
      <c r="N2655" s="633"/>
      <c r="O2655" s="634"/>
      <c r="Q2655" s="147" t="s">
        <v>158</v>
      </c>
      <c r="R2655" s="88"/>
      <c r="S2655" s="87"/>
    </row>
    <row r="2656" spans="1:19" ht="15.75" thickBot="1" x14ac:dyDescent="0.3">
      <c r="A2656" s="177" t="s">
        <v>111</v>
      </c>
      <c r="B2656" s="635">
        <v>14.5</v>
      </c>
      <c r="C2656" s="636"/>
      <c r="D2656" s="636"/>
      <c r="E2656" s="636"/>
      <c r="F2656" s="636"/>
      <c r="G2656" s="636"/>
      <c r="H2656" s="636"/>
      <c r="I2656" s="636"/>
      <c r="J2656" s="636"/>
      <c r="K2656" s="636"/>
      <c r="L2656" s="636"/>
      <c r="M2656" s="636"/>
      <c r="N2656" s="636"/>
      <c r="O2656" s="637"/>
      <c r="Q2656" s="583" t="s">
        <v>99</v>
      </c>
      <c r="R2656" s="87" t="s">
        <v>572</v>
      </c>
      <c r="S2656" s="148">
        <v>0.8</v>
      </c>
    </row>
    <row r="2657" spans="1:19" x14ac:dyDescent="0.25">
      <c r="A2657" s="177" t="s">
        <v>273</v>
      </c>
      <c r="B2657" s="638" t="s">
        <v>735</v>
      </c>
      <c r="C2657" s="638"/>
      <c r="D2657" s="638"/>
      <c r="E2657" s="638"/>
      <c r="F2657" s="638"/>
      <c r="G2657" s="638"/>
      <c r="H2657" s="638"/>
      <c r="I2657" s="638"/>
      <c r="J2657" s="638"/>
      <c r="K2657" s="638"/>
      <c r="L2657" s="638"/>
      <c r="M2657" s="638"/>
      <c r="N2657" s="638"/>
      <c r="O2657" s="639"/>
    </row>
    <row r="2658" spans="1:19" x14ac:dyDescent="0.25">
      <c r="A2658" s="177" t="s">
        <v>351</v>
      </c>
      <c r="B2658" s="431"/>
      <c r="C2658" s="431"/>
      <c r="D2658" s="431"/>
      <c r="E2658" s="431"/>
      <c r="F2658" s="431"/>
      <c r="G2658" s="431"/>
      <c r="H2658" s="431"/>
      <c r="I2658" s="431"/>
      <c r="J2658" s="431"/>
      <c r="K2658" s="431"/>
      <c r="L2658" s="431"/>
      <c r="M2658" s="431"/>
      <c r="N2658" s="431"/>
      <c r="O2658" s="432"/>
    </row>
    <row r="2659" spans="1:19" x14ac:dyDescent="0.25">
      <c r="B2659" s="307" t="s">
        <v>98</v>
      </c>
      <c r="C2659" s="365" t="s">
        <v>102</v>
      </c>
      <c r="D2659" s="365" t="s">
        <v>92</v>
      </c>
      <c r="E2659" s="365" t="s">
        <v>93</v>
      </c>
      <c r="F2659" s="365" t="s">
        <v>94</v>
      </c>
      <c r="G2659" s="365" t="s">
        <v>549</v>
      </c>
      <c r="H2659" s="359" t="s">
        <v>99</v>
      </c>
      <c r="I2659" s="307" t="s">
        <v>98</v>
      </c>
      <c r="J2659" s="365" t="s">
        <v>102</v>
      </c>
      <c r="K2659" s="365" t="s">
        <v>92</v>
      </c>
      <c r="L2659" s="365" t="s">
        <v>93</v>
      </c>
      <c r="M2659" s="365" t="s">
        <v>94</v>
      </c>
      <c r="N2659" s="365" t="s">
        <v>549</v>
      </c>
      <c r="O2659" s="359" t="s">
        <v>99</v>
      </c>
    </row>
    <row r="2660" spans="1:19" x14ac:dyDescent="0.25">
      <c r="B2660" s="308">
        <v>1205</v>
      </c>
      <c r="C2660" s="365" t="s">
        <v>95</v>
      </c>
      <c r="D2660" s="441">
        <v>1357.11</v>
      </c>
      <c r="E2660" s="441">
        <v>959</v>
      </c>
      <c r="F2660" s="441">
        <v>387.6</v>
      </c>
      <c r="G2660" s="441">
        <v>40.4</v>
      </c>
      <c r="H2660" s="359">
        <f>SUM(D2660:G2660)</f>
        <v>2744.1099999999997</v>
      </c>
      <c r="I2660" s="308">
        <v>1222</v>
      </c>
      <c r="J2660" s="365" t="s">
        <v>95</v>
      </c>
      <c r="K2660" s="441">
        <v>1585</v>
      </c>
      <c r="L2660" s="441">
        <v>1113.8499999999999</v>
      </c>
      <c r="M2660" s="441">
        <v>478.8</v>
      </c>
      <c r="N2660" s="441"/>
      <c r="O2660" s="359">
        <f>SUM(K2660:N2660)</f>
        <v>3177.65</v>
      </c>
    </row>
    <row r="2661" spans="1:19" x14ac:dyDescent="0.25">
      <c r="B2661" s="308">
        <v>150</v>
      </c>
      <c r="C2661" s="365" t="s">
        <v>96</v>
      </c>
      <c r="D2661" s="441">
        <v>130.29</v>
      </c>
      <c r="E2661" s="441">
        <v>41</v>
      </c>
      <c r="F2661" s="441">
        <v>0</v>
      </c>
      <c r="G2661" s="441">
        <v>0</v>
      </c>
      <c r="H2661" s="359">
        <f t="shared" ref="H2661:H2667" si="373">SUM(D2661:G2661)</f>
        <v>171.29</v>
      </c>
      <c r="I2661" s="308">
        <v>150</v>
      </c>
      <c r="J2661" s="365" t="s">
        <v>96</v>
      </c>
      <c r="K2661" s="441">
        <v>167.9</v>
      </c>
      <c r="L2661" s="441">
        <v>104.89</v>
      </c>
      <c r="M2661" s="441">
        <v>25.22</v>
      </c>
      <c r="N2661" s="441"/>
      <c r="O2661" s="359">
        <f t="shared" ref="O2661:O2667" si="374">SUM(K2661:N2661)</f>
        <v>298.01</v>
      </c>
    </row>
    <row r="2662" spans="1:19" x14ac:dyDescent="0.25">
      <c r="B2662" s="307" t="s">
        <v>100</v>
      </c>
      <c r="C2662" s="365" t="s">
        <v>95</v>
      </c>
      <c r="D2662" s="444">
        <f t="shared" ref="D2662:G2663" si="375">D2660/$B2660</f>
        <v>1.1262323651452282</v>
      </c>
      <c r="E2662" s="429">
        <f t="shared" si="375"/>
        <v>0.79585062240663895</v>
      </c>
      <c r="F2662" s="429">
        <f t="shared" si="375"/>
        <v>0.3216597510373444</v>
      </c>
      <c r="G2662" s="429">
        <f t="shared" si="375"/>
        <v>3.3526970954356847E-2</v>
      </c>
      <c r="H2662" s="359">
        <f t="shared" si="373"/>
        <v>2.2772697095435679</v>
      </c>
      <c r="I2662" s="307" t="s">
        <v>100</v>
      </c>
      <c r="J2662" s="365" t="s">
        <v>95</v>
      </c>
      <c r="K2662" s="444">
        <f t="shared" ref="K2662:N2663" si="376">K2660/$I2660</f>
        <v>1.2970540098199672</v>
      </c>
      <c r="L2662" s="429">
        <f t="shared" si="376"/>
        <v>0.91149754500818325</v>
      </c>
      <c r="M2662" s="429">
        <f t="shared" si="376"/>
        <v>0.39181669394435353</v>
      </c>
      <c r="N2662" s="429">
        <f t="shared" si="376"/>
        <v>0</v>
      </c>
      <c r="O2662" s="359">
        <f t="shared" si="374"/>
        <v>2.6003682487725039</v>
      </c>
    </row>
    <row r="2663" spans="1:19" x14ac:dyDescent="0.25">
      <c r="B2663" s="307" t="s">
        <v>100</v>
      </c>
      <c r="C2663" s="438" t="s">
        <v>96</v>
      </c>
      <c r="D2663" s="359">
        <f t="shared" si="375"/>
        <v>0.86859999999999993</v>
      </c>
      <c r="E2663" s="359">
        <f t="shared" si="375"/>
        <v>0.27333333333333332</v>
      </c>
      <c r="F2663" s="359">
        <f t="shared" si="375"/>
        <v>0</v>
      </c>
      <c r="G2663" s="359">
        <f t="shared" si="375"/>
        <v>0</v>
      </c>
      <c r="H2663" s="359">
        <f t="shared" si="373"/>
        <v>1.1419333333333332</v>
      </c>
      <c r="I2663" s="307" t="s">
        <v>100</v>
      </c>
      <c r="J2663" s="438" t="s">
        <v>96</v>
      </c>
      <c r="K2663" s="359">
        <f t="shared" si="376"/>
        <v>1.1193333333333333</v>
      </c>
      <c r="L2663" s="359">
        <f t="shared" si="376"/>
        <v>0.6992666666666667</v>
      </c>
      <c r="M2663" s="359">
        <f t="shared" si="376"/>
        <v>0.16813333333333333</v>
      </c>
      <c r="N2663" s="359">
        <f t="shared" si="376"/>
        <v>0</v>
      </c>
      <c r="O2663" s="359">
        <f t="shared" si="374"/>
        <v>1.9867333333333332</v>
      </c>
    </row>
    <row r="2664" spans="1:19" x14ac:dyDescent="0.25">
      <c r="B2664" s="307" t="s">
        <v>104</v>
      </c>
      <c r="C2664" s="365" t="s">
        <v>95</v>
      </c>
      <c r="D2664" s="359">
        <f>D2660/($B2660/7.7)</f>
        <v>8.6719892116182571</v>
      </c>
      <c r="E2664" s="359">
        <f>E2660/($B2660/7)</f>
        <v>5.5709543568464728</v>
      </c>
      <c r="F2664" s="359">
        <f>F2660/($B2660/7)</f>
        <v>2.251618257261411</v>
      </c>
      <c r="G2664" s="359">
        <f>G2660/($B2660/7)</f>
        <v>0.23468879668049791</v>
      </c>
      <c r="H2664" s="359">
        <f t="shared" si="373"/>
        <v>16.729250622406639</v>
      </c>
      <c r="I2664" s="307" t="s">
        <v>104</v>
      </c>
      <c r="J2664" s="365" t="s">
        <v>95</v>
      </c>
      <c r="K2664" s="359">
        <f>K2660/($I2660/7.7)</f>
        <v>9.9873158756137475</v>
      </c>
      <c r="L2664" s="359">
        <f>L2660/($I2660/7)</f>
        <v>6.3804828150572819</v>
      </c>
      <c r="M2664" s="359">
        <f>M2660/($I2660/7)</f>
        <v>2.7427168576104743</v>
      </c>
      <c r="N2664" s="359">
        <f>N2660/($I2660/7)</f>
        <v>0</v>
      </c>
      <c r="O2664" s="359">
        <f t="shared" si="374"/>
        <v>19.110515548281505</v>
      </c>
    </row>
    <row r="2665" spans="1:19" x14ac:dyDescent="0.25">
      <c r="B2665" s="307" t="s">
        <v>104</v>
      </c>
      <c r="C2665" s="438" t="s">
        <v>96</v>
      </c>
      <c r="D2665" s="359">
        <f>D2661/($B2661/7.7)</f>
        <v>6.6882200000000003</v>
      </c>
      <c r="E2665" s="359">
        <f>E2661/($B2661/7.7)</f>
        <v>2.1046666666666667</v>
      </c>
      <c r="F2665" s="359">
        <f>F2661/($B2661/7.7)</f>
        <v>0</v>
      </c>
      <c r="G2665" s="359">
        <f>G2661/($B2661/7.7)</f>
        <v>0</v>
      </c>
      <c r="H2665" s="359">
        <f t="shared" si="373"/>
        <v>8.7928866666666678</v>
      </c>
      <c r="I2665" s="307" t="s">
        <v>104</v>
      </c>
      <c r="J2665" s="438" t="s">
        <v>96</v>
      </c>
      <c r="K2665" s="359">
        <f>K2661/($I2661/7.7)</f>
        <v>8.6188666666666673</v>
      </c>
      <c r="L2665" s="359">
        <f>L2661/($I2661/7.7)</f>
        <v>5.3843533333333333</v>
      </c>
      <c r="M2665" s="359">
        <f>M2661/($I2661/7.7)</f>
        <v>1.2946266666666666</v>
      </c>
      <c r="N2665" s="359">
        <f>N2661/($I2661/7.7)</f>
        <v>0</v>
      </c>
      <c r="O2665" s="359">
        <f t="shared" si="374"/>
        <v>15.297846666666667</v>
      </c>
    </row>
    <row r="2666" spans="1:19" x14ac:dyDescent="0.25">
      <c r="B2666" s="307" t="s">
        <v>135</v>
      </c>
      <c r="C2666" s="365" t="s">
        <v>95</v>
      </c>
      <c r="D2666" s="359">
        <f>D2660/((($B2660*$B2656)*(1-$B2653))/$B2651)</f>
        <v>0.18066092116182572</v>
      </c>
      <c r="E2666" s="359">
        <f>E2660/((($B2660*$B2656)*(1-$B2653))/$B2651)</f>
        <v>0.12766380278252382</v>
      </c>
      <c r="F2666" s="359">
        <f>F2660/((($B2660*$B2656)*(1-$B2653))/$B2651)</f>
        <v>5.1598008298755195E-2</v>
      </c>
      <c r="G2666" s="359">
        <f>G2660/((($B2660*$B2656)*(1-$B2653))/$B2651)</f>
        <v>5.3781205760312428E-3</v>
      </c>
      <c r="H2666" s="359">
        <f t="shared" si="373"/>
        <v>0.36530085281913599</v>
      </c>
      <c r="I2666" s="307" t="s">
        <v>135</v>
      </c>
      <c r="J2666" s="365" t="s">
        <v>95</v>
      </c>
      <c r="K2666" s="359">
        <f>K2660/((($I2660*$B2656)*(1-$B2653))/$B2651)</f>
        <v>0.20806272263406181</v>
      </c>
      <c r="L2666" s="359">
        <f>L2660/((($I2660*$B2656)*(1-$B2653))/$B2651)</f>
        <v>0.1462149297198421</v>
      </c>
      <c r="M2666" s="359">
        <f>M2660/((($I2660*$B2656)*(1-$B2653))/$B2651)</f>
        <v>6.2852007316838363E-2</v>
      </c>
      <c r="N2666" s="359">
        <f>N2660/((($I2660*$B2656)*(1-$B2653))/$B2651)</f>
        <v>0</v>
      </c>
      <c r="O2666" s="359">
        <f t="shared" si="374"/>
        <v>0.41712965967074228</v>
      </c>
    </row>
    <row r="2667" spans="1:19" x14ac:dyDescent="0.25">
      <c r="B2667" s="307" t="s">
        <v>135</v>
      </c>
      <c r="C2667" s="438" t="s">
        <v>96</v>
      </c>
      <c r="D2667" s="359">
        <f>D2661/((($B2661*$B2656)*(1-$B2653))/$B2651)</f>
        <v>0.13933365882352941</v>
      </c>
      <c r="E2667" s="359">
        <f>E2661/((($B2661*$B2656)*(1-$B2653))/$B2651)</f>
        <v>4.3845882352941179E-2</v>
      </c>
      <c r="F2667" s="359">
        <f>F2661/((($B2661*$B2656)*(1-$B2653))/$B2651)</f>
        <v>0</v>
      </c>
      <c r="G2667" s="359">
        <f>G2661/((($B2661*$B2656)*(1-$B2653))/$B2651)</f>
        <v>0</v>
      </c>
      <c r="H2667" s="359">
        <f t="shared" si="373"/>
        <v>0.18317954117647059</v>
      </c>
      <c r="I2667" s="307" t="s">
        <v>135</v>
      </c>
      <c r="J2667" s="438" t="s">
        <v>96</v>
      </c>
      <c r="K2667" s="359">
        <f>K2661/((($I2661*$B2656)*(1-$B2653))/$B2651)</f>
        <v>0.17955423529411765</v>
      </c>
      <c r="L2667" s="359">
        <f>L2661/((($I2661*$B2656)*(1-$B2653))/$B2651)</f>
        <v>0.11217060000000001</v>
      </c>
      <c r="M2667" s="359">
        <f>M2661/((($I2661*$B2656)*(1-$B2653))/$B2651)</f>
        <v>2.6970564705882352E-2</v>
      </c>
      <c r="N2667" s="359">
        <f>N2661/((($I2661*$B2656)*(1-$B2653))/$B2651)</f>
        <v>0</v>
      </c>
      <c r="O2667" s="359">
        <f t="shared" si="374"/>
        <v>0.31869539999999996</v>
      </c>
    </row>
    <row r="2668" spans="1:19" x14ac:dyDescent="0.25">
      <c r="A2668" s="178"/>
      <c r="B2668" s="178"/>
      <c r="C2668" s="178"/>
      <c r="D2668" s="178"/>
      <c r="E2668" s="178"/>
      <c r="F2668" s="178"/>
      <c r="G2668" s="178"/>
      <c r="H2668" s="178"/>
      <c r="I2668" s="178"/>
      <c r="J2668" s="178"/>
      <c r="K2668" s="178"/>
      <c r="L2668" s="178"/>
      <c r="M2668" s="178"/>
      <c r="N2668" s="178"/>
      <c r="O2668" s="178"/>
    </row>
    <row r="2669" spans="1:19" ht="21.75" thickBot="1" x14ac:dyDescent="0.3">
      <c r="A2669" s="305"/>
      <c r="B2669" s="644" t="s">
        <v>738</v>
      </c>
      <c r="C2669" s="645"/>
      <c r="D2669" s="645"/>
      <c r="E2669" s="645"/>
      <c r="F2669" s="645"/>
      <c r="G2669" s="645"/>
      <c r="H2669" s="645"/>
      <c r="I2669" s="645"/>
      <c r="J2669" s="645"/>
      <c r="K2669" s="645"/>
      <c r="L2669" s="645"/>
      <c r="M2669" s="645"/>
      <c r="N2669" s="645"/>
      <c r="O2669" s="646"/>
    </row>
    <row r="2670" spans="1:19" ht="21" x14ac:dyDescent="0.25">
      <c r="A2670" s="177" t="s">
        <v>285</v>
      </c>
      <c r="B2670" s="647">
        <v>44880</v>
      </c>
      <c r="C2670" s="648"/>
      <c r="D2670" s="648"/>
      <c r="E2670" s="648"/>
      <c r="F2670" s="648"/>
      <c r="G2670" s="648"/>
      <c r="H2670" s="648"/>
      <c r="I2670" s="648"/>
      <c r="J2670" s="648"/>
      <c r="K2670" s="648"/>
      <c r="L2670" s="648"/>
      <c r="M2670" s="648"/>
      <c r="N2670" s="648"/>
      <c r="O2670" s="649"/>
      <c r="Q2670" s="640" t="s">
        <v>139</v>
      </c>
      <c r="R2670" s="544" t="s">
        <v>659</v>
      </c>
      <c r="S2670" s="642" t="s">
        <v>142</v>
      </c>
    </row>
    <row r="2671" spans="1:19" ht="15.75" thickBot="1" x14ac:dyDescent="0.3">
      <c r="A2671" s="177"/>
      <c r="B2671" s="650" t="s">
        <v>115</v>
      </c>
      <c r="C2671" s="651"/>
      <c r="D2671" s="651"/>
      <c r="E2671" s="651"/>
      <c r="F2671" s="651"/>
      <c r="G2671" s="651"/>
      <c r="H2671" s="651"/>
      <c r="I2671" s="651"/>
      <c r="J2671" s="651"/>
      <c r="K2671" s="651"/>
      <c r="L2671" s="651"/>
      <c r="M2671" s="651"/>
      <c r="N2671" s="651"/>
      <c r="O2671" s="652"/>
      <c r="Q2671" s="641"/>
      <c r="R2671" s="87" t="s">
        <v>141</v>
      </c>
      <c r="S2671" s="643"/>
    </row>
    <row r="2672" spans="1:19" ht="15.75" thickBot="1" x14ac:dyDescent="0.3">
      <c r="A2672" s="177" t="s">
        <v>106</v>
      </c>
      <c r="B2672" s="629">
        <v>16</v>
      </c>
      <c r="C2672" s="630"/>
      <c r="D2672" s="630"/>
      <c r="E2672" s="631"/>
      <c r="F2672" s="365" t="s">
        <v>174</v>
      </c>
      <c r="G2672" s="471"/>
      <c r="H2672" s="653"/>
      <c r="I2672" s="654"/>
      <c r="J2672" s="654"/>
      <c r="K2672" s="654"/>
      <c r="L2672" s="655"/>
      <c r="M2672" s="656">
        <f>SUM(B2672,H2673)</f>
        <v>16</v>
      </c>
      <c r="N2672" s="630"/>
      <c r="O2672" s="631"/>
      <c r="Q2672" s="147" t="s">
        <v>143</v>
      </c>
      <c r="R2672" s="88">
        <v>9</v>
      </c>
      <c r="S2672" s="87" t="s">
        <v>576</v>
      </c>
    </row>
    <row r="2673" spans="1:19" ht="15.75" thickBot="1" x14ac:dyDescent="0.3">
      <c r="A2673" s="177" t="s">
        <v>112</v>
      </c>
      <c r="B2673" s="626">
        <v>0.15</v>
      </c>
      <c r="C2673" s="627"/>
      <c r="D2673" s="627"/>
      <c r="E2673" s="628"/>
      <c r="F2673" s="290"/>
      <c r="G2673" s="472"/>
      <c r="H2673" s="626"/>
      <c r="I2673" s="627"/>
      <c r="J2673" s="627"/>
      <c r="K2673" s="627"/>
      <c r="L2673" s="628"/>
      <c r="M2673" s="657">
        <f>B2673</f>
        <v>0.15</v>
      </c>
      <c r="N2673" s="627"/>
      <c r="O2673" s="628"/>
      <c r="Q2673" s="147" t="s">
        <v>145</v>
      </c>
      <c r="R2673" s="88">
        <v>8</v>
      </c>
      <c r="S2673" s="89" t="s">
        <v>724</v>
      </c>
    </row>
    <row r="2674" spans="1:19" ht="15.75" thickBot="1" x14ac:dyDescent="0.3">
      <c r="A2674" s="177" t="s">
        <v>107</v>
      </c>
      <c r="B2674" s="629">
        <f>B2672*(1-B2673)</f>
        <v>13.6</v>
      </c>
      <c r="C2674" s="630"/>
      <c r="D2674" s="630"/>
      <c r="E2674" s="631"/>
      <c r="F2674" s="290"/>
      <c r="G2674" s="472"/>
      <c r="H2674" s="629">
        <f>H2672*(1-H2673)</f>
        <v>0</v>
      </c>
      <c r="I2674" s="630"/>
      <c r="J2674" s="630"/>
      <c r="K2674" s="630"/>
      <c r="L2674" s="631"/>
      <c r="M2674" s="656">
        <f>SUM(B2674,H2674)</f>
        <v>13.6</v>
      </c>
      <c r="N2674" s="630"/>
      <c r="O2674" s="631"/>
      <c r="Q2674" s="147" t="s">
        <v>147</v>
      </c>
      <c r="R2674" s="88">
        <v>8</v>
      </c>
      <c r="S2674" s="87" t="s">
        <v>730</v>
      </c>
    </row>
    <row r="2675" spans="1:19" ht="15.75" thickBot="1" x14ac:dyDescent="0.3">
      <c r="A2675" s="177" t="s">
        <v>108</v>
      </c>
      <c r="B2675" s="626">
        <f>B2678/B2674</f>
        <v>0.75821139705882334</v>
      </c>
      <c r="C2675" s="627"/>
      <c r="D2675" s="627"/>
      <c r="E2675" s="627"/>
      <c r="F2675" s="627"/>
      <c r="G2675" s="627"/>
      <c r="H2675" s="627"/>
      <c r="I2675" s="627"/>
      <c r="J2675" s="627"/>
      <c r="K2675" s="627"/>
      <c r="L2675" s="627"/>
      <c r="M2675" s="627"/>
      <c r="N2675" s="627"/>
      <c r="O2675" s="628"/>
      <c r="Q2675" s="147" t="s">
        <v>82</v>
      </c>
      <c r="R2675" s="88">
        <v>8</v>
      </c>
      <c r="S2675" s="89" t="s">
        <v>753</v>
      </c>
    </row>
    <row r="2676" spans="1:19" ht="15.75" thickBot="1" x14ac:dyDescent="0.3">
      <c r="A2676" s="177" t="s">
        <v>113</v>
      </c>
      <c r="B2676" s="629">
        <f>B2680*(B2684+B2685+I2684+I2685)/1000</f>
        <v>31.247499999999999</v>
      </c>
      <c r="C2676" s="630"/>
      <c r="D2676" s="630"/>
      <c r="E2676" s="630"/>
      <c r="F2676" s="630"/>
      <c r="G2676" s="630"/>
      <c r="H2676" s="630"/>
      <c r="I2676" s="630"/>
      <c r="J2676" s="630"/>
      <c r="K2676" s="630"/>
      <c r="L2676" s="630"/>
      <c r="M2676" s="630"/>
      <c r="N2676" s="630"/>
      <c r="O2676" s="631"/>
      <c r="Q2676" s="147" t="s">
        <v>152</v>
      </c>
      <c r="R2676" s="88">
        <v>8</v>
      </c>
      <c r="S2676" s="89" t="s">
        <v>752</v>
      </c>
    </row>
    <row r="2677" spans="1:19" ht="15.75" thickBot="1" x14ac:dyDescent="0.3">
      <c r="A2677" s="177" t="s">
        <v>109</v>
      </c>
      <c r="B2677" s="626">
        <v>0.67</v>
      </c>
      <c r="C2677" s="627"/>
      <c r="D2677" s="627"/>
      <c r="E2677" s="627"/>
      <c r="F2677" s="627"/>
      <c r="G2677" s="627"/>
      <c r="H2677" s="627"/>
      <c r="I2677" s="627"/>
      <c r="J2677" s="627"/>
      <c r="K2677" s="627"/>
      <c r="L2677" s="627"/>
      <c r="M2677" s="627"/>
      <c r="N2677" s="627"/>
      <c r="O2677" s="628"/>
      <c r="Q2677" s="147" t="s">
        <v>154</v>
      </c>
      <c r="R2677" s="88">
        <v>8</v>
      </c>
      <c r="S2677" s="87" t="s">
        <v>722</v>
      </c>
    </row>
    <row r="2678" spans="1:19" ht="29.25" thickBot="1" x14ac:dyDescent="0.3">
      <c r="A2678" s="177" t="s">
        <v>122</v>
      </c>
      <c r="B2678" s="629">
        <f>B2676-(B2676*B2677)</f>
        <v>10.311674999999997</v>
      </c>
      <c r="C2678" s="630"/>
      <c r="D2678" s="630"/>
      <c r="E2678" s="630"/>
      <c r="F2678" s="630"/>
      <c r="G2678" s="630"/>
      <c r="H2678" s="630"/>
      <c r="I2678" s="630"/>
      <c r="J2678" s="630"/>
      <c r="K2678" s="630"/>
      <c r="L2678" s="630"/>
      <c r="M2678" s="630"/>
      <c r="N2678" s="630"/>
      <c r="O2678" s="631"/>
      <c r="Q2678" s="147" t="s">
        <v>156</v>
      </c>
      <c r="R2678" s="88">
        <v>8</v>
      </c>
      <c r="S2678" s="87" t="s">
        <v>577</v>
      </c>
    </row>
    <row r="2679" spans="1:19" ht="15.75" thickBot="1" x14ac:dyDescent="0.3">
      <c r="A2679" s="177" t="s">
        <v>110</v>
      </c>
      <c r="B2679" s="632">
        <v>125</v>
      </c>
      <c r="C2679" s="633"/>
      <c r="D2679" s="633"/>
      <c r="E2679" s="633"/>
      <c r="F2679" s="633"/>
      <c r="G2679" s="633"/>
      <c r="H2679" s="633"/>
      <c r="I2679" s="633"/>
      <c r="J2679" s="633"/>
      <c r="K2679" s="633"/>
      <c r="L2679" s="633"/>
      <c r="M2679" s="633"/>
      <c r="N2679" s="633"/>
      <c r="O2679" s="634"/>
      <c r="Q2679" s="147" t="s">
        <v>158</v>
      </c>
      <c r="R2679" s="88"/>
      <c r="S2679" s="87"/>
    </row>
    <row r="2680" spans="1:19" ht="15.75" thickBot="1" x14ac:dyDescent="0.3">
      <c r="A2680" s="177" t="s">
        <v>111</v>
      </c>
      <c r="B2680" s="635">
        <v>14.5</v>
      </c>
      <c r="C2680" s="636"/>
      <c r="D2680" s="636"/>
      <c r="E2680" s="636"/>
      <c r="F2680" s="636"/>
      <c r="G2680" s="636"/>
      <c r="H2680" s="636"/>
      <c r="I2680" s="636"/>
      <c r="J2680" s="636"/>
      <c r="K2680" s="636"/>
      <c r="L2680" s="636"/>
      <c r="M2680" s="636"/>
      <c r="N2680" s="636"/>
      <c r="O2680" s="637"/>
      <c r="Q2680" s="583" t="s">
        <v>99</v>
      </c>
      <c r="R2680" s="87" t="s">
        <v>572</v>
      </c>
      <c r="S2680" s="148">
        <v>0.8</v>
      </c>
    </row>
    <row r="2681" spans="1:19" x14ac:dyDescent="0.25">
      <c r="A2681" s="177" t="s">
        <v>273</v>
      </c>
      <c r="B2681" s="638" t="s">
        <v>741</v>
      </c>
      <c r="C2681" s="638"/>
      <c r="D2681" s="638"/>
      <c r="E2681" s="638"/>
      <c r="F2681" s="638"/>
      <c r="G2681" s="638"/>
      <c r="H2681" s="638"/>
      <c r="I2681" s="638"/>
      <c r="J2681" s="638"/>
      <c r="K2681" s="638"/>
      <c r="L2681" s="638"/>
      <c r="M2681" s="638"/>
      <c r="N2681" s="638"/>
      <c r="O2681" s="639"/>
    </row>
    <row r="2682" spans="1:19" x14ac:dyDescent="0.25">
      <c r="A2682" s="177" t="s">
        <v>351</v>
      </c>
      <c r="B2682" s="431"/>
      <c r="C2682" s="431"/>
      <c r="D2682" s="431"/>
      <c r="E2682" s="431"/>
      <c r="F2682" s="431"/>
      <c r="G2682" s="431"/>
      <c r="H2682" s="431"/>
      <c r="I2682" s="431"/>
      <c r="J2682" s="431"/>
      <c r="K2682" s="431"/>
      <c r="L2682" s="431"/>
      <c r="M2682" s="431"/>
      <c r="N2682" s="431"/>
      <c r="O2682" s="432"/>
    </row>
    <row r="2683" spans="1:19" x14ac:dyDescent="0.25">
      <c r="B2683" s="307" t="s">
        <v>98</v>
      </c>
      <c r="C2683" s="365" t="s">
        <v>102</v>
      </c>
      <c r="D2683" s="365" t="s">
        <v>92</v>
      </c>
      <c r="E2683" s="365" t="s">
        <v>93</v>
      </c>
      <c r="F2683" s="365" t="s">
        <v>94</v>
      </c>
      <c r="G2683" s="365" t="s">
        <v>549</v>
      </c>
      <c r="H2683" s="359" t="s">
        <v>99</v>
      </c>
      <c r="I2683" s="307" t="s">
        <v>98</v>
      </c>
      <c r="J2683" s="365" t="s">
        <v>102</v>
      </c>
      <c r="K2683" s="365" t="s">
        <v>92</v>
      </c>
      <c r="L2683" s="365" t="s">
        <v>93</v>
      </c>
      <c r="M2683" s="365" t="s">
        <v>94</v>
      </c>
      <c r="N2683" s="365" t="s">
        <v>549</v>
      </c>
      <c r="O2683" s="359" t="s">
        <v>99</v>
      </c>
    </row>
    <row r="2684" spans="1:19" x14ac:dyDescent="0.25">
      <c r="B2684" s="308">
        <v>977</v>
      </c>
      <c r="C2684" s="365" t="s">
        <v>95</v>
      </c>
      <c r="D2684" s="441">
        <v>915.49</v>
      </c>
      <c r="E2684" s="441">
        <v>583.29999999999995</v>
      </c>
      <c r="F2684" s="441"/>
      <c r="G2684" s="441"/>
      <c r="H2684" s="359">
        <f>SUM(D2684:G2684)</f>
        <v>1498.79</v>
      </c>
      <c r="I2684" s="308">
        <v>978</v>
      </c>
      <c r="J2684" s="365" t="s">
        <v>95</v>
      </c>
      <c r="K2684" s="441">
        <v>1371</v>
      </c>
      <c r="L2684" s="441"/>
      <c r="M2684" s="441"/>
      <c r="N2684" s="441"/>
      <c r="O2684" s="359">
        <f>SUM(K2684:N2684)</f>
        <v>1371</v>
      </c>
    </row>
    <row r="2685" spans="1:19" x14ac:dyDescent="0.25">
      <c r="B2685" s="308">
        <v>100</v>
      </c>
      <c r="C2685" s="365" t="s">
        <v>96</v>
      </c>
      <c r="D2685" s="441">
        <v>100.88</v>
      </c>
      <c r="E2685" s="441">
        <v>28.88</v>
      </c>
      <c r="F2685" s="441"/>
      <c r="G2685" s="441"/>
      <c r="H2685" s="359">
        <f t="shared" ref="H2685:H2691" si="377">SUM(D2685:G2685)</f>
        <v>129.76</v>
      </c>
      <c r="I2685" s="308">
        <v>100</v>
      </c>
      <c r="J2685" s="365" t="s">
        <v>96</v>
      </c>
      <c r="K2685" s="441">
        <v>136.69999999999999</v>
      </c>
      <c r="L2685" s="441"/>
      <c r="M2685" s="441"/>
      <c r="N2685" s="441"/>
      <c r="O2685" s="359">
        <f t="shared" ref="O2685:O2691" si="378">SUM(K2685:N2685)</f>
        <v>136.69999999999999</v>
      </c>
    </row>
    <row r="2686" spans="1:19" x14ac:dyDescent="0.25">
      <c r="B2686" s="307" t="s">
        <v>100</v>
      </c>
      <c r="C2686" s="365" t="s">
        <v>95</v>
      </c>
      <c r="D2686" s="444">
        <f t="shared" ref="D2686:G2686" si="379">D2684/$B2684</f>
        <v>0.9370419651995906</v>
      </c>
      <c r="E2686" s="429">
        <f t="shared" si="379"/>
        <v>0.59703172978505625</v>
      </c>
      <c r="F2686" s="429">
        <f t="shared" si="379"/>
        <v>0</v>
      </c>
      <c r="G2686" s="429">
        <f t="shared" si="379"/>
        <v>0</v>
      </c>
      <c r="H2686" s="359">
        <f t="shared" si="377"/>
        <v>1.534073694984647</v>
      </c>
      <c r="I2686" s="307" t="s">
        <v>100</v>
      </c>
      <c r="J2686" s="365" t="s">
        <v>95</v>
      </c>
      <c r="K2686" s="444">
        <f t="shared" ref="K2686:N2686" si="380">K2684/$I2684</f>
        <v>1.4018404907975459</v>
      </c>
      <c r="L2686" s="429">
        <f t="shared" si="380"/>
        <v>0</v>
      </c>
      <c r="M2686" s="429">
        <f t="shared" si="380"/>
        <v>0</v>
      </c>
      <c r="N2686" s="429">
        <f t="shared" si="380"/>
        <v>0</v>
      </c>
      <c r="O2686" s="359">
        <f t="shared" si="378"/>
        <v>1.4018404907975459</v>
      </c>
    </row>
    <row r="2687" spans="1:19" x14ac:dyDescent="0.25">
      <c r="B2687" s="307" t="s">
        <v>100</v>
      </c>
      <c r="C2687" s="438" t="s">
        <v>96</v>
      </c>
      <c r="D2687" s="359">
        <f t="shared" ref="D2687:G2687" si="381">D2685/$B2685</f>
        <v>1.0087999999999999</v>
      </c>
      <c r="E2687" s="359">
        <f t="shared" si="381"/>
        <v>0.2888</v>
      </c>
      <c r="F2687" s="359">
        <f t="shared" si="381"/>
        <v>0</v>
      </c>
      <c r="G2687" s="359">
        <f t="shared" si="381"/>
        <v>0</v>
      </c>
      <c r="H2687" s="359">
        <f t="shared" si="377"/>
        <v>1.2975999999999999</v>
      </c>
      <c r="I2687" s="307" t="s">
        <v>100</v>
      </c>
      <c r="J2687" s="438" t="s">
        <v>96</v>
      </c>
      <c r="K2687" s="359">
        <f t="shared" ref="K2687:N2687" si="382">K2685/$I2685</f>
        <v>1.367</v>
      </c>
      <c r="L2687" s="359">
        <f t="shared" si="382"/>
        <v>0</v>
      </c>
      <c r="M2687" s="359">
        <f t="shared" si="382"/>
        <v>0</v>
      </c>
      <c r="N2687" s="359">
        <f t="shared" si="382"/>
        <v>0</v>
      </c>
      <c r="O2687" s="359">
        <f t="shared" si="378"/>
        <v>1.367</v>
      </c>
    </row>
    <row r="2688" spans="1:19" x14ac:dyDescent="0.25">
      <c r="B2688" s="307" t="s">
        <v>104</v>
      </c>
      <c r="C2688" s="365" t="s">
        <v>95</v>
      </c>
      <c r="D2688" s="359">
        <f>D2684/($B2684/7.7)</f>
        <v>7.2152231320368472</v>
      </c>
      <c r="E2688" s="359">
        <f>E2684/($B2684/7)</f>
        <v>4.1792221084953933</v>
      </c>
      <c r="F2688" s="359">
        <f>F2684/($B2684/7)</f>
        <v>0</v>
      </c>
      <c r="G2688" s="359">
        <f>G2684/($B2684/7)</f>
        <v>0</v>
      </c>
      <c r="H2688" s="359">
        <f t="shared" si="377"/>
        <v>11.394445240532241</v>
      </c>
      <c r="I2688" s="307" t="s">
        <v>104</v>
      </c>
      <c r="J2688" s="365" t="s">
        <v>95</v>
      </c>
      <c r="K2688" s="359">
        <f>K2684/($I2684/7.7)</f>
        <v>10.794171779141104</v>
      </c>
      <c r="L2688" s="359">
        <f>L2684/($I2684/7)</f>
        <v>0</v>
      </c>
      <c r="M2688" s="359">
        <f>M2684/($I2684/7)</f>
        <v>0</v>
      </c>
      <c r="N2688" s="359">
        <f>N2684/($I2684/7)</f>
        <v>0</v>
      </c>
      <c r="O2688" s="359">
        <f t="shared" si="378"/>
        <v>10.794171779141104</v>
      </c>
    </row>
    <row r="2689" spans="1:15" x14ac:dyDescent="0.25">
      <c r="B2689" s="307" t="s">
        <v>104</v>
      </c>
      <c r="C2689" s="438" t="s">
        <v>96</v>
      </c>
      <c r="D2689" s="359">
        <f>D2685/($B2685/7.7)</f>
        <v>7.76776</v>
      </c>
      <c r="E2689" s="359">
        <f>E2685/($B2685/7.7)</f>
        <v>2.22376</v>
      </c>
      <c r="F2689" s="359">
        <f>F2685/($B2685/7.7)</f>
        <v>0</v>
      </c>
      <c r="G2689" s="359">
        <f>G2685/($B2685/7.7)</f>
        <v>0</v>
      </c>
      <c r="H2689" s="359">
        <f t="shared" si="377"/>
        <v>9.9915199999999995</v>
      </c>
      <c r="I2689" s="307" t="s">
        <v>104</v>
      </c>
      <c r="J2689" s="438" t="s">
        <v>96</v>
      </c>
      <c r="K2689" s="359">
        <f>K2685/($I2685/7.7)</f>
        <v>10.5259</v>
      </c>
      <c r="L2689" s="359">
        <f>L2685/($I2685/7.7)</f>
        <v>0</v>
      </c>
      <c r="M2689" s="359">
        <f>M2685/($I2685/7.7)</f>
        <v>0</v>
      </c>
      <c r="N2689" s="359">
        <f>N2685/($I2685/7.7)</f>
        <v>0</v>
      </c>
      <c r="O2689" s="359">
        <f t="shared" si="378"/>
        <v>10.5259</v>
      </c>
    </row>
    <row r="2690" spans="1:15" x14ac:dyDescent="0.25">
      <c r="B2690" s="307" t="s">
        <v>135</v>
      </c>
      <c r="C2690" s="365" t="s">
        <v>95</v>
      </c>
      <c r="D2690" s="359">
        <f>D2684/((($B2684*$B2680)*(1-$B2677))/$B2675)</f>
        <v>0.1484798113974351</v>
      </c>
      <c r="E2690" s="359">
        <f>E2684/((($B2684*$B2680)*(1-$B2677))/$B2675)</f>
        <v>9.4603189535793816E-2</v>
      </c>
      <c r="F2690" s="359">
        <f>F2684/((($B2684*$B2680)*(1-$B2677))/$B2675)</f>
        <v>0</v>
      </c>
      <c r="G2690" s="359">
        <f>G2684/((($B2684*$B2680)*(1-$B2677))/$B2675)</f>
        <v>0</v>
      </c>
      <c r="H2690" s="359">
        <f t="shared" si="377"/>
        <v>0.24308300093322893</v>
      </c>
      <c r="I2690" s="307" t="s">
        <v>135</v>
      </c>
      <c r="J2690" s="365" t="s">
        <v>95</v>
      </c>
      <c r="K2690" s="359">
        <f>K2684/((($I2684*$B2680)*(1-$B2677))/$B2675)</f>
        <v>0.22212987188740521</v>
      </c>
      <c r="L2690" s="359">
        <f>L2684/((($I2684*$B2680)*(1-$B2677))/$B2675)</f>
        <v>0</v>
      </c>
      <c r="M2690" s="359">
        <f>M2684/((($I2684*$B2680)*(1-$B2677))/$B2675)</f>
        <v>0</v>
      </c>
      <c r="N2690" s="359">
        <f>N2684/((($I2684*$B2680)*(1-$B2677))/$B2675)</f>
        <v>0</v>
      </c>
      <c r="O2690" s="359">
        <f t="shared" si="378"/>
        <v>0.22212987188740521</v>
      </c>
    </row>
    <row r="2691" spans="1:15" x14ac:dyDescent="0.25">
      <c r="B2691" s="307" t="s">
        <v>135</v>
      </c>
      <c r="C2691" s="438" t="s">
        <v>96</v>
      </c>
      <c r="D2691" s="359">
        <f>D2685/((($B2685*$B2680)*(1-$B2677))/$B2675)</f>
        <v>0.15985029411764703</v>
      </c>
      <c r="E2691" s="359">
        <f>E2685/((($B2685*$B2680)*(1-$B2677))/$B2675)</f>
        <v>4.5762058823529406E-2</v>
      </c>
      <c r="F2691" s="359">
        <f>F2685/((($B2685*$B2680)*(1-$B2677))/$B2675)</f>
        <v>0</v>
      </c>
      <c r="G2691" s="359">
        <f>G2685/((($B2685*$B2680)*(1-$B2677))/$B2675)</f>
        <v>0</v>
      </c>
      <c r="H2691" s="359">
        <f t="shared" si="377"/>
        <v>0.20561235294117644</v>
      </c>
      <c r="I2691" s="307" t="s">
        <v>135</v>
      </c>
      <c r="J2691" s="438" t="s">
        <v>96</v>
      </c>
      <c r="K2691" s="359">
        <f>K2685/((($I2685*$B2680)*(1-$B2677))/$B2675)</f>
        <v>0.21660919117647054</v>
      </c>
      <c r="L2691" s="359">
        <f>L2685/((($I2685*$B2680)*(1-$B2677))/$B2675)</f>
        <v>0</v>
      </c>
      <c r="M2691" s="359">
        <f>M2685/((($I2685*$B2680)*(1-$B2677))/$B2675)</f>
        <v>0</v>
      </c>
      <c r="N2691" s="359">
        <f>N2685/((($I2685*$B2680)*(1-$B2677))/$B2675)</f>
        <v>0</v>
      </c>
      <c r="O2691" s="359">
        <f t="shared" si="378"/>
        <v>0.21660919117647054</v>
      </c>
    </row>
    <row r="2692" spans="1:15" x14ac:dyDescent="0.25">
      <c r="A2692" s="178"/>
      <c r="B2692" s="178"/>
      <c r="C2692" s="178"/>
      <c r="D2692" s="178"/>
      <c r="E2692" s="178"/>
      <c r="F2692" s="178"/>
      <c r="G2692" s="178"/>
      <c r="H2692" s="178"/>
      <c r="I2692" s="178"/>
      <c r="J2692" s="178"/>
      <c r="K2692" s="178"/>
      <c r="L2692" s="178"/>
      <c r="M2692" s="178"/>
      <c r="N2692" s="178"/>
      <c r="O2692" s="178"/>
    </row>
    <row r="2693" spans="1:15" ht="21" x14ac:dyDescent="0.25">
      <c r="A2693" s="305"/>
      <c r="B2693" s="644" t="s">
        <v>739</v>
      </c>
      <c r="C2693" s="645"/>
      <c r="D2693" s="645"/>
      <c r="E2693" s="645"/>
      <c r="F2693" s="645"/>
      <c r="G2693" s="645"/>
      <c r="H2693" s="645"/>
      <c r="I2693" s="645"/>
      <c r="J2693" s="645"/>
      <c r="K2693" s="645"/>
      <c r="L2693" s="645"/>
      <c r="M2693" s="645"/>
      <c r="N2693" s="645"/>
      <c r="O2693" s="646"/>
    </row>
    <row r="2694" spans="1:15" ht="21" x14ac:dyDescent="0.25">
      <c r="A2694" s="177" t="s">
        <v>285</v>
      </c>
      <c r="B2694" s="647">
        <v>44895</v>
      </c>
      <c r="C2694" s="648"/>
      <c r="D2694" s="648"/>
      <c r="E2694" s="648"/>
      <c r="F2694" s="648"/>
      <c r="G2694" s="648"/>
      <c r="H2694" s="648"/>
      <c r="I2694" s="648"/>
      <c r="J2694" s="648"/>
      <c r="K2694" s="648"/>
      <c r="L2694" s="648"/>
      <c r="M2694" s="648"/>
      <c r="N2694" s="648"/>
      <c r="O2694" s="649"/>
    </row>
    <row r="2695" spans="1:15" x14ac:dyDescent="0.25">
      <c r="A2695" s="177"/>
      <c r="B2695" s="650" t="s">
        <v>115</v>
      </c>
      <c r="C2695" s="651"/>
      <c r="D2695" s="651"/>
      <c r="E2695" s="651"/>
      <c r="F2695" s="651"/>
      <c r="G2695" s="651"/>
      <c r="H2695" s="651"/>
      <c r="I2695" s="651"/>
      <c r="J2695" s="651"/>
      <c r="K2695" s="651"/>
      <c r="L2695" s="651"/>
      <c r="M2695" s="651"/>
      <c r="N2695" s="651"/>
      <c r="O2695" s="652"/>
    </row>
    <row r="2696" spans="1:15" x14ac:dyDescent="0.25">
      <c r="A2696" s="177" t="s">
        <v>106</v>
      </c>
      <c r="B2696" s="629">
        <v>16</v>
      </c>
      <c r="C2696" s="630"/>
      <c r="D2696" s="630"/>
      <c r="E2696" s="631"/>
      <c r="F2696" s="365" t="s">
        <v>174</v>
      </c>
      <c r="G2696" s="471"/>
      <c r="H2696" s="653"/>
      <c r="I2696" s="654"/>
      <c r="J2696" s="654"/>
      <c r="K2696" s="654"/>
      <c r="L2696" s="655"/>
      <c r="M2696" s="656">
        <f>SUM(B2696,H2697)</f>
        <v>16</v>
      </c>
      <c r="N2696" s="630"/>
      <c r="O2696" s="631"/>
    </row>
    <row r="2697" spans="1:15" x14ac:dyDescent="0.25">
      <c r="A2697" s="177" t="s">
        <v>112</v>
      </c>
      <c r="B2697" s="626">
        <v>0.15</v>
      </c>
      <c r="C2697" s="627"/>
      <c r="D2697" s="627"/>
      <c r="E2697" s="628"/>
      <c r="F2697" s="290"/>
      <c r="G2697" s="472"/>
      <c r="H2697" s="626"/>
      <c r="I2697" s="627"/>
      <c r="J2697" s="627"/>
      <c r="K2697" s="627"/>
      <c r="L2697" s="628"/>
      <c r="M2697" s="657">
        <f>B2697</f>
        <v>0.15</v>
      </c>
      <c r="N2697" s="627"/>
      <c r="O2697" s="628"/>
    </row>
    <row r="2698" spans="1:15" x14ac:dyDescent="0.25">
      <c r="A2698" s="177" t="s">
        <v>107</v>
      </c>
      <c r="B2698" s="629">
        <f>B2696*(1-B2697)</f>
        <v>13.6</v>
      </c>
      <c r="C2698" s="630"/>
      <c r="D2698" s="630"/>
      <c r="E2698" s="631"/>
      <c r="F2698" s="290"/>
      <c r="G2698" s="472"/>
      <c r="H2698" s="629">
        <f>H2696*(1-H2697)</f>
        <v>0</v>
      </c>
      <c r="I2698" s="630"/>
      <c r="J2698" s="630"/>
      <c r="K2698" s="630"/>
      <c r="L2698" s="631"/>
      <c r="M2698" s="656">
        <f>SUM(B2698,H2698)</f>
        <v>13.6</v>
      </c>
      <c r="N2698" s="630"/>
      <c r="O2698" s="631"/>
    </row>
    <row r="2699" spans="1:15" x14ac:dyDescent="0.25">
      <c r="A2699" s="177" t="s">
        <v>108</v>
      </c>
      <c r="B2699" s="626">
        <f>B2702/B2698</f>
        <v>0.75485294117647073</v>
      </c>
      <c r="C2699" s="627"/>
      <c r="D2699" s="627"/>
      <c r="E2699" s="627"/>
      <c r="F2699" s="627"/>
      <c r="G2699" s="627"/>
      <c r="H2699" s="627"/>
      <c r="I2699" s="627"/>
      <c r="J2699" s="627"/>
      <c r="K2699" s="627"/>
      <c r="L2699" s="627"/>
      <c r="M2699" s="627"/>
      <c r="N2699" s="627"/>
      <c r="O2699" s="628"/>
    </row>
    <row r="2700" spans="1:15" x14ac:dyDescent="0.25">
      <c r="A2700" s="177" t="s">
        <v>113</v>
      </c>
      <c r="B2700" s="629">
        <f>B2704*(B2708+B2709+I2708+I2709)/1000</f>
        <v>34.22</v>
      </c>
      <c r="C2700" s="630"/>
      <c r="D2700" s="630"/>
      <c r="E2700" s="630"/>
      <c r="F2700" s="630"/>
      <c r="G2700" s="630"/>
      <c r="H2700" s="630"/>
      <c r="I2700" s="630"/>
      <c r="J2700" s="630"/>
      <c r="K2700" s="630"/>
      <c r="L2700" s="630"/>
      <c r="M2700" s="630"/>
      <c r="N2700" s="630"/>
      <c r="O2700" s="631"/>
    </row>
    <row r="2701" spans="1:15" x14ac:dyDescent="0.25">
      <c r="A2701" s="177" t="s">
        <v>109</v>
      </c>
      <c r="B2701" s="626">
        <v>0.7</v>
      </c>
      <c r="C2701" s="627"/>
      <c r="D2701" s="627"/>
      <c r="E2701" s="627"/>
      <c r="F2701" s="627"/>
      <c r="G2701" s="627"/>
      <c r="H2701" s="627"/>
      <c r="I2701" s="627"/>
      <c r="J2701" s="627"/>
      <c r="K2701" s="627"/>
      <c r="L2701" s="627"/>
      <c r="M2701" s="627"/>
      <c r="N2701" s="627"/>
      <c r="O2701" s="628"/>
    </row>
    <row r="2702" spans="1:15" x14ac:dyDescent="0.25">
      <c r="A2702" s="177" t="s">
        <v>122</v>
      </c>
      <c r="B2702" s="629">
        <f>B2700-(B2700*B2701)</f>
        <v>10.266000000000002</v>
      </c>
      <c r="C2702" s="630"/>
      <c r="D2702" s="630"/>
      <c r="E2702" s="630"/>
      <c r="F2702" s="630"/>
      <c r="G2702" s="630"/>
      <c r="H2702" s="630"/>
      <c r="I2702" s="630"/>
      <c r="J2702" s="630"/>
      <c r="K2702" s="630"/>
      <c r="L2702" s="630"/>
      <c r="M2702" s="630"/>
      <c r="N2702" s="630"/>
      <c r="O2702" s="631"/>
    </row>
    <row r="2703" spans="1:15" x14ac:dyDescent="0.25">
      <c r="A2703" s="177" t="s">
        <v>110</v>
      </c>
      <c r="B2703" s="632">
        <v>125</v>
      </c>
      <c r="C2703" s="633"/>
      <c r="D2703" s="633"/>
      <c r="E2703" s="633"/>
      <c r="F2703" s="633"/>
      <c r="G2703" s="633"/>
      <c r="H2703" s="633"/>
      <c r="I2703" s="633"/>
      <c r="J2703" s="633"/>
      <c r="K2703" s="633"/>
      <c r="L2703" s="633"/>
      <c r="M2703" s="633"/>
      <c r="N2703" s="633"/>
      <c r="O2703" s="634"/>
    </row>
    <row r="2704" spans="1:15" x14ac:dyDescent="0.25">
      <c r="A2704" s="177" t="s">
        <v>111</v>
      </c>
      <c r="B2704" s="635">
        <v>14.5</v>
      </c>
      <c r="C2704" s="636"/>
      <c r="D2704" s="636"/>
      <c r="E2704" s="636"/>
      <c r="F2704" s="636"/>
      <c r="G2704" s="636"/>
      <c r="H2704" s="636"/>
      <c r="I2704" s="636"/>
      <c r="J2704" s="636"/>
      <c r="K2704" s="636"/>
      <c r="L2704" s="636"/>
      <c r="M2704" s="636"/>
      <c r="N2704" s="636"/>
      <c r="O2704" s="637"/>
    </row>
    <row r="2705" spans="1:15" x14ac:dyDescent="0.25">
      <c r="A2705" s="177" t="s">
        <v>273</v>
      </c>
      <c r="B2705" s="638" t="s">
        <v>741</v>
      </c>
      <c r="C2705" s="638"/>
      <c r="D2705" s="638"/>
      <c r="E2705" s="638"/>
      <c r="F2705" s="638"/>
      <c r="G2705" s="638"/>
      <c r="H2705" s="638"/>
      <c r="I2705" s="638"/>
      <c r="J2705" s="638"/>
      <c r="K2705" s="638"/>
      <c r="L2705" s="638"/>
      <c r="M2705" s="638"/>
      <c r="N2705" s="638"/>
      <c r="O2705" s="639"/>
    </row>
    <row r="2706" spans="1:15" x14ac:dyDescent="0.25">
      <c r="A2706" s="177" t="s">
        <v>351</v>
      </c>
      <c r="B2706" s="431"/>
      <c r="C2706" s="431"/>
      <c r="D2706" s="431"/>
      <c r="E2706" s="431"/>
      <c r="F2706" s="431"/>
      <c r="G2706" s="431"/>
      <c r="H2706" s="431"/>
      <c r="I2706" s="431"/>
      <c r="J2706" s="431"/>
      <c r="K2706" s="431"/>
      <c r="L2706" s="431"/>
      <c r="M2706" s="431"/>
      <c r="N2706" s="431"/>
      <c r="O2706" s="432"/>
    </row>
    <row r="2707" spans="1:15" x14ac:dyDescent="0.25">
      <c r="B2707" s="307" t="s">
        <v>98</v>
      </c>
      <c r="C2707" s="365" t="s">
        <v>102</v>
      </c>
      <c r="D2707" s="365" t="s">
        <v>92</v>
      </c>
      <c r="E2707" s="365" t="s">
        <v>93</v>
      </c>
      <c r="F2707" s="365" t="s">
        <v>94</v>
      </c>
      <c r="G2707" s="365" t="s">
        <v>549</v>
      </c>
      <c r="H2707" s="359" t="s">
        <v>99</v>
      </c>
      <c r="I2707" s="307" t="s">
        <v>98</v>
      </c>
      <c r="J2707" s="365" t="s">
        <v>102</v>
      </c>
      <c r="K2707" s="365" t="s">
        <v>92</v>
      </c>
      <c r="L2707" s="365" t="s">
        <v>93</v>
      </c>
      <c r="M2707" s="365" t="s">
        <v>94</v>
      </c>
      <c r="N2707" s="365" t="s">
        <v>549</v>
      </c>
      <c r="O2707" s="359" t="s">
        <v>99</v>
      </c>
    </row>
    <row r="2708" spans="1:15" x14ac:dyDescent="0.25">
      <c r="B2708" s="308">
        <v>1078</v>
      </c>
      <c r="C2708" s="365" t="s">
        <v>95</v>
      </c>
      <c r="D2708" s="441"/>
      <c r="E2708" s="441"/>
      <c r="F2708" s="441"/>
      <c r="G2708" s="441"/>
      <c r="H2708" s="359">
        <f>SUM(D2708:G2708)</f>
        <v>0</v>
      </c>
      <c r="I2708" s="308">
        <v>1082</v>
      </c>
      <c r="J2708" s="365" t="s">
        <v>95</v>
      </c>
      <c r="K2708" s="441"/>
      <c r="L2708" s="441"/>
      <c r="M2708" s="441"/>
      <c r="N2708" s="441"/>
      <c r="O2708" s="359">
        <f>SUM(K2708:N2708)</f>
        <v>0</v>
      </c>
    </row>
    <row r="2709" spans="1:15" x14ac:dyDescent="0.25">
      <c r="B2709" s="308">
        <v>100</v>
      </c>
      <c r="C2709" s="365" t="s">
        <v>96</v>
      </c>
      <c r="D2709" s="441"/>
      <c r="E2709" s="441"/>
      <c r="F2709" s="441"/>
      <c r="G2709" s="441"/>
      <c r="H2709" s="359">
        <f t="shared" ref="H2709:H2715" si="383">SUM(D2709:G2709)</f>
        <v>0</v>
      </c>
      <c r="I2709" s="308">
        <v>100</v>
      </c>
      <c r="J2709" s="365" t="s">
        <v>96</v>
      </c>
      <c r="K2709" s="441"/>
      <c r="L2709" s="441"/>
      <c r="M2709" s="441"/>
      <c r="N2709" s="441"/>
      <c r="O2709" s="359">
        <f t="shared" ref="O2709:O2715" si="384">SUM(K2709:N2709)</f>
        <v>0</v>
      </c>
    </row>
    <row r="2710" spans="1:15" x14ac:dyDescent="0.25">
      <c r="B2710" s="307" t="s">
        <v>100</v>
      </c>
      <c r="C2710" s="365" t="s">
        <v>95</v>
      </c>
      <c r="D2710" s="444">
        <f t="shared" ref="D2710:G2710" si="385">D2708/$B2708</f>
        <v>0</v>
      </c>
      <c r="E2710" s="429">
        <f t="shared" si="385"/>
        <v>0</v>
      </c>
      <c r="F2710" s="429">
        <f t="shared" si="385"/>
        <v>0</v>
      </c>
      <c r="G2710" s="429">
        <f t="shared" si="385"/>
        <v>0</v>
      </c>
      <c r="H2710" s="359">
        <f t="shared" si="383"/>
        <v>0</v>
      </c>
      <c r="I2710" s="307" t="s">
        <v>100</v>
      </c>
      <c r="J2710" s="365" t="s">
        <v>95</v>
      </c>
      <c r="K2710" s="444">
        <f t="shared" ref="K2710:N2710" si="386">K2708/$I2708</f>
        <v>0</v>
      </c>
      <c r="L2710" s="429">
        <f t="shared" si="386"/>
        <v>0</v>
      </c>
      <c r="M2710" s="429">
        <f t="shared" si="386"/>
        <v>0</v>
      </c>
      <c r="N2710" s="429">
        <f t="shared" si="386"/>
        <v>0</v>
      </c>
      <c r="O2710" s="359">
        <f t="shared" si="384"/>
        <v>0</v>
      </c>
    </row>
    <row r="2711" spans="1:15" x14ac:dyDescent="0.25">
      <c r="B2711" s="307" t="s">
        <v>100</v>
      </c>
      <c r="C2711" s="438" t="s">
        <v>96</v>
      </c>
      <c r="D2711" s="359">
        <f t="shared" ref="D2711:G2711" si="387">D2709/$B2709</f>
        <v>0</v>
      </c>
      <c r="E2711" s="359">
        <f t="shared" si="387"/>
        <v>0</v>
      </c>
      <c r="F2711" s="359">
        <f t="shared" si="387"/>
        <v>0</v>
      </c>
      <c r="G2711" s="359">
        <f t="shared" si="387"/>
        <v>0</v>
      </c>
      <c r="H2711" s="359">
        <f t="shared" si="383"/>
        <v>0</v>
      </c>
      <c r="I2711" s="307" t="s">
        <v>100</v>
      </c>
      <c r="J2711" s="438" t="s">
        <v>96</v>
      </c>
      <c r="K2711" s="359">
        <f t="shared" ref="K2711:N2711" si="388">K2709/$I2709</f>
        <v>0</v>
      </c>
      <c r="L2711" s="359">
        <f t="shared" si="388"/>
        <v>0</v>
      </c>
      <c r="M2711" s="359">
        <f t="shared" si="388"/>
        <v>0</v>
      </c>
      <c r="N2711" s="359">
        <f t="shared" si="388"/>
        <v>0</v>
      </c>
      <c r="O2711" s="359">
        <f t="shared" si="384"/>
        <v>0</v>
      </c>
    </row>
    <row r="2712" spans="1:15" x14ac:dyDescent="0.25">
      <c r="B2712" s="307" t="s">
        <v>104</v>
      </c>
      <c r="C2712" s="365" t="s">
        <v>95</v>
      </c>
      <c r="D2712" s="359">
        <f>D2708/($B2708/7.7)</f>
        <v>0</v>
      </c>
      <c r="E2712" s="359">
        <f>E2708/($B2708/7)</f>
        <v>0</v>
      </c>
      <c r="F2712" s="359">
        <f>F2708/($B2708/7)</f>
        <v>0</v>
      </c>
      <c r="G2712" s="359">
        <f>G2708/($B2708/7)</f>
        <v>0</v>
      </c>
      <c r="H2712" s="359">
        <f t="shared" si="383"/>
        <v>0</v>
      </c>
      <c r="I2712" s="307" t="s">
        <v>104</v>
      </c>
      <c r="J2712" s="365" t="s">
        <v>95</v>
      </c>
      <c r="K2712" s="359">
        <f>K2708/($I2708/7.7)</f>
        <v>0</v>
      </c>
      <c r="L2712" s="359">
        <f>L2708/($I2708/7)</f>
        <v>0</v>
      </c>
      <c r="M2712" s="359">
        <f>M2708/($I2708/7)</f>
        <v>0</v>
      </c>
      <c r="N2712" s="359">
        <f>N2708/($I2708/7)</f>
        <v>0</v>
      </c>
      <c r="O2712" s="359">
        <f t="shared" si="384"/>
        <v>0</v>
      </c>
    </row>
    <row r="2713" spans="1:15" x14ac:dyDescent="0.25">
      <c r="B2713" s="307" t="s">
        <v>104</v>
      </c>
      <c r="C2713" s="438" t="s">
        <v>96</v>
      </c>
      <c r="D2713" s="359">
        <f>D2709/($B2709/7.7)</f>
        <v>0</v>
      </c>
      <c r="E2713" s="359">
        <f>E2709/($B2709/7.7)</f>
        <v>0</v>
      </c>
      <c r="F2713" s="359">
        <f>F2709/($B2709/7.7)</f>
        <v>0</v>
      </c>
      <c r="G2713" s="359">
        <f>G2709/($B2709/7.7)</f>
        <v>0</v>
      </c>
      <c r="H2713" s="359">
        <f t="shared" si="383"/>
        <v>0</v>
      </c>
      <c r="I2713" s="307" t="s">
        <v>104</v>
      </c>
      <c r="J2713" s="438" t="s">
        <v>96</v>
      </c>
      <c r="K2713" s="359">
        <f>K2709/($I2709/7.7)</f>
        <v>0</v>
      </c>
      <c r="L2713" s="359">
        <f>L2709/($I2709/7.7)</f>
        <v>0</v>
      </c>
      <c r="M2713" s="359">
        <f>M2709/($I2709/7.7)</f>
        <v>0</v>
      </c>
      <c r="N2713" s="359">
        <f>N2709/($I2709/7.7)</f>
        <v>0</v>
      </c>
      <c r="O2713" s="359">
        <f t="shared" si="384"/>
        <v>0</v>
      </c>
    </row>
    <row r="2714" spans="1:15" x14ac:dyDescent="0.25">
      <c r="B2714" s="307" t="s">
        <v>135</v>
      </c>
      <c r="C2714" s="365" t="s">
        <v>95</v>
      </c>
      <c r="D2714" s="359">
        <f>D2708/((($B2708*$B2704)*(1-$B2701))/$B2699)</f>
        <v>0</v>
      </c>
      <c r="E2714" s="359">
        <f>E2708/((($B2708*$B2704)*(1-$B2701))/$B2699)</f>
        <v>0</v>
      </c>
      <c r="F2714" s="359">
        <f>F2708/((($B2708*$B2704)*(1-$B2701))/$B2699)</f>
        <v>0</v>
      </c>
      <c r="G2714" s="359">
        <f>G2708/((($B2708*$B2704)*(1-$B2701))/$B2699)</f>
        <v>0</v>
      </c>
      <c r="H2714" s="359">
        <f t="shared" si="383"/>
        <v>0</v>
      </c>
      <c r="I2714" s="307" t="s">
        <v>135</v>
      </c>
      <c r="J2714" s="365" t="s">
        <v>95</v>
      </c>
      <c r="K2714" s="359">
        <f>K2708/((($I2708*$B2704)*(1-$B2701))/$B2699)</f>
        <v>0</v>
      </c>
      <c r="L2714" s="359">
        <f>L2708/((($I2708*$B2704)*(1-$B2701))/$B2699)</f>
        <v>0</v>
      </c>
      <c r="M2714" s="359">
        <f>M2708/((($I2708*$B2704)*(1-$B2701))/$B2699)</f>
        <v>0</v>
      </c>
      <c r="N2714" s="359">
        <f>N2708/((($I2708*$B2704)*(1-$B2701))/$B2699)</f>
        <v>0</v>
      </c>
      <c r="O2714" s="359">
        <f t="shared" si="384"/>
        <v>0</v>
      </c>
    </row>
    <row r="2715" spans="1:15" x14ac:dyDescent="0.25">
      <c r="B2715" s="307" t="s">
        <v>135</v>
      </c>
      <c r="C2715" s="438" t="s">
        <v>96</v>
      </c>
      <c r="D2715" s="359">
        <f>D2709/((($B2709*$B2704)*(1-$B2701))/$B2699)</f>
        <v>0</v>
      </c>
      <c r="E2715" s="359">
        <f>E2709/((($B2709*$B2704)*(1-$B2701))/$B2699)</f>
        <v>0</v>
      </c>
      <c r="F2715" s="359">
        <f>F2709/((($B2709*$B2704)*(1-$B2701))/$B2699)</f>
        <v>0</v>
      </c>
      <c r="G2715" s="359">
        <f>G2709/((($B2709*$B2704)*(1-$B2701))/$B2699)</f>
        <v>0</v>
      </c>
      <c r="H2715" s="359">
        <f t="shared" si="383"/>
        <v>0</v>
      </c>
      <c r="I2715" s="307" t="s">
        <v>135</v>
      </c>
      <c r="J2715" s="438" t="s">
        <v>96</v>
      </c>
      <c r="K2715" s="359">
        <f>K2709/((($I2709*$B2704)*(1-$B2701))/$B2699)</f>
        <v>0</v>
      </c>
      <c r="L2715" s="359">
        <f>L2709/((($I2709*$B2704)*(1-$B2701))/$B2699)</f>
        <v>0</v>
      </c>
      <c r="M2715" s="359">
        <f>M2709/((($I2709*$B2704)*(1-$B2701))/$B2699)</f>
        <v>0</v>
      </c>
      <c r="N2715" s="359">
        <f>N2709/((($I2709*$B2704)*(1-$B2701))/$B2699)</f>
        <v>0</v>
      </c>
      <c r="O2715" s="359">
        <f t="shared" si="384"/>
        <v>0</v>
      </c>
    </row>
    <row r="2716" spans="1:15" x14ac:dyDescent="0.25">
      <c r="A2716" s="178"/>
      <c r="B2716" s="178"/>
      <c r="C2716" s="178"/>
      <c r="D2716" s="178"/>
      <c r="E2716" s="178"/>
      <c r="F2716" s="178"/>
      <c r="G2716" s="178"/>
      <c r="H2716" s="178"/>
      <c r="I2716" s="178"/>
      <c r="J2716" s="178"/>
      <c r="K2716" s="178"/>
      <c r="L2716" s="178"/>
      <c r="M2716" s="178"/>
      <c r="N2716" s="178"/>
      <c r="O2716" s="178"/>
    </row>
    <row r="2717" spans="1:15" ht="21" x14ac:dyDescent="0.25">
      <c r="A2717" s="305"/>
      <c r="B2717" s="644" t="s">
        <v>740</v>
      </c>
      <c r="C2717" s="645"/>
      <c r="D2717" s="645"/>
      <c r="E2717" s="645"/>
      <c r="F2717" s="645"/>
      <c r="G2717" s="645"/>
      <c r="H2717" s="645"/>
      <c r="I2717" s="645"/>
      <c r="J2717" s="645"/>
      <c r="K2717" s="645"/>
      <c r="L2717" s="645"/>
      <c r="M2717" s="645"/>
      <c r="N2717" s="645"/>
      <c r="O2717" s="646"/>
    </row>
    <row r="2718" spans="1:15" ht="21" x14ac:dyDescent="0.25">
      <c r="A2718" s="177" t="s">
        <v>285</v>
      </c>
      <c r="B2718" s="647">
        <v>44907</v>
      </c>
      <c r="C2718" s="648"/>
      <c r="D2718" s="648"/>
      <c r="E2718" s="648"/>
      <c r="F2718" s="648"/>
      <c r="G2718" s="648"/>
      <c r="H2718" s="648"/>
      <c r="I2718" s="648"/>
      <c r="J2718" s="648"/>
      <c r="K2718" s="648"/>
      <c r="L2718" s="648"/>
      <c r="M2718" s="648"/>
      <c r="N2718" s="648"/>
      <c r="O2718" s="649"/>
    </row>
    <row r="2719" spans="1:15" x14ac:dyDescent="0.25">
      <c r="A2719" s="177"/>
      <c r="B2719" s="650" t="s">
        <v>115</v>
      </c>
      <c r="C2719" s="651"/>
      <c r="D2719" s="651"/>
      <c r="E2719" s="651"/>
      <c r="F2719" s="651"/>
      <c r="G2719" s="651"/>
      <c r="H2719" s="651"/>
      <c r="I2719" s="651"/>
      <c r="J2719" s="651"/>
      <c r="K2719" s="651"/>
      <c r="L2719" s="651"/>
      <c r="M2719" s="651"/>
      <c r="N2719" s="651"/>
      <c r="O2719" s="652"/>
    </row>
    <row r="2720" spans="1:15" x14ac:dyDescent="0.25">
      <c r="A2720" s="177" t="s">
        <v>106</v>
      </c>
      <c r="B2720" s="629">
        <v>16</v>
      </c>
      <c r="C2720" s="630"/>
      <c r="D2720" s="630"/>
      <c r="E2720" s="631"/>
      <c r="F2720" s="365" t="s">
        <v>174</v>
      </c>
      <c r="G2720" s="471"/>
      <c r="H2720" s="653"/>
      <c r="I2720" s="654"/>
      <c r="J2720" s="654"/>
      <c r="K2720" s="654"/>
      <c r="L2720" s="655"/>
      <c r="M2720" s="656">
        <f>SUM(B2720,H2721)</f>
        <v>16</v>
      </c>
      <c r="N2720" s="630"/>
      <c r="O2720" s="631"/>
    </row>
    <row r="2721" spans="1:15" x14ac:dyDescent="0.25">
      <c r="A2721" s="177" t="s">
        <v>112</v>
      </c>
      <c r="B2721" s="626">
        <v>0.15</v>
      </c>
      <c r="C2721" s="627"/>
      <c r="D2721" s="627"/>
      <c r="E2721" s="628"/>
      <c r="F2721" s="290"/>
      <c r="G2721" s="472"/>
      <c r="H2721" s="626"/>
      <c r="I2721" s="627"/>
      <c r="J2721" s="627"/>
      <c r="K2721" s="627"/>
      <c r="L2721" s="628"/>
      <c r="M2721" s="657">
        <f>B2721</f>
        <v>0.15</v>
      </c>
      <c r="N2721" s="627"/>
      <c r="O2721" s="628"/>
    </row>
    <row r="2722" spans="1:15" x14ac:dyDescent="0.25">
      <c r="A2722" s="177" t="s">
        <v>107</v>
      </c>
      <c r="B2722" s="629">
        <f>B2720*(1-B2721)</f>
        <v>13.6</v>
      </c>
      <c r="C2722" s="630"/>
      <c r="D2722" s="630"/>
      <c r="E2722" s="631"/>
      <c r="F2722" s="290"/>
      <c r="G2722" s="472"/>
      <c r="H2722" s="629">
        <f>H2720*(1-H2721)</f>
        <v>0</v>
      </c>
      <c r="I2722" s="630"/>
      <c r="J2722" s="630"/>
      <c r="K2722" s="630"/>
      <c r="L2722" s="631"/>
      <c r="M2722" s="656">
        <f>SUM(B2722,H2722)</f>
        <v>13.6</v>
      </c>
      <c r="N2722" s="630"/>
      <c r="O2722" s="631"/>
    </row>
    <row r="2723" spans="1:15" x14ac:dyDescent="0.25">
      <c r="A2723" s="177" t="s">
        <v>108</v>
      </c>
      <c r="B2723" s="626">
        <f>B2726/B2722</f>
        <v>0.7705257352941175</v>
      </c>
      <c r="C2723" s="627"/>
      <c r="D2723" s="627"/>
      <c r="E2723" s="627"/>
      <c r="F2723" s="627"/>
      <c r="G2723" s="627"/>
      <c r="H2723" s="627"/>
      <c r="I2723" s="627"/>
      <c r="J2723" s="627"/>
      <c r="K2723" s="627"/>
      <c r="L2723" s="627"/>
      <c r="M2723" s="627"/>
      <c r="N2723" s="627"/>
      <c r="O2723" s="628"/>
    </row>
    <row r="2724" spans="1:15" x14ac:dyDescent="0.25">
      <c r="A2724" s="177" t="s">
        <v>113</v>
      </c>
      <c r="B2724" s="629">
        <f>B2728*(B2732+B2733+I2732+I2733)/1000</f>
        <v>31.754999999999999</v>
      </c>
      <c r="C2724" s="630"/>
      <c r="D2724" s="630"/>
      <c r="E2724" s="630"/>
      <c r="F2724" s="630"/>
      <c r="G2724" s="630"/>
      <c r="H2724" s="630"/>
      <c r="I2724" s="630"/>
      <c r="J2724" s="630"/>
      <c r="K2724" s="630"/>
      <c r="L2724" s="630"/>
      <c r="M2724" s="630"/>
      <c r="N2724" s="630"/>
      <c r="O2724" s="631"/>
    </row>
    <row r="2725" spans="1:15" x14ac:dyDescent="0.25">
      <c r="A2725" s="177" t="s">
        <v>109</v>
      </c>
      <c r="B2725" s="626">
        <v>0.67</v>
      </c>
      <c r="C2725" s="627"/>
      <c r="D2725" s="627"/>
      <c r="E2725" s="627"/>
      <c r="F2725" s="627"/>
      <c r="G2725" s="627"/>
      <c r="H2725" s="627"/>
      <c r="I2725" s="627"/>
      <c r="J2725" s="627"/>
      <c r="K2725" s="627"/>
      <c r="L2725" s="627"/>
      <c r="M2725" s="627"/>
      <c r="N2725" s="627"/>
      <c r="O2725" s="628"/>
    </row>
    <row r="2726" spans="1:15" x14ac:dyDescent="0.25">
      <c r="A2726" s="177" t="s">
        <v>122</v>
      </c>
      <c r="B2726" s="629">
        <f>B2724-(B2724*B2725)</f>
        <v>10.479149999999997</v>
      </c>
      <c r="C2726" s="630"/>
      <c r="D2726" s="630"/>
      <c r="E2726" s="630"/>
      <c r="F2726" s="630"/>
      <c r="G2726" s="630"/>
      <c r="H2726" s="630"/>
      <c r="I2726" s="630"/>
      <c r="J2726" s="630"/>
      <c r="K2726" s="630"/>
      <c r="L2726" s="630"/>
      <c r="M2726" s="630"/>
      <c r="N2726" s="630"/>
      <c r="O2726" s="631"/>
    </row>
    <row r="2727" spans="1:15" x14ac:dyDescent="0.25">
      <c r="A2727" s="177" t="s">
        <v>110</v>
      </c>
      <c r="B2727" s="632">
        <v>125</v>
      </c>
      <c r="C2727" s="633"/>
      <c r="D2727" s="633"/>
      <c r="E2727" s="633"/>
      <c r="F2727" s="633"/>
      <c r="G2727" s="633"/>
      <c r="H2727" s="633"/>
      <c r="I2727" s="633"/>
      <c r="J2727" s="633"/>
      <c r="K2727" s="633"/>
      <c r="L2727" s="633"/>
      <c r="M2727" s="633"/>
      <c r="N2727" s="633"/>
      <c r="O2727" s="634"/>
    </row>
    <row r="2728" spans="1:15" x14ac:dyDescent="0.25">
      <c r="A2728" s="177" t="s">
        <v>111</v>
      </c>
      <c r="B2728" s="635">
        <v>14.5</v>
      </c>
      <c r="C2728" s="636"/>
      <c r="D2728" s="636"/>
      <c r="E2728" s="636"/>
      <c r="F2728" s="636"/>
      <c r="G2728" s="636"/>
      <c r="H2728" s="636"/>
      <c r="I2728" s="636"/>
      <c r="J2728" s="636"/>
      <c r="K2728" s="636"/>
      <c r="L2728" s="636"/>
      <c r="M2728" s="636"/>
      <c r="N2728" s="636"/>
      <c r="O2728" s="637"/>
    </row>
    <row r="2729" spans="1:15" x14ac:dyDescent="0.25">
      <c r="A2729" s="177" t="s">
        <v>273</v>
      </c>
      <c r="B2729" s="638" t="s">
        <v>741</v>
      </c>
      <c r="C2729" s="638"/>
      <c r="D2729" s="638"/>
      <c r="E2729" s="638"/>
      <c r="F2729" s="638"/>
      <c r="G2729" s="638"/>
      <c r="H2729" s="638"/>
      <c r="I2729" s="638"/>
      <c r="J2729" s="638"/>
      <c r="K2729" s="638"/>
      <c r="L2729" s="638"/>
      <c r="M2729" s="638"/>
      <c r="N2729" s="638"/>
      <c r="O2729" s="639"/>
    </row>
    <row r="2730" spans="1:15" x14ac:dyDescent="0.25">
      <c r="A2730" s="177" t="s">
        <v>351</v>
      </c>
      <c r="B2730" s="431"/>
      <c r="C2730" s="431"/>
      <c r="D2730" s="431"/>
      <c r="E2730" s="431"/>
      <c r="F2730" s="431"/>
      <c r="G2730" s="431"/>
      <c r="H2730" s="431"/>
      <c r="I2730" s="431"/>
      <c r="J2730" s="431"/>
      <c r="K2730" s="431"/>
      <c r="L2730" s="431"/>
      <c r="M2730" s="431"/>
      <c r="N2730" s="431"/>
      <c r="O2730" s="432"/>
    </row>
    <row r="2731" spans="1:15" x14ac:dyDescent="0.25">
      <c r="B2731" s="307" t="s">
        <v>98</v>
      </c>
      <c r="C2731" s="365" t="s">
        <v>102</v>
      </c>
      <c r="D2731" s="365" t="s">
        <v>92</v>
      </c>
      <c r="E2731" s="365" t="s">
        <v>93</v>
      </c>
      <c r="F2731" s="365" t="s">
        <v>94</v>
      </c>
      <c r="G2731" s="365" t="s">
        <v>549</v>
      </c>
      <c r="H2731" s="359" t="s">
        <v>99</v>
      </c>
      <c r="I2731" s="307" t="s">
        <v>98</v>
      </c>
      <c r="J2731" s="365" t="s">
        <v>102</v>
      </c>
      <c r="K2731" s="365" t="s">
        <v>92</v>
      </c>
      <c r="L2731" s="365" t="s">
        <v>93</v>
      </c>
      <c r="M2731" s="365" t="s">
        <v>94</v>
      </c>
      <c r="N2731" s="365" t="s">
        <v>549</v>
      </c>
      <c r="O2731" s="359" t="s">
        <v>99</v>
      </c>
    </row>
    <row r="2732" spans="1:15" x14ac:dyDescent="0.25">
      <c r="B2732" s="308">
        <v>988</v>
      </c>
      <c r="C2732" s="365" t="s">
        <v>95</v>
      </c>
      <c r="D2732" s="441"/>
      <c r="E2732" s="441"/>
      <c r="F2732" s="441"/>
      <c r="G2732" s="441"/>
      <c r="H2732" s="359">
        <f>SUM(D2732:G2732)</f>
        <v>0</v>
      </c>
      <c r="I2732" s="308">
        <v>1002</v>
      </c>
      <c r="J2732" s="365" t="s">
        <v>95</v>
      </c>
      <c r="K2732" s="441"/>
      <c r="L2732" s="441"/>
      <c r="M2732" s="441"/>
      <c r="N2732" s="441"/>
      <c r="O2732" s="359">
        <f>SUM(K2732:N2732)</f>
        <v>0</v>
      </c>
    </row>
    <row r="2733" spans="1:15" x14ac:dyDescent="0.25">
      <c r="B2733" s="308">
        <v>100</v>
      </c>
      <c r="C2733" s="365" t="s">
        <v>96</v>
      </c>
      <c r="D2733" s="441"/>
      <c r="E2733" s="441"/>
      <c r="F2733" s="441"/>
      <c r="G2733" s="441"/>
      <c r="H2733" s="359">
        <f t="shared" ref="H2733:H2739" si="389">SUM(D2733:G2733)</f>
        <v>0</v>
      </c>
      <c r="I2733" s="308">
        <v>100</v>
      </c>
      <c r="J2733" s="365" t="s">
        <v>96</v>
      </c>
      <c r="K2733" s="441"/>
      <c r="L2733" s="441"/>
      <c r="M2733" s="441"/>
      <c r="N2733" s="441"/>
      <c r="O2733" s="359">
        <f t="shared" ref="O2733:O2739" si="390">SUM(K2733:N2733)</f>
        <v>0</v>
      </c>
    </row>
    <row r="2734" spans="1:15" x14ac:dyDescent="0.25">
      <c r="B2734" s="307" t="s">
        <v>100</v>
      </c>
      <c r="C2734" s="365" t="s">
        <v>95</v>
      </c>
      <c r="D2734" s="444">
        <f t="shared" ref="D2734:G2734" si="391">D2732/$B2732</f>
        <v>0</v>
      </c>
      <c r="E2734" s="429">
        <f t="shared" si="391"/>
        <v>0</v>
      </c>
      <c r="F2734" s="429">
        <f t="shared" si="391"/>
        <v>0</v>
      </c>
      <c r="G2734" s="429">
        <f t="shared" si="391"/>
        <v>0</v>
      </c>
      <c r="H2734" s="359">
        <f t="shared" si="389"/>
        <v>0</v>
      </c>
      <c r="I2734" s="307" t="s">
        <v>100</v>
      </c>
      <c r="J2734" s="365" t="s">
        <v>95</v>
      </c>
      <c r="K2734" s="444">
        <f t="shared" ref="K2734:N2734" si="392">K2732/$I2732</f>
        <v>0</v>
      </c>
      <c r="L2734" s="429">
        <f t="shared" si="392"/>
        <v>0</v>
      </c>
      <c r="M2734" s="429">
        <f t="shared" si="392"/>
        <v>0</v>
      </c>
      <c r="N2734" s="429">
        <f t="shared" si="392"/>
        <v>0</v>
      </c>
      <c r="O2734" s="359">
        <f t="shared" si="390"/>
        <v>0</v>
      </c>
    </row>
    <row r="2735" spans="1:15" x14ac:dyDescent="0.25">
      <c r="B2735" s="307" t="s">
        <v>100</v>
      </c>
      <c r="C2735" s="438" t="s">
        <v>96</v>
      </c>
      <c r="D2735" s="359">
        <f t="shared" ref="D2735:G2735" si="393">D2733/$B2733</f>
        <v>0</v>
      </c>
      <c r="E2735" s="359">
        <f t="shared" si="393"/>
        <v>0</v>
      </c>
      <c r="F2735" s="359">
        <f t="shared" si="393"/>
        <v>0</v>
      </c>
      <c r="G2735" s="359">
        <f t="shared" si="393"/>
        <v>0</v>
      </c>
      <c r="H2735" s="359">
        <f t="shared" si="389"/>
        <v>0</v>
      </c>
      <c r="I2735" s="307" t="s">
        <v>100</v>
      </c>
      <c r="J2735" s="438" t="s">
        <v>96</v>
      </c>
      <c r="K2735" s="359">
        <f t="shared" ref="K2735:N2735" si="394">K2733/$I2733</f>
        <v>0</v>
      </c>
      <c r="L2735" s="359">
        <f t="shared" si="394"/>
        <v>0</v>
      </c>
      <c r="M2735" s="359">
        <f t="shared" si="394"/>
        <v>0</v>
      </c>
      <c r="N2735" s="359">
        <f t="shared" si="394"/>
        <v>0</v>
      </c>
      <c r="O2735" s="359">
        <f t="shared" si="390"/>
        <v>0</v>
      </c>
    </row>
    <row r="2736" spans="1:15" x14ac:dyDescent="0.25">
      <c r="B2736" s="307" t="s">
        <v>104</v>
      </c>
      <c r="C2736" s="365" t="s">
        <v>95</v>
      </c>
      <c r="D2736" s="359">
        <f>D2732/($B2732/7.7)</f>
        <v>0</v>
      </c>
      <c r="E2736" s="359">
        <f>E2732/($B2732/7)</f>
        <v>0</v>
      </c>
      <c r="F2736" s="359">
        <f>F2732/($B2732/7)</f>
        <v>0</v>
      </c>
      <c r="G2736" s="359">
        <f>G2732/($B2732/7)</f>
        <v>0</v>
      </c>
      <c r="H2736" s="359">
        <f t="shared" si="389"/>
        <v>0</v>
      </c>
      <c r="I2736" s="307" t="s">
        <v>104</v>
      </c>
      <c r="J2736" s="365" t="s">
        <v>95</v>
      </c>
      <c r="K2736" s="359">
        <f>K2732/($I2732/7.7)</f>
        <v>0</v>
      </c>
      <c r="L2736" s="359">
        <f>L2732/($I2732/7)</f>
        <v>0</v>
      </c>
      <c r="M2736" s="359">
        <f>M2732/($I2732/7)</f>
        <v>0</v>
      </c>
      <c r="N2736" s="359">
        <f>N2732/($I2732/7)</f>
        <v>0</v>
      </c>
      <c r="O2736" s="359">
        <f t="shared" si="390"/>
        <v>0</v>
      </c>
    </row>
    <row r="2737" spans="1:15" x14ac:dyDescent="0.25">
      <c r="B2737" s="307" t="s">
        <v>104</v>
      </c>
      <c r="C2737" s="438" t="s">
        <v>96</v>
      </c>
      <c r="D2737" s="359">
        <f>D2733/($B2733/7.7)</f>
        <v>0</v>
      </c>
      <c r="E2737" s="359">
        <f>E2733/($B2733/7.7)</f>
        <v>0</v>
      </c>
      <c r="F2737" s="359">
        <f>F2733/($B2733/7.7)</f>
        <v>0</v>
      </c>
      <c r="G2737" s="359">
        <f>G2733/($B2733/7.7)</f>
        <v>0</v>
      </c>
      <c r="H2737" s="359">
        <f t="shared" si="389"/>
        <v>0</v>
      </c>
      <c r="I2737" s="307" t="s">
        <v>104</v>
      </c>
      <c r="J2737" s="438" t="s">
        <v>96</v>
      </c>
      <c r="K2737" s="359">
        <f>K2733/($I2733/7.7)</f>
        <v>0</v>
      </c>
      <c r="L2737" s="359">
        <f>L2733/($I2733/7.7)</f>
        <v>0</v>
      </c>
      <c r="M2737" s="359">
        <f>M2733/($I2733/7.7)</f>
        <v>0</v>
      </c>
      <c r="N2737" s="359">
        <f>N2733/($I2733/7.7)</f>
        <v>0</v>
      </c>
      <c r="O2737" s="359">
        <f t="shared" si="390"/>
        <v>0</v>
      </c>
    </row>
    <row r="2738" spans="1:15" x14ac:dyDescent="0.25">
      <c r="B2738" s="307" t="s">
        <v>135</v>
      </c>
      <c r="C2738" s="365" t="s">
        <v>95</v>
      </c>
      <c r="D2738" s="359">
        <f>D2732/((($B2732*$B2728)*(1-$B2725))/$B2723)</f>
        <v>0</v>
      </c>
      <c r="E2738" s="359">
        <f>E2732/((($B2732*$B2728)*(1-$B2725))/$B2723)</f>
        <v>0</v>
      </c>
      <c r="F2738" s="359">
        <f>F2732/((($B2732*$B2728)*(1-$B2725))/$B2723)</f>
        <v>0</v>
      </c>
      <c r="G2738" s="359">
        <f>G2732/((($B2732*$B2728)*(1-$B2725))/$B2723)</f>
        <v>0</v>
      </c>
      <c r="H2738" s="359">
        <f t="shared" si="389"/>
        <v>0</v>
      </c>
      <c r="I2738" s="307" t="s">
        <v>135</v>
      </c>
      <c r="J2738" s="365" t="s">
        <v>95</v>
      </c>
      <c r="K2738" s="359">
        <f>K2732/((($I2732*$B2728)*(1-$B2725))/$B2723)</f>
        <v>0</v>
      </c>
      <c r="L2738" s="359">
        <f>L2732/((($I2732*$B2728)*(1-$B2725))/$B2723)</f>
        <v>0</v>
      </c>
      <c r="M2738" s="359">
        <f>M2732/((($I2732*$B2728)*(1-$B2725))/$B2723)</f>
        <v>0</v>
      </c>
      <c r="N2738" s="359">
        <f>N2732/((($I2732*$B2728)*(1-$B2725))/$B2723)</f>
        <v>0</v>
      </c>
      <c r="O2738" s="359">
        <f t="shared" si="390"/>
        <v>0</v>
      </c>
    </row>
    <row r="2739" spans="1:15" x14ac:dyDescent="0.25">
      <c r="B2739" s="307" t="s">
        <v>135</v>
      </c>
      <c r="C2739" s="438" t="s">
        <v>96</v>
      </c>
      <c r="D2739" s="359">
        <f>D2733/((($B2733*$B2728)*(1-$B2725))/$B2723)</f>
        <v>0</v>
      </c>
      <c r="E2739" s="359">
        <f>E2733/((($B2733*$B2728)*(1-$B2725))/$B2723)</f>
        <v>0</v>
      </c>
      <c r="F2739" s="359">
        <f>F2733/((($B2733*$B2728)*(1-$B2725))/$B2723)</f>
        <v>0</v>
      </c>
      <c r="G2739" s="359">
        <f>G2733/((($B2733*$B2728)*(1-$B2725))/$B2723)</f>
        <v>0</v>
      </c>
      <c r="H2739" s="359">
        <f t="shared" si="389"/>
        <v>0</v>
      </c>
      <c r="I2739" s="307" t="s">
        <v>135</v>
      </c>
      <c r="J2739" s="438" t="s">
        <v>96</v>
      </c>
      <c r="K2739" s="359">
        <f>K2733/((($I2733*$B2728)*(1-$B2725))/$B2723)</f>
        <v>0</v>
      </c>
      <c r="L2739" s="359">
        <f>L2733/((($I2733*$B2728)*(1-$B2725))/$B2723)</f>
        <v>0</v>
      </c>
      <c r="M2739" s="359">
        <f>M2733/((($I2733*$B2728)*(1-$B2725))/$B2723)</f>
        <v>0</v>
      </c>
      <c r="N2739" s="359">
        <f>N2733/((($I2733*$B2728)*(1-$B2725))/$B2723)</f>
        <v>0</v>
      </c>
      <c r="O2739" s="359">
        <f t="shared" si="390"/>
        <v>0</v>
      </c>
    </row>
    <row r="2740" spans="1:15" x14ac:dyDescent="0.25">
      <c r="A2740" s="178"/>
      <c r="B2740" s="178"/>
      <c r="C2740" s="178"/>
      <c r="D2740" s="178"/>
      <c r="E2740" s="178"/>
      <c r="F2740" s="178"/>
      <c r="G2740" s="178"/>
      <c r="H2740" s="178"/>
      <c r="I2740" s="178"/>
      <c r="J2740" s="178"/>
      <c r="K2740" s="178"/>
      <c r="L2740" s="178"/>
      <c r="M2740" s="178"/>
      <c r="N2740" s="178"/>
      <c r="O2740" s="178"/>
    </row>
    <row r="2741" spans="1:15" ht="21" x14ac:dyDescent="0.25">
      <c r="A2741" s="305"/>
      <c r="B2741" s="644" t="s">
        <v>743</v>
      </c>
      <c r="C2741" s="645"/>
      <c r="D2741" s="645"/>
      <c r="E2741" s="645"/>
      <c r="F2741" s="645"/>
      <c r="G2741" s="645"/>
      <c r="H2741" s="645"/>
      <c r="I2741" s="645"/>
      <c r="J2741" s="645"/>
      <c r="K2741" s="645"/>
      <c r="L2741" s="645"/>
      <c r="M2741" s="645"/>
      <c r="N2741" s="645"/>
      <c r="O2741" s="646"/>
    </row>
    <row r="2742" spans="1:15" ht="21" x14ac:dyDescent="0.25">
      <c r="A2742" s="177" t="s">
        <v>285</v>
      </c>
      <c r="B2742" s="647">
        <v>44921</v>
      </c>
      <c r="C2742" s="648"/>
      <c r="D2742" s="648"/>
      <c r="E2742" s="648"/>
      <c r="F2742" s="648"/>
      <c r="G2742" s="648"/>
      <c r="H2742" s="648"/>
      <c r="I2742" s="648"/>
      <c r="J2742" s="648"/>
      <c r="K2742" s="648"/>
      <c r="L2742" s="648"/>
      <c r="M2742" s="648"/>
      <c r="N2742" s="648"/>
      <c r="O2742" s="649"/>
    </row>
    <row r="2743" spans="1:15" x14ac:dyDescent="0.25">
      <c r="A2743" s="177"/>
      <c r="B2743" s="650" t="s">
        <v>115</v>
      </c>
      <c r="C2743" s="651"/>
      <c r="D2743" s="651"/>
      <c r="E2743" s="651"/>
      <c r="F2743" s="651"/>
      <c r="G2743" s="651"/>
      <c r="H2743" s="651"/>
      <c r="I2743" s="651"/>
      <c r="J2743" s="651"/>
      <c r="K2743" s="651"/>
      <c r="L2743" s="651"/>
      <c r="M2743" s="651"/>
      <c r="N2743" s="651"/>
      <c r="O2743" s="652"/>
    </row>
    <row r="2744" spans="1:15" x14ac:dyDescent="0.25">
      <c r="A2744" s="177" t="s">
        <v>106</v>
      </c>
      <c r="B2744" s="629">
        <v>10</v>
      </c>
      <c r="C2744" s="630"/>
      <c r="D2744" s="630"/>
      <c r="E2744" s="631"/>
      <c r="F2744" s="365" t="s">
        <v>174</v>
      </c>
      <c r="G2744" s="471"/>
      <c r="H2744" s="653"/>
      <c r="I2744" s="654"/>
      <c r="J2744" s="654"/>
      <c r="K2744" s="654"/>
      <c r="L2744" s="655"/>
      <c r="M2744" s="656">
        <f>SUM(B2744,H2745)</f>
        <v>10</v>
      </c>
      <c r="N2744" s="630"/>
      <c r="O2744" s="631"/>
    </row>
    <row r="2745" spans="1:15" x14ac:dyDescent="0.25">
      <c r="A2745" s="177" t="s">
        <v>112</v>
      </c>
      <c r="B2745" s="626">
        <v>0.15</v>
      </c>
      <c r="C2745" s="627"/>
      <c r="D2745" s="627"/>
      <c r="E2745" s="628"/>
      <c r="F2745" s="290"/>
      <c r="G2745" s="472"/>
      <c r="H2745" s="626"/>
      <c r="I2745" s="627"/>
      <c r="J2745" s="627"/>
      <c r="K2745" s="627"/>
      <c r="L2745" s="628"/>
      <c r="M2745" s="657">
        <f>B2745</f>
        <v>0.15</v>
      </c>
      <c r="N2745" s="627"/>
      <c r="O2745" s="628"/>
    </row>
    <row r="2746" spans="1:15" x14ac:dyDescent="0.25">
      <c r="A2746" s="177" t="s">
        <v>107</v>
      </c>
      <c r="B2746" s="629">
        <f>B2744*(1-B2745)</f>
        <v>8.5</v>
      </c>
      <c r="C2746" s="630"/>
      <c r="D2746" s="630"/>
      <c r="E2746" s="631"/>
      <c r="F2746" s="290"/>
      <c r="G2746" s="472"/>
      <c r="H2746" s="629">
        <f>H2744*(1-H2745)</f>
        <v>0</v>
      </c>
      <c r="I2746" s="630"/>
      <c r="J2746" s="630"/>
      <c r="K2746" s="630"/>
      <c r="L2746" s="631"/>
      <c r="M2746" s="656">
        <f>SUM(B2746,H2746)</f>
        <v>8.5</v>
      </c>
      <c r="N2746" s="630"/>
      <c r="O2746" s="631"/>
    </row>
    <row r="2747" spans="1:15" x14ac:dyDescent="0.25">
      <c r="A2747" s="177" t="s">
        <v>108</v>
      </c>
      <c r="B2747" s="626">
        <f>B2750/B2746</f>
        <v>0.75670588235294145</v>
      </c>
      <c r="C2747" s="627"/>
      <c r="D2747" s="627"/>
      <c r="E2747" s="627"/>
      <c r="F2747" s="627"/>
      <c r="G2747" s="627"/>
      <c r="H2747" s="627"/>
      <c r="I2747" s="627"/>
      <c r="J2747" s="627"/>
      <c r="K2747" s="627"/>
      <c r="L2747" s="627"/>
      <c r="M2747" s="627"/>
      <c r="N2747" s="627"/>
      <c r="O2747" s="628"/>
    </row>
    <row r="2748" spans="1:15" x14ac:dyDescent="0.25">
      <c r="A2748" s="177" t="s">
        <v>113</v>
      </c>
      <c r="B2748" s="629">
        <f>B2752*(B2756+B2757+I2756+I2757)/1000</f>
        <v>21.44</v>
      </c>
      <c r="C2748" s="630"/>
      <c r="D2748" s="630"/>
      <c r="E2748" s="630"/>
      <c r="F2748" s="630"/>
      <c r="G2748" s="630"/>
      <c r="H2748" s="630"/>
      <c r="I2748" s="630"/>
      <c r="J2748" s="630"/>
      <c r="K2748" s="630"/>
      <c r="L2748" s="630"/>
      <c r="M2748" s="630"/>
      <c r="N2748" s="630"/>
      <c r="O2748" s="631"/>
    </row>
    <row r="2749" spans="1:15" x14ac:dyDescent="0.25">
      <c r="A2749" s="177" t="s">
        <v>109</v>
      </c>
      <c r="B2749" s="626">
        <v>0.7</v>
      </c>
      <c r="C2749" s="627"/>
      <c r="D2749" s="627"/>
      <c r="E2749" s="627"/>
      <c r="F2749" s="627"/>
      <c r="G2749" s="627"/>
      <c r="H2749" s="627"/>
      <c r="I2749" s="627"/>
      <c r="J2749" s="627"/>
      <c r="K2749" s="627"/>
      <c r="L2749" s="627"/>
      <c r="M2749" s="627"/>
      <c r="N2749" s="627"/>
      <c r="O2749" s="628"/>
    </row>
    <row r="2750" spans="1:15" x14ac:dyDescent="0.25">
      <c r="A2750" s="177" t="s">
        <v>122</v>
      </c>
      <c r="B2750" s="629">
        <f>B2748-(B2748*B2749)</f>
        <v>6.4320000000000022</v>
      </c>
      <c r="C2750" s="630"/>
      <c r="D2750" s="630"/>
      <c r="E2750" s="630"/>
      <c r="F2750" s="630"/>
      <c r="G2750" s="630"/>
      <c r="H2750" s="630"/>
      <c r="I2750" s="630"/>
      <c r="J2750" s="630"/>
      <c r="K2750" s="630"/>
      <c r="L2750" s="630"/>
      <c r="M2750" s="630"/>
      <c r="N2750" s="630"/>
      <c r="O2750" s="631"/>
    </row>
    <row r="2751" spans="1:15" x14ac:dyDescent="0.25">
      <c r="A2751" s="177" t="s">
        <v>110</v>
      </c>
      <c r="B2751" s="632">
        <v>133</v>
      </c>
      <c r="C2751" s="633"/>
      <c r="D2751" s="633"/>
      <c r="E2751" s="633"/>
      <c r="F2751" s="633"/>
      <c r="G2751" s="633"/>
      <c r="H2751" s="633"/>
      <c r="I2751" s="633"/>
      <c r="J2751" s="633"/>
      <c r="K2751" s="633"/>
      <c r="L2751" s="633"/>
      <c r="M2751" s="633"/>
      <c r="N2751" s="633"/>
      <c r="O2751" s="634"/>
    </row>
    <row r="2752" spans="1:15" x14ac:dyDescent="0.25">
      <c r="A2752" s="177" t="s">
        <v>111</v>
      </c>
      <c r="B2752" s="635">
        <v>16</v>
      </c>
      <c r="C2752" s="636"/>
      <c r="D2752" s="636"/>
      <c r="E2752" s="636"/>
      <c r="F2752" s="636"/>
      <c r="G2752" s="636"/>
      <c r="H2752" s="636"/>
      <c r="I2752" s="636"/>
      <c r="J2752" s="636"/>
      <c r="K2752" s="636"/>
      <c r="L2752" s="636"/>
      <c r="M2752" s="636"/>
      <c r="N2752" s="636"/>
      <c r="O2752" s="637"/>
    </row>
    <row r="2753" spans="1:15" x14ac:dyDescent="0.25">
      <c r="A2753" s="177" t="s">
        <v>273</v>
      </c>
      <c r="B2753" s="638" t="s">
        <v>748</v>
      </c>
      <c r="C2753" s="638"/>
      <c r="D2753" s="638"/>
      <c r="E2753" s="638"/>
      <c r="F2753" s="638"/>
      <c r="G2753" s="638"/>
      <c r="H2753" s="638"/>
      <c r="I2753" s="638"/>
      <c r="J2753" s="638"/>
      <c r="K2753" s="638"/>
      <c r="L2753" s="638"/>
      <c r="M2753" s="638"/>
      <c r="N2753" s="638"/>
      <c r="O2753" s="639"/>
    </row>
    <row r="2754" spans="1:15" x14ac:dyDescent="0.25">
      <c r="A2754" s="177" t="s">
        <v>351</v>
      </c>
      <c r="B2754" s="431"/>
      <c r="C2754" s="431"/>
      <c r="D2754" s="431"/>
      <c r="E2754" s="431"/>
      <c r="F2754" s="431"/>
      <c r="G2754" s="431"/>
      <c r="H2754" s="431"/>
      <c r="I2754" s="431"/>
      <c r="J2754" s="431"/>
      <c r="K2754" s="431"/>
      <c r="L2754" s="431"/>
      <c r="M2754" s="431"/>
      <c r="N2754" s="431"/>
      <c r="O2754" s="432"/>
    </row>
    <row r="2755" spans="1:15" x14ac:dyDescent="0.25">
      <c r="B2755" s="307" t="s">
        <v>98</v>
      </c>
      <c r="C2755" s="365" t="s">
        <v>102</v>
      </c>
      <c r="D2755" s="365" t="s">
        <v>92</v>
      </c>
      <c r="E2755" s="365" t="s">
        <v>93</v>
      </c>
      <c r="F2755" s="365" t="s">
        <v>94</v>
      </c>
      <c r="G2755" s="365" t="s">
        <v>549</v>
      </c>
      <c r="H2755" s="359" t="s">
        <v>99</v>
      </c>
      <c r="I2755" s="231"/>
      <c r="J2755" s="231"/>
      <c r="K2755" s="231"/>
      <c r="L2755" s="231"/>
      <c r="M2755" s="231"/>
      <c r="N2755" s="231"/>
      <c r="O2755" s="231"/>
    </row>
    <row r="2756" spans="1:15" x14ac:dyDescent="0.25">
      <c r="B2756" s="308">
        <v>1240</v>
      </c>
      <c r="C2756" s="365" t="s">
        <v>95</v>
      </c>
      <c r="D2756" s="441"/>
      <c r="E2756" s="441"/>
      <c r="F2756" s="441"/>
      <c r="G2756" s="441"/>
      <c r="H2756" s="359">
        <f>SUM(D2756:G2756)</f>
        <v>0</v>
      </c>
      <c r="I2756" s="231"/>
      <c r="J2756" s="231"/>
      <c r="K2756" s="231"/>
      <c r="L2756" s="231"/>
      <c r="M2756" s="231"/>
      <c r="N2756" s="231"/>
      <c r="O2756" s="231"/>
    </row>
    <row r="2757" spans="1:15" x14ac:dyDescent="0.25">
      <c r="B2757" s="308">
        <v>100</v>
      </c>
      <c r="C2757" s="365" t="s">
        <v>96</v>
      </c>
      <c r="D2757" s="441"/>
      <c r="E2757" s="441"/>
      <c r="F2757" s="441"/>
      <c r="G2757" s="441"/>
      <c r="H2757" s="359">
        <f t="shared" ref="H2757:H2763" si="395">SUM(D2757:G2757)</f>
        <v>0</v>
      </c>
      <c r="I2757" s="231"/>
      <c r="J2757" s="231"/>
      <c r="K2757" s="231"/>
      <c r="L2757" s="231"/>
      <c r="M2757" s="231"/>
      <c r="N2757" s="231"/>
      <c r="O2757" s="231"/>
    </row>
    <row r="2758" spans="1:15" x14ac:dyDescent="0.25">
      <c r="B2758" s="307" t="s">
        <v>100</v>
      </c>
      <c r="C2758" s="365" t="s">
        <v>95</v>
      </c>
      <c r="D2758" s="444">
        <f t="shared" ref="D2758:G2758" si="396">D2756/$B2756</f>
        <v>0</v>
      </c>
      <c r="E2758" s="429">
        <f t="shared" si="396"/>
        <v>0</v>
      </c>
      <c r="F2758" s="429">
        <f t="shared" si="396"/>
        <v>0</v>
      </c>
      <c r="G2758" s="429">
        <f t="shared" si="396"/>
        <v>0</v>
      </c>
      <c r="H2758" s="359">
        <f t="shared" si="395"/>
        <v>0</v>
      </c>
      <c r="I2758" s="231"/>
      <c r="J2758" s="231"/>
      <c r="K2758" s="231"/>
      <c r="L2758" s="231"/>
      <c r="M2758" s="584"/>
      <c r="N2758" s="231"/>
      <c r="O2758" s="231"/>
    </row>
    <row r="2759" spans="1:15" x14ac:dyDescent="0.25">
      <c r="B2759" s="307" t="s">
        <v>100</v>
      </c>
      <c r="C2759" s="438" t="s">
        <v>96</v>
      </c>
      <c r="D2759" s="359">
        <f t="shared" ref="D2759:G2759" si="397">D2757/$B2757</f>
        <v>0</v>
      </c>
      <c r="E2759" s="359">
        <f t="shared" si="397"/>
        <v>0</v>
      </c>
      <c r="F2759" s="359">
        <f t="shared" si="397"/>
        <v>0</v>
      </c>
      <c r="G2759" s="359">
        <f t="shared" si="397"/>
        <v>0</v>
      </c>
      <c r="H2759" s="359">
        <f t="shared" si="395"/>
        <v>0</v>
      </c>
      <c r="I2759" s="231"/>
      <c r="J2759" s="231"/>
      <c r="K2759" s="231"/>
      <c r="L2759" s="231"/>
      <c r="M2759" s="231"/>
      <c r="N2759" s="231"/>
      <c r="O2759" s="231"/>
    </row>
    <row r="2760" spans="1:15" x14ac:dyDescent="0.25">
      <c r="B2760" s="307" t="s">
        <v>104</v>
      </c>
      <c r="C2760" s="365" t="s">
        <v>95</v>
      </c>
      <c r="D2760" s="359">
        <f>D2756/($B2756/7.7)</f>
        <v>0</v>
      </c>
      <c r="E2760" s="359">
        <f>E2756/($B2756/7)</f>
        <v>0</v>
      </c>
      <c r="F2760" s="359">
        <f>F2756/($B2756/7)</f>
        <v>0</v>
      </c>
      <c r="G2760" s="359">
        <f>G2756/($B2756/7)</f>
        <v>0</v>
      </c>
      <c r="H2760" s="359">
        <f t="shared" si="395"/>
        <v>0</v>
      </c>
      <c r="I2760" s="231"/>
      <c r="J2760" s="231"/>
      <c r="K2760" s="231"/>
      <c r="L2760" s="231"/>
      <c r="M2760" s="231"/>
      <c r="N2760" s="231"/>
      <c r="O2760" s="231"/>
    </row>
    <row r="2761" spans="1:15" x14ac:dyDescent="0.25">
      <c r="B2761" s="307" t="s">
        <v>104</v>
      </c>
      <c r="C2761" s="438" t="s">
        <v>96</v>
      </c>
      <c r="D2761" s="359">
        <f>D2757/($B2757/7.7)</f>
        <v>0</v>
      </c>
      <c r="E2761" s="359">
        <f>E2757/($B2757/7.7)</f>
        <v>0</v>
      </c>
      <c r="F2761" s="359">
        <f>F2757/($B2757/7.7)</f>
        <v>0</v>
      </c>
      <c r="G2761" s="359">
        <f>G2757/($B2757/7.7)</f>
        <v>0</v>
      </c>
      <c r="H2761" s="359">
        <f t="shared" si="395"/>
        <v>0</v>
      </c>
      <c r="I2761" s="231"/>
      <c r="J2761" s="231"/>
      <c r="K2761" s="231"/>
      <c r="L2761" s="231"/>
      <c r="M2761" s="231"/>
      <c r="N2761" s="231"/>
      <c r="O2761" s="231"/>
    </row>
    <row r="2762" spans="1:15" x14ac:dyDescent="0.25">
      <c r="B2762" s="307" t="s">
        <v>135</v>
      </c>
      <c r="C2762" s="365" t="s">
        <v>95</v>
      </c>
      <c r="D2762" s="359">
        <f>D2756/((($B2756*$B2752)*(1-$B2749))/$B2747)</f>
        <v>0</v>
      </c>
      <c r="E2762" s="359">
        <f>E2756/((($B2756*$B2752)*(1-$B2749))/$B2747)</f>
        <v>0</v>
      </c>
      <c r="F2762" s="359">
        <f>F2756/((($B2756*$B2752)*(1-$B2749))/$B2747)</f>
        <v>0</v>
      </c>
      <c r="G2762" s="359">
        <f>G2756/((($B2756*$B2752)*(1-$B2749))/$B2747)</f>
        <v>0</v>
      </c>
      <c r="H2762" s="359">
        <f t="shared" si="395"/>
        <v>0</v>
      </c>
      <c r="I2762" s="231"/>
      <c r="J2762" s="231"/>
      <c r="K2762" s="231"/>
      <c r="L2762" s="231"/>
      <c r="M2762" s="231"/>
      <c r="N2762" s="231"/>
      <c r="O2762" s="231"/>
    </row>
    <row r="2763" spans="1:15" x14ac:dyDescent="0.25">
      <c r="B2763" s="307" t="s">
        <v>135</v>
      </c>
      <c r="C2763" s="438" t="s">
        <v>96</v>
      </c>
      <c r="D2763" s="359">
        <f>D2757/((($B2757*$B2752)*(1-$B2749))/$B2747)</f>
        <v>0</v>
      </c>
      <c r="E2763" s="359">
        <f>E2757/((($B2757*$B2752)*(1-$B2749))/$B2747)</f>
        <v>0</v>
      </c>
      <c r="F2763" s="359">
        <f>F2757/((($B2757*$B2752)*(1-$B2749))/$B2747)</f>
        <v>0</v>
      </c>
      <c r="G2763" s="359">
        <f>G2757/((($B2757*$B2752)*(1-$B2749))/$B2747)</f>
        <v>0</v>
      </c>
      <c r="H2763" s="359">
        <f t="shared" si="395"/>
        <v>0</v>
      </c>
      <c r="I2763" s="231"/>
      <c r="J2763" s="231"/>
      <c r="K2763" s="231"/>
      <c r="L2763" s="231"/>
      <c r="M2763" s="231"/>
      <c r="N2763" s="231"/>
      <c r="O2763" s="231"/>
    </row>
    <row r="2764" spans="1:15" x14ac:dyDescent="0.25">
      <c r="A2764" s="178"/>
      <c r="B2764" s="178"/>
      <c r="C2764" s="178"/>
      <c r="D2764" s="178"/>
      <c r="E2764" s="178"/>
      <c r="F2764" s="178"/>
      <c r="G2764" s="178"/>
      <c r="H2764" s="178"/>
      <c r="I2764" s="178"/>
      <c r="J2764" s="178"/>
      <c r="K2764" s="178"/>
      <c r="L2764" s="178"/>
      <c r="M2764" s="178"/>
      <c r="N2764" s="178"/>
      <c r="O2764" s="178"/>
    </row>
    <row r="2765" spans="1:15" ht="21" x14ac:dyDescent="0.25">
      <c r="A2765" s="305"/>
      <c r="B2765" s="644" t="s">
        <v>742</v>
      </c>
      <c r="C2765" s="645"/>
      <c r="D2765" s="645"/>
      <c r="E2765" s="645"/>
      <c r="F2765" s="645"/>
      <c r="G2765" s="645"/>
      <c r="H2765" s="645"/>
      <c r="I2765" s="645"/>
      <c r="J2765" s="645"/>
      <c r="K2765" s="645"/>
      <c r="L2765" s="645"/>
      <c r="M2765" s="645"/>
      <c r="N2765" s="645"/>
      <c r="O2765" s="646"/>
    </row>
    <row r="2766" spans="1:15" ht="21" x14ac:dyDescent="0.25">
      <c r="A2766" s="177" t="s">
        <v>285</v>
      </c>
      <c r="B2766" s="647">
        <v>44928</v>
      </c>
      <c r="C2766" s="648"/>
      <c r="D2766" s="648"/>
      <c r="E2766" s="648"/>
      <c r="F2766" s="648"/>
      <c r="G2766" s="648"/>
      <c r="H2766" s="648"/>
      <c r="I2766" s="648"/>
      <c r="J2766" s="648"/>
      <c r="K2766" s="648"/>
      <c r="L2766" s="648"/>
      <c r="M2766" s="648"/>
      <c r="N2766" s="648"/>
      <c r="O2766" s="649"/>
    </row>
    <row r="2767" spans="1:15" x14ac:dyDescent="0.25">
      <c r="A2767" s="177"/>
      <c r="B2767" s="650" t="s">
        <v>115</v>
      </c>
      <c r="C2767" s="651"/>
      <c r="D2767" s="651"/>
      <c r="E2767" s="651"/>
      <c r="F2767" s="651"/>
      <c r="G2767" s="651"/>
      <c r="H2767" s="651"/>
      <c r="I2767" s="651"/>
      <c r="J2767" s="651"/>
      <c r="K2767" s="651"/>
      <c r="L2767" s="651"/>
      <c r="M2767" s="651"/>
      <c r="N2767" s="651"/>
      <c r="O2767" s="652"/>
    </row>
    <row r="2768" spans="1:15" x14ac:dyDescent="0.25">
      <c r="A2768" s="177" t="s">
        <v>106</v>
      </c>
      <c r="B2768" s="629">
        <v>10</v>
      </c>
      <c r="C2768" s="630"/>
      <c r="D2768" s="630"/>
      <c r="E2768" s="631"/>
      <c r="F2768" s="365" t="s">
        <v>174</v>
      </c>
      <c r="G2768" s="471"/>
      <c r="H2768" s="653"/>
      <c r="I2768" s="654"/>
      <c r="J2768" s="654"/>
      <c r="K2768" s="654"/>
      <c r="L2768" s="655"/>
      <c r="M2768" s="656">
        <f>SUM(B2768,H2769)</f>
        <v>10</v>
      </c>
      <c r="N2768" s="630"/>
      <c r="O2768" s="631"/>
    </row>
    <row r="2769" spans="1:15" x14ac:dyDescent="0.25">
      <c r="A2769" s="177" t="s">
        <v>112</v>
      </c>
      <c r="B2769" s="626">
        <v>0.13</v>
      </c>
      <c r="C2769" s="627"/>
      <c r="D2769" s="627"/>
      <c r="E2769" s="628"/>
      <c r="F2769" s="290"/>
      <c r="G2769" s="472"/>
      <c r="H2769" s="626"/>
      <c r="I2769" s="627"/>
      <c r="J2769" s="627"/>
      <c r="K2769" s="627"/>
      <c r="L2769" s="628"/>
      <c r="M2769" s="657">
        <f>B2769</f>
        <v>0.13</v>
      </c>
      <c r="N2769" s="627"/>
      <c r="O2769" s="628"/>
    </row>
    <row r="2770" spans="1:15" x14ac:dyDescent="0.25">
      <c r="A2770" s="177" t="s">
        <v>107</v>
      </c>
      <c r="B2770" s="629">
        <f>B2768*(1-B2769)</f>
        <v>8.6999999999999993</v>
      </c>
      <c r="C2770" s="630"/>
      <c r="D2770" s="630"/>
      <c r="E2770" s="631"/>
      <c r="F2770" s="290"/>
      <c r="G2770" s="472"/>
      <c r="H2770" s="629">
        <f>H2768*(1-H2769)</f>
        <v>0</v>
      </c>
      <c r="I2770" s="630"/>
      <c r="J2770" s="630"/>
      <c r="K2770" s="630"/>
      <c r="L2770" s="631"/>
      <c r="M2770" s="656">
        <f>SUM(B2770,H2770)</f>
        <v>8.6999999999999993</v>
      </c>
      <c r="N2770" s="630"/>
      <c r="O2770" s="631"/>
    </row>
    <row r="2771" spans="1:15" x14ac:dyDescent="0.25">
      <c r="A2771" s="177" t="s">
        <v>108</v>
      </c>
      <c r="B2771" s="626">
        <f>B2774/B2770</f>
        <v>0.76965517241379333</v>
      </c>
      <c r="C2771" s="627"/>
      <c r="D2771" s="627"/>
      <c r="E2771" s="627"/>
      <c r="F2771" s="627"/>
      <c r="G2771" s="627"/>
      <c r="H2771" s="627"/>
      <c r="I2771" s="627"/>
      <c r="J2771" s="627"/>
      <c r="K2771" s="627"/>
      <c r="L2771" s="627"/>
      <c r="M2771" s="627"/>
      <c r="N2771" s="627"/>
      <c r="O2771" s="628"/>
    </row>
    <row r="2772" spans="1:15" x14ac:dyDescent="0.25">
      <c r="A2772" s="177" t="s">
        <v>113</v>
      </c>
      <c r="B2772" s="629">
        <f>B2776*(B2780+B2781)/1000</f>
        <v>22.32</v>
      </c>
      <c r="C2772" s="630"/>
      <c r="D2772" s="630"/>
      <c r="E2772" s="630"/>
      <c r="F2772" s="630"/>
      <c r="G2772" s="630"/>
      <c r="H2772" s="630"/>
      <c r="I2772" s="630"/>
      <c r="J2772" s="630"/>
      <c r="K2772" s="630"/>
      <c r="L2772" s="630"/>
      <c r="M2772" s="630"/>
      <c r="N2772" s="630"/>
      <c r="O2772" s="631"/>
    </row>
    <row r="2773" spans="1:15" x14ac:dyDescent="0.25">
      <c r="A2773" s="177" t="s">
        <v>109</v>
      </c>
      <c r="B2773" s="626">
        <v>0.7</v>
      </c>
      <c r="C2773" s="627"/>
      <c r="D2773" s="627"/>
      <c r="E2773" s="627"/>
      <c r="F2773" s="627"/>
      <c r="G2773" s="627"/>
      <c r="H2773" s="627"/>
      <c r="I2773" s="627"/>
      <c r="J2773" s="627"/>
      <c r="K2773" s="627"/>
      <c r="L2773" s="627"/>
      <c r="M2773" s="627"/>
      <c r="N2773" s="627"/>
      <c r="O2773" s="628"/>
    </row>
    <row r="2774" spans="1:15" x14ac:dyDescent="0.25">
      <c r="A2774" s="177" t="s">
        <v>122</v>
      </c>
      <c r="B2774" s="629">
        <f>B2772-(B2772*B2773)</f>
        <v>6.6960000000000015</v>
      </c>
      <c r="C2774" s="630"/>
      <c r="D2774" s="630"/>
      <c r="E2774" s="630"/>
      <c r="F2774" s="630"/>
      <c r="G2774" s="630"/>
      <c r="H2774" s="630"/>
      <c r="I2774" s="630"/>
      <c r="J2774" s="630"/>
      <c r="K2774" s="630"/>
      <c r="L2774" s="630"/>
      <c r="M2774" s="630"/>
      <c r="N2774" s="630"/>
      <c r="O2774" s="631"/>
    </row>
    <row r="2775" spans="1:15" x14ac:dyDescent="0.25">
      <c r="A2775" s="177" t="s">
        <v>110</v>
      </c>
      <c r="B2775" s="632">
        <v>125</v>
      </c>
      <c r="C2775" s="633"/>
      <c r="D2775" s="633"/>
      <c r="E2775" s="633"/>
      <c r="F2775" s="633"/>
      <c r="G2775" s="633"/>
      <c r="H2775" s="633"/>
      <c r="I2775" s="633"/>
      <c r="J2775" s="633"/>
      <c r="K2775" s="633"/>
      <c r="L2775" s="633"/>
      <c r="M2775" s="633"/>
      <c r="N2775" s="633"/>
      <c r="O2775" s="634"/>
    </row>
    <row r="2776" spans="1:15" x14ac:dyDescent="0.25">
      <c r="A2776" s="177" t="s">
        <v>111</v>
      </c>
      <c r="B2776" s="635">
        <v>15</v>
      </c>
      <c r="C2776" s="636"/>
      <c r="D2776" s="636"/>
      <c r="E2776" s="636"/>
      <c r="F2776" s="636"/>
      <c r="G2776" s="636"/>
      <c r="H2776" s="636"/>
      <c r="I2776" s="636"/>
      <c r="J2776" s="636"/>
      <c r="K2776" s="636"/>
      <c r="L2776" s="636"/>
      <c r="M2776" s="636"/>
      <c r="N2776" s="636"/>
      <c r="O2776" s="637"/>
    </row>
    <row r="2777" spans="1:15" x14ac:dyDescent="0.25">
      <c r="A2777" s="177" t="s">
        <v>273</v>
      </c>
      <c r="B2777" s="638" t="s">
        <v>754</v>
      </c>
      <c r="C2777" s="638"/>
      <c r="D2777" s="638"/>
      <c r="E2777" s="638"/>
      <c r="F2777" s="638"/>
      <c r="G2777" s="638"/>
      <c r="H2777" s="638"/>
      <c r="I2777" s="638"/>
      <c r="J2777" s="638"/>
      <c r="K2777" s="638"/>
      <c r="L2777" s="638"/>
      <c r="M2777" s="638"/>
      <c r="N2777" s="638"/>
      <c r="O2777" s="639"/>
    </row>
    <row r="2778" spans="1:15" x14ac:dyDescent="0.25">
      <c r="A2778" s="177" t="s">
        <v>351</v>
      </c>
      <c r="B2778" s="431"/>
      <c r="C2778" s="431"/>
      <c r="D2778" s="431"/>
      <c r="E2778" s="431"/>
      <c r="F2778" s="431"/>
      <c r="G2778" s="431"/>
      <c r="H2778" s="431"/>
      <c r="I2778" s="811"/>
      <c r="J2778" s="811"/>
      <c r="K2778" s="811"/>
      <c r="L2778" s="811"/>
      <c r="M2778" s="811"/>
      <c r="N2778" s="811"/>
      <c r="O2778" s="812"/>
    </row>
    <row r="2779" spans="1:15" x14ac:dyDescent="0.25">
      <c r="B2779" s="307" t="s">
        <v>98</v>
      </c>
      <c r="C2779" s="365" t="s">
        <v>102</v>
      </c>
      <c r="D2779" s="365" t="s">
        <v>92</v>
      </c>
      <c r="E2779" s="365" t="s">
        <v>93</v>
      </c>
      <c r="F2779" s="365" t="s">
        <v>94</v>
      </c>
      <c r="G2779" s="365" t="s">
        <v>549</v>
      </c>
      <c r="H2779" s="814" t="s">
        <v>99</v>
      </c>
      <c r="I2779" s="816"/>
      <c r="J2779" s="813"/>
      <c r="K2779" s="813"/>
      <c r="L2779" s="813"/>
      <c r="M2779" s="813"/>
      <c r="N2779" s="813"/>
      <c r="O2779" s="817"/>
    </row>
    <row r="2780" spans="1:15" x14ac:dyDescent="0.25">
      <c r="B2780" s="308">
        <v>1346</v>
      </c>
      <c r="C2780" s="365" t="s">
        <v>95</v>
      </c>
      <c r="D2780" s="441"/>
      <c r="E2780" s="441"/>
      <c r="F2780" s="441"/>
      <c r="G2780" s="441"/>
      <c r="H2780" s="815">
        <f>SUM(D2780:G2780)</f>
        <v>0</v>
      </c>
      <c r="I2780" s="816"/>
      <c r="J2780" s="813"/>
      <c r="K2780" s="813"/>
      <c r="L2780" s="813"/>
      <c r="M2780" s="813"/>
      <c r="N2780" s="813"/>
      <c r="O2780" s="817"/>
    </row>
    <row r="2781" spans="1:15" x14ac:dyDescent="0.25">
      <c r="B2781" s="308">
        <v>142</v>
      </c>
      <c r="C2781" s="365" t="s">
        <v>96</v>
      </c>
      <c r="D2781" s="441"/>
      <c r="E2781" s="441"/>
      <c r="F2781" s="441"/>
      <c r="G2781" s="441"/>
      <c r="H2781" s="815">
        <f t="shared" ref="H2781:H2787" si="398">SUM(D2781:G2781)</f>
        <v>0</v>
      </c>
      <c r="I2781" s="816"/>
      <c r="J2781" s="813"/>
      <c r="K2781" s="813"/>
      <c r="L2781" s="813"/>
      <c r="M2781" s="813"/>
      <c r="N2781" s="813"/>
      <c r="O2781" s="817"/>
    </row>
    <row r="2782" spans="1:15" x14ac:dyDescent="0.25">
      <c r="B2782" s="307" t="s">
        <v>100</v>
      </c>
      <c r="C2782" s="365" t="s">
        <v>95</v>
      </c>
      <c r="D2782" s="444">
        <f t="shared" ref="D2782:G2782" si="399">D2780/$B2780</f>
        <v>0</v>
      </c>
      <c r="E2782" s="429">
        <f t="shared" si="399"/>
        <v>0</v>
      </c>
      <c r="F2782" s="429">
        <f t="shared" si="399"/>
        <v>0</v>
      </c>
      <c r="G2782" s="429">
        <f t="shared" si="399"/>
        <v>0</v>
      </c>
      <c r="H2782" s="815">
        <f t="shared" si="398"/>
        <v>0</v>
      </c>
      <c r="I2782" s="816"/>
      <c r="J2782" s="813"/>
      <c r="K2782" s="813"/>
      <c r="L2782" s="813"/>
      <c r="M2782" s="813"/>
      <c r="N2782" s="813"/>
      <c r="O2782" s="817"/>
    </row>
    <row r="2783" spans="1:15" x14ac:dyDescent="0.25">
      <c r="B2783" s="307" t="s">
        <v>100</v>
      </c>
      <c r="C2783" s="438" t="s">
        <v>96</v>
      </c>
      <c r="D2783" s="359">
        <f t="shared" ref="D2783:G2783" si="400">D2781/$B2781</f>
        <v>0</v>
      </c>
      <c r="E2783" s="359">
        <f t="shared" si="400"/>
        <v>0</v>
      </c>
      <c r="F2783" s="359">
        <f t="shared" si="400"/>
        <v>0</v>
      </c>
      <c r="G2783" s="359">
        <f t="shared" si="400"/>
        <v>0</v>
      </c>
      <c r="H2783" s="815">
        <f t="shared" si="398"/>
        <v>0</v>
      </c>
      <c r="I2783" s="816"/>
      <c r="J2783" s="813"/>
      <c r="K2783" s="813"/>
      <c r="L2783" s="813"/>
      <c r="M2783" s="813"/>
      <c r="N2783" s="813"/>
      <c r="O2783" s="817"/>
    </row>
    <row r="2784" spans="1:15" x14ac:dyDescent="0.25">
      <c r="B2784" s="307" t="s">
        <v>104</v>
      </c>
      <c r="C2784" s="365" t="s">
        <v>95</v>
      </c>
      <c r="D2784" s="359">
        <f>D2780/($B2780/7.7)</f>
        <v>0</v>
      </c>
      <c r="E2784" s="359">
        <f>E2780/($B2780/7)</f>
        <v>0</v>
      </c>
      <c r="F2784" s="359">
        <f>F2780/($B2780/7)</f>
        <v>0</v>
      </c>
      <c r="G2784" s="359">
        <f>G2780/($B2780/7)</f>
        <v>0</v>
      </c>
      <c r="H2784" s="815">
        <f t="shared" si="398"/>
        <v>0</v>
      </c>
      <c r="I2784" s="816"/>
      <c r="J2784" s="813"/>
      <c r="K2784" s="813"/>
      <c r="L2784" s="813"/>
      <c r="M2784" s="813"/>
      <c r="N2784" s="813"/>
      <c r="O2784" s="817"/>
    </row>
    <row r="2785" spans="1:15" x14ac:dyDescent="0.25">
      <c r="B2785" s="307" t="s">
        <v>104</v>
      </c>
      <c r="C2785" s="438" t="s">
        <v>96</v>
      </c>
      <c r="D2785" s="359">
        <f>D2781/($B2781/7.7)</f>
        <v>0</v>
      </c>
      <c r="E2785" s="359">
        <f>E2781/($B2781/7.7)</f>
        <v>0</v>
      </c>
      <c r="F2785" s="359">
        <f>F2781/($B2781/7.7)</f>
        <v>0</v>
      </c>
      <c r="G2785" s="359">
        <f>G2781/($B2781/7.7)</f>
        <v>0</v>
      </c>
      <c r="H2785" s="815">
        <f t="shared" si="398"/>
        <v>0</v>
      </c>
      <c r="I2785" s="816"/>
      <c r="J2785" s="813"/>
      <c r="K2785" s="813"/>
      <c r="L2785" s="813"/>
      <c r="M2785" s="813"/>
      <c r="N2785" s="813"/>
      <c r="O2785" s="817"/>
    </row>
    <row r="2786" spans="1:15" x14ac:dyDescent="0.25">
      <c r="B2786" s="307" t="s">
        <v>135</v>
      </c>
      <c r="C2786" s="365" t="s">
        <v>95</v>
      </c>
      <c r="D2786" s="359">
        <f>D2780/((($B2780*$B2776)*(1-$B2773))/$B2771)</f>
        <v>0</v>
      </c>
      <c r="E2786" s="359">
        <f>E2780/((($B2780*$B2776)*(1-$B2773))/$B2771)</f>
        <v>0</v>
      </c>
      <c r="F2786" s="359">
        <f>F2780/((($B2780*$B2776)*(1-$B2773))/$B2771)</f>
        <v>0</v>
      </c>
      <c r="G2786" s="359">
        <f>G2780/((($B2780*$B2776)*(1-$B2773))/$B2771)</f>
        <v>0</v>
      </c>
      <c r="H2786" s="815">
        <f t="shared" si="398"/>
        <v>0</v>
      </c>
      <c r="I2786" s="816"/>
      <c r="J2786" s="813"/>
      <c r="K2786" s="813"/>
      <c r="L2786" s="813"/>
      <c r="M2786" s="813"/>
      <c r="N2786" s="813"/>
      <c r="O2786" s="817"/>
    </row>
    <row r="2787" spans="1:15" x14ac:dyDescent="0.25">
      <c r="B2787" s="307" t="s">
        <v>135</v>
      </c>
      <c r="C2787" s="438" t="s">
        <v>96</v>
      </c>
      <c r="D2787" s="359">
        <f>D2781/((($B2781*$B2776)*(1-$B2773))/$B2771)</f>
        <v>0</v>
      </c>
      <c r="E2787" s="359">
        <f>E2781/((($B2781*$B2776)*(1-$B2773))/$B2771)</f>
        <v>0</v>
      </c>
      <c r="F2787" s="359">
        <f>F2781/((($B2781*$B2776)*(1-$B2773))/$B2771)</f>
        <v>0</v>
      </c>
      <c r="G2787" s="359">
        <f>G2781/((($B2781*$B2776)*(1-$B2773))/$B2771)</f>
        <v>0</v>
      </c>
      <c r="H2787" s="815">
        <f t="shared" si="398"/>
        <v>0</v>
      </c>
      <c r="I2787" s="816"/>
      <c r="J2787" s="813"/>
      <c r="K2787" s="813"/>
      <c r="L2787" s="813"/>
      <c r="M2787" s="813"/>
      <c r="N2787" s="813"/>
      <c r="O2787" s="817"/>
    </row>
    <row r="2788" spans="1:15" x14ac:dyDescent="0.25">
      <c r="A2788" s="178"/>
      <c r="B2788" s="178"/>
      <c r="C2788" s="178"/>
      <c r="D2788" s="178"/>
      <c r="E2788" s="178"/>
      <c r="F2788" s="178"/>
      <c r="G2788" s="178"/>
      <c r="H2788" s="178"/>
      <c r="I2788" s="178"/>
      <c r="J2788" s="178"/>
      <c r="K2788" s="178"/>
      <c r="L2788" s="178"/>
      <c r="M2788" s="178"/>
      <c r="N2788" s="178"/>
      <c r="O2788" s="178"/>
    </row>
    <row r="2789" spans="1:15" ht="21" x14ac:dyDescent="0.25">
      <c r="A2789" s="305"/>
      <c r="B2789" s="644" t="s">
        <v>747</v>
      </c>
      <c r="C2789" s="645"/>
      <c r="D2789" s="645"/>
      <c r="E2789" s="645"/>
      <c r="F2789" s="645"/>
      <c r="G2789" s="645"/>
      <c r="H2789" s="645"/>
      <c r="I2789" s="645"/>
      <c r="J2789" s="645"/>
      <c r="K2789" s="645"/>
      <c r="L2789" s="645"/>
      <c r="M2789" s="645"/>
      <c r="N2789" s="645"/>
      <c r="O2789" s="646"/>
    </row>
    <row r="2790" spans="1:15" ht="21" x14ac:dyDescent="0.25">
      <c r="A2790" s="177" t="s">
        <v>285</v>
      </c>
      <c r="B2790" s="647"/>
      <c r="C2790" s="648"/>
      <c r="D2790" s="648"/>
      <c r="E2790" s="648"/>
      <c r="F2790" s="648"/>
      <c r="G2790" s="648"/>
      <c r="H2790" s="648"/>
      <c r="I2790" s="648"/>
      <c r="J2790" s="648"/>
      <c r="K2790" s="648"/>
      <c r="L2790" s="648"/>
      <c r="M2790" s="648"/>
      <c r="N2790" s="648"/>
      <c r="O2790" s="649"/>
    </row>
    <row r="2791" spans="1:15" x14ac:dyDescent="0.25">
      <c r="A2791" s="177"/>
      <c r="B2791" s="650" t="s">
        <v>115</v>
      </c>
      <c r="C2791" s="651"/>
      <c r="D2791" s="651"/>
      <c r="E2791" s="651"/>
      <c r="F2791" s="651"/>
      <c r="G2791" s="651"/>
      <c r="H2791" s="651"/>
      <c r="I2791" s="651"/>
      <c r="J2791" s="651"/>
      <c r="K2791" s="651"/>
      <c r="L2791" s="651"/>
      <c r="M2791" s="651"/>
      <c r="N2791" s="651"/>
      <c r="O2791" s="652"/>
    </row>
    <row r="2792" spans="1:15" x14ac:dyDescent="0.25">
      <c r="A2792" s="177" t="s">
        <v>106</v>
      </c>
      <c r="B2792" s="629">
        <v>10</v>
      </c>
      <c r="C2792" s="630"/>
      <c r="D2792" s="630"/>
      <c r="E2792" s="631"/>
      <c r="F2792" s="365" t="s">
        <v>174</v>
      </c>
      <c r="G2792" s="471"/>
      <c r="H2792" s="653"/>
      <c r="I2792" s="654"/>
      <c r="J2792" s="654"/>
      <c r="K2792" s="654"/>
      <c r="L2792" s="655"/>
      <c r="M2792" s="656">
        <f>SUM(B2792,H2793)</f>
        <v>10</v>
      </c>
      <c r="N2792" s="630"/>
      <c r="O2792" s="631"/>
    </row>
    <row r="2793" spans="1:15" x14ac:dyDescent="0.25">
      <c r="A2793" s="177" t="s">
        <v>112</v>
      </c>
      <c r="B2793" s="626">
        <v>0.13</v>
      </c>
      <c r="C2793" s="627"/>
      <c r="D2793" s="627"/>
      <c r="E2793" s="628"/>
      <c r="F2793" s="290"/>
      <c r="G2793" s="472"/>
      <c r="H2793" s="626"/>
      <c r="I2793" s="627"/>
      <c r="J2793" s="627"/>
      <c r="K2793" s="627"/>
      <c r="L2793" s="628"/>
      <c r="M2793" s="657">
        <f>B2793</f>
        <v>0.13</v>
      </c>
      <c r="N2793" s="627"/>
      <c r="O2793" s="628"/>
    </row>
    <row r="2794" spans="1:15" x14ac:dyDescent="0.25">
      <c r="A2794" s="177" t="s">
        <v>107</v>
      </c>
      <c r="B2794" s="629">
        <f>B2792*(1-B2793)</f>
        <v>8.6999999999999993</v>
      </c>
      <c r="C2794" s="630"/>
      <c r="D2794" s="630"/>
      <c r="E2794" s="631"/>
      <c r="F2794" s="290"/>
      <c r="G2794" s="472"/>
      <c r="H2794" s="629">
        <f>H2792*(1-H2793)</f>
        <v>0</v>
      </c>
      <c r="I2794" s="630"/>
      <c r="J2794" s="630"/>
      <c r="K2794" s="630"/>
      <c r="L2794" s="631"/>
      <c r="M2794" s="656">
        <f>SUM(B2794,H2794)</f>
        <v>8.6999999999999993</v>
      </c>
      <c r="N2794" s="630"/>
      <c r="O2794" s="631"/>
    </row>
    <row r="2795" spans="1:15" x14ac:dyDescent="0.25">
      <c r="A2795" s="177" t="s">
        <v>108</v>
      </c>
      <c r="B2795" s="626">
        <f>B2798/B2794</f>
        <v>0</v>
      </c>
      <c r="C2795" s="627"/>
      <c r="D2795" s="627"/>
      <c r="E2795" s="627"/>
      <c r="F2795" s="627"/>
      <c r="G2795" s="627"/>
      <c r="H2795" s="627"/>
      <c r="I2795" s="627"/>
      <c r="J2795" s="627"/>
      <c r="K2795" s="627"/>
      <c r="L2795" s="627"/>
      <c r="M2795" s="627"/>
      <c r="N2795" s="627"/>
      <c r="O2795" s="628"/>
    </row>
    <row r="2796" spans="1:15" x14ac:dyDescent="0.25">
      <c r="A2796" s="177" t="s">
        <v>113</v>
      </c>
      <c r="B2796" s="629">
        <f>B2800*(B2804+B2805+I2804+I2805)/1000</f>
        <v>0</v>
      </c>
      <c r="C2796" s="630"/>
      <c r="D2796" s="630"/>
      <c r="E2796" s="630"/>
      <c r="F2796" s="630"/>
      <c r="G2796" s="630"/>
      <c r="H2796" s="630"/>
      <c r="I2796" s="630"/>
      <c r="J2796" s="630"/>
      <c r="K2796" s="630"/>
      <c r="L2796" s="630"/>
      <c r="M2796" s="630"/>
      <c r="N2796" s="630"/>
      <c r="O2796" s="631"/>
    </row>
    <row r="2797" spans="1:15" x14ac:dyDescent="0.25">
      <c r="A2797" s="177" t="s">
        <v>109</v>
      </c>
      <c r="B2797" s="626"/>
      <c r="C2797" s="627"/>
      <c r="D2797" s="627"/>
      <c r="E2797" s="627"/>
      <c r="F2797" s="627"/>
      <c r="G2797" s="627"/>
      <c r="H2797" s="627"/>
      <c r="I2797" s="627"/>
      <c r="J2797" s="627"/>
      <c r="K2797" s="627"/>
      <c r="L2797" s="627"/>
      <c r="M2797" s="627"/>
      <c r="N2797" s="627"/>
      <c r="O2797" s="628"/>
    </row>
    <row r="2798" spans="1:15" x14ac:dyDescent="0.25">
      <c r="A2798" s="177" t="s">
        <v>122</v>
      </c>
      <c r="B2798" s="629">
        <f>B2796-(B2796*B2797)</f>
        <v>0</v>
      </c>
      <c r="C2798" s="630"/>
      <c r="D2798" s="630"/>
      <c r="E2798" s="630"/>
      <c r="F2798" s="630"/>
      <c r="G2798" s="630"/>
      <c r="H2798" s="630"/>
      <c r="I2798" s="630"/>
      <c r="J2798" s="630"/>
      <c r="K2798" s="630"/>
      <c r="L2798" s="630"/>
      <c r="M2798" s="630"/>
      <c r="N2798" s="630"/>
      <c r="O2798" s="631"/>
    </row>
    <row r="2799" spans="1:15" x14ac:dyDescent="0.25">
      <c r="A2799" s="177" t="s">
        <v>110</v>
      </c>
      <c r="B2799" s="632"/>
      <c r="C2799" s="633"/>
      <c r="D2799" s="633"/>
      <c r="E2799" s="633"/>
      <c r="F2799" s="633"/>
      <c r="G2799" s="633"/>
      <c r="H2799" s="633"/>
      <c r="I2799" s="633"/>
      <c r="J2799" s="633"/>
      <c r="K2799" s="633"/>
      <c r="L2799" s="633"/>
      <c r="M2799" s="633"/>
      <c r="N2799" s="633"/>
      <c r="O2799" s="634"/>
    </row>
    <row r="2800" spans="1:15" x14ac:dyDescent="0.25">
      <c r="A2800" s="177" t="s">
        <v>111</v>
      </c>
      <c r="B2800" s="635"/>
      <c r="C2800" s="636"/>
      <c r="D2800" s="636"/>
      <c r="E2800" s="636"/>
      <c r="F2800" s="636"/>
      <c r="G2800" s="636"/>
      <c r="H2800" s="636"/>
      <c r="I2800" s="636"/>
      <c r="J2800" s="636"/>
      <c r="K2800" s="636"/>
      <c r="L2800" s="636"/>
      <c r="M2800" s="636"/>
      <c r="N2800" s="636"/>
      <c r="O2800" s="637"/>
    </row>
    <row r="2801" spans="1:15" x14ac:dyDescent="0.25">
      <c r="A2801" s="177" t="s">
        <v>273</v>
      </c>
      <c r="B2801" s="638"/>
      <c r="C2801" s="638"/>
      <c r="D2801" s="638"/>
      <c r="E2801" s="638"/>
      <c r="F2801" s="638"/>
      <c r="G2801" s="638"/>
      <c r="H2801" s="638"/>
      <c r="I2801" s="638"/>
      <c r="J2801" s="638"/>
      <c r="K2801" s="638"/>
      <c r="L2801" s="638"/>
      <c r="M2801" s="638"/>
      <c r="N2801" s="638"/>
      <c r="O2801" s="639"/>
    </row>
    <row r="2802" spans="1:15" x14ac:dyDescent="0.25">
      <c r="A2802" s="177" t="s">
        <v>351</v>
      </c>
      <c r="B2802" s="431"/>
      <c r="C2802" s="431"/>
      <c r="D2802" s="431"/>
      <c r="E2802" s="431"/>
      <c r="F2802" s="431"/>
      <c r="G2802" s="431"/>
      <c r="H2802" s="431"/>
      <c r="I2802" s="431"/>
      <c r="J2802" s="431"/>
      <c r="K2802" s="431"/>
      <c r="L2802" s="431"/>
      <c r="M2802" s="431"/>
      <c r="N2802" s="431"/>
      <c r="O2802" s="432"/>
    </row>
    <row r="2803" spans="1:15" x14ac:dyDescent="0.25">
      <c r="B2803" s="307" t="s">
        <v>98</v>
      </c>
      <c r="C2803" s="365" t="s">
        <v>102</v>
      </c>
      <c r="D2803" s="365" t="s">
        <v>92</v>
      </c>
      <c r="E2803" s="365" t="s">
        <v>93</v>
      </c>
      <c r="F2803" s="365" t="s">
        <v>94</v>
      </c>
      <c r="G2803" s="365" t="s">
        <v>549</v>
      </c>
      <c r="H2803" s="359" t="s">
        <v>99</v>
      </c>
      <c r="I2803" s="307" t="s">
        <v>98</v>
      </c>
      <c r="J2803" s="365" t="s">
        <v>102</v>
      </c>
      <c r="K2803" s="365" t="s">
        <v>92</v>
      </c>
      <c r="L2803" s="365" t="s">
        <v>93</v>
      </c>
      <c r="M2803" s="365" t="s">
        <v>94</v>
      </c>
      <c r="N2803" s="365" t="s">
        <v>549</v>
      </c>
      <c r="O2803" s="359" t="s">
        <v>99</v>
      </c>
    </row>
    <row r="2804" spans="1:15" x14ac:dyDescent="0.25">
      <c r="B2804" s="308"/>
      <c r="C2804" s="365" t="s">
        <v>95</v>
      </c>
      <c r="D2804" s="441"/>
      <c r="E2804" s="441"/>
      <c r="F2804" s="441"/>
      <c r="G2804" s="441"/>
      <c r="H2804" s="359">
        <f>SUM(D2804:G2804)</f>
        <v>0</v>
      </c>
      <c r="I2804" s="308"/>
      <c r="J2804" s="365" t="s">
        <v>95</v>
      </c>
      <c r="K2804" s="441"/>
      <c r="L2804" s="441"/>
      <c r="M2804" s="441"/>
      <c r="N2804" s="441"/>
      <c r="O2804" s="359">
        <f>SUM(K2804:N2804)</f>
        <v>0</v>
      </c>
    </row>
    <row r="2805" spans="1:15" x14ac:dyDescent="0.25">
      <c r="B2805" s="308"/>
      <c r="C2805" s="365" t="s">
        <v>96</v>
      </c>
      <c r="D2805" s="441"/>
      <c r="E2805" s="441"/>
      <c r="F2805" s="441"/>
      <c r="G2805" s="441"/>
      <c r="H2805" s="359">
        <f t="shared" ref="H2805:H2811" si="401">SUM(D2805:G2805)</f>
        <v>0</v>
      </c>
      <c r="I2805" s="308"/>
      <c r="J2805" s="365" t="s">
        <v>96</v>
      </c>
      <c r="K2805" s="441"/>
      <c r="L2805" s="441"/>
      <c r="M2805" s="441"/>
      <c r="N2805" s="441"/>
      <c r="O2805" s="359">
        <f t="shared" ref="O2805:O2811" si="402">SUM(K2805:N2805)</f>
        <v>0</v>
      </c>
    </row>
    <row r="2806" spans="1:15" x14ac:dyDescent="0.25">
      <c r="B2806" s="307" t="s">
        <v>100</v>
      </c>
      <c r="C2806" s="365" t="s">
        <v>95</v>
      </c>
      <c r="D2806" s="444" t="e">
        <f t="shared" ref="D2806:G2806" si="403">D2804/$B2804</f>
        <v>#DIV/0!</v>
      </c>
      <c r="E2806" s="429" t="e">
        <f t="shared" si="403"/>
        <v>#DIV/0!</v>
      </c>
      <c r="F2806" s="429" t="e">
        <f t="shared" si="403"/>
        <v>#DIV/0!</v>
      </c>
      <c r="G2806" s="429" t="e">
        <f t="shared" si="403"/>
        <v>#DIV/0!</v>
      </c>
      <c r="H2806" s="359" t="e">
        <f t="shared" si="401"/>
        <v>#DIV/0!</v>
      </c>
      <c r="I2806" s="307" t="s">
        <v>100</v>
      </c>
      <c r="J2806" s="365" t="s">
        <v>95</v>
      </c>
      <c r="K2806" s="444" t="e">
        <f t="shared" ref="K2806:N2806" si="404">K2804/$I2804</f>
        <v>#DIV/0!</v>
      </c>
      <c r="L2806" s="429" t="e">
        <f t="shared" si="404"/>
        <v>#DIV/0!</v>
      </c>
      <c r="M2806" s="429" t="e">
        <f t="shared" si="404"/>
        <v>#DIV/0!</v>
      </c>
      <c r="N2806" s="429" t="e">
        <f t="shared" si="404"/>
        <v>#DIV/0!</v>
      </c>
      <c r="O2806" s="359" t="e">
        <f t="shared" si="402"/>
        <v>#DIV/0!</v>
      </c>
    </row>
    <row r="2807" spans="1:15" x14ac:dyDescent="0.25">
      <c r="B2807" s="307" t="s">
        <v>100</v>
      </c>
      <c r="C2807" s="438" t="s">
        <v>96</v>
      </c>
      <c r="D2807" s="359" t="e">
        <f t="shared" ref="D2807:G2807" si="405">D2805/$B2805</f>
        <v>#DIV/0!</v>
      </c>
      <c r="E2807" s="359" t="e">
        <f t="shared" si="405"/>
        <v>#DIV/0!</v>
      </c>
      <c r="F2807" s="359" t="e">
        <f t="shared" si="405"/>
        <v>#DIV/0!</v>
      </c>
      <c r="G2807" s="359" t="e">
        <f t="shared" si="405"/>
        <v>#DIV/0!</v>
      </c>
      <c r="H2807" s="359" t="e">
        <f t="shared" si="401"/>
        <v>#DIV/0!</v>
      </c>
      <c r="I2807" s="307" t="s">
        <v>100</v>
      </c>
      <c r="J2807" s="438" t="s">
        <v>96</v>
      </c>
      <c r="K2807" s="359" t="e">
        <f t="shared" ref="K2807:N2807" si="406">K2805/$I2805</f>
        <v>#DIV/0!</v>
      </c>
      <c r="L2807" s="359" t="e">
        <f t="shared" si="406"/>
        <v>#DIV/0!</v>
      </c>
      <c r="M2807" s="359" t="e">
        <f t="shared" si="406"/>
        <v>#DIV/0!</v>
      </c>
      <c r="N2807" s="359" t="e">
        <f t="shared" si="406"/>
        <v>#DIV/0!</v>
      </c>
      <c r="O2807" s="359" t="e">
        <f t="shared" si="402"/>
        <v>#DIV/0!</v>
      </c>
    </row>
    <row r="2808" spans="1:15" x14ac:dyDescent="0.25">
      <c r="B2808" s="307" t="s">
        <v>104</v>
      </c>
      <c r="C2808" s="365" t="s">
        <v>95</v>
      </c>
      <c r="D2808" s="359" t="e">
        <f>D2804/($B2804/7.7)</f>
        <v>#DIV/0!</v>
      </c>
      <c r="E2808" s="359" t="e">
        <f>E2804/($B2804/7)</f>
        <v>#DIV/0!</v>
      </c>
      <c r="F2808" s="359" t="e">
        <f>F2804/($B2804/7)</f>
        <v>#DIV/0!</v>
      </c>
      <c r="G2808" s="359" t="e">
        <f>G2804/($B2804/7)</f>
        <v>#DIV/0!</v>
      </c>
      <c r="H2808" s="359" t="e">
        <f t="shared" si="401"/>
        <v>#DIV/0!</v>
      </c>
      <c r="I2808" s="307" t="s">
        <v>104</v>
      </c>
      <c r="J2808" s="365" t="s">
        <v>95</v>
      </c>
      <c r="K2808" s="359" t="e">
        <f>K2804/($I2804/7.7)</f>
        <v>#DIV/0!</v>
      </c>
      <c r="L2808" s="359" t="e">
        <f>L2804/($I2804/7)</f>
        <v>#DIV/0!</v>
      </c>
      <c r="M2808" s="359" t="e">
        <f>M2804/($I2804/7)</f>
        <v>#DIV/0!</v>
      </c>
      <c r="N2808" s="359" t="e">
        <f>N2804/($I2804/7)</f>
        <v>#DIV/0!</v>
      </c>
      <c r="O2808" s="359" t="e">
        <f t="shared" si="402"/>
        <v>#DIV/0!</v>
      </c>
    </row>
    <row r="2809" spans="1:15" x14ac:dyDescent="0.25">
      <c r="B2809" s="307" t="s">
        <v>104</v>
      </c>
      <c r="C2809" s="438" t="s">
        <v>96</v>
      </c>
      <c r="D2809" s="359" t="e">
        <f>D2805/($B2805/7.7)</f>
        <v>#DIV/0!</v>
      </c>
      <c r="E2809" s="359" t="e">
        <f>E2805/($B2805/7.7)</f>
        <v>#DIV/0!</v>
      </c>
      <c r="F2809" s="359" t="e">
        <f>F2805/($B2805/7.7)</f>
        <v>#DIV/0!</v>
      </c>
      <c r="G2809" s="359" t="e">
        <f>G2805/($B2805/7.7)</f>
        <v>#DIV/0!</v>
      </c>
      <c r="H2809" s="359" t="e">
        <f t="shared" si="401"/>
        <v>#DIV/0!</v>
      </c>
      <c r="I2809" s="307" t="s">
        <v>104</v>
      </c>
      <c r="J2809" s="438" t="s">
        <v>96</v>
      </c>
      <c r="K2809" s="359" t="e">
        <f>K2805/($I2805/7.7)</f>
        <v>#DIV/0!</v>
      </c>
      <c r="L2809" s="359" t="e">
        <f>L2805/($I2805/7.7)</f>
        <v>#DIV/0!</v>
      </c>
      <c r="M2809" s="359" t="e">
        <f>M2805/($I2805/7.7)</f>
        <v>#DIV/0!</v>
      </c>
      <c r="N2809" s="359" t="e">
        <f>N2805/($I2805/7.7)</f>
        <v>#DIV/0!</v>
      </c>
      <c r="O2809" s="359" t="e">
        <f t="shared" si="402"/>
        <v>#DIV/0!</v>
      </c>
    </row>
    <row r="2810" spans="1:15" x14ac:dyDescent="0.25">
      <c r="B2810" s="307" t="s">
        <v>135</v>
      </c>
      <c r="C2810" s="365" t="s">
        <v>95</v>
      </c>
      <c r="D2810" s="359" t="e">
        <f>D2804/((($B2804*$B2800)*(1-$B2797))/$B2795)</f>
        <v>#DIV/0!</v>
      </c>
      <c r="E2810" s="359" t="e">
        <f>E2804/((($B2804*$B2800)*(1-$B2797))/$B2795)</f>
        <v>#DIV/0!</v>
      </c>
      <c r="F2810" s="359" t="e">
        <f>F2804/((($B2804*$B2800)*(1-$B2797))/$B2795)</f>
        <v>#DIV/0!</v>
      </c>
      <c r="G2810" s="359" t="e">
        <f>G2804/((($B2804*$B2800)*(1-$B2797))/$B2795)</f>
        <v>#DIV/0!</v>
      </c>
      <c r="H2810" s="359" t="e">
        <f t="shared" si="401"/>
        <v>#DIV/0!</v>
      </c>
      <c r="I2810" s="307" t="s">
        <v>135</v>
      </c>
      <c r="J2810" s="365" t="s">
        <v>95</v>
      </c>
      <c r="K2810" s="359" t="e">
        <f>K2804/((($I2804*$B2800)*(1-$B2797))/$B2795)</f>
        <v>#DIV/0!</v>
      </c>
      <c r="L2810" s="359" t="e">
        <f>L2804/((($I2804*$B2800)*(1-$B2797))/$B2795)</f>
        <v>#DIV/0!</v>
      </c>
      <c r="M2810" s="359" t="e">
        <f>M2804/((($I2804*$B2800)*(1-$B2797))/$B2795)</f>
        <v>#DIV/0!</v>
      </c>
      <c r="N2810" s="359" t="e">
        <f>N2804/((($I2804*$B2800)*(1-$B2797))/$B2795)</f>
        <v>#DIV/0!</v>
      </c>
      <c r="O2810" s="359" t="e">
        <f t="shared" si="402"/>
        <v>#DIV/0!</v>
      </c>
    </row>
    <row r="2811" spans="1:15" x14ac:dyDescent="0.25">
      <c r="B2811" s="307" t="s">
        <v>135</v>
      </c>
      <c r="C2811" s="438" t="s">
        <v>96</v>
      </c>
      <c r="D2811" s="359" t="e">
        <f>D2805/((($B2805*$B2800)*(1-$B2797))/$B2795)</f>
        <v>#DIV/0!</v>
      </c>
      <c r="E2811" s="359" t="e">
        <f>E2805/((($B2805*$B2800)*(1-$B2797))/$B2795)</f>
        <v>#DIV/0!</v>
      </c>
      <c r="F2811" s="359" t="e">
        <f>F2805/((($B2805*$B2800)*(1-$B2797))/$B2795)</f>
        <v>#DIV/0!</v>
      </c>
      <c r="G2811" s="359" t="e">
        <f>G2805/((($B2805*$B2800)*(1-$B2797))/$B2795)</f>
        <v>#DIV/0!</v>
      </c>
      <c r="H2811" s="359" t="e">
        <f t="shared" si="401"/>
        <v>#DIV/0!</v>
      </c>
      <c r="I2811" s="307" t="s">
        <v>135</v>
      </c>
      <c r="J2811" s="438" t="s">
        <v>96</v>
      </c>
      <c r="K2811" s="359" t="e">
        <f>K2805/((($I2805*$B2800)*(1-$B2797))/$B2795)</f>
        <v>#DIV/0!</v>
      </c>
      <c r="L2811" s="359" t="e">
        <f>L2805/((($I2805*$B2800)*(1-$B2797))/$B2795)</f>
        <v>#DIV/0!</v>
      </c>
      <c r="M2811" s="359" t="e">
        <f>M2805/((($I2805*$B2800)*(1-$B2797))/$B2795)</f>
        <v>#DIV/0!</v>
      </c>
      <c r="N2811" s="359" t="e">
        <f>N2805/((($I2805*$B2800)*(1-$B2797))/$B2795)</f>
        <v>#DIV/0!</v>
      </c>
      <c r="O2811" s="359" t="e">
        <f t="shared" si="402"/>
        <v>#DIV/0!</v>
      </c>
    </row>
    <row r="2812" spans="1:15" x14ac:dyDescent="0.25">
      <c r="A2812" s="178"/>
      <c r="B2812" s="178"/>
      <c r="C2812" s="178"/>
      <c r="D2812" s="178"/>
      <c r="E2812" s="178"/>
      <c r="F2812" s="178"/>
      <c r="G2812" s="178"/>
      <c r="H2812" s="178"/>
      <c r="I2812" s="178"/>
      <c r="J2812" s="178"/>
      <c r="K2812" s="178"/>
      <c r="L2812" s="178"/>
      <c r="M2812" s="178"/>
      <c r="N2812" s="178"/>
      <c r="O2812" s="178"/>
    </row>
    <row r="2813" spans="1:15" ht="21" x14ac:dyDescent="0.25">
      <c r="A2813" s="305"/>
      <c r="B2813" s="644" t="s">
        <v>746</v>
      </c>
      <c r="C2813" s="645"/>
      <c r="D2813" s="645"/>
      <c r="E2813" s="645"/>
      <c r="F2813" s="645"/>
      <c r="G2813" s="645"/>
      <c r="H2813" s="645"/>
      <c r="I2813" s="645"/>
      <c r="J2813" s="645"/>
      <c r="K2813" s="645"/>
      <c r="L2813" s="645"/>
      <c r="M2813" s="645"/>
      <c r="N2813" s="645"/>
      <c r="O2813" s="646"/>
    </row>
    <row r="2814" spans="1:15" ht="21" x14ac:dyDescent="0.25">
      <c r="A2814" s="177" t="s">
        <v>285</v>
      </c>
      <c r="B2814" s="647"/>
      <c r="C2814" s="648"/>
      <c r="D2814" s="648"/>
      <c r="E2814" s="648"/>
      <c r="F2814" s="648"/>
      <c r="G2814" s="648"/>
      <c r="H2814" s="648"/>
      <c r="I2814" s="648"/>
      <c r="J2814" s="648"/>
      <c r="K2814" s="648"/>
      <c r="L2814" s="648"/>
      <c r="M2814" s="648"/>
      <c r="N2814" s="648"/>
      <c r="O2814" s="649"/>
    </row>
    <row r="2815" spans="1:15" x14ac:dyDescent="0.25">
      <c r="A2815" s="177"/>
      <c r="B2815" s="650" t="s">
        <v>115</v>
      </c>
      <c r="C2815" s="651"/>
      <c r="D2815" s="651"/>
      <c r="E2815" s="651"/>
      <c r="F2815" s="651"/>
      <c r="G2815" s="651"/>
      <c r="H2815" s="651"/>
      <c r="I2815" s="651"/>
      <c r="J2815" s="651"/>
      <c r="K2815" s="651"/>
      <c r="L2815" s="651"/>
      <c r="M2815" s="651"/>
      <c r="N2815" s="651"/>
      <c r="O2815" s="652"/>
    </row>
    <row r="2816" spans="1:15" x14ac:dyDescent="0.25">
      <c r="A2816" s="177" t="s">
        <v>106</v>
      </c>
      <c r="B2816" s="629">
        <v>10</v>
      </c>
      <c r="C2816" s="630"/>
      <c r="D2816" s="630"/>
      <c r="E2816" s="631"/>
      <c r="F2816" s="365" t="s">
        <v>174</v>
      </c>
      <c r="G2816" s="471"/>
      <c r="H2816" s="653"/>
      <c r="I2816" s="654"/>
      <c r="J2816" s="654"/>
      <c r="K2816" s="654"/>
      <c r="L2816" s="655"/>
      <c r="M2816" s="656">
        <f>SUM(B2816,H2817)</f>
        <v>10</v>
      </c>
      <c r="N2816" s="630"/>
      <c r="O2816" s="631"/>
    </row>
    <row r="2817" spans="1:15" x14ac:dyDescent="0.25">
      <c r="A2817" s="177" t="s">
        <v>112</v>
      </c>
      <c r="B2817" s="626">
        <v>0.13</v>
      </c>
      <c r="C2817" s="627"/>
      <c r="D2817" s="627"/>
      <c r="E2817" s="628"/>
      <c r="F2817" s="290"/>
      <c r="G2817" s="472"/>
      <c r="H2817" s="626"/>
      <c r="I2817" s="627"/>
      <c r="J2817" s="627"/>
      <c r="K2817" s="627"/>
      <c r="L2817" s="628"/>
      <c r="M2817" s="657">
        <f>B2817</f>
        <v>0.13</v>
      </c>
      <c r="N2817" s="627"/>
      <c r="O2817" s="628"/>
    </row>
    <row r="2818" spans="1:15" x14ac:dyDescent="0.25">
      <c r="A2818" s="177" t="s">
        <v>107</v>
      </c>
      <c r="B2818" s="629">
        <f>B2816*(1-B2817)</f>
        <v>8.6999999999999993</v>
      </c>
      <c r="C2818" s="630"/>
      <c r="D2818" s="630"/>
      <c r="E2818" s="631"/>
      <c r="F2818" s="290"/>
      <c r="G2818" s="472"/>
      <c r="H2818" s="629">
        <f>H2816*(1-H2817)</f>
        <v>0</v>
      </c>
      <c r="I2818" s="630"/>
      <c r="J2818" s="630"/>
      <c r="K2818" s="630"/>
      <c r="L2818" s="631"/>
      <c r="M2818" s="656">
        <f>SUM(B2818,H2818)</f>
        <v>8.6999999999999993</v>
      </c>
      <c r="N2818" s="630"/>
      <c r="O2818" s="631"/>
    </row>
    <row r="2819" spans="1:15" x14ac:dyDescent="0.25">
      <c r="A2819" s="177" t="s">
        <v>108</v>
      </c>
      <c r="B2819" s="626">
        <f>B2822/B2818</f>
        <v>0</v>
      </c>
      <c r="C2819" s="627"/>
      <c r="D2819" s="627"/>
      <c r="E2819" s="627"/>
      <c r="F2819" s="627"/>
      <c r="G2819" s="627"/>
      <c r="H2819" s="627"/>
      <c r="I2819" s="627"/>
      <c r="J2819" s="627"/>
      <c r="K2819" s="627"/>
      <c r="L2819" s="627"/>
      <c r="M2819" s="627"/>
      <c r="N2819" s="627"/>
      <c r="O2819" s="628"/>
    </row>
    <row r="2820" spans="1:15" x14ac:dyDescent="0.25">
      <c r="A2820" s="177" t="s">
        <v>113</v>
      </c>
      <c r="B2820" s="629">
        <f>B2824*(B2828+B2829+I2828+I2829)/1000</f>
        <v>0</v>
      </c>
      <c r="C2820" s="630"/>
      <c r="D2820" s="630"/>
      <c r="E2820" s="630"/>
      <c r="F2820" s="630"/>
      <c r="G2820" s="630"/>
      <c r="H2820" s="630"/>
      <c r="I2820" s="630"/>
      <c r="J2820" s="630"/>
      <c r="K2820" s="630"/>
      <c r="L2820" s="630"/>
      <c r="M2820" s="630"/>
      <c r="N2820" s="630"/>
      <c r="O2820" s="631"/>
    </row>
    <row r="2821" spans="1:15" x14ac:dyDescent="0.25">
      <c r="A2821" s="177" t="s">
        <v>109</v>
      </c>
      <c r="B2821" s="626"/>
      <c r="C2821" s="627"/>
      <c r="D2821" s="627"/>
      <c r="E2821" s="627"/>
      <c r="F2821" s="627"/>
      <c r="G2821" s="627"/>
      <c r="H2821" s="627"/>
      <c r="I2821" s="627"/>
      <c r="J2821" s="627"/>
      <c r="K2821" s="627"/>
      <c r="L2821" s="627"/>
      <c r="M2821" s="627"/>
      <c r="N2821" s="627"/>
      <c r="O2821" s="628"/>
    </row>
    <row r="2822" spans="1:15" x14ac:dyDescent="0.25">
      <c r="A2822" s="177" t="s">
        <v>122</v>
      </c>
      <c r="B2822" s="629">
        <f>B2820-(B2820*B2821)</f>
        <v>0</v>
      </c>
      <c r="C2822" s="630"/>
      <c r="D2822" s="630"/>
      <c r="E2822" s="630"/>
      <c r="F2822" s="630"/>
      <c r="G2822" s="630"/>
      <c r="H2822" s="630"/>
      <c r="I2822" s="630"/>
      <c r="J2822" s="630"/>
      <c r="K2822" s="630"/>
      <c r="L2822" s="630"/>
      <c r="M2822" s="630"/>
      <c r="N2822" s="630"/>
      <c r="O2822" s="631"/>
    </row>
    <row r="2823" spans="1:15" x14ac:dyDescent="0.25">
      <c r="A2823" s="177" t="s">
        <v>110</v>
      </c>
      <c r="B2823" s="632"/>
      <c r="C2823" s="633"/>
      <c r="D2823" s="633"/>
      <c r="E2823" s="633"/>
      <c r="F2823" s="633"/>
      <c r="G2823" s="633"/>
      <c r="H2823" s="633"/>
      <c r="I2823" s="633"/>
      <c r="J2823" s="633"/>
      <c r="K2823" s="633"/>
      <c r="L2823" s="633"/>
      <c r="M2823" s="633"/>
      <c r="N2823" s="633"/>
      <c r="O2823" s="634"/>
    </row>
    <row r="2824" spans="1:15" x14ac:dyDescent="0.25">
      <c r="A2824" s="177" t="s">
        <v>111</v>
      </c>
      <c r="B2824" s="635"/>
      <c r="C2824" s="636"/>
      <c r="D2824" s="636"/>
      <c r="E2824" s="636"/>
      <c r="F2824" s="636"/>
      <c r="G2824" s="636"/>
      <c r="H2824" s="636"/>
      <c r="I2824" s="636"/>
      <c r="J2824" s="636"/>
      <c r="K2824" s="636"/>
      <c r="L2824" s="636"/>
      <c r="M2824" s="636"/>
      <c r="N2824" s="636"/>
      <c r="O2824" s="637"/>
    </row>
    <row r="2825" spans="1:15" x14ac:dyDescent="0.25">
      <c r="A2825" s="177" t="s">
        <v>273</v>
      </c>
      <c r="B2825" s="638"/>
      <c r="C2825" s="638"/>
      <c r="D2825" s="638"/>
      <c r="E2825" s="638"/>
      <c r="F2825" s="638"/>
      <c r="G2825" s="638"/>
      <c r="H2825" s="638"/>
      <c r="I2825" s="638"/>
      <c r="J2825" s="638"/>
      <c r="K2825" s="638"/>
      <c r="L2825" s="638"/>
      <c r="M2825" s="638"/>
      <c r="N2825" s="638"/>
      <c r="O2825" s="639"/>
    </row>
    <row r="2826" spans="1:15" x14ac:dyDescent="0.25">
      <c r="A2826" s="177" t="s">
        <v>351</v>
      </c>
      <c r="B2826" s="431"/>
      <c r="C2826" s="431"/>
      <c r="D2826" s="431"/>
      <c r="E2826" s="431"/>
      <c r="F2826" s="431"/>
      <c r="G2826" s="431"/>
      <c r="H2826" s="431"/>
      <c r="I2826" s="431"/>
      <c r="J2826" s="431"/>
      <c r="K2826" s="431"/>
      <c r="L2826" s="431"/>
      <c r="M2826" s="431"/>
      <c r="N2826" s="431"/>
      <c r="O2826" s="432"/>
    </row>
    <row r="2827" spans="1:15" x14ac:dyDescent="0.25">
      <c r="B2827" s="307" t="s">
        <v>98</v>
      </c>
      <c r="C2827" s="365" t="s">
        <v>102</v>
      </c>
      <c r="D2827" s="365" t="s">
        <v>92</v>
      </c>
      <c r="E2827" s="365" t="s">
        <v>93</v>
      </c>
      <c r="F2827" s="365" t="s">
        <v>94</v>
      </c>
      <c r="G2827" s="365" t="s">
        <v>549</v>
      </c>
      <c r="H2827" s="359" t="s">
        <v>99</v>
      </c>
      <c r="I2827" s="307" t="s">
        <v>98</v>
      </c>
      <c r="J2827" s="365" t="s">
        <v>102</v>
      </c>
      <c r="K2827" s="365" t="s">
        <v>92</v>
      </c>
      <c r="L2827" s="365" t="s">
        <v>93</v>
      </c>
      <c r="M2827" s="365" t="s">
        <v>94</v>
      </c>
      <c r="N2827" s="365" t="s">
        <v>549</v>
      </c>
      <c r="O2827" s="359" t="s">
        <v>99</v>
      </c>
    </row>
    <row r="2828" spans="1:15" x14ac:dyDescent="0.25">
      <c r="B2828" s="308"/>
      <c r="C2828" s="365" t="s">
        <v>95</v>
      </c>
      <c r="D2828" s="441"/>
      <c r="E2828" s="441"/>
      <c r="F2828" s="441"/>
      <c r="G2828" s="441"/>
      <c r="H2828" s="359">
        <f>SUM(D2828:G2828)</f>
        <v>0</v>
      </c>
      <c r="I2828" s="308"/>
      <c r="J2828" s="365" t="s">
        <v>95</v>
      </c>
      <c r="K2828" s="441"/>
      <c r="L2828" s="441"/>
      <c r="M2828" s="441"/>
      <c r="N2828" s="441"/>
      <c r="O2828" s="359">
        <f>SUM(K2828:N2828)</f>
        <v>0</v>
      </c>
    </row>
    <row r="2829" spans="1:15" x14ac:dyDescent="0.25">
      <c r="B2829" s="308"/>
      <c r="C2829" s="365" t="s">
        <v>96</v>
      </c>
      <c r="D2829" s="441"/>
      <c r="E2829" s="441"/>
      <c r="F2829" s="441"/>
      <c r="G2829" s="441"/>
      <c r="H2829" s="359">
        <f t="shared" ref="H2829:H2835" si="407">SUM(D2829:G2829)</f>
        <v>0</v>
      </c>
      <c r="I2829" s="308"/>
      <c r="J2829" s="365" t="s">
        <v>96</v>
      </c>
      <c r="K2829" s="441"/>
      <c r="L2829" s="441"/>
      <c r="M2829" s="441"/>
      <c r="N2829" s="441"/>
      <c r="O2829" s="359">
        <f t="shared" ref="O2829:O2835" si="408">SUM(K2829:N2829)</f>
        <v>0</v>
      </c>
    </row>
    <row r="2830" spans="1:15" x14ac:dyDescent="0.25">
      <c r="B2830" s="307" t="s">
        <v>100</v>
      </c>
      <c r="C2830" s="365" t="s">
        <v>95</v>
      </c>
      <c r="D2830" s="444" t="e">
        <f t="shared" ref="D2830:G2830" si="409">D2828/$B2828</f>
        <v>#DIV/0!</v>
      </c>
      <c r="E2830" s="429" t="e">
        <f t="shared" si="409"/>
        <v>#DIV/0!</v>
      </c>
      <c r="F2830" s="429" t="e">
        <f t="shared" si="409"/>
        <v>#DIV/0!</v>
      </c>
      <c r="G2830" s="429" t="e">
        <f t="shared" si="409"/>
        <v>#DIV/0!</v>
      </c>
      <c r="H2830" s="359" t="e">
        <f t="shared" si="407"/>
        <v>#DIV/0!</v>
      </c>
      <c r="I2830" s="307" t="s">
        <v>100</v>
      </c>
      <c r="J2830" s="365" t="s">
        <v>95</v>
      </c>
      <c r="K2830" s="444" t="e">
        <f t="shared" ref="K2830:N2830" si="410">K2828/$I2828</f>
        <v>#DIV/0!</v>
      </c>
      <c r="L2830" s="429" t="e">
        <f t="shared" si="410"/>
        <v>#DIV/0!</v>
      </c>
      <c r="M2830" s="429" t="e">
        <f t="shared" si="410"/>
        <v>#DIV/0!</v>
      </c>
      <c r="N2830" s="429" t="e">
        <f t="shared" si="410"/>
        <v>#DIV/0!</v>
      </c>
      <c r="O2830" s="359" t="e">
        <f t="shared" si="408"/>
        <v>#DIV/0!</v>
      </c>
    </row>
    <row r="2831" spans="1:15" x14ac:dyDescent="0.25">
      <c r="B2831" s="307" t="s">
        <v>100</v>
      </c>
      <c r="C2831" s="438" t="s">
        <v>96</v>
      </c>
      <c r="D2831" s="359" t="e">
        <f t="shared" ref="D2831:G2831" si="411">D2829/$B2829</f>
        <v>#DIV/0!</v>
      </c>
      <c r="E2831" s="359" t="e">
        <f t="shared" si="411"/>
        <v>#DIV/0!</v>
      </c>
      <c r="F2831" s="359" t="e">
        <f t="shared" si="411"/>
        <v>#DIV/0!</v>
      </c>
      <c r="G2831" s="359" t="e">
        <f t="shared" si="411"/>
        <v>#DIV/0!</v>
      </c>
      <c r="H2831" s="359" t="e">
        <f t="shared" si="407"/>
        <v>#DIV/0!</v>
      </c>
      <c r="I2831" s="307" t="s">
        <v>100</v>
      </c>
      <c r="J2831" s="438" t="s">
        <v>96</v>
      </c>
      <c r="K2831" s="359" t="e">
        <f t="shared" ref="K2831:N2831" si="412">K2829/$I2829</f>
        <v>#DIV/0!</v>
      </c>
      <c r="L2831" s="359" t="e">
        <f t="shared" si="412"/>
        <v>#DIV/0!</v>
      </c>
      <c r="M2831" s="359" t="e">
        <f t="shared" si="412"/>
        <v>#DIV/0!</v>
      </c>
      <c r="N2831" s="359" t="e">
        <f t="shared" si="412"/>
        <v>#DIV/0!</v>
      </c>
      <c r="O2831" s="359" t="e">
        <f t="shared" si="408"/>
        <v>#DIV/0!</v>
      </c>
    </row>
    <row r="2832" spans="1:15" x14ac:dyDescent="0.25">
      <c r="B2832" s="307" t="s">
        <v>104</v>
      </c>
      <c r="C2832" s="365" t="s">
        <v>95</v>
      </c>
      <c r="D2832" s="359" t="e">
        <f>D2828/($B2828/7.7)</f>
        <v>#DIV/0!</v>
      </c>
      <c r="E2832" s="359" t="e">
        <f>E2828/($B2828/7)</f>
        <v>#DIV/0!</v>
      </c>
      <c r="F2832" s="359" t="e">
        <f>F2828/($B2828/7)</f>
        <v>#DIV/0!</v>
      </c>
      <c r="G2832" s="359" t="e">
        <f>G2828/($B2828/7)</f>
        <v>#DIV/0!</v>
      </c>
      <c r="H2832" s="359" t="e">
        <f t="shared" si="407"/>
        <v>#DIV/0!</v>
      </c>
      <c r="I2832" s="307" t="s">
        <v>104</v>
      </c>
      <c r="J2832" s="365" t="s">
        <v>95</v>
      </c>
      <c r="K2832" s="359" t="e">
        <f>K2828/($I2828/7.7)</f>
        <v>#DIV/0!</v>
      </c>
      <c r="L2832" s="359" t="e">
        <f>L2828/($I2828/7)</f>
        <v>#DIV/0!</v>
      </c>
      <c r="M2832" s="359" t="e">
        <f>M2828/($I2828/7)</f>
        <v>#DIV/0!</v>
      </c>
      <c r="N2832" s="359" t="e">
        <f>N2828/($I2828/7)</f>
        <v>#DIV/0!</v>
      </c>
      <c r="O2832" s="359" t="e">
        <f t="shared" si="408"/>
        <v>#DIV/0!</v>
      </c>
    </row>
    <row r="2833" spans="1:15" x14ac:dyDescent="0.25">
      <c r="B2833" s="307" t="s">
        <v>104</v>
      </c>
      <c r="C2833" s="438" t="s">
        <v>96</v>
      </c>
      <c r="D2833" s="359" t="e">
        <f>D2829/($B2829/7.7)</f>
        <v>#DIV/0!</v>
      </c>
      <c r="E2833" s="359" t="e">
        <f>E2829/($B2829/7.7)</f>
        <v>#DIV/0!</v>
      </c>
      <c r="F2833" s="359" t="e">
        <f>F2829/($B2829/7.7)</f>
        <v>#DIV/0!</v>
      </c>
      <c r="G2833" s="359" t="e">
        <f>G2829/($B2829/7.7)</f>
        <v>#DIV/0!</v>
      </c>
      <c r="H2833" s="359" t="e">
        <f t="shared" si="407"/>
        <v>#DIV/0!</v>
      </c>
      <c r="I2833" s="307" t="s">
        <v>104</v>
      </c>
      <c r="J2833" s="438" t="s">
        <v>96</v>
      </c>
      <c r="K2833" s="359" t="e">
        <f>K2829/($I2829/7.7)</f>
        <v>#DIV/0!</v>
      </c>
      <c r="L2833" s="359" t="e">
        <f>L2829/($I2829/7.7)</f>
        <v>#DIV/0!</v>
      </c>
      <c r="M2833" s="359" t="e">
        <f>M2829/($I2829/7.7)</f>
        <v>#DIV/0!</v>
      </c>
      <c r="N2833" s="359" t="e">
        <f>N2829/($I2829/7.7)</f>
        <v>#DIV/0!</v>
      </c>
      <c r="O2833" s="359" t="e">
        <f t="shared" si="408"/>
        <v>#DIV/0!</v>
      </c>
    </row>
    <row r="2834" spans="1:15" x14ac:dyDescent="0.25">
      <c r="B2834" s="307" t="s">
        <v>135</v>
      </c>
      <c r="C2834" s="365" t="s">
        <v>95</v>
      </c>
      <c r="D2834" s="359" t="e">
        <f>D2828/((($B2828*$B2824)*(1-$B2821))/$B2819)</f>
        <v>#DIV/0!</v>
      </c>
      <c r="E2834" s="359" t="e">
        <f>E2828/((($B2828*$B2824)*(1-$B2821))/$B2819)</f>
        <v>#DIV/0!</v>
      </c>
      <c r="F2834" s="359" t="e">
        <f>F2828/((($B2828*$B2824)*(1-$B2821))/$B2819)</f>
        <v>#DIV/0!</v>
      </c>
      <c r="G2834" s="359" t="e">
        <f>G2828/((($B2828*$B2824)*(1-$B2821))/$B2819)</f>
        <v>#DIV/0!</v>
      </c>
      <c r="H2834" s="359" t="e">
        <f t="shared" si="407"/>
        <v>#DIV/0!</v>
      </c>
      <c r="I2834" s="307" t="s">
        <v>135</v>
      </c>
      <c r="J2834" s="365" t="s">
        <v>95</v>
      </c>
      <c r="K2834" s="359" t="e">
        <f>K2828/((($I2828*$B2824)*(1-$B2821))/$B2819)</f>
        <v>#DIV/0!</v>
      </c>
      <c r="L2834" s="359" t="e">
        <f>L2828/((($I2828*$B2824)*(1-$B2821))/$B2819)</f>
        <v>#DIV/0!</v>
      </c>
      <c r="M2834" s="359" t="e">
        <f>M2828/((($I2828*$B2824)*(1-$B2821))/$B2819)</f>
        <v>#DIV/0!</v>
      </c>
      <c r="N2834" s="359" t="e">
        <f>N2828/((($I2828*$B2824)*(1-$B2821))/$B2819)</f>
        <v>#DIV/0!</v>
      </c>
      <c r="O2834" s="359" t="e">
        <f t="shared" si="408"/>
        <v>#DIV/0!</v>
      </c>
    </row>
    <row r="2835" spans="1:15" x14ac:dyDescent="0.25">
      <c r="B2835" s="307" t="s">
        <v>135</v>
      </c>
      <c r="C2835" s="438" t="s">
        <v>96</v>
      </c>
      <c r="D2835" s="359" t="e">
        <f>D2829/((($B2829*$B2824)*(1-$B2821))/$B2819)</f>
        <v>#DIV/0!</v>
      </c>
      <c r="E2835" s="359" t="e">
        <f>E2829/((($B2829*$B2824)*(1-$B2821))/$B2819)</f>
        <v>#DIV/0!</v>
      </c>
      <c r="F2835" s="359" t="e">
        <f>F2829/((($B2829*$B2824)*(1-$B2821))/$B2819)</f>
        <v>#DIV/0!</v>
      </c>
      <c r="G2835" s="359" t="e">
        <f>G2829/((($B2829*$B2824)*(1-$B2821))/$B2819)</f>
        <v>#DIV/0!</v>
      </c>
      <c r="H2835" s="359" t="e">
        <f t="shared" si="407"/>
        <v>#DIV/0!</v>
      </c>
      <c r="I2835" s="307" t="s">
        <v>135</v>
      </c>
      <c r="J2835" s="438" t="s">
        <v>96</v>
      </c>
      <c r="K2835" s="359" t="e">
        <f>K2829/((($I2829*$B2824)*(1-$B2821))/$B2819)</f>
        <v>#DIV/0!</v>
      </c>
      <c r="L2835" s="359" t="e">
        <f>L2829/((($I2829*$B2824)*(1-$B2821))/$B2819)</f>
        <v>#DIV/0!</v>
      </c>
      <c r="M2835" s="359" t="e">
        <f>M2829/((($I2829*$B2824)*(1-$B2821))/$B2819)</f>
        <v>#DIV/0!</v>
      </c>
      <c r="N2835" s="359" t="e">
        <f>N2829/((($I2829*$B2824)*(1-$B2821))/$B2819)</f>
        <v>#DIV/0!</v>
      </c>
      <c r="O2835" s="359" t="e">
        <f t="shared" si="408"/>
        <v>#DIV/0!</v>
      </c>
    </row>
    <row r="2836" spans="1:15" x14ac:dyDescent="0.25">
      <c r="A2836" s="178"/>
      <c r="B2836" s="178"/>
      <c r="C2836" s="178"/>
      <c r="D2836" s="178"/>
      <c r="E2836" s="178"/>
      <c r="F2836" s="178"/>
      <c r="G2836" s="178"/>
      <c r="H2836" s="178"/>
      <c r="I2836" s="178"/>
      <c r="J2836" s="178"/>
      <c r="K2836" s="178"/>
      <c r="L2836" s="178"/>
      <c r="M2836" s="178"/>
      <c r="N2836" s="178"/>
      <c r="O2836" s="178"/>
    </row>
    <row r="2837" spans="1:15" ht="21" x14ac:dyDescent="0.25">
      <c r="A2837" s="305"/>
      <c r="B2837" s="644" t="s">
        <v>745</v>
      </c>
      <c r="C2837" s="645"/>
      <c r="D2837" s="645"/>
      <c r="E2837" s="645"/>
      <c r="F2837" s="645"/>
      <c r="G2837" s="645"/>
      <c r="H2837" s="645"/>
      <c r="I2837" s="645"/>
      <c r="J2837" s="645"/>
      <c r="K2837" s="645"/>
      <c r="L2837" s="645"/>
      <c r="M2837" s="645"/>
      <c r="N2837" s="645"/>
      <c r="O2837" s="646"/>
    </row>
    <row r="2838" spans="1:15" ht="21" x14ac:dyDescent="0.25">
      <c r="A2838" s="177" t="s">
        <v>285</v>
      </c>
      <c r="B2838" s="647"/>
      <c r="C2838" s="648"/>
      <c r="D2838" s="648"/>
      <c r="E2838" s="648"/>
      <c r="F2838" s="648"/>
      <c r="G2838" s="648"/>
      <c r="H2838" s="648"/>
      <c r="I2838" s="648"/>
      <c r="J2838" s="648"/>
      <c r="K2838" s="648"/>
      <c r="L2838" s="648"/>
      <c r="M2838" s="648"/>
      <c r="N2838" s="648"/>
      <c r="O2838" s="649"/>
    </row>
    <row r="2839" spans="1:15" x14ac:dyDescent="0.25">
      <c r="A2839" s="177"/>
      <c r="B2839" s="650" t="s">
        <v>115</v>
      </c>
      <c r="C2839" s="651"/>
      <c r="D2839" s="651"/>
      <c r="E2839" s="651"/>
      <c r="F2839" s="651"/>
      <c r="G2839" s="651"/>
      <c r="H2839" s="651"/>
      <c r="I2839" s="651"/>
      <c r="J2839" s="651"/>
      <c r="K2839" s="651"/>
      <c r="L2839" s="651"/>
      <c r="M2839" s="651"/>
      <c r="N2839" s="651"/>
      <c r="O2839" s="652"/>
    </row>
    <row r="2840" spans="1:15" x14ac:dyDescent="0.25">
      <c r="A2840" s="177" t="s">
        <v>106</v>
      </c>
      <c r="B2840" s="629">
        <v>10</v>
      </c>
      <c r="C2840" s="630"/>
      <c r="D2840" s="630"/>
      <c r="E2840" s="631"/>
      <c r="F2840" s="365" t="s">
        <v>174</v>
      </c>
      <c r="G2840" s="471"/>
      <c r="H2840" s="653"/>
      <c r="I2840" s="654"/>
      <c r="J2840" s="654"/>
      <c r="K2840" s="654"/>
      <c r="L2840" s="655"/>
      <c r="M2840" s="656">
        <f>SUM(B2840,H2841)</f>
        <v>10</v>
      </c>
      <c r="N2840" s="630"/>
      <c r="O2840" s="631"/>
    </row>
    <row r="2841" spans="1:15" x14ac:dyDescent="0.25">
      <c r="A2841" s="177" t="s">
        <v>112</v>
      </c>
      <c r="B2841" s="626">
        <v>0.13</v>
      </c>
      <c r="C2841" s="627"/>
      <c r="D2841" s="627"/>
      <c r="E2841" s="628"/>
      <c r="F2841" s="290"/>
      <c r="G2841" s="472"/>
      <c r="H2841" s="626"/>
      <c r="I2841" s="627"/>
      <c r="J2841" s="627"/>
      <c r="K2841" s="627"/>
      <c r="L2841" s="628"/>
      <c r="M2841" s="657">
        <f>B2841</f>
        <v>0.13</v>
      </c>
      <c r="N2841" s="627"/>
      <c r="O2841" s="628"/>
    </row>
    <row r="2842" spans="1:15" x14ac:dyDescent="0.25">
      <c r="A2842" s="177" t="s">
        <v>107</v>
      </c>
      <c r="B2842" s="629">
        <f>B2840*(1-B2841)</f>
        <v>8.6999999999999993</v>
      </c>
      <c r="C2842" s="630"/>
      <c r="D2842" s="630"/>
      <c r="E2842" s="631"/>
      <c r="F2842" s="290"/>
      <c r="G2842" s="472"/>
      <c r="H2842" s="629">
        <f>H2840*(1-H2841)</f>
        <v>0</v>
      </c>
      <c r="I2842" s="630"/>
      <c r="J2842" s="630"/>
      <c r="K2842" s="630"/>
      <c r="L2842" s="631"/>
      <c r="M2842" s="656">
        <f>SUM(B2842,H2842)</f>
        <v>8.6999999999999993</v>
      </c>
      <c r="N2842" s="630"/>
      <c r="O2842" s="631"/>
    </row>
    <row r="2843" spans="1:15" x14ac:dyDescent="0.25">
      <c r="A2843" s="177" t="s">
        <v>108</v>
      </c>
      <c r="B2843" s="626">
        <f>B2846/B2842</f>
        <v>0</v>
      </c>
      <c r="C2843" s="627"/>
      <c r="D2843" s="627"/>
      <c r="E2843" s="627"/>
      <c r="F2843" s="627"/>
      <c r="G2843" s="627"/>
      <c r="H2843" s="627"/>
      <c r="I2843" s="627"/>
      <c r="J2843" s="627"/>
      <c r="K2843" s="627"/>
      <c r="L2843" s="627"/>
      <c r="M2843" s="627"/>
      <c r="N2843" s="627"/>
      <c r="O2843" s="628"/>
    </row>
    <row r="2844" spans="1:15" x14ac:dyDescent="0.25">
      <c r="A2844" s="177" t="s">
        <v>113</v>
      </c>
      <c r="B2844" s="629">
        <f>B2848*(B2852+B2853+I2852+I2853)/1000</f>
        <v>0</v>
      </c>
      <c r="C2844" s="630"/>
      <c r="D2844" s="630"/>
      <c r="E2844" s="630"/>
      <c r="F2844" s="630"/>
      <c r="G2844" s="630"/>
      <c r="H2844" s="630"/>
      <c r="I2844" s="630"/>
      <c r="J2844" s="630"/>
      <c r="K2844" s="630"/>
      <c r="L2844" s="630"/>
      <c r="M2844" s="630"/>
      <c r="N2844" s="630"/>
      <c r="O2844" s="631"/>
    </row>
    <row r="2845" spans="1:15" x14ac:dyDescent="0.25">
      <c r="A2845" s="177" t="s">
        <v>109</v>
      </c>
      <c r="B2845" s="626"/>
      <c r="C2845" s="627"/>
      <c r="D2845" s="627"/>
      <c r="E2845" s="627"/>
      <c r="F2845" s="627"/>
      <c r="G2845" s="627"/>
      <c r="H2845" s="627"/>
      <c r="I2845" s="627"/>
      <c r="J2845" s="627"/>
      <c r="K2845" s="627"/>
      <c r="L2845" s="627"/>
      <c r="M2845" s="627"/>
      <c r="N2845" s="627"/>
      <c r="O2845" s="628"/>
    </row>
    <row r="2846" spans="1:15" x14ac:dyDescent="0.25">
      <c r="A2846" s="177" t="s">
        <v>122</v>
      </c>
      <c r="B2846" s="629">
        <f>B2844-(B2844*B2845)</f>
        <v>0</v>
      </c>
      <c r="C2846" s="630"/>
      <c r="D2846" s="630"/>
      <c r="E2846" s="630"/>
      <c r="F2846" s="630"/>
      <c r="G2846" s="630"/>
      <c r="H2846" s="630"/>
      <c r="I2846" s="630"/>
      <c r="J2846" s="630"/>
      <c r="K2846" s="630"/>
      <c r="L2846" s="630"/>
      <c r="M2846" s="630"/>
      <c r="N2846" s="630"/>
      <c r="O2846" s="631"/>
    </row>
    <row r="2847" spans="1:15" x14ac:dyDescent="0.25">
      <c r="A2847" s="177" t="s">
        <v>110</v>
      </c>
      <c r="B2847" s="632"/>
      <c r="C2847" s="633"/>
      <c r="D2847" s="633"/>
      <c r="E2847" s="633"/>
      <c r="F2847" s="633"/>
      <c r="G2847" s="633"/>
      <c r="H2847" s="633"/>
      <c r="I2847" s="633"/>
      <c r="J2847" s="633"/>
      <c r="K2847" s="633"/>
      <c r="L2847" s="633"/>
      <c r="M2847" s="633"/>
      <c r="N2847" s="633"/>
      <c r="O2847" s="634"/>
    </row>
    <row r="2848" spans="1:15" x14ac:dyDescent="0.25">
      <c r="A2848" s="177" t="s">
        <v>111</v>
      </c>
      <c r="B2848" s="635"/>
      <c r="C2848" s="636"/>
      <c r="D2848" s="636"/>
      <c r="E2848" s="636"/>
      <c r="F2848" s="636"/>
      <c r="G2848" s="636"/>
      <c r="H2848" s="636"/>
      <c r="I2848" s="636"/>
      <c r="J2848" s="636"/>
      <c r="K2848" s="636"/>
      <c r="L2848" s="636"/>
      <c r="M2848" s="636"/>
      <c r="N2848" s="636"/>
      <c r="O2848" s="637"/>
    </row>
    <row r="2849" spans="1:15" x14ac:dyDescent="0.25">
      <c r="A2849" s="177" t="s">
        <v>273</v>
      </c>
      <c r="B2849" s="638"/>
      <c r="C2849" s="638"/>
      <c r="D2849" s="638"/>
      <c r="E2849" s="638"/>
      <c r="F2849" s="638"/>
      <c r="G2849" s="638"/>
      <c r="H2849" s="638"/>
      <c r="I2849" s="638"/>
      <c r="J2849" s="638"/>
      <c r="K2849" s="638"/>
      <c r="L2849" s="638"/>
      <c r="M2849" s="638"/>
      <c r="N2849" s="638"/>
      <c r="O2849" s="639"/>
    </row>
    <row r="2850" spans="1:15" x14ac:dyDescent="0.25">
      <c r="A2850" s="177" t="s">
        <v>351</v>
      </c>
      <c r="B2850" s="431"/>
      <c r="C2850" s="431"/>
      <c r="D2850" s="431"/>
      <c r="E2850" s="431"/>
      <c r="F2850" s="431"/>
      <c r="G2850" s="431"/>
      <c r="H2850" s="431"/>
      <c r="I2850" s="431"/>
      <c r="J2850" s="431"/>
      <c r="K2850" s="431"/>
      <c r="L2850" s="431"/>
      <c r="M2850" s="431"/>
      <c r="N2850" s="431"/>
      <c r="O2850" s="432"/>
    </row>
    <row r="2851" spans="1:15" x14ac:dyDescent="0.25">
      <c r="B2851" s="307" t="s">
        <v>98</v>
      </c>
      <c r="C2851" s="365" t="s">
        <v>102</v>
      </c>
      <c r="D2851" s="365" t="s">
        <v>92</v>
      </c>
      <c r="E2851" s="365" t="s">
        <v>93</v>
      </c>
      <c r="F2851" s="365" t="s">
        <v>94</v>
      </c>
      <c r="G2851" s="365" t="s">
        <v>549</v>
      </c>
      <c r="H2851" s="359" t="s">
        <v>99</v>
      </c>
      <c r="I2851" s="307" t="s">
        <v>98</v>
      </c>
      <c r="J2851" s="365" t="s">
        <v>102</v>
      </c>
      <c r="K2851" s="365" t="s">
        <v>92</v>
      </c>
      <c r="L2851" s="365" t="s">
        <v>93</v>
      </c>
      <c r="M2851" s="365" t="s">
        <v>94</v>
      </c>
      <c r="N2851" s="365" t="s">
        <v>549</v>
      </c>
      <c r="O2851" s="359" t="s">
        <v>99</v>
      </c>
    </row>
    <row r="2852" spans="1:15" x14ac:dyDescent="0.25">
      <c r="B2852" s="308"/>
      <c r="C2852" s="365" t="s">
        <v>95</v>
      </c>
      <c r="D2852" s="441"/>
      <c r="E2852" s="441"/>
      <c r="F2852" s="441"/>
      <c r="G2852" s="441"/>
      <c r="H2852" s="359">
        <f>SUM(D2852:G2852)</f>
        <v>0</v>
      </c>
      <c r="I2852" s="308"/>
      <c r="J2852" s="365" t="s">
        <v>95</v>
      </c>
      <c r="K2852" s="441"/>
      <c r="L2852" s="441"/>
      <c r="M2852" s="441"/>
      <c r="N2852" s="441"/>
      <c r="O2852" s="359">
        <f>SUM(K2852:N2852)</f>
        <v>0</v>
      </c>
    </row>
    <row r="2853" spans="1:15" x14ac:dyDescent="0.25">
      <c r="B2853" s="308"/>
      <c r="C2853" s="365" t="s">
        <v>96</v>
      </c>
      <c r="D2853" s="441"/>
      <c r="E2853" s="441"/>
      <c r="F2853" s="441"/>
      <c r="G2853" s="441"/>
      <c r="H2853" s="359">
        <f t="shared" ref="H2853:H2859" si="413">SUM(D2853:G2853)</f>
        <v>0</v>
      </c>
      <c r="I2853" s="308"/>
      <c r="J2853" s="365" t="s">
        <v>96</v>
      </c>
      <c r="K2853" s="441"/>
      <c r="L2853" s="441"/>
      <c r="M2853" s="441"/>
      <c r="N2853" s="441"/>
      <c r="O2853" s="359">
        <f t="shared" ref="O2853:O2859" si="414">SUM(K2853:N2853)</f>
        <v>0</v>
      </c>
    </row>
    <row r="2854" spans="1:15" x14ac:dyDescent="0.25">
      <c r="B2854" s="307" t="s">
        <v>100</v>
      </c>
      <c r="C2854" s="365" t="s">
        <v>95</v>
      </c>
      <c r="D2854" s="444" t="e">
        <f t="shared" ref="D2854:G2854" si="415">D2852/$B2852</f>
        <v>#DIV/0!</v>
      </c>
      <c r="E2854" s="429" t="e">
        <f t="shared" si="415"/>
        <v>#DIV/0!</v>
      </c>
      <c r="F2854" s="429" t="e">
        <f t="shared" si="415"/>
        <v>#DIV/0!</v>
      </c>
      <c r="G2854" s="429" t="e">
        <f t="shared" si="415"/>
        <v>#DIV/0!</v>
      </c>
      <c r="H2854" s="359" t="e">
        <f t="shared" si="413"/>
        <v>#DIV/0!</v>
      </c>
      <c r="I2854" s="307" t="s">
        <v>100</v>
      </c>
      <c r="J2854" s="365" t="s">
        <v>95</v>
      </c>
      <c r="K2854" s="444" t="e">
        <f t="shared" ref="K2854:N2854" si="416">K2852/$I2852</f>
        <v>#DIV/0!</v>
      </c>
      <c r="L2854" s="429" t="e">
        <f t="shared" si="416"/>
        <v>#DIV/0!</v>
      </c>
      <c r="M2854" s="429" t="e">
        <f t="shared" si="416"/>
        <v>#DIV/0!</v>
      </c>
      <c r="N2854" s="429" t="e">
        <f t="shared" si="416"/>
        <v>#DIV/0!</v>
      </c>
      <c r="O2854" s="359" t="e">
        <f t="shared" si="414"/>
        <v>#DIV/0!</v>
      </c>
    </row>
    <row r="2855" spans="1:15" x14ac:dyDescent="0.25">
      <c r="B2855" s="307" t="s">
        <v>100</v>
      </c>
      <c r="C2855" s="438" t="s">
        <v>96</v>
      </c>
      <c r="D2855" s="359" t="e">
        <f t="shared" ref="D2855:G2855" si="417">D2853/$B2853</f>
        <v>#DIV/0!</v>
      </c>
      <c r="E2855" s="359" t="e">
        <f t="shared" si="417"/>
        <v>#DIV/0!</v>
      </c>
      <c r="F2855" s="359" t="e">
        <f t="shared" si="417"/>
        <v>#DIV/0!</v>
      </c>
      <c r="G2855" s="359" t="e">
        <f t="shared" si="417"/>
        <v>#DIV/0!</v>
      </c>
      <c r="H2855" s="359" t="e">
        <f t="shared" si="413"/>
        <v>#DIV/0!</v>
      </c>
      <c r="I2855" s="307" t="s">
        <v>100</v>
      </c>
      <c r="J2855" s="438" t="s">
        <v>96</v>
      </c>
      <c r="K2855" s="359" t="e">
        <f t="shared" ref="K2855:N2855" si="418">K2853/$I2853</f>
        <v>#DIV/0!</v>
      </c>
      <c r="L2855" s="359" t="e">
        <f t="shared" si="418"/>
        <v>#DIV/0!</v>
      </c>
      <c r="M2855" s="359" t="e">
        <f t="shared" si="418"/>
        <v>#DIV/0!</v>
      </c>
      <c r="N2855" s="359" t="e">
        <f t="shared" si="418"/>
        <v>#DIV/0!</v>
      </c>
      <c r="O2855" s="359" t="e">
        <f t="shared" si="414"/>
        <v>#DIV/0!</v>
      </c>
    </row>
    <row r="2856" spans="1:15" x14ac:dyDescent="0.25">
      <c r="B2856" s="307" t="s">
        <v>104</v>
      </c>
      <c r="C2856" s="365" t="s">
        <v>95</v>
      </c>
      <c r="D2856" s="359" t="e">
        <f>D2852/($B2852/7.7)</f>
        <v>#DIV/0!</v>
      </c>
      <c r="E2856" s="359" t="e">
        <f>E2852/($B2852/7)</f>
        <v>#DIV/0!</v>
      </c>
      <c r="F2856" s="359" t="e">
        <f>F2852/($B2852/7)</f>
        <v>#DIV/0!</v>
      </c>
      <c r="G2856" s="359" t="e">
        <f>G2852/($B2852/7)</f>
        <v>#DIV/0!</v>
      </c>
      <c r="H2856" s="359" t="e">
        <f t="shared" si="413"/>
        <v>#DIV/0!</v>
      </c>
      <c r="I2856" s="307" t="s">
        <v>104</v>
      </c>
      <c r="J2856" s="365" t="s">
        <v>95</v>
      </c>
      <c r="K2856" s="359" t="e">
        <f>K2852/($I2852/7.7)</f>
        <v>#DIV/0!</v>
      </c>
      <c r="L2856" s="359" t="e">
        <f>L2852/($I2852/7)</f>
        <v>#DIV/0!</v>
      </c>
      <c r="M2856" s="359" t="e">
        <f>M2852/($I2852/7)</f>
        <v>#DIV/0!</v>
      </c>
      <c r="N2856" s="359" t="e">
        <f>N2852/($I2852/7)</f>
        <v>#DIV/0!</v>
      </c>
      <c r="O2856" s="359" t="e">
        <f t="shared" si="414"/>
        <v>#DIV/0!</v>
      </c>
    </row>
    <row r="2857" spans="1:15" x14ac:dyDescent="0.25">
      <c r="B2857" s="307" t="s">
        <v>104</v>
      </c>
      <c r="C2857" s="438" t="s">
        <v>96</v>
      </c>
      <c r="D2857" s="359" t="e">
        <f>D2853/($B2853/7.7)</f>
        <v>#DIV/0!</v>
      </c>
      <c r="E2857" s="359" t="e">
        <f>E2853/($B2853/7.7)</f>
        <v>#DIV/0!</v>
      </c>
      <c r="F2857" s="359" t="e">
        <f>F2853/($B2853/7.7)</f>
        <v>#DIV/0!</v>
      </c>
      <c r="G2857" s="359" t="e">
        <f>G2853/($B2853/7.7)</f>
        <v>#DIV/0!</v>
      </c>
      <c r="H2857" s="359" t="e">
        <f t="shared" si="413"/>
        <v>#DIV/0!</v>
      </c>
      <c r="I2857" s="307" t="s">
        <v>104</v>
      </c>
      <c r="J2857" s="438" t="s">
        <v>96</v>
      </c>
      <c r="K2857" s="359" t="e">
        <f>K2853/($I2853/7.7)</f>
        <v>#DIV/0!</v>
      </c>
      <c r="L2857" s="359" t="e">
        <f>L2853/($I2853/7.7)</f>
        <v>#DIV/0!</v>
      </c>
      <c r="M2857" s="359" t="e">
        <f>M2853/($I2853/7.7)</f>
        <v>#DIV/0!</v>
      </c>
      <c r="N2857" s="359" t="e">
        <f>N2853/($I2853/7.7)</f>
        <v>#DIV/0!</v>
      </c>
      <c r="O2857" s="359" t="e">
        <f t="shared" si="414"/>
        <v>#DIV/0!</v>
      </c>
    </row>
    <row r="2858" spans="1:15" x14ac:dyDescent="0.25">
      <c r="B2858" s="307" t="s">
        <v>135</v>
      </c>
      <c r="C2858" s="365" t="s">
        <v>95</v>
      </c>
      <c r="D2858" s="359" t="e">
        <f>D2852/((($B2852*$B2848)*(1-$B2845))/$B2843)</f>
        <v>#DIV/0!</v>
      </c>
      <c r="E2858" s="359" t="e">
        <f>E2852/((($B2852*$B2848)*(1-$B2845))/$B2843)</f>
        <v>#DIV/0!</v>
      </c>
      <c r="F2858" s="359" t="e">
        <f>F2852/((($B2852*$B2848)*(1-$B2845))/$B2843)</f>
        <v>#DIV/0!</v>
      </c>
      <c r="G2858" s="359" t="e">
        <f>G2852/((($B2852*$B2848)*(1-$B2845))/$B2843)</f>
        <v>#DIV/0!</v>
      </c>
      <c r="H2858" s="359" t="e">
        <f t="shared" si="413"/>
        <v>#DIV/0!</v>
      </c>
      <c r="I2858" s="307" t="s">
        <v>135</v>
      </c>
      <c r="J2858" s="365" t="s">
        <v>95</v>
      </c>
      <c r="K2858" s="359" t="e">
        <f>K2852/((($I2852*$B2848)*(1-$B2845))/$B2843)</f>
        <v>#DIV/0!</v>
      </c>
      <c r="L2858" s="359" t="e">
        <f>L2852/((($I2852*$B2848)*(1-$B2845))/$B2843)</f>
        <v>#DIV/0!</v>
      </c>
      <c r="M2858" s="359" t="e">
        <f>M2852/((($I2852*$B2848)*(1-$B2845))/$B2843)</f>
        <v>#DIV/0!</v>
      </c>
      <c r="N2858" s="359" t="e">
        <f>N2852/((($I2852*$B2848)*(1-$B2845))/$B2843)</f>
        <v>#DIV/0!</v>
      </c>
      <c r="O2858" s="359" t="e">
        <f t="shared" si="414"/>
        <v>#DIV/0!</v>
      </c>
    </row>
    <row r="2859" spans="1:15" x14ac:dyDescent="0.25">
      <c r="B2859" s="307" t="s">
        <v>135</v>
      </c>
      <c r="C2859" s="438" t="s">
        <v>96</v>
      </c>
      <c r="D2859" s="359" t="e">
        <f>D2853/((($B2853*$B2848)*(1-$B2845))/$B2843)</f>
        <v>#DIV/0!</v>
      </c>
      <c r="E2859" s="359" t="e">
        <f>E2853/((($B2853*$B2848)*(1-$B2845))/$B2843)</f>
        <v>#DIV/0!</v>
      </c>
      <c r="F2859" s="359" t="e">
        <f>F2853/((($B2853*$B2848)*(1-$B2845))/$B2843)</f>
        <v>#DIV/0!</v>
      </c>
      <c r="G2859" s="359" t="e">
        <f>G2853/((($B2853*$B2848)*(1-$B2845))/$B2843)</f>
        <v>#DIV/0!</v>
      </c>
      <c r="H2859" s="359" t="e">
        <f t="shared" si="413"/>
        <v>#DIV/0!</v>
      </c>
      <c r="I2859" s="307" t="s">
        <v>135</v>
      </c>
      <c r="J2859" s="438" t="s">
        <v>96</v>
      </c>
      <c r="K2859" s="359" t="e">
        <f>K2853/((($I2853*$B2848)*(1-$B2845))/$B2843)</f>
        <v>#DIV/0!</v>
      </c>
      <c r="L2859" s="359" t="e">
        <f>L2853/((($I2853*$B2848)*(1-$B2845))/$B2843)</f>
        <v>#DIV/0!</v>
      </c>
      <c r="M2859" s="359" t="e">
        <f>M2853/((($I2853*$B2848)*(1-$B2845))/$B2843)</f>
        <v>#DIV/0!</v>
      </c>
      <c r="N2859" s="359" t="e">
        <f>N2853/((($I2853*$B2848)*(1-$B2845))/$B2843)</f>
        <v>#DIV/0!</v>
      </c>
      <c r="O2859" s="359" t="e">
        <f t="shared" si="414"/>
        <v>#DIV/0!</v>
      </c>
    </row>
    <row r="2860" spans="1:15" x14ac:dyDescent="0.25">
      <c r="A2860" s="178"/>
      <c r="B2860" s="178"/>
      <c r="C2860" s="178"/>
      <c r="D2860" s="178"/>
      <c r="E2860" s="178"/>
      <c r="F2860" s="178"/>
      <c r="G2860" s="178"/>
      <c r="H2860" s="178"/>
      <c r="I2860" s="178"/>
      <c r="J2860" s="178"/>
      <c r="K2860" s="178"/>
      <c r="L2860" s="178"/>
      <c r="M2860" s="178"/>
      <c r="N2860" s="178"/>
      <c r="O2860" s="178"/>
    </row>
    <row r="2861" spans="1:15" ht="21" x14ac:dyDescent="0.25">
      <c r="A2861" s="305"/>
      <c r="B2861" s="644" t="s">
        <v>744</v>
      </c>
      <c r="C2861" s="645"/>
      <c r="D2861" s="645"/>
      <c r="E2861" s="645"/>
      <c r="F2861" s="645"/>
      <c r="G2861" s="645"/>
      <c r="H2861" s="645"/>
      <c r="I2861" s="645"/>
      <c r="J2861" s="645"/>
      <c r="K2861" s="645"/>
      <c r="L2861" s="645"/>
      <c r="M2861" s="645"/>
      <c r="N2861" s="645"/>
      <c r="O2861" s="646"/>
    </row>
    <row r="2862" spans="1:15" ht="21" x14ac:dyDescent="0.25">
      <c r="A2862" s="177" t="s">
        <v>285</v>
      </c>
      <c r="B2862" s="647"/>
      <c r="C2862" s="648"/>
      <c r="D2862" s="648"/>
      <c r="E2862" s="648"/>
      <c r="F2862" s="648"/>
      <c r="G2862" s="648"/>
      <c r="H2862" s="648"/>
      <c r="I2862" s="648"/>
      <c r="J2862" s="648"/>
      <c r="K2862" s="648"/>
      <c r="L2862" s="648"/>
      <c r="M2862" s="648"/>
      <c r="N2862" s="648"/>
      <c r="O2862" s="649"/>
    </row>
    <row r="2863" spans="1:15" x14ac:dyDescent="0.25">
      <c r="A2863" s="177"/>
      <c r="B2863" s="650" t="s">
        <v>115</v>
      </c>
      <c r="C2863" s="651"/>
      <c r="D2863" s="651"/>
      <c r="E2863" s="651"/>
      <c r="F2863" s="651"/>
      <c r="G2863" s="651"/>
      <c r="H2863" s="651"/>
      <c r="I2863" s="651"/>
      <c r="J2863" s="651"/>
      <c r="K2863" s="651"/>
      <c r="L2863" s="651"/>
      <c r="M2863" s="651"/>
      <c r="N2863" s="651"/>
      <c r="O2863" s="652"/>
    </row>
    <row r="2864" spans="1:15" x14ac:dyDescent="0.25">
      <c r="A2864" s="177" t="s">
        <v>106</v>
      </c>
      <c r="B2864" s="629">
        <v>10</v>
      </c>
      <c r="C2864" s="630"/>
      <c r="D2864" s="630"/>
      <c r="E2864" s="631"/>
      <c r="F2864" s="365" t="s">
        <v>174</v>
      </c>
      <c r="G2864" s="471"/>
      <c r="H2864" s="653"/>
      <c r="I2864" s="654"/>
      <c r="J2864" s="654"/>
      <c r="K2864" s="654"/>
      <c r="L2864" s="655"/>
      <c r="M2864" s="656">
        <f>SUM(B2864,H2865)</f>
        <v>10</v>
      </c>
      <c r="N2864" s="630"/>
      <c r="O2864" s="631"/>
    </row>
    <row r="2865" spans="1:15" x14ac:dyDescent="0.25">
      <c r="A2865" s="177" t="s">
        <v>112</v>
      </c>
      <c r="B2865" s="626">
        <v>0.13</v>
      </c>
      <c r="C2865" s="627"/>
      <c r="D2865" s="627"/>
      <c r="E2865" s="628"/>
      <c r="F2865" s="290"/>
      <c r="G2865" s="472"/>
      <c r="H2865" s="626"/>
      <c r="I2865" s="627"/>
      <c r="J2865" s="627"/>
      <c r="K2865" s="627"/>
      <c r="L2865" s="628"/>
      <c r="M2865" s="657">
        <f>B2865</f>
        <v>0.13</v>
      </c>
      <c r="N2865" s="627"/>
      <c r="O2865" s="628"/>
    </row>
    <row r="2866" spans="1:15" x14ac:dyDescent="0.25">
      <c r="A2866" s="177" t="s">
        <v>107</v>
      </c>
      <c r="B2866" s="629">
        <f>B2864*(1-B2865)</f>
        <v>8.6999999999999993</v>
      </c>
      <c r="C2866" s="630"/>
      <c r="D2866" s="630"/>
      <c r="E2866" s="631"/>
      <c r="F2866" s="290"/>
      <c r="G2866" s="472"/>
      <c r="H2866" s="629">
        <f>H2864*(1-H2865)</f>
        <v>0</v>
      </c>
      <c r="I2866" s="630"/>
      <c r="J2866" s="630"/>
      <c r="K2866" s="630"/>
      <c r="L2866" s="631"/>
      <c r="M2866" s="656">
        <f>SUM(B2866,H2866)</f>
        <v>8.6999999999999993</v>
      </c>
      <c r="N2866" s="630"/>
      <c r="O2866" s="631"/>
    </row>
    <row r="2867" spans="1:15" x14ac:dyDescent="0.25">
      <c r="A2867" s="177" t="s">
        <v>108</v>
      </c>
      <c r="B2867" s="626">
        <f>B2870/B2866</f>
        <v>0</v>
      </c>
      <c r="C2867" s="627"/>
      <c r="D2867" s="627"/>
      <c r="E2867" s="627"/>
      <c r="F2867" s="627"/>
      <c r="G2867" s="627"/>
      <c r="H2867" s="627"/>
      <c r="I2867" s="627"/>
      <c r="J2867" s="627"/>
      <c r="K2867" s="627"/>
      <c r="L2867" s="627"/>
      <c r="M2867" s="627"/>
      <c r="N2867" s="627"/>
      <c r="O2867" s="628"/>
    </row>
    <row r="2868" spans="1:15" x14ac:dyDescent="0.25">
      <c r="A2868" s="177" t="s">
        <v>113</v>
      </c>
      <c r="B2868" s="629">
        <f>B2872*(B2876+B2877+I2876+I2877)/1000</f>
        <v>0</v>
      </c>
      <c r="C2868" s="630"/>
      <c r="D2868" s="630"/>
      <c r="E2868" s="630"/>
      <c r="F2868" s="630"/>
      <c r="G2868" s="630"/>
      <c r="H2868" s="630"/>
      <c r="I2868" s="630"/>
      <c r="J2868" s="630"/>
      <c r="K2868" s="630"/>
      <c r="L2868" s="630"/>
      <c r="M2868" s="630"/>
      <c r="N2868" s="630"/>
      <c r="O2868" s="631"/>
    </row>
    <row r="2869" spans="1:15" x14ac:dyDescent="0.25">
      <c r="A2869" s="177" t="s">
        <v>109</v>
      </c>
      <c r="B2869" s="626"/>
      <c r="C2869" s="627"/>
      <c r="D2869" s="627"/>
      <c r="E2869" s="627"/>
      <c r="F2869" s="627"/>
      <c r="G2869" s="627"/>
      <c r="H2869" s="627"/>
      <c r="I2869" s="627"/>
      <c r="J2869" s="627"/>
      <c r="K2869" s="627"/>
      <c r="L2869" s="627"/>
      <c r="M2869" s="627"/>
      <c r="N2869" s="627"/>
      <c r="O2869" s="628"/>
    </row>
    <row r="2870" spans="1:15" x14ac:dyDescent="0.25">
      <c r="A2870" s="177" t="s">
        <v>122</v>
      </c>
      <c r="B2870" s="629">
        <f>B2868-(B2868*B2869)</f>
        <v>0</v>
      </c>
      <c r="C2870" s="630"/>
      <c r="D2870" s="630"/>
      <c r="E2870" s="630"/>
      <c r="F2870" s="630"/>
      <c r="G2870" s="630"/>
      <c r="H2870" s="630"/>
      <c r="I2870" s="630"/>
      <c r="J2870" s="630"/>
      <c r="K2870" s="630"/>
      <c r="L2870" s="630"/>
      <c r="M2870" s="630"/>
      <c r="N2870" s="630"/>
      <c r="O2870" s="631"/>
    </row>
    <row r="2871" spans="1:15" x14ac:dyDescent="0.25">
      <c r="A2871" s="177" t="s">
        <v>110</v>
      </c>
      <c r="B2871" s="632"/>
      <c r="C2871" s="633"/>
      <c r="D2871" s="633"/>
      <c r="E2871" s="633"/>
      <c r="F2871" s="633"/>
      <c r="G2871" s="633"/>
      <c r="H2871" s="633"/>
      <c r="I2871" s="633"/>
      <c r="J2871" s="633"/>
      <c r="K2871" s="633"/>
      <c r="L2871" s="633"/>
      <c r="M2871" s="633"/>
      <c r="N2871" s="633"/>
      <c r="O2871" s="634"/>
    </row>
    <row r="2872" spans="1:15" x14ac:dyDescent="0.25">
      <c r="A2872" s="177" t="s">
        <v>111</v>
      </c>
      <c r="B2872" s="635"/>
      <c r="C2872" s="636"/>
      <c r="D2872" s="636"/>
      <c r="E2872" s="636"/>
      <c r="F2872" s="636"/>
      <c r="G2872" s="636"/>
      <c r="H2872" s="636"/>
      <c r="I2872" s="636"/>
      <c r="J2872" s="636"/>
      <c r="K2872" s="636"/>
      <c r="L2872" s="636"/>
      <c r="M2872" s="636"/>
      <c r="N2872" s="636"/>
      <c r="O2872" s="637"/>
    </row>
    <row r="2873" spans="1:15" x14ac:dyDescent="0.25">
      <c r="A2873" s="177" t="s">
        <v>273</v>
      </c>
      <c r="B2873" s="638"/>
      <c r="C2873" s="638"/>
      <c r="D2873" s="638"/>
      <c r="E2873" s="638"/>
      <c r="F2873" s="638"/>
      <c r="G2873" s="638"/>
      <c r="H2873" s="638"/>
      <c r="I2873" s="638"/>
      <c r="J2873" s="638"/>
      <c r="K2873" s="638"/>
      <c r="L2873" s="638"/>
      <c r="M2873" s="638"/>
      <c r="N2873" s="638"/>
      <c r="O2873" s="639"/>
    </row>
    <row r="2874" spans="1:15" x14ac:dyDescent="0.25">
      <c r="A2874" s="177" t="s">
        <v>351</v>
      </c>
      <c r="B2874" s="431"/>
      <c r="C2874" s="431"/>
      <c r="D2874" s="431"/>
      <c r="E2874" s="431"/>
      <c r="F2874" s="431"/>
      <c r="G2874" s="431"/>
      <c r="H2874" s="431"/>
      <c r="I2874" s="431"/>
      <c r="J2874" s="431"/>
      <c r="K2874" s="431"/>
      <c r="L2874" s="431"/>
      <c r="M2874" s="431"/>
      <c r="N2874" s="431"/>
      <c r="O2874" s="432"/>
    </row>
    <row r="2875" spans="1:15" x14ac:dyDescent="0.25">
      <c r="B2875" s="307" t="s">
        <v>98</v>
      </c>
      <c r="C2875" s="365" t="s">
        <v>102</v>
      </c>
      <c r="D2875" s="365" t="s">
        <v>92</v>
      </c>
      <c r="E2875" s="365" t="s">
        <v>93</v>
      </c>
      <c r="F2875" s="365" t="s">
        <v>94</v>
      </c>
      <c r="G2875" s="365" t="s">
        <v>549</v>
      </c>
      <c r="H2875" s="359" t="s">
        <v>99</v>
      </c>
      <c r="I2875" s="307" t="s">
        <v>98</v>
      </c>
      <c r="J2875" s="365" t="s">
        <v>102</v>
      </c>
      <c r="K2875" s="365" t="s">
        <v>92</v>
      </c>
      <c r="L2875" s="365" t="s">
        <v>93</v>
      </c>
      <c r="M2875" s="365" t="s">
        <v>94</v>
      </c>
      <c r="N2875" s="365" t="s">
        <v>549</v>
      </c>
      <c r="O2875" s="359" t="s">
        <v>99</v>
      </c>
    </row>
    <row r="2876" spans="1:15" x14ac:dyDescent="0.25">
      <c r="B2876" s="308"/>
      <c r="C2876" s="365" t="s">
        <v>95</v>
      </c>
      <c r="D2876" s="441"/>
      <c r="E2876" s="441"/>
      <c r="F2876" s="441"/>
      <c r="G2876" s="441"/>
      <c r="H2876" s="359">
        <f>SUM(D2876:G2876)</f>
        <v>0</v>
      </c>
      <c r="I2876" s="308"/>
      <c r="J2876" s="365" t="s">
        <v>95</v>
      </c>
      <c r="K2876" s="441"/>
      <c r="L2876" s="441"/>
      <c r="M2876" s="441"/>
      <c r="N2876" s="441"/>
      <c r="O2876" s="359">
        <f>SUM(K2876:N2876)</f>
        <v>0</v>
      </c>
    </row>
    <row r="2877" spans="1:15" x14ac:dyDescent="0.25">
      <c r="B2877" s="308"/>
      <c r="C2877" s="365" t="s">
        <v>96</v>
      </c>
      <c r="D2877" s="441"/>
      <c r="E2877" s="441"/>
      <c r="F2877" s="441"/>
      <c r="G2877" s="441"/>
      <c r="H2877" s="359">
        <f t="shared" ref="H2877:H2883" si="419">SUM(D2877:G2877)</f>
        <v>0</v>
      </c>
      <c r="I2877" s="308"/>
      <c r="J2877" s="365" t="s">
        <v>96</v>
      </c>
      <c r="K2877" s="441"/>
      <c r="L2877" s="441"/>
      <c r="M2877" s="441"/>
      <c r="N2877" s="441"/>
      <c r="O2877" s="359">
        <f t="shared" ref="O2877:O2883" si="420">SUM(K2877:N2877)</f>
        <v>0</v>
      </c>
    </row>
    <row r="2878" spans="1:15" x14ac:dyDescent="0.25">
      <c r="B2878" s="307" t="s">
        <v>100</v>
      </c>
      <c r="C2878" s="365" t="s">
        <v>95</v>
      </c>
      <c r="D2878" s="444" t="e">
        <f t="shared" ref="D2878:G2878" si="421">D2876/$B2876</f>
        <v>#DIV/0!</v>
      </c>
      <c r="E2878" s="429" t="e">
        <f t="shared" si="421"/>
        <v>#DIV/0!</v>
      </c>
      <c r="F2878" s="429" t="e">
        <f t="shared" si="421"/>
        <v>#DIV/0!</v>
      </c>
      <c r="G2878" s="429" t="e">
        <f t="shared" si="421"/>
        <v>#DIV/0!</v>
      </c>
      <c r="H2878" s="359" t="e">
        <f t="shared" si="419"/>
        <v>#DIV/0!</v>
      </c>
      <c r="I2878" s="307" t="s">
        <v>100</v>
      </c>
      <c r="J2878" s="365" t="s">
        <v>95</v>
      </c>
      <c r="K2878" s="444" t="e">
        <f t="shared" ref="K2878:N2878" si="422">K2876/$I2876</f>
        <v>#DIV/0!</v>
      </c>
      <c r="L2878" s="429" t="e">
        <f t="shared" si="422"/>
        <v>#DIV/0!</v>
      </c>
      <c r="M2878" s="429" t="e">
        <f t="shared" si="422"/>
        <v>#DIV/0!</v>
      </c>
      <c r="N2878" s="429" t="e">
        <f t="shared" si="422"/>
        <v>#DIV/0!</v>
      </c>
      <c r="O2878" s="359" t="e">
        <f t="shared" si="420"/>
        <v>#DIV/0!</v>
      </c>
    </row>
    <row r="2879" spans="1:15" x14ac:dyDescent="0.25">
      <c r="B2879" s="307" t="s">
        <v>100</v>
      </c>
      <c r="C2879" s="438" t="s">
        <v>96</v>
      </c>
      <c r="D2879" s="359" t="e">
        <f t="shared" ref="D2879:G2879" si="423">D2877/$B2877</f>
        <v>#DIV/0!</v>
      </c>
      <c r="E2879" s="359" t="e">
        <f t="shared" si="423"/>
        <v>#DIV/0!</v>
      </c>
      <c r="F2879" s="359" t="e">
        <f t="shared" si="423"/>
        <v>#DIV/0!</v>
      </c>
      <c r="G2879" s="359" t="e">
        <f t="shared" si="423"/>
        <v>#DIV/0!</v>
      </c>
      <c r="H2879" s="359" t="e">
        <f t="shared" si="419"/>
        <v>#DIV/0!</v>
      </c>
      <c r="I2879" s="307" t="s">
        <v>100</v>
      </c>
      <c r="J2879" s="438" t="s">
        <v>96</v>
      </c>
      <c r="K2879" s="359" t="e">
        <f t="shared" ref="K2879:N2879" si="424">K2877/$I2877</f>
        <v>#DIV/0!</v>
      </c>
      <c r="L2879" s="359" t="e">
        <f t="shared" si="424"/>
        <v>#DIV/0!</v>
      </c>
      <c r="M2879" s="359" t="e">
        <f t="shared" si="424"/>
        <v>#DIV/0!</v>
      </c>
      <c r="N2879" s="359" t="e">
        <f t="shared" si="424"/>
        <v>#DIV/0!</v>
      </c>
      <c r="O2879" s="359" t="e">
        <f t="shared" si="420"/>
        <v>#DIV/0!</v>
      </c>
    </row>
    <row r="2880" spans="1:15" x14ac:dyDescent="0.25">
      <c r="B2880" s="307" t="s">
        <v>104</v>
      </c>
      <c r="C2880" s="365" t="s">
        <v>95</v>
      </c>
      <c r="D2880" s="359" t="e">
        <f>D2876/($B2876/7.7)</f>
        <v>#DIV/0!</v>
      </c>
      <c r="E2880" s="359" t="e">
        <f>E2876/($B2876/7)</f>
        <v>#DIV/0!</v>
      </c>
      <c r="F2880" s="359" t="e">
        <f>F2876/($B2876/7)</f>
        <v>#DIV/0!</v>
      </c>
      <c r="G2880" s="359" t="e">
        <f>G2876/($B2876/7)</f>
        <v>#DIV/0!</v>
      </c>
      <c r="H2880" s="359" t="e">
        <f t="shared" si="419"/>
        <v>#DIV/0!</v>
      </c>
      <c r="I2880" s="307" t="s">
        <v>104</v>
      </c>
      <c r="J2880" s="365" t="s">
        <v>95</v>
      </c>
      <c r="K2880" s="359" t="e">
        <f>K2876/($I2876/7.7)</f>
        <v>#DIV/0!</v>
      </c>
      <c r="L2880" s="359" t="e">
        <f>L2876/($I2876/7)</f>
        <v>#DIV/0!</v>
      </c>
      <c r="M2880" s="359" t="e">
        <f>M2876/($I2876/7)</f>
        <v>#DIV/0!</v>
      </c>
      <c r="N2880" s="359" t="e">
        <f>N2876/($I2876/7)</f>
        <v>#DIV/0!</v>
      </c>
      <c r="O2880" s="359" t="e">
        <f t="shared" si="420"/>
        <v>#DIV/0!</v>
      </c>
    </row>
    <row r="2881" spans="2:15" x14ac:dyDescent="0.25">
      <c r="B2881" s="307" t="s">
        <v>104</v>
      </c>
      <c r="C2881" s="438" t="s">
        <v>96</v>
      </c>
      <c r="D2881" s="359" t="e">
        <f>D2877/($B2877/7.7)</f>
        <v>#DIV/0!</v>
      </c>
      <c r="E2881" s="359" t="e">
        <f>E2877/($B2877/7.7)</f>
        <v>#DIV/0!</v>
      </c>
      <c r="F2881" s="359" t="e">
        <f>F2877/($B2877/7.7)</f>
        <v>#DIV/0!</v>
      </c>
      <c r="G2881" s="359" t="e">
        <f>G2877/($B2877/7.7)</f>
        <v>#DIV/0!</v>
      </c>
      <c r="H2881" s="359" t="e">
        <f t="shared" si="419"/>
        <v>#DIV/0!</v>
      </c>
      <c r="I2881" s="307" t="s">
        <v>104</v>
      </c>
      <c r="J2881" s="438" t="s">
        <v>96</v>
      </c>
      <c r="K2881" s="359" t="e">
        <f>K2877/($I2877/7.7)</f>
        <v>#DIV/0!</v>
      </c>
      <c r="L2881" s="359" t="e">
        <f>L2877/($I2877/7.7)</f>
        <v>#DIV/0!</v>
      </c>
      <c r="M2881" s="359" t="e">
        <f>M2877/($I2877/7.7)</f>
        <v>#DIV/0!</v>
      </c>
      <c r="N2881" s="359" t="e">
        <f>N2877/($I2877/7.7)</f>
        <v>#DIV/0!</v>
      </c>
      <c r="O2881" s="359" t="e">
        <f t="shared" si="420"/>
        <v>#DIV/0!</v>
      </c>
    </row>
    <row r="2882" spans="2:15" x14ac:dyDescent="0.25">
      <c r="B2882" s="307" t="s">
        <v>135</v>
      </c>
      <c r="C2882" s="365" t="s">
        <v>95</v>
      </c>
      <c r="D2882" s="359" t="e">
        <f>D2876/((($B2876*$B2872)*(1-$B2869))/$B2867)</f>
        <v>#DIV/0!</v>
      </c>
      <c r="E2882" s="359" t="e">
        <f>E2876/((($B2876*$B2872)*(1-$B2869))/$B2867)</f>
        <v>#DIV/0!</v>
      </c>
      <c r="F2882" s="359" t="e">
        <f>F2876/((($B2876*$B2872)*(1-$B2869))/$B2867)</f>
        <v>#DIV/0!</v>
      </c>
      <c r="G2882" s="359" t="e">
        <f>G2876/((($B2876*$B2872)*(1-$B2869))/$B2867)</f>
        <v>#DIV/0!</v>
      </c>
      <c r="H2882" s="359" t="e">
        <f t="shared" si="419"/>
        <v>#DIV/0!</v>
      </c>
      <c r="I2882" s="307" t="s">
        <v>135</v>
      </c>
      <c r="J2882" s="365" t="s">
        <v>95</v>
      </c>
      <c r="K2882" s="359" t="e">
        <f>K2876/((($I2876*$B2872)*(1-$B2869))/$B2867)</f>
        <v>#DIV/0!</v>
      </c>
      <c r="L2882" s="359" t="e">
        <f>L2876/((($I2876*$B2872)*(1-$B2869))/$B2867)</f>
        <v>#DIV/0!</v>
      </c>
      <c r="M2882" s="359" t="e">
        <f>M2876/((($I2876*$B2872)*(1-$B2869))/$B2867)</f>
        <v>#DIV/0!</v>
      </c>
      <c r="N2882" s="359" t="e">
        <f>N2876/((($I2876*$B2872)*(1-$B2869))/$B2867)</f>
        <v>#DIV/0!</v>
      </c>
      <c r="O2882" s="359" t="e">
        <f t="shared" si="420"/>
        <v>#DIV/0!</v>
      </c>
    </row>
    <row r="2883" spans="2:15" x14ac:dyDescent="0.25">
      <c r="B2883" s="307" t="s">
        <v>135</v>
      </c>
      <c r="C2883" s="438" t="s">
        <v>96</v>
      </c>
      <c r="D2883" s="359" t="e">
        <f>D2877/((($B2877*$B2872)*(1-$B2869))/$B2867)</f>
        <v>#DIV/0!</v>
      </c>
      <c r="E2883" s="359" t="e">
        <f>E2877/((($B2877*$B2872)*(1-$B2869))/$B2867)</f>
        <v>#DIV/0!</v>
      </c>
      <c r="F2883" s="359" t="e">
        <f>F2877/((($B2877*$B2872)*(1-$B2869))/$B2867)</f>
        <v>#DIV/0!</v>
      </c>
      <c r="G2883" s="359" t="e">
        <f>G2877/((($B2877*$B2872)*(1-$B2869))/$B2867)</f>
        <v>#DIV/0!</v>
      </c>
      <c r="H2883" s="359" t="e">
        <f t="shared" si="419"/>
        <v>#DIV/0!</v>
      </c>
      <c r="I2883" s="307" t="s">
        <v>135</v>
      </c>
      <c r="J2883" s="438" t="s">
        <v>96</v>
      </c>
      <c r="K2883" s="359" t="e">
        <f>K2877/((($I2877*$B2872)*(1-$B2869))/$B2867)</f>
        <v>#DIV/0!</v>
      </c>
      <c r="L2883" s="359" t="e">
        <f>L2877/((($I2877*$B2872)*(1-$B2869))/$B2867)</f>
        <v>#DIV/0!</v>
      </c>
      <c r="M2883" s="359" t="e">
        <f>M2877/((($I2877*$B2872)*(1-$B2869))/$B2867)</f>
        <v>#DIV/0!</v>
      </c>
      <c r="N2883" s="359" t="e">
        <f>N2877/((($I2877*$B2872)*(1-$B2869))/$B2867)</f>
        <v>#DIV/0!</v>
      </c>
      <c r="O2883" s="359" t="e">
        <f t="shared" si="420"/>
        <v>#DIV/0!</v>
      </c>
    </row>
  </sheetData>
  <mergeCells count="2584">
    <mergeCell ref="I2779:O2787"/>
    <mergeCell ref="B2774:O2774"/>
    <mergeCell ref="B2775:O2775"/>
    <mergeCell ref="B2776:O2776"/>
    <mergeCell ref="B2777:O2777"/>
    <mergeCell ref="B2752:O2752"/>
    <mergeCell ref="B2753:O2753"/>
    <mergeCell ref="B2765:O2765"/>
    <mergeCell ref="B2766:O2766"/>
    <mergeCell ref="B2767:O2767"/>
    <mergeCell ref="B2768:E2768"/>
    <mergeCell ref="H2768:L2768"/>
    <mergeCell ref="M2768:O2768"/>
    <mergeCell ref="B2769:E2769"/>
    <mergeCell ref="H2769:L2769"/>
    <mergeCell ref="M2769:O2769"/>
    <mergeCell ref="B2770:E2770"/>
    <mergeCell ref="H2770:L2770"/>
    <mergeCell ref="M2770:O2770"/>
    <mergeCell ref="B2771:O2771"/>
    <mergeCell ref="B2772:O2772"/>
    <mergeCell ref="B2773:O2773"/>
    <mergeCell ref="B2741:O2741"/>
    <mergeCell ref="B2742:O2742"/>
    <mergeCell ref="B2743:O2743"/>
    <mergeCell ref="B2744:E2744"/>
    <mergeCell ref="H2744:L2744"/>
    <mergeCell ref="M2744:O2744"/>
    <mergeCell ref="B2745:E2745"/>
    <mergeCell ref="H2745:L2745"/>
    <mergeCell ref="M2745:O2745"/>
    <mergeCell ref="B2746:E2746"/>
    <mergeCell ref="H2746:L2746"/>
    <mergeCell ref="M2746:O2746"/>
    <mergeCell ref="B2747:O2747"/>
    <mergeCell ref="B2748:O2748"/>
    <mergeCell ref="B2749:O2749"/>
    <mergeCell ref="B2750:O2750"/>
    <mergeCell ref="B2751:O2751"/>
    <mergeCell ref="Q2501:Q2502"/>
    <mergeCell ref="S2501:S2502"/>
    <mergeCell ref="Q2525:Q2526"/>
    <mergeCell ref="S2525:S2526"/>
    <mergeCell ref="Q2549:Q2550"/>
    <mergeCell ref="S2549:S2550"/>
    <mergeCell ref="Q2574:Q2575"/>
    <mergeCell ref="S2574:S2575"/>
    <mergeCell ref="B2486:O2486"/>
    <mergeCell ref="B2487:O2487"/>
    <mergeCell ref="B2488:O2488"/>
    <mergeCell ref="B2489:O2489"/>
    <mergeCell ref="B2464:O2464"/>
    <mergeCell ref="B2465:O2465"/>
    <mergeCell ref="B2477:O2477"/>
    <mergeCell ref="B2478:O2478"/>
    <mergeCell ref="B2479:O2479"/>
    <mergeCell ref="B2480:E2480"/>
    <mergeCell ref="H2480:L2480"/>
    <mergeCell ref="M2480:O2480"/>
    <mergeCell ref="B2481:E2481"/>
    <mergeCell ref="H2481:L2481"/>
    <mergeCell ref="M2481:O2481"/>
    <mergeCell ref="B2482:E2482"/>
    <mergeCell ref="H2482:L2482"/>
    <mergeCell ref="M2482:O2482"/>
    <mergeCell ref="B2483:O2483"/>
    <mergeCell ref="B2484:O2484"/>
    <mergeCell ref="B2485:O2485"/>
    <mergeCell ref="B2501:O2501"/>
    <mergeCell ref="B2502:O2502"/>
    <mergeCell ref="B2503:O2503"/>
    <mergeCell ref="B2453:O2453"/>
    <mergeCell ref="B2454:O2454"/>
    <mergeCell ref="B2455:O2455"/>
    <mergeCell ref="B2456:E2456"/>
    <mergeCell ref="H2456:L2456"/>
    <mergeCell ref="M2456:O2456"/>
    <mergeCell ref="B2457:E2457"/>
    <mergeCell ref="H2457:L2457"/>
    <mergeCell ref="M2457:O2457"/>
    <mergeCell ref="B2458:E2458"/>
    <mergeCell ref="H2458:L2458"/>
    <mergeCell ref="M2458:O2458"/>
    <mergeCell ref="B2459:O2459"/>
    <mergeCell ref="B2460:O2460"/>
    <mergeCell ref="B2461:O2461"/>
    <mergeCell ref="B2462:O2462"/>
    <mergeCell ref="B2463:O2463"/>
    <mergeCell ref="B2438:O2438"/>
    <mergeCell ref="B2439:O2439"/>
    <mergeCell ref="B2440:O2440"/>
    <mergeCell ref="B2441:O2441"/>
    <mergeCell ref="B2416:O2416"/>
    <mergeCell ref="B2417:O2417"/>
    <mergeCell ref="B2429:O2429"/>
    <mergeCell ref="B2430:O2430"/>
    <mergeCell ref="B2431:O2431"/>
    <mergeCell ref="B2432:E2432"/>
    <mergeCell ref="H2432:L2432"/>
    <mergeCell ref="M2432:O2432"/>
    <mergeCell ref="B2433:E2433"/>
    <mergeCell ref="H2433:L2433"/>
    <mergeCell ref="M2433:O2433"/>
    <mergeCell ref="B2434:E2434"/>
    <mergeCell ref="H2434:L2434"/>
    <mergeCell ref="M2434:O2434"/>
    <mergeCell ref="B2435:O2435"/>
    <mergeCell ref="B2436:O2436"/>
    <mergeCell ref="B2437:O2437"/>
    <mergeCell ref="B2418:O2418"/>
    <mergeCell ref="B2405:O2405"/>
    <mergeCell ref="B2406:O2406"/>
    <mergeCell ref="B2407:O2407"/>
    <mergeCell ref="B2408:E2408"/>
    <mergeCell ref="H2408:L2408"/>
    <mergeCell ref="M2408:O2408"/>
    <mergeCell ref="B2409:E2409"/>
    <mergeCell ref="H2409:L2409"/>
    <mergeCell ref="M2409:O2409"/>
    <mergeCell ref="B2410:E2410"/>
    <mergeCell ref="H2410:L2410"/>
    <mergeCell ref="M2410:O2410"/>
    <mergeCell ref="B2411:O2411"/>
    <mergeCell ref="B2412:O2412"/>
    <mergeCell ref="B2413:O2413"/>
    <mergeCell ref="B2414:O2414"/>
    <mergeCell ref="B2415:O2415"/>
    <mergeCell ref="Q2213:Q2214"/>
    <mergeCell ref="S2213:S2214"/>
    <mergeCell ref="Q2238:Q2239"/>
    <mergeCell ref="S2238:S2239"/>
    <mergeCell ref="Q2285:Q2286"/>
    <mergeCell ref="S2285:S2286"/>
    <mergeCell ref="B2320:O2320"/>
    <mergeCell ref="B2321:O2321"/>
    <mergeCell ref="B2309:O2309"/>
    <mergeCell ref="B2310:O2310"/>
    <mergeCell ref="B2311:O2311"/>
    <mergeCell ref="B2312:E2312"/>
    <mergeCell ref="H2312:L2312"/>
    <mergeCell ref="M2312:O2312"/>
    <mergeCell ref="B2313:E2313"/>
    <mergeCell ref="H2313:L2313"/>
    <mergeCell ref="M2313:O2313"/>
    <mergeCell ref="B2314:E2314"/>
    <mergeCell ref="H2314:L2314"/>
    <mergeCell ref="M2314:O2314"/>
    <mergeCell ref="B2315:O2315"/>
    <mergeCell ref="B2316:O2316"/>
    <mergeCell ref="B2317:O2317"/>
    <mergeCell ref="B2318:O2318"/>
    <mergeCell ref="B2319:O2319"/>
    <mergeCell ref="B2296:O2296"/>
    <mergeCell ref="B2297:O2297"/>
    <mergeCell ref="B2285:O2285"/>
    <mergeCell ref="B2286:O2286"/>
    <mergeCell ref="B2287:O2287"/>
    <mergeCell ref="B2288:E2288"/>
    <mergeCell ref="H2288:L2288"/>
    <mergeCell ref="M2288:O2288"/>
    <mergeCell ref="B2289:E2289"/>
    <mergeCell ref="H2289:L2289"/>
    <mergeCell ref="M2289:O2289"/>
    <mergeCell ref="B2290:E2290"/>
    <mergeCell ref="H2290:L2290"/>
    <mergeCell ref="M2290:O2290"/>
    <mergeCell ref="B2291:O2291"/>
    <mergeCell ref="B2292:O2292"/>
    <mergeCell ref="B2293:O2293"/>
    <mergeCell ref="B2294:O2294"/>
    <mergeCell ref="B2295:O2295"/>
    <mergeCell ref="B2201:O2201"/>
    <mergeCell ref="B2189:O2189"/>
    <mergeCell ref="B2190:O2190"/>
    <mergeCell ref="B2191:O2191"/>
    <mergeCell ref="B2192:E2192"/>
    <mergeCell ref="H2192:L2192"/>
    <mergeCell ref="M2192:O2192"/>
    <mergeCell ref="B2193:E2193"/>
    <mergeCell ref="H2193:L2193"/>
    <mergeCell ref="M2193:O2193"/>
    <mergeCell ref="B2194:E2194"/>
    <mergeCell ref="H2194:L2194"/>
    <mergeCell ref="M2194:O2194"/>
    <mergeCell ref="B2195:O2195"/>
    <mergeCell ref="B2196:O2196"/>
    <mergeCell ref="B2197:O2197"/>
    <mergeCell ref="B2198:O2198"/>
    <mergeCell ref="B2199:O2199"/>
    <mergeCell ref="B2218:E2218"/>
    <mergeCell ref="H2218:L2218"/>
    <mergeCell ref="Q2093:Q2094"/>
    <mergeCell ref="S2093:S2094"/>
    <mergeCell ref="Q2117:Q2118"/>
    <mergeCell ref="S2117:S2118"/>
    <mergeCell ref="B2147:O2147"/>
    <mergeCell ref="B2148:O2148"/>
    <mergeCell ref="B2149:O2149"/>
    <mergeCell ref="B2150:O2150"/>
    <mergeCell ref="B2151:O2151"/>
    <mergeCell ref="B2152:O2152"/>
    <mergeCell ref="B2153:O2153"/>
    <mergeCell ref="Q1853:Q1854"/>
    <mergeCell ref="S1853:S1854"/>
    <mergeCell ref="Q1877:Q1878"/>
    <mergeCell ref="S1877:S1878"/>
    <mergeCell ref="Q1901:Q1902"/>
    <mergeCell ref="S1901:S1902"/>
    <mergeCell ref="Q1925:Q1926"/>
    <mergeCell ref="S1925:S1926"/>
    <mergeCell ref="Q1949:Q1950"/>
    <mergeCell ref="S1949:S1950"/>
    <mergeCell ref="Q1973:Q1974"/>
    <mergeCell ref="S1973:S1974"/>
    <mergeCell ref="Q1997:Q1998"/>
    <mergeCell ref="S1997:S1998"/>
    <mergeCell ref="Q2021:Q2022"/>
    <mergeCell ref="S2021:S2022"/>
    <mergeCell ref="Q2045:Q2046"/>
    <mergeCell ref="S2045:S2046"/>
    <mergeCell ref="Q2069:Q2070"/>
    <mergeCell ref="S2069:S2070"/>
    <mergeCell ref="B2123:O2123"/>
    <mergeCell ref="B2124:O2124"/>
    <mergeCell ref="B2125:O2125"/>
    <mergeCell ref="B2126:O2126"/>
    <mergeCell ref="B2127:O2127"/>
    <mergeCell ref="B2128:O2128"/>
    <mergeCell ref="B2129:O2129"/>
    <mergeCell ref="B2141:O2141"/>
    <mergeCell ref="B2142:O2142"/>
    <mergeCell ref="B2143:O2143"/>
    <mergeCell ref="B2144:E2144"/>
    <mergeCell ref="H2144:L2144"/>
    <mergeCell ref="M2144:O2144"/>
    <mergeCell ref="B2145:E2145"/>
    <mergeCell ref="H2145:L2145"/>
    <mergeCell ref="M2145:O2145"/>
    <mergeCell ref="B2146:E2146"/>
    <mergeCell ref="H2146:L2146"/>
    <mergeCell ref="M2146:O2146"/>
    <mergeCell ref="B2099:O2099"/>
    <mergeCell ref="B2100:O2100"/>
    <mergeCell ref="B2101:O2101"/>
    <mergeCell ref="B2102:O2102"/>
    <mergeCell ref="B2103:O2103"/>
    <mergeCell ref="B2104:O2104"/>
    <mergeCell ref="B2105:O2105"/>
    <mergeCell ref="B2117:O2117"/>
    <mergeCell ref="B2118:O2118"/>
    <mergeCell ref="B2119:O2119"/>
    <mergeCell ref="B2120:E2120"/>
    <mergeCell ref="H2120:L2120"/>
    <mergeCell ref="M2120:O2120"/>
    <mergeCell ref="B2121:E2121"/>
    <mergeCell ref="H2121:L2121"/>
    <mergeCell ref="M2121:O2121"/>
    <mergeCell ref="B2122:E2122"/>
    <mergeCell ref="H2122:L2122"/>
    <mergeCell ref="M2122:O2122"/>
    <mergeCell ref="B2075:O2075"/>
    <mergeCell ref="B2076:O2076"/>
    <mergeCell ref="B2077:O2077"/>
    <mergeCell ref="B2078:O2078"/>
    <mergeCell ref="B2079:O2079"/>
    <mergeCell ref="B2080:O2080"/>
    <mergeCell ref="B2081:O2081"/>
    <mergeCell ref="B2093:O2093"/>
    <mergeCell ref="B2094:O2094"/>
    <mergeCell ref="B2095:O2095"/>
    <mergeCell ref="B2096:E2096"/>
    <mergeCell ref="H2096:L2096"/>
    <mergeCell ref="M2096:O2096"/>
    <mergeCell ref="B2097:E2097"/>
    <mergeCell ref="H2097:L2097"/>
    <mergeCell ref="M2097:O2097"/>
    <mergeCell ref="B2098:E2098"/>
    <mergeCell ref="H2098:L2098"/>
    <mergeCell ref="M2098:O2098"/>
    <mergeCell ref="B2051:O2051"/>
    <mergeCell ref="B2052:O2052"/>
    <mergeCell ref="B2053:O2053"/>
    <mergeCell ref="B2054:O2054"/>
    <mergeCell ref="B2055:O2055"/>
    <mergeCell ref="B2056:O2056"/>
    <mergeCell ref="B2057:O2057"/>
    <mergeCell ref="B2069:O2069"/>
    <mergeCell ref="B2070:O2070"/>
    <mergeCell ref="B2071:O2071"/>
    <mergeCell ref="B2072:E2072"/>
    <mergeCell ref="H2072:L2072"/>
    <mergeCell ref="M2072:O2072"/>
    <mergeCell ref="B2073:E2073"/>
    <mergeCell ref="H2073:L2073"/>
    <mergeCell ref="M2073:O2073"/>
    <mergeCell ref="B2074:E2074"/>
    <mergeCell ref="H2074:L2074"/>
    <mergeCell ref="M2074:O2074"/>
    <mergeCell ref="B2027:O2027"/>
    <mergeCell ref="B2028:O2028"/>
    <mergeCell ref="B2029:O2029"/>
    <mergeCell ref="B2030:O2030"/>
    <mergeCell ref="B2031:O2031"/>
    <mergeCell ref="B2032:O2032"/>
    <mergeCell ref="B2033:O2033"/>
    <mergeCell ref="B2045:O2045"/>
    <mergeCell ref="B2046:O2046"/>
    <mergeCell ref="B2047:O2047"/>
    <mergeCell ref="B2048:E2048"/>
    <mergeCell ref="H2048:L2048"/>
    <mergeCell ref="M2048:O2048"/>
    <mergeCell ref="B2049:E2049"/>
    <mergeCell ref="H2049:L2049"/>
    <mergeCell ref="M2049:O2049"/>
    <mergeCell ref="B2050:E2050"/>
    <mergeCell ref="H2050:L2050"/>
    <mergeCell ref="M2050:O2050"/>
    <mergeCell ref="B2003:O2003"/>
    <mergeCell ref="B2004:O2004"/>
    <mergeCell ref="B2005:O2005"/>
    <mergeCell ref="B2006:O2006"/>
    <mergeCell ref="B2007:O2007"/>
    <mergeCell ref="B2008:O2008"/>
    <mergeCell ref="B2009:O2009"/>
    <mergeCell ref="B2021:O2021"/>
    <mergeCell ref="B2022:O2022"/>
    <mergeCell ref="B2023:O2023"/>
    <mergeCell ref="B2024:E2024"/>
    <mergeCell ref="H2024:L2024"/>
    <mergeCell ref="M2024:O2024"/>
    <mergeCell ref="B2025:E2025"/>
    <mergeCell ref="H2025:L2025"/>
    <mergeCell ref="M2025:O2025"/>
    <mergeCell ref="B2026:E2026"/>
    <mergeCell ref="H2026:L2026"/>
    <mergeCell ref="M2026:O2026"/>
    <mergeCell ref="B1980:O1980"/>
    <mergeCell ref="B1981:O1981"/>
    <mergeCell ref="B1982:O1982"/>
    <mergeCell ref="B1983:O1983"/>
    <mergeCell ref="B1984:O1984"/>
    <mergeCell ref="B1985:O1985"/>
    <mergeCell ref="B1997:O1997"/>
    <mergeCell ref="B1998:O1998"/>
    <mergeCell ref="B1999:O1999"/>
    <mergeCell ref="B2000:E2000"/>
    <mergeCell ref="H2000:L2000"/>
    <mergeCell ref="M2000:O2000"/>
    <mergeCell ref="B2001:E2001"/>
    <mergeCell ref="H2001:L2001"/>
    <mergeCell ref="M2001:O2001"/>
    <mergeCell ref="B2002:E2002"/>
    <mergeCell ref="H2002:L2002"/>
    <mergeCell ref="M2002:O2002"/>
    <mergeCell ref="B1958:O1958"/>
    <mergeCell ref="B1959:O1959"/>
    <mergeCell ref="B1960:O1960"/>
    <mergeCell ref="B1961:O1961"/>
    <mergeCell ref="B1973:O1973"/>
    <mergeCell ref="B1974:O1974"/>
    <mergeCell ref="B1975:O1975"/>
    <mergeCell ref="B1976:E1976"/>
    <mergeCell ref="H1976:L1976"/>
    <mergeCell ref="M1976:O1976"/>
    <mergeCell ref="B1977:E1977"/>
    <mergeCell ref="H1977:L1977"/>
    <mergeCell ref="M1977:O1977"/>
    <mergeCell ref="B1978:E1978"/>
    <mergeCell ref="H1978:L1978"/>
    <mergeCell ref="M1978:O1978"/>
    <mergeCell ref="B1979:O1979"/>
    <mergeCell ref="B1936:O1936"/>
    <mergeCell ref="B1937:O1937"/>
    <mergeCell ref="B1949:O1949"/>
    <mergeCell ref="B1950:O1950"/>
    <mergeCell ref="B1951:O1951"/>
    <mergeCell ref="B1952:E1952"/>
    <mergeCell ref="H1952:L1952"/>
    <mergeCell ref="M1952:O1952"/>
    <mergeCell ref="B1953:E1953"/>
    <mergeCell ref="H1953:L1953"/>
    <mergeCell ref="M1953:O1953"/>
    <mergeCell ref="B1954:E1954"/>
    <mergeCell ref="H1954:L1954"/>
    <mergeCell ref="M1954:O1954"/>
    <mergeCell ref="B1955:O1955"/>
    <mergeCell ref="B1956:O1956"/>
    <mergeCell ref="B1957:O1957"/>
    <mergeCell ref="B1925:O1925"/>
    <mergeCell ref="B1926:O1926"/>
    <mergeCell ref="B1927:O1927"/>
    <mergeCell ref="B1928:E1928"/>
    <mergeCell ref="H1928:L1928"/>
    <mergeCell ref="M1928:O1928"/>
    <mergeCell ref="B1929:E1929"/>
    <mergeCell ref="H1929:L1929"/>
    <mergeCell ref="M1929:O1929"/>
    <mergeCell ref="B1930:E1930"/>
    <mergeCell ref="H1930:L1930"/>
    <mergeCell ref="M1930:O1930"/>
    <mergeCell ref="B1931:O1931"/>
    <mergeCell ref="B1932:O1932"/>
    <mergeCell ref="B1933:O1933"/>
    <mergeCell ref="B1934:O1934"/>
    <mergeCell ref="B1935:O1935"/>
    <mergeCell ref="Q1662:Q1663"/>
    <mergeCell ref="S1662:S1663"/>
    <mergeCell ref="Q1686:Q1687"/>
    <mergeCell ref="S1686:S1687"/>
    <mergeCell ref="Q1710:Q1711"/>
    <mergeCell ref="S1710:S1711"/>
    <mergeCell ref="Q1734:Q1735"/>
    <mergeCell ref="S1734:S1735"/>
    <mergeCell ref="Q1758:Q1759"/>
    <mergeCell ref="S1758:S1759"/>
    <mergeCell ref="Q1782:Q1783"/>
    <mergeCell ref="S1782:S1783"/>
    <mergeCell ref="Q1806:Q1807"/>
    <mergeCell ref="S1806:S1807"/>
    <mergeCell ref="Q1829:Q1830"/>
    <mergeCell ref="S1829:S1830"/>
    <mergeCell ref="Q1350:S1354"/>
    <mergeCell ref="Q1445:Q1446"/>
    <mergeCell ref="S1445:S1446"/>
    <mergeCell ref="Q1469:Q1470"/>
    <mergeCell ref="S1469:S1470"/>
    <mergeCell ref="Q1493:Q1494"/>
    <mergeCell ref="S1493:S1494"/>
    <mergeCell ref="Q1517:Q1518"/>
    <mergeCell ref="S1517:S1518"/>
    <mergeCell ref="Q1541:Q1542"/>
    <mergeCell ref="S1541:S1542"/>
    <mergeCell ref="Q782:S786"/>
    <mergeCell ref="Q1569:Q1570"/>
    <mergeCell ref="S1569:S1570"/>
    <mergeCell ref="Q1590:Q1591"/>
    <mergeCell ref="S1590:S1591"/>
    <mergeCell ref="Q1614:Q1615"/>
    <mergeCell ref="S1614:S1615"/>
    <mergeCell ref="Q1638:Q1639"/>
    <mergeCell ref="S1638:S1639"/>
    <mergeCell ref="B1430:O1430"/>
    <mergeCell ref="B1431:O1431"/>
    <mergeCell ref="B1432:O1432"/>
    <mergeCell ref="B1433:O1433"/>
    <mergeCell ref="R1433:R1434"/>
    <mergeCell ref="S1433:S1434"/>
    <mergeCell ref="B1434:O1434"/>
    <mergeCell ref="B1422:O1422"/>
    <mergeCell ref="Q1422:S1426"/>
    <mergeCell ref="B1423:O1423"/>
    <mergeCell ref="B1424:O1424"/>
    <mergeCell ref="B1425:E1425"/>
    <mergeCell ref="H1425:L1425"/>
    <mergeCell ref="M1425:O1425"/>
    <mergeCell ref="B1426:E1426"/>
    <mergeCell ref="H1426:L1426"/>
    <mergeCell ref="M1426:O1426"/>
    <mergeCell ref="B1427:E1427"/>
    <mergeCell ref="H1427:L1427"/>
    <mergeCell ref="M1427:O1427"/>
    <mergeCell ref="B1428:O1428"/>
    <mergeCell ref="Q1428:Q1429"/>
    <mergeCell ref="S1428:S1429"/>
    <mergeCell ref="B1429:O1429"/>
    <mergeCell ref="B1406:O1406"/>
    <mergeCell ref="B1407:O1407"/>
    <mergeCell ref="B1408:O1408"/>
    <mergeCell ref="B1409:O1409"/>
    <mergeCell ref="R1409:R1410"/>
    <mergeCell ref="S1409:S1410"/>
    <mergeCell ref="B1410:O1410"/>
    <mergeCell ref="B1398:O1398"/>
    <mergeCell ref="Q1398:S1402"/>
    <mergeCell ref="B1399:O1399"/>
    <mergeCell ref="B1400:O1400"/>
    <mergeCell ref="B1401:E1401"/>
    <mergeCell ref="H1401:L1401"/>
    <mergeCell ref="M1401:O1401"/>
    <mergeCell ref="B1402:E1402"/>
    <mergeCell ref="H1402:L1402"/>
    <mergeCell ref="M1402:O1402"/>
    <mergeCell ref="B1403:E1403"/>
    <mergeCell ref="H1403:L1403"/>
    <mergeCell ref="M1403:O1403"/>
    <mergeCell ref="B1404:O1404"/>
    <mergeCell ref="Q1404:Q1405"/>
    <mergeCell ref="S1404:S1405"/>
    <mergeCell ref="B1405:O1405"/>
    <mergeCell ref="B1307:E1307"/>
    <mergeCell ref="H1307:L1307"/>
    <mergeCell ref="M1307:O1307"/>
    <mergeCell ref="B1308:O1308"/>
    <mergeCell ref="Q1308:Q1309"/>
    <mergeCell ref="S1308:S1309"/>
    <mergeCell ref="B1309:O1309"/>
    <mergeCell ref="B1310:O1310"/>
    <mergeCell ref="B1311:O1311"/>
    <mergeCell ref="B1312:O1312"/>
    <mergeCell ref="B1313:O1313"/>
    <mergeCell ref="B1314:O1314"/>
    <mergeCell ref="B1286:O1286"/>
    <mergeCell ref="B1287:O1287"/>
    <mergeCell ref="B1288:O1288"/>
    <mergeCell ref="B1289:O1289"/>
    <mergeCell ref="B1290:O1290"/>
    <mergeCell ref="B1302:O1302"/>
    <mergeCell ref="Q1302:S1306"/>
    <mergeCell ref="B1303:O1303"/>
    <mergeCell ref="B1304:O1304"/>
    <mergeCell ref="B1305:E1305"/>
    <mergeCell ref="H1305:L1305"/>
    <mergeCell ref="M1305:O1305"/>
    <mergeCell ref="B1306:E1306"/>
    <mergeCell ref="H1306:L1306"/>
    <mergeCell ref="M1306:O1306"/>
    <mergeCell ref="B1278:O1278"/>
    <mergeCell ref="Q1278:S1282"/>
    <mergeCell ref="B1279:O1279"/>
    <mergeCell ref="B1280:O1280"/>
    <mergeCell ref="B1281:E1281"/>
    <mergeCell ref="H1281:L1281"/>
    <mergeCell ref="M1281:O1281"/>
    <mergeCell ref="B1282:E1282"/>
    <mergeCell ref="H1282:L1282"/>
    <mergeCell ref="M1282:O1282"/>
    <mergeCell ref="B1283:E1283"/>
    <mergeCell ref="H1283:L1283"/>
    <mergeCell ref="M1283:O1283"/>
    <mergeCell ref="B1284:O1284"/>
    <mergeCell ref="Q1284:Q1285"/>
    <mergeCell ref="S1284:S1285"/>
    <mergeCell ref="B1285:O1285"/>
    <mergeCell ref="B1262:O1262"/>
    <mergeCell ref="B1263:O1263"/>
    <mergeCell ref="B1264:O1264"/>
    <mergeCell ref="B1265:O1265"/>
    <mergeCell ref="B1266:O1266"/>
    <mergeCell ref="B1254:O1254"/>
    <mergeCell ref="Q1254:S1258"/>
    <mergeCell ref="B1255:O1255"/>
    <mergeCell ref="B1256:O1256"/>
    <mergeCell ref="B1257:E1257"/>
    <mergeCell ref="H1257:L1257"/>
    <mergeCell ref="M1257:O1257"/>
    <mergeCell ref="B1258:E1258"/>
    <mergeCell ref="H1258:L1258"/>
    <mergeCell ref="M1258:O1258"/>
    <mergeCell ref="B1259:E1259"/>
    <mergeCell ref="H1259:L1259"/>
    <mergeCell ref="M1259:O1259"/>
    <mergeCell ref="B1260:O1260"/>
    <mergeCell ref="Q1260:Q1261"/>
    <mergeCell ref="S1260:S1261"/>
    <mergeCell ref="B1261:O1261"/>
    <mergeCell ref="B1187:E1187"/>
    <mergeCell ref="H1187:L1187"/>
    <mergeCell ref="M1187:O1187"/>
    <mergeCell ref="B1188:O1188"/>
    <mergeCell ref="Q1188:Q1189"/>
    <mergeCell ref="S1188:S1189"/>
    <mergeCell ref="B1189:O1189"/>
    <mergeCell ref="B1190:O1190"/>
    <mergeCell ref="B1191:O1191"/>
    <mergeCell ref="B1192:O1192"/>
    <mergeCell ref="B1193:O1193"/>
    <mergeCell ref="B1194:O1194"/>
    <mergeCell ref="B1166:O1166"/>
    <mergeCell ref="B1167:O1167"/>
    <mergeCell ref="B1168:O1168"/>
    <mergeCell ref="B1169:O1169"/>
    <mergeCell ref="B1170:O1170"/>
    <mergeCell ref="B1182:O1182"/>
    <mergeCell ref="Q1182:S1186"/>
    <mergeCell ref="B1183:O1183"/>
    <mergeCell ref="B1184:O1184"/>
    <mergeCell ref="B1185:E1185"/>
    <mergeCell ref="H1185:L1185"/>
    <mergeCell ref="M1185:O1185"/>
    <mergeCell ref="B1186:E1186"/>
    <mergeCell ref="H1186:L1186"/>
    <mergeCell ref="M1186:O1186"/>
    <mergeCell ref="B1158:O1158"/>
    <mergeCell ref="Q1158:S1162"/>
    <mergeCell ref="B1159:O1159"/>
    <mergeCell ref="B1160:O1160"/>
    <mergeCell ref="B1161:E1161"/>
    <mergeCell ref="H1161:L1161"/>
    <mergeCell ref="M1161:O1161"/>
    <mergeCell ref="B1162:E1162"/>
    <mergeCell ref="H1162:L1162"/>
    <mergeCell ref="M1162:O1162"/>
    <mergeCell ref="B1163:E1163"/>
    <mergeCell ref="H1163:L1163"/>
    <mergeCell ref="M1163:O1163"/>
    <mergeCell ref="B1164:O1164"/>
    <mergeCell ref="Q1164:Q1165"/>
    <mergeCell ref="S1164:S1165"/>
    <mergeCell ref="B1165:O1165"/>
    <mergeCell ref="B1142:O1142"/>
    <mergeCell ref="B1143:O1143"/>
    <mergeCell ref="B1144:O1144"/>
    <mergeCell ref="B1145:O1145"/>
    <mergeCell ref="B1146:O1146"/>
    <mergeCell ref="B1134:O1134"/>
    <mergeCell ref="Q1134:S1138"/>
    <mergeCell ref="B1135:O1135"/>
    <mergeCell ref="B1136:O1136"/>
    <mergeCell ref="B1137:E1137"/>
    <mergeCell ref="H1137:L1137"/>
    <mergeCell ref="M1137:O1137"/>
    <mergeCell ref="B1138:E1138"/>
    <mergeCell ref="H1138:L1138"/>
    <mergeCell ref="M1138:O1138"/>
    <mergeCell ref="B1139:E1139"/>
    <mergeCell ref="H1139:L1139"/>
    <mergeCell ref="M1139:O1139"/>
    <mergeCell ref="B1140:O1140"/>
    <mergeCell ref="Q1140:Q1141"/>
    <mergeCell ref="S1140:S1141"/>
    <mergeCell ref="B1141:O1141"/>
    <mergeCell ref="B1120:O1120"/>
    <mergeCell ref="B1121:O1121"/>
    <mergeCell ref="B1122:O1122"/>
    <mergeCell ref="B1115:E1115"/>
    <mergeCell ref="H1115:L1115"/>
    <mergeCell ref="M1115:O1115"/>
    <mergeCell ref="B1116:O1116"/>
    <mergeCell ref="Q1116:Q1117"/>
    <mergeCell ref="S1116:S1117"/>
    <mergeCell ref="B1117:O1117"/>
    <mergeCell ref="B1118:O1118"/>
    <mergeCell ref="B1119:O1119"/>
    <mergeCell ref="B1096:O1096"/>
    <mergeCell ref="B1097:O1097"/>
    <mergeCell ref="B1098:O1098"/>
    <mergeCell ref="B1110:O1110"/>
    <mergeCell ref="Q1110:S1114"/>
    <mergeCell ref="B1111:O1111"/>
    <mergeCell ref="B1112:O1112"/>
    <mergeCell ref="B1113:E1113"/>
    <mergeCell ref="H1113:L1113"/>
    <mergeCell ref="M1113:O1113"/>
    <mergeCell ref="B1114:E1114"/>
    <mergeCell ref="H1114:L1114"/>
    <mergeCell ref="M1114:O1114"/>
    <mergeCell ref="B1091:E1091"/>
    <mergeCell ref="H1091:L1091"/>
    <mergeCell ref="M1091:O1091"/>
    <mergeCell ref="B1092:O1092"/>
    <mergeCell ref="Q1092:Q1093"/>
    <mergeCell ref="S1092:S1093"/>
    <mergeCell ref="B1093:O1093"/>
    <mergeCell ref="B1094:O1094"/>
    <mergeCell ref="B1095:O1095"/>
    <mergeCell ref="B1071:O1071"/>
    <mergeCell ref="B1072:O1072"/>
    <mergeCell ref="B1073:O1073"/>
    <mergeCell ref="B1086:O1086"/>
    <mergeCell ref="Q1086:S1090"/>
    <mergeCell ref="B1087:O1087"/>
    <mergeCell ref="B1088:O1088"/>
    <mergeCell ref="B1089:E1089"/>
    <mergeCell ref="H1089:L1089"/>
    <mergeCell ref="M1089:O1089"/>
    <mergeCell ref="B1090:E1090"/>
    <mergeCell ref="H1090:L1090"/>
    <mergeCell ref="M1090:O1090"/>
    <mergeCell ref="B1066:E1066"/>
    <mergeCell ref="H1066:L1066"/>
    <mergeCell ref="M1066:O1066"/>
    <mergeCell ref="B1067:O1067"/>
    <mergeCell ref="Q1067:Q1068"/>
    <mergeCell ref="S1067:S1068"/>
    <mergeCell ref="B1068:O1068"/>
    <mergeCell ref="B1069:O1069"/>
    <mergeCell ref="B1070:O1070"/>
    <mergeCell ref="B1046:O1046"/>
    <mergeCell ref="B1047:O1047"/>
    <mergeCell ref="B1048:O1048"/>
    <mergeCell ref="B1061:O1061"/>
    <mergeCell ref="Q1061:S1065"/>
    <mergeCell ref="B1062:O1062"/>
    <mergeCell ref="B1063:O1063"/>
    <mergeCell ref="B1064:E1064"/>
    <mergeCell ref="H1064:L1064"/>
    <mergeCell ref="M1064:O1064"/>
    <mergeCell ref="B1065:E1065"/>
    <mergeCell ref="H1065:L1065"/>
    <mergeCell ref="M1065:O1065"/>
    <mergeCell ref="B1041:E1041"/>
    <mergeCell ref="H1041:L1041"/>
    <mergeCell ref="M1041:O1041"/>
    <mergeCell ref="B1042:O1042"/>
    <mergeCell ref="Q1042:Q1043"/>
    <mergeCell ref="S1042:S1043"/>
    <mergeCell ref="B1043:O1043"/>
    <mergeCell ref="B1044:O1044"/>
    <mergeCell ref="B1045:O1045"/>
    <mergeCell ref="B1021:O1021"/>
    <mergeCell ref="B1022:O1022"/>
    <mergeCell ref="B1023:O1023"/>
    <mergeCell ref="B1036:O1036"/>
    <mergeCell ref="Q1036:S1040"/>
    <mergeCell ref="B1037:O1037"/>
    <mergeCell ref="B1038:O1038"/>
    <mergeCell ref="B1039:E1039"/>
    <mergeCell ref="H1039:L1039"/>
    <mergeCell ref="M1039:O1039"/>
    <mergeCell ref="B1040:E1040"/>
    <mergeCell ref="H1040:L1040"/>
    <mergeCell ref="M1040:O1040"/>
    <mergeCell ref="B1016:E1016"/>
    <mergeCell ref="H1016:L1016"/>
    <mergeCell ref="M1016:O1016"/>
    <mergeCell ref="B1017:O1017"/>
    <mergeCell ref="Q1017:Q1018"/>
    <mergeCell ref="S1017:S1018"/>
    <mergeCell ref="B1018:O1018"/>
    <mergeCell ref="B1019:O1019"/>
    <mergeCell ref="B1020:O1020"/>
    <mergeCell ref="B996:O996"/>
    <mergeCell ref="B997:O997"/>
    <mergeCell ref="B998:O998"/>
    <mergeCell ref="B1011:O1011"/>
    <mergeCell ref="Q1011:S1015"/>
    <mergeCell ref="B1012:O1012"/>
    <mergeCell ref="B1013:O1013"/>
    <mergeCell ref="B1014:E1014"/>
    <mergeCell ref="H1014:L1014"/>
    <mergeCell ref="M1014:O1014"/>
    <mergeCell ref="B1015:E1015"/>
    <mergeCell ref="H1015:L1015"/>
    <mergeCell ref="M1015:O1015"/>
    <mergeCell ref="B991:E991"/>
    <mergeCell ref="H991:L991"/>
    <mergeCell ref="M991:O991"/>
    <mergeCell ref="B992:O992"/>
    <mergeCell ref="Q992:Q993"/>
    <mergeCell ref="S992:S993"/>
    <mergeCell ref="B993:O993"/>
    <mergeCell ref="B994:O994"/>
    <mergeCell ref="B995:O995"/>
    <mergeCell ref="B971:O971"/>
    <mergeCell ref="B972:O972"/>
    <mergeCell ref="R972:R973"/>
    <mergeCell ref="S972:S973"/>
    <mergeCell ref="B973:O973"/>
    <mergeCell ref="B986:O986"/>
    <mergeCell ref="Q986:S990"/>
    <mergeCell ref="B987:O987"/>
    <mergeCell ref="B988:O988"/>
    <mergeCell ref="B989:E989"/>
    <mergeCell ref="H989:L989"/>
    <mergeCell ref="M989:O989"/>
    <mergeCell ref="B990:E990"/>
    <mergeCell ref="H990:L990"/>
    <mergeCell ref="M990:O990"/>
    <mergeCell ref="B966:E966"/>
    <mergeCell ref="H966:L966"/>
    <mergeCell ref="M966:O966"/>
    <mergeCell ref="B967:O967"/>
    <mergeCell ref="Q967:Q968"/>
    <mergeCell ref="S967:S968"/>
    <mergeCell ref="B968:O968"/>
    <mergeCell ref="B969:O969"/>
    <mergeCell ref="B970:O970"/>
    <mergeCell ref="B946:O946"/>
    <mergeCell ref="B947:O947"/>
    <mergeCell ref="B948:O948"/>
    <mergeCell ref="B961:O961"/>
    <mergeCell ref="Q961:S965"/>
    <mergeCell ref="B962:O962"/>
    <mergeCell ref="B963:O963"/>
    <mergeCell ref="B964:E964"/>
    <mergeCell ref="H964:L964"/>
    <mergeCell ref="M964:O964"/>
    <mergeCell ref="B965:E965"/>
    <mergeCell ref="H965:L965"/>
    <mergeCell ref="M965:O965"/>
    <mergeCell ref="B941:E941"/>
    <mergeCell ref="H941:L941"/>
    <mergeCell ref="M941:O941"/>
    <mergeCell ref="B942:O942"/>
    <mergeCell ref="Q942:Q943"/>
    <mergeCell ref="S942:S943"/>
    <mergeCell ref="B943:O943"/>
    <mergeCell ref="B944:O944"/>
    <mergeCell ref="B945:O945"/>
    <mergeCell ref="B936:O936"/>
    <mergeCell ref="Q936:S940"/>
    <mergeCell ref="B937:O937"/>
    <mergeCell ref="B938:O938"/>
    <mergeCell ref="B939:E939"/>
    <mergeCell ref="H939:L939"/>
    <mergeCell ref="M939:O939"/>
    <mergeCell ref="B940:E940"/>
    <mergeCell ref="H940:L940"/>
    <mergeCell ref="M940:O940"/>
    <mergeCell ref="B896:O896"/>
    <mergeCell ref="B897:O897"/>
    <mergeCell ref="R897:R898"/>
    <mergeCell ref="S897:S898"/>
    <mergeCell ref="B898:O898"/>
    <mergeCell ref="B891:E891"/>
    <mergeCell ref="H891:L891"/>
    <mergeCell ref="M891:O891"/>
    <mergeCell ref="B892:O892"/>
    <mergeCell ref="Q892:Q893"/>
    <mergeCell ref="S892:S893"/>
    <mergeCell ref="B893:O893"/>
    <mergeCell ref="B894:O894"/>
    <mergeCell ref="B895:O895"/>
    <mergeCell ref="B886:O886"/>
    <mergeCell ref="Q886:S890"/>
    <mergeCell ref="B887:O887"/>
    <mergeCell ref="B888:O888"/>
    <mergeCell ref="B889:E889"/>
    <mergeCell ref="H889:L889"/>
    <mergeCell ref="M889:O889"/>
    <mergeCell ref="B890:E890"/>
    <mergeCell ref="H890:L890"/>
    <mergeCell ref="M890:O890"/>
    <mergeCell ref="B871:O871"/>
    <mergeCell ref="B872:O872"/>
    <mergeCell ref="R872:R873"/>
    <mergeCell ref="S872:S873"/>
    <mergeCell ref="B873:O873"/>
    <mergeCell ref="B866:E866"/>
    <mergeCell ref="H866:L866"/>
    <mergeCell ref="M866:O866"/>
    <mergeCell ref="B867:O867"/>
    <mergeCell ref="Q867:Q868"/>
    <mergeCell ref="S867:S868"/>
    <mergeCell ref="B868:O868"/>
    <mergeCell ref="B869:O869"/>
    <mergeCell ref="B870:O870"/>
    <mergeCell ref="B845:O845"/>
    <mergeCell ref="B846:O846"/>
    <mergeCell ref="R846:R847"/>
    <mergeCell ref="S846:S847"/>
    <mergeCell ref="B847:O847"/>
    <mergeCell ref="B861:O861"/>
    <mergeCell ref="Q861:S865"/>
    <mergeCell ref="B862:O862"/>
    <mergeCell ref="B863:O863"/>
    <mergeCell ref="B864:E864"/>
    <mergeCell ref="H864:L864"/>
    <mergeCell ref="M864:O864"/>
    <mergeCell ref="B865:E865"/>
    <mergeCell ref="H865:L865"/>
    <mergeCell ref="M865:O865"/>
    <mergeCell ref="B840:E840"/>
    <mergeCell ref="H840:L840"/>
    <mergeCell ref="M840:O840"/>
    <mergeCell ref="B841:O841"/>
    <mergeCell ref="Q841:Q842"/>
    <mergeCell ref="S841:S842"/>
    <mergeCell ref="B842:O842"/>
    <mergeCell ref="B843:O843"/>
    <mergeCell ref="B844:O844"/>
    <mergeCell ref="B835:O835"/>
    <mergeCell ref="Q835:S839"/>
    <mergeCell ref="B836:O836"/>
    <mergeCell ref="B837:O837"/>
    <mergeCell ref="B838:E838"/>
    <mergeCell ref="H838:L838"/>
    <mergeCell ref="M838:O838"/>
    <mergeCell ref="B839:E839"/>
    <mergeCell ref="H839:L839"/>
    <mergeCell ref="M839:O839"/>
    <mergeCell ref="B819:O819"/>
    <mergeCell ref="B820:O820"/>
    <mergeCell ref="B821:O821"/>
    <mergeCell ref="B814:E814"/>
    <mergeCell ref="H814:L814"/>
    <mergeCell ref="M814:O814"/>
    <mergeCell ref="B809:O809"/>
    <mergeCell ref="Q809:S813"/>
    <mergeCell ref="B810:O810"/>
    <mergeCell ref="B811:O811"/>
    <mergeCell ref="B812:E812"/>
    <mergeCell ref="H812:L812"/>
    <mergeCell ref="M812:O812"/>
    <mergeCell ref="B813:E813"/>
    <mergeCell ref="H813:L813"/>
    <mergeCell ref="M813:O813"/>
    <mergeCell ref="S792:S793"/>
    <mergeCell ref="R792:R793"/>
    <mergeCell ref="B793:O793"/>
    <mergeCell ref="B794:O794"/>
    <mergeCell ref="B666:O666"/>
    <mergeCell ref="B667:O667"/>
    <mergeCell ref="R667:R668"/>
    <mergeCell ref="S667:S668"/>
    <mergeCell ref="B668:O668"/>
    <mergeCell ref="B681:O681"/>
    <mergeCell ref="Q681:S685"/>
    <mergeCell ref="B682:O682"/>
    <mergeCell ref="B683:O683"/>
    <mergeCell ref="B684:E684"/>
    <mergeCell ref="H684:L684"/>
    <mergeCell ref="M684:O684"/>
    <mergeCell ref="B685:E685"/>
    <mergeCell ref="H685:L685"/>
    <mergeCell ref="M685:O685"/>
    <mergeCell ref="B686:E686"/>
    <mergeCell ref="H686:L686"/>
    <mergeCell ref="M686:O686"/>
    <mergeCell ref="B661:E661"/>
    <mergeCell ref="H661:L661"/>
    <mergeCell ref="M661:O661"/>
    <mergeCell ref="B662:O662"/>
    <mergeCell ref="Q662:Q663"/>
    <mergeCell ref="S662:S663"/>
    <mergeCell ref="B663:O663"/>
    <mergeCell ref="B664:O664"/>
    <mergeCell ref="B665:O665"/>
    <mergeCell ref="B656:O656"/>
    <mergeCell ref="Q656:S660"/>
    <mergeCell ref="B657:O657"/>
    <mergeCell ref="B658:O658"/>
    <mergeCell ref="B659:E659"/>
    <mergeCell ref="H659:L659"/>
    <mergeCell ref="M659:O659"/>
    <mergeCell ref="B660:E660"/>
    <mergeCell ref="H660:L660"/>
    <mergeCell ref="M660:O660"/>
    <mergeCell ref="B614:O614"/>
    <mergeCell ref="B615:O615"/>
    <mergeCell ref="R615:R616"/>
    <mergeCell ref="S615:S616"/>
    <mergeCell ref="B616:O616"/>
    <mergeCell ref="B609:E609"/>
    <mergeCell ref="H609:L609"/>
    <mergeCell ref="M609:O609"/>
    <mergeCell ref="B610:O610"/>
    <mergeCell ref="Q610:Q611"/>
    <mergeCell ref="S610:S611"/>
    <mergeCell ref="B611:O611"/>
    <mergeCell ref="B612:O612"/>
    <mergeCell ref="B613:O613"/>
    <mergeCell ref="H608:L608"/>
    <mergeCell ref="M608:O608"/>
    <mergeCell ref="B589:O589"/>
    <mergeCell ref="B590:O590"/>
    <mergeCell ref="R590:R591"/>
    <mergeCell ref="S590:S591"/>
    <mergeCell ref="B591:O591"/>
    <mergeCell ref="B584:E584"/>
    <mergeCell ref="H584:L584"/>
    <mergeCell ref="M584:O584"/>
    <mergeCell ref="B585:O585"/>
    <mergeCell ref="Q585:Q586"/>
    <mergeCell ref="S585:S586"/>
    <mergeCell ref="B586:O586"/>
    <mergeCell ref="B587:O587"/>
    <mergeCell ref="B588:O588"/>
    <mergeCell ref="B604:O604"/>
    <mergeCell ref="Q604:S608"/>
    <mergeCell ref="B605:O605"/>
    <mergeCell ref="B606:O606"/>
    <mergeCell ref="B607:E607"/>
    <mergeCell ref="H607:L607"/>
    <mergeCell ref="M607:O607"/>
    <mergeCell ref="B608:E608"/>
    <mergeCell ref="B579:O579"/>
    <mergeCell ref="Q579:S583"/>
    <mergeCell ref="B580:O580"/>
    <mergeCell ref="B581:O581"/>
    <mergeCell ref="B582:E582"/>
    <mergeCell ref="H582:L582"/>
    <mergeCell ref="M582:O582"/>
    <mergeCell ref="B583:E583"/>
    <mergeCell ref="H583:L583"/>
    <mergeCell ref="M583:O583"/>
    <mergeCell ref="B492:O492"/>
    <mergeCell ref="R492:R493"/>
    <mergeCell ref="S492:S493"/>
    <mergeCell ref="B493:O493"/>
    <mergeCell ref="B494:O494"/>
    <mergeCell ref="A495:F495"/>
    <mergeCell ref="H495:O495"/>
    <mergeCell ref="A520:F520"/>
    <mergeCell ref="H520:O520"/>
    <mergeCell ref="B507:O507"/>
    <mergeCell ref="Q507:S511"/>
    <mergeCell ref="B508:O508"/>
    <mergeCell ref="B509:O509"/>
    <mergeCell ref="B510:E510"/>
    <mergeCell ref="H510:L510"/>
    <mergeCell ref="M510:O510"/>
    <mergeCell ref="B511:E511"/>
    <mergeCell ref="H511:L511"/>
    <mergeCell ref="M511:O511"/>
    <mergeCell ref="B512:E512"/>
    <mergeCell ref="H512:L512"/>
    <mergeCell ref="M512:O512"/>
    <mergeCell ref="B487:E487"/>
    <mergeCell ref="H487:L487"/>
    <mergeCell ref="M487:O487"/>
    <mergeCell ref="Q487:Q488"/>
    <mergeCell ref="S487:S488"/>
    <mergeCell ref="B488:O488"/>
    <mergeCell ref="B489:O489"/>
    <mergeCell ref="B490:O490"/>
    <mergeCell ref="B491:O491"/>
    <mergeCell ref="B467:O467"/>
    <mergeCell ref="R467:R468"/>
    <mergeCell ref="S467:S468"/>
    <mergeCell ref="B468:O468"/>
    <mergeCell ref="B469:O469"/>
    <mergeCell ref="A470:F470"/>
    <mergeCell ref="H470:O470"/>
    <mergeCell ref="B482:O482"/>
    <mergeCell ref="Q482:S486"/>
    <mergeCell ref="B483:O483"/>
    <mergeCell ref="B484:O484"/>
    <mergeCell ref="B485:E485"/>
    <mergeCell ref="H485:L485"/>
    <mergeCell ref="M485:O485"/>
    <mergeCell ref="B486:E486"/>
    <mergeCell ref="H486:L486"/>
    <mergeCell ref="M486:O486"/>
    <mergeCell ref="B462:E462"/>
    <mergeCell ref="H462:L462"/>
    <mergeCell ref="M462:O462"/>
    <mergeCell ref="Q462:Q463"/>
    <mergeCell ref="S462:S463"/>
    <mergeCell ref="B463:O463"/>
    <mergeCell ref="B464:O464"/>
    <mergeCell ref="B465:O465"/>
    <mergeCell ref="B466:O466"/>
    <mergeCell ref="B444:O444"/>
    <mergeCell ref="A445:F445"/>
    <mergeCell ref="H445:O445"/>
    <mergeCell ref="B457:O457"/>
    <mergeCell ref="Q457:S461"/>
    <mergeCell ref="B458:O458"/>
    <mergeCell ref="B459:O459"/>
    <mergeCell ref="B460:E460"/>
    <mergeCell ref="H460:L460"/>
    <mergeCell ref="M460:O460"/>
    <mergeCell ref="B461:E461"/>
    <mergeCell ref="H461:L461"/>
    <mergeCell ref="M461:O461"/>
    <mergeCell ref="B437:E437"/>
    <mergeCell ref="H437:L437"/>
    <mergeCell ref="M435:O435"/>
    <mergeCell ref="M436:O436"/>
    <mergeCell ref="M437:O437"/>
    <mergeCell ref="R442:R443"/>
    <mergeCell ref="S442:S443"/>
    <mergeCell ref="B440:O440"/>
    <mergeCell ref="B441:O441"/>
    <mergeCell ref="B442:O442"/>
    <mergeCell ref="B443:O443"/>
    <mergeCell ref="B416:O416"/>
    <mergeCell ref="B417:O417"/>
    <mergeCell ref="B418:O418"/>
    <mergeCell ref="B419:O419"/>
    <mergeCell ref="H420:O420"/>
    <mergeCell ref="A420:F420"/>
    <mergeCell ref="B435:E435"/>
    <mergeCell ref="H435:L435"/>
    <mergeCell ref="B436:E436"/>
    <mergeCell ref="H436:L436"/>
    <mergeCell ref="B335:O335"/>
    <mergeCell ref="B339:O339"/>
    <mergeCell ref="B336:O336"/>
    <mergeCell ref="B408:O408"/>
    <mergeCell ref="Q407:S411"/>
    <mergeCell ref="B384:O384"/>
    <mergeCell ref="B385:O385"/>
    <mergeCell ref="B386:O386"/>
    <mergeCell ref="B387:O387"/>
    <mergeCell ref="B388:O388"/>
    <mergeCell ref="B389:O389"/>
    <mergeCell ref="B390:O390"/>
    <mergeCell ref="B391:O391"/>
    <mergeCell ref="B392:O392"/>
    <mergeCell ref="B393:O393"/>
    <mergeCell ref="B394:O394"/>
    <mergeCell ref="B407:O407"/>
    <mergeCell ref="B383:O383"/>
    <mergeCell ref="Q382:S386"/>
    <mergeCell ref="B359:O359"/>
    <mergeCell ref="B363:O363"/>
    <mergeCell ref="B364:O364"/>
    <mergeCell ref="B365:O365"/>
    <mergeCell ref="B366:O366"/>
    <mergeCell ref="B369:O369"/>
    <mergeCell ref="B345:O345"/>
    <mergeCell ref="H395:O395"/>
    <mergeCell ref="A395:F395"/>
    <mergeCell ref="A370:F370"/>
    <mergeCell ref="H370:O370"/>
    <mergeCell ref="H346:O346"/>
    <mergeCell ref="A346:F346"/>
    <mergeCell ref="B334:O334"/>
    <mergeCell ref="Q238:S241"/>
    <mergeCell ref="B243:O243"/>
    <mergeCell ref="P243:P263"/>
    <mergeCell ref="B248:O248"/>
    <mergeCell ref="Q248:Q249"/>
    <mergeCell ref="S248:S249"/>
    <mergeCell ref="B249:O249"/>
    <mergeCell ref="B250:O250"/>
    <mergeCell ref="B251:O251"/>
    <mergeCell ref="B252:O252"/>
    <mergeCell ref="B253:O253"/>
    <mergeCell ref="R253:R254"/>
    <mergeCell ref="S253:S254"/>
    <mergeCell ref="A254:E254"/>
    <mergeCell ref="H290:L290"/>
    <mergeCell ref="B291:E291"/>
    <mergeCell ref="H291:L291"/>
    <mergeCell ref="B265:O265"/>
    <mergeCell ref="B333:O333"/>
    <mergeCell ref="B290:E290"/>
    <mergeCell ref="P265:P285"/>
    <mergeCell ref="Q265:S269"/>
    <mergeCell ref="B266:O266"/>
    <mergeCell ref="H276:L276"/>
    <mergeCell ref="Q282:S285"/>
    <mergeCell ref="Q260:S263"/>
    <mergeCell ref="A264:S264"/>
    <mergeCell ref="H254:L254"/>
    <mergeCell ref="B267:O267"/>
    <mergeCell ref="B268:O268"/>
    <mergeCell ref="B269:O269"/>
    <mergeCell ref="Q243:S247"/>
    <mergeCell ref="B244:O244"/>
    <mergeCell ref="B245:O245"/>
    <mergeCell ref="B246:O246"/>
    <mergeCell ref="B247:O247"/>
    <mergeCell ref="Q216:S219"/>
    <mergeCell ref="B204:O204"/>
    <mergeCell ref="Q204:Q205"/>
    <mergeCell ref="S204:S205"/>
    <mergeCell ref="B205:O205"/>
    <mergeCell ref="B206:O206"/>
    <mergeCell ref="B207:O207"/>
    <mergeCell ref="B208:O208"/>
    <mergeCell ref="B209:O209"/>
    <mergeCell ref="R209:R210"/>
    <mergeCell ref="S209:S210"/>
    <mergeCell ref="A210:E210"/>
    <mergeCell ref="H210:L210"/>
    <mergeCell ref="B228:O228"/>
    <mergeCell ref="B229:O229"/>
    <mergeCell ref="B223:O223"/>
    <mergeCell ref="B224:O224"/>
    <mergeCell ref="B225:O225"/>
    <mergeCell ref="B226:O226"/>
    <mergeCell ref="Q226:Q227"/>
    <mergeCell ref="B163:O163"/>
    <mergeCell ref="B164:O164"/>
    <mergeCell ref="B165:O165"/>
    <mergeCell ref="A166:E166"/>
    <mergeCell ref="H166:L166"/>
    <mergeCell ref="B157:O157"/>
    <mergeCell ref="B158:O158"/>
    <mergeCell ref="B159:O159"/>
    <mergeCell ref="B160:O160"/>
    <mergeCell ref="B161:O161"/>
    <mergeCell ref="A176:S176"/>
    <mergeCell ref="P177:P197"/>
    <mergeCell ref="Q177:S181"/>
    <mergeCell ref="Q182:Q183"/>
    <mergeCell ref="S182:S183"/>
    <mergeCell ref="R165:R166"/>
    <mergeCell ref="S165:S166"/>
    <mergeCell ref="Q172:S175"/>
    <mergeCell ref="Q194:S197"/>
    <mergeCell ref="B183:O183"/>
    <mergeCell ref="B184:O184"/>
    <mergeCell ref="B185:O185"/>
    <mergeCell ref="B186:O186"/>
    <mergeCell ref="B187:O187"/>
    <mergeCell ref="A188:E188"/>
    <mergeCell ref="H188:L188"/>
    <mergeCell ref="B68:O68"/>
    <mergeCell ref="B67:O67"/>
    <mergeCell ref="B96:O96"/>
    <mergeCell ref="B54:O54"/>
    <mergeCell ref="B55:O55"/>
    <mergeCell ref="B53:O53"/>
    <mergeCell ref="B47:O47"/>
    <mergeCell ref="B48:O48"/>
    <mergeCell ref="B49:O49"/>
    <mergeCell ref="B50:O50"/>
    <mergeCell ref="B52:O52"/>
    <mergeCell ref="B51:O51"/>
    <mergeCell ref="B117:O117"/>
    <mergeCell ref="B115:O115"/>
    <mergeCell ref="B116:O116"/>
    <mergeCell ref="A122:E122"/>
    <mergeCell ref="H122:L122"/>
    <mergeCell ref="B120:O120"/>
    <mergeCell ref="B121:O121"/>
    <mergeCell ref="B119:O119"/>
    <mergeCell ref="B69:E69"/>
    <mergeCell ref="H69:L69"/>
    <mergeCell ref="B70:E70"/>
    <mergeCell ref="H70:L70"/>
    <mergeCell ref="B75:O75"/>
    <mergeCell ref="B76:O76"/>
    <mergeCell ref="B71:E71"/>
    <mergeCell ref="B111:O111"/>
    <mergeCell ref="B112:O112"/>
    <mergeCell ref="H78:L78"/>
    <mergeCell ref="B1:O1"/>
    <mergeCell ref="A34:E34"/>
    <mergeCell ref="H34:L34"/>
    <mergeCell ref="B24:O24"/>
    <mergeCell ref="B23:O23"/>
    <mergeCell ref="B25:O25"/>
    <mergeCell ref="B26:O26"/>
    <mergeCell ref="B27:O27"/>
    <mergeCell ref="B28:O28"/>
    <mergeCell ref="B29:O29"/>
    <mergeCell ref="B30:O30"/>
    <mergeCell ref="B33:O33"/>
    <mergeCell ref="B31:O31"/>
    <mergeCell ref="B32:O32"/>
    <mergeCell ref="B3:O3"/>
    <mergeCell ref="B4:O4"/>
    <mergeCell ref="B2:O2"/>
    <mergeCell ref="B5:O5"/>
    <mergeCell ref="B6:O6"/>
    <mergeCell ref="B46:O46"/>
    <mergeCell ref="B8:O8"/>
    <mergeCell ref="B10:O10"/>
    <mergeCell ref="B11:O11"/>
    <mergeCell ref="B7:O7"/>
    <mergeCell ref="B9:O9"/>
    <mergeCell ref="A44:O44"/>
    <mergeCell ref="A56:E56"/>
    <mergeCell ref="H56:L56"/>
    <mergeCell ref="A12:E12"/>
    <mergeCell ref="H12:L12"/>
    <mergeCell ref="B113:O113"/>
    <mergeCell ref="B114:O114"/>
    <mergeCell ref="B77:O77"/>
    <mergeCell ref="B91:O91"/>
    <mergeCell ref="B92:O92"/>
    <mergeCell ref="B93:O93"/>
    <mergeCell ref="B94:O94"/>
    <mergeCell ref="B95:O95"/>
    <mergeCell ref="A100:E100"/>
    <mergeCell ref="H100:L100"/>
    <mergeCell ref="B90:O90"/>
    <mergeCell ref="B89:O89"/>
    <mergeCell ref="B97:O97"/>
    <mergeCell ref="B98:O98"/>
    <mergeCell ref="B99:O99"/>
    <mergeCell ref="B72:O72"/>
    <mergeCell ref="B73:O73"/>
    <mergeCell ref="H71:L71"/>
    <mergeCell ref="B74:O74"/>
    <mergeCell ref="B45:O45"/>
    <mergeCell ref="A78:E78"/>
    <mergeCell ref="Q116:Q117"/>
    <mergeCell ref="S116:S117"/>
    <mergeCell ref="R121:R122"/>
    <mergeCell ref="S121:S122"/>
    <mergeCell ref="Q128:S131"/>
    <mergeCell ref="P133:P153"/>
    <mergeCell ref="Q133:S137"/>
    <mergeCell ref="Q138:Q139"/>
    <mergeCell ref="B162:O162"/>
    <mergeCell ref="B143:O143"/>
    <mergeCell ref="A144:E144"/>
    <mergeCell ref="H144:L144"/>
    <mergeCell ref="B155:O155"/>
    <mergeCell ref="B156:O156"/>
    <mergeCell ref="B138:O138"/>
    <mergeCell ref="B139:O139"/>
    <mergeCell ref="B140:O140"/>
    <mergeCell ref="B141:O141"/>
    <mergeCell ref="B142:O142"/>
    <mergeCell ref="B133:O133"/>
    <mergeCell ref="B134:O134"/>
    <mergeCell ref="B135:O135"/>
    <mergeCell ref="B136:O136"/>
    <mergeCell ref="B137:O137"/>
    <mergeCell ref="S160:S161"/>
    <mergeCell ref="A154:O154"/>
    <mergeCell ref="P154:S154"/>
    <mergeCell ref="P111:P131"/>
    <mergeCell ref="Q111:S115"/>
    <mergeCell ref="Q155:S159"/>
    <mergeCell ref="Q160:Q161"/>
    <mergeCell ref="B118:O118"/>
    <mergeCell ref="Q89:S93"/>
    <mergeCell ref="Q94:Q95"/>
    <mergeCell ref="S94:S95"/>
    <mergeCell ref="R99:R100"/>
    <mergeCell ref="S99:S100"/>
    <mergeCell ref="Q106:S109"/>
    <mergeCell ref="P45:P65"/>
    <mergeCell ref="Q45:S49"/>
    <mergeCell ref="Q50:Q51"/>
    <mergeCell ref="S50:S51"/>
    <mergeCell ref="Q62:S65"/>
    <mergeCell ref="P67:P87"/>
    <mergeCell ref="Q67:S71"/>
    <mergeCell ref="Q72:Q73"/>
    <mergeCell ref="S72:S73"/>
    <mergeCell ref="R77:R78"/>
    <mergeCell ref="S77:S78"/>
    <mergeCell ref="Q84:S87"/>
    <mergeCell ref="Q1:S5"/>
    <mergeCell ref="P1:P21"/>
    <mergeCell ref="Q18:S21"/>
    <mergeCell ref="P23:P43"/>
    <mergeCell ref="Q23:S27"/>
    <mergeCell ref="Q28:Q29"/>
    <mergeCell ref="S28:S29"/>
    <mergeCell ref="R33:R34"/>
    <mergeCell ref="S33:S34"/>
    <mergeCell ref="Q40:S43"/>
    <mergeCell ref="P44:S44"/>
    <mergeCell ref="Q6:Q7"/>
    <mergeCell ref="S6:S7"/>
    <mergeCell ref="R11:R12"/>
    <mergeCell ref="S11:S12"/>
    <mergeCell ref="P89:P109"/>
    <mergeCell ref="R187:R188"/>
    <mergeCell ref="S187:S188"/>
    <mergeCell ref="A88:S88"/>
    <mergeCell ref="A110:S110"/>
    <mergeCell ref="A132:S132"/>
    <mergeCell ref="B177:O177"/>
    <mergeCell ref="B178:O178"/>
    <mergeCell ref="B179:O179"/>
    <mergeCell ref="B180:O180"/>
    <mergeCell ref="B181:O181"/>
    <mergeCell ref="B182:O182"/>
    <mergeCell ref="S138:S139"/>
    <mergeCell ref="R143:R144"/>
    <mergeCell ref="S143:S144"/>
    <mergeCell ref="Q150:S153"/>
    <mergeCell ref="P155:P175"/>
    <mergeCell ref="A198:S198"/>
    <mergeCell ref="B199:O199"/>
    <mergeCell ref="P199:P219"/>
    <mergeCell ref="Q199:S203"/>
    <mergeCell ref="B200:O200"/>
    <mergeCell ref="B201:O201"/>
    <mergeCell ref="B202:O202"/>
    <mergeCell ref="B203:O203"/>
    <mergeCell ref="A242:S242"/>
    <mergeCell ref="A220:P220"/>
    <mergeCell ref="Q220:S220"/>
    <mergeCell ref="B221:O221"/>
    <mergeCell ref="P221:P241"/>
    <mergeCell ref="Q221:S225"/>
    <mergeCell ref="B222:O222"/>
    <mergeCell ref="S226:S227"/>
    <mergeCell ref="B227:O227"/>
    <mergeCell ref="B230:O230"/>
    <mergeCell ref="B231:O231"/>
    <mergeCell ref="R231:R232"/>
    <mergeCell ref="S231:S232"/>
    <mergeCell ref="A232:E232"/>
    <mergeCell ref="H232:L232"/>
    <mergeCell ref="B270:O270"/>
    <mergeCell ref="Q270:Q271"/>
    <mergeCell ref="S270:S271"/>
    <mergeCell ref="B271:O271"/>
    <mergeCell ref="B272:O272"/>
    <mergeCell ref="B273:O273"/>
    <mergeCell ref="B274:O274"/>
    <mergeCell ref="B275:O275"/>
    <mergeCell ref="R275:R276"/>
    <mergeCell ref="S275:S276"/>
    <mergeCell ref="A276:E276"/>
    <mergeCell ref="S320:S321"/>
    <mergeCell ref="B358:O358"/>
    <mergeCell ref="Q357:S362"/>
    <mergeCell ref="B340:O340"/>
    <mergeCell ref="B341:O341"/>
    <mergeCell ref="Q333:S337"/>
    <mergeCell ref="A286:S286"/>
    <mergeCell ref="B287:O287"/>
    <mergeCell ref="P287:P307"/>
    <mergeCell ref="Q287:S291"/>
    <mergeCell ref="B288:O288"/>
    <mergeCell ref="B292:O292"/>
    <mergeCell ref="Q292:Q293"/>
    <mergeCell ref="S292:S293"/>
    <mergeCell ref="B293:O293"/>
    <mergeCell ref="B294:O294"/>
    <mergeCell ref="B295:O295"/>
    <mergeCell ref="B296:O296"/>
    <mergeCell ref="B297:O297"/>
    <mergeCell ref="A298:E298"/>
    <mergeCell ref="H298:L298"/>
    <mergeCell ref="Q304:S307"/>
    <mergeCell ref="B289:E289"/>
    <mergeCell ref="H289:L289"/>
    <mergeCell ref="A308:S308"/>
    <mergeCell ref="B309:O309"/>
    <mergeCell ref="P309:P330"/>
    <mergeCell ref="Q309:S314"/>
    <mergeCell ref="B311:O311"/>
    <mergeCell ref="B312:E312"/>
    <mergeCell ref="H312:L312"/>
    <mergeCell ref="B313:E313"/>
    <mergeCell ref="H313:L313"/>
    <mergeCell ref="B314:E314"/>
    <mergeCell ref="H314:L314"/>
    <mergeCell ref="Q327:S330"/>
    <mergeCell ref="M312:O312"/>
    <mergeCell ref="M313:O313"/>
    <mergeCell ref="M314:O314"/>
    <mergeCell ref="B315:O315"/>
    <mergeCell ref="Q315:Q316"/>
    <mergeCell ref="S315:S316"/>
    <mergeCell ref="B316:O316"/>
    <mergeCell ref="B317:O317"/>
    <mergeCell ref="B318:O318"/>
    <mergeCell ref="B319:O319"/>
    <mergeCell ref="B320:O320"/>
    <mergeCell ref="R320:R321"/>
    <mergeCell ref="B321:O321"/>
    <mergeCell ref="H322:O322"/>
    <mergeCell ref="A322:F322"/>
    <mergeCell ref="B342:O342"/>
    <mergeCell ref="B343:O343"/>
    <mergeCell ref="B344:O344"/>
    <mergeCell ref="B360:O360"/>
    <mergeCell ref="B361:O361"/>
    <mergeCell ref="B362:O362"/>
    <mergeCell ref="B357:O357"/>
    <mergeCell ref="B382:O382"/>
    <mergeCell ref="B367:O367"/>
    <mergeCell ref="B368:O368"/>
    <mergeCell ref="B337:O337"/>
    <mergeCell ref="B338:O338"/>
    <mergeCell ref="B517:O517"/>
    <mergeCell ref="R517:R518"/>
    <mergeCell ref="S517:S518"/>
    <mergeCell ref="B518:O518"/>
    <mergeCell ref="B519:O519"/>
    <mergeCell ref="B432:O432"/>
    <mergeCell ref="Q432:S436"/>
    <mergeCell ref="B433:O433"/>
    <mergeCell ref="B434:O434"/>
    <mergeCell ref="B438:O438"/>
    <mergeCell ref="B439:O439"/>
    <mergeCell ref="Q437:Q438"/>
    <mergeCell ref="S437:S438"/>
    <mergeCell ref="B409:O409"/>
    <mergeCell ref="B410:O410"/>
    <mergeCell ref="B411:O411"/>
    <mergeCell ref="B412:O412"/>
    <mergeCell ref="B413:O413"/>
    <mergeCell ref="B414:O414"/>
    <mergeCell ref="B415:O415"/>
    <mergeCell ref="B531:O531"/>
    <mergeCell ref="B555:O555"/>
    <mergeCell ref="Q555:S559"/>
    <mergeCell ref="B556:O556"/>
    <mergeCell ref="B557:O557"/>
    <mergeCell ref="B558:E558"/>
    <mergeCell ref="H558:L558"/>
    <mergeCell ref="M558:O558"/>
    <mergeCell ref="B559:E559"/>
    <mergeCell ref="H559:L559"/>
    <mergeCell ref="M559:O559"/>
    <mergeCell ref="B566:O566"/>
    <mergeCell ref="B567:O567"/>
    <mergeCell ref="B513:O513"/>
    <mergeCell ref="B514:O514"/>
    <mergeCell ref="B515:O515"/>
    <mergeCell ref="B516:O516"/>
    <mergeCell ref="Q531:S535"/>
    <mergeCell ref="B532:O532"/>
    <mergeCell ref="B533:O533"/>
    <mergeCell ref="B534:E534"/>
    <mergeCell ref="H534:L534"/>
    <mergeCell ref="M534:O534"/>
    <mergeCell ref="B535:E535"/>
    <mergeCell ref="H535:L535"/>
    <mergeCell ref="M535:O535"/>
    <mergeCell ref="B536:E536"/>
    <mergeCell ref="H536:L536"/>
    <mergeCell ref="M536:O536"/>
    <mergeCell ref="B537:O537"/>
    <mergeCell ref="A568:F568"/>
    <mergeCell ref="H568:O568"/>
    <mergeCell ref="Q537:Q538"/>
    <mergeCell ref="S537:S538"/>
    <mergeCell ref="R542:R543"/>
    <mergeCell ref="S542:S543"/>
    <mergeCell ref="Q561:Q562"/>
    <mergeCell ref="S561:S562"/>
    <mergeCell ref="R566:R567"/>
    <mergeCell ref="S566:S567"/>
    <mergeCell ref="B560:E560"/>
    <mergeCell ref="H560:L560"/>
    <mergeCell ref="M560:O560"/>
    <mergeCell ref="B561:O561"/>
    <mergeCell ref="B562:O562"/>
    <mergeCell ref="B563:O563"/>
    <mergeCell ref="B564:O564"/>
    <mergeCell ref="B565:O565"/>
    <mergeCell ref="B542:O542"/>
    <mergeCell ref="B543:O543"/>
    <mergeCell ref="A544:F544"/>
    <mergeCell ref="H544:O544"/>
    <mergeCell ref="B538:O538"/>
    <mergeCell ref="B539:O539"/>
    <mergeCell ref="B540:O540"/>
    <mergeCell ref="B541:O541"/>
    <mergeCell ref="B630:O630"/>
    <mergeCell ref="Q630:S634"/>
    <mergeCell ref="B631:O631"/>
    <mergeCell ref="B632:O632"/>
    <mergeCell ref="B633:E633"/>
    <mergeCell ref="H633:L633"/>
    <mergeCell ref="M633:O633"/>
    <mergeCell ref="B634:E634"/>
    <mergeCell ref="H634:L634"/>
    <mergeCell ref="M634:O634"/>
    <mergeCell ref="B640:O640"/>
    <mergeCell ref="B641:O641"/>
    <mergeCell ref="R641:R642"/>
    <mergeCell ref="S641:S642"/>
    <mergeCell ref="B642:O642"/>
    <mergeCell ref="B635:E635"/>
    <mergeCell ref="H635:L635"/>
    <mergeCell ref="M635:O635"/>
    <mergeCell ref="B636:O636"/>
    <mergeCell ref="Q636:Q637"/>
    <mergeCell ref="S636:S637"/>
    <mergeCell ref="B637:O637"/>
    <mergeCell ref="B638:O638"/>
    <mergeCell ref="B639:O639"/>
    <mergeCell ref="Q687:Q688"/>
    <mergeCell ref="S687:S688"/>
    <mergeCell ref="B688:O688"/>
    <mergeCell ref="B689:O689"/>
    <mergeCell ref="B690:O690"/>
    <mergeCell ref="B691:O691"/>
    <mergeCell ref="B692:O692"/>
    <mergeCell ref="R692:R693"/>
    <mergeCell ref="S692:S693"/>
    <mergeCell ref="B693:O693"/>
    <mergeCell ref="B707:O707"/>
    <mergeCell ref="Q707:S711"/>
    <mergeCell ref="B708:O708"/>
    <mergeCell ref="B709:O709"/>
    <mergeCell ref="B710:E710"/>
    <mergeCell ref="H710:L710"/>
    <mergeCell ref="M710:O710"/>
    <mergeCell ref="B711:E711"/>
    <mergeCell ref="H711:L711"/>
    <mergeCell ref="M711:O711"/>
    <mergeCell ref="B687:O687"/>
    <mergeCell ref="B712:E712"/>
    <mergeCell ref="H712:L712"/>
    <mergeCell ref="M712:O712"/>
    <mergeCell ref="B713:O713"/>
    <mergeCell ref="Q713:Q714"/>
    <mergeCell ref="S713:S714"/>
    <mergeCell ref="B714:O714"/>
    <mergeCell ref="B715:O715"/>
    <mergeCell ref="B716:O716"/>
    <mergeCell ref="B717:O717"/>
    <mergeCell ref="B718:O718"/>
    <mergeCell ref="R718:R719"/>
    <mergeCell ref="S718:S719"/>
    <mergeCell ref="B719:O719"/>
    <mergeCell ref="B733:O733"/>
    <mergeCell ref="Q733:S737"/>
    <mergeCell ref="B734:O734"/>
    <mergeCell ref="B735:O735"/>
    <mergeCell ref="B736:E736"/>
    <mergeCell ref="H736:L736"/>
    <mergeCell ref="M736:O736"/>
    <mergeCell ref="B737:E737"/>
    <mergeCell ref="H737:L737"/>
    <mergeCell ref="M737:O737"/>
    <mergeCell ref="B738:E738"/>
    <mergeCell ref="H738:L738"/>
    <mergeCell ref="M738:O738"/>
    <mergeCell ref="B739:O739"/>
    <mergeCell ref="Q739:Q740"/>
    <mergeCell ref="S739:S740"/>
    <mergeCell ref="B740:O740"/>
    <mergeCell ref="B741:O741"/>
    <mergeCell ref="B742:O742"/>
    <mergeCell ref="B911:O911"/>
    <mergeCell ref="Q911:S915"/>
    <mergeCell ref="B912:O912"/>
    <mergeCell ref="B913:O913"/>
    <mergeCell ref="B914:E914"/>
    <mergeCell ref="H914:L914"/>
    <mergeCell ref="M914:O914"/>
    <mergeCell ref="B915:E915"/>
    <mergeCell ref="H915:L915"/>
    <mergeCell ref="M915:O915"/>
    <mergeCell ref="B766:O766"/>
    <mergeCell ref="B767:O767"/>
    <mergeCell ref="B768:O768"/>
    <mergeCell ref="B759:O759"/>
    <mergeCell ref="Q759:S763"/>
    <mergeCell ref="B760:O760"/>
    <mergeCell ref="B761:O761"/>
    <mergeCell ref="B762:E762"/>
    <mergeCell ref="H762:L762"/>
    <mergeCell ref="M762:O762"/>
    <mergeCell ref="B763:E763"/>
    <mergeCell ref="B771:O771"/>
    <mergeCell ref="B815:O815"/>
    <mergeCell ref="B921:O921"/>
    <mergeCell ref="B922:O922"/>
    <mergeCell ref="R922:R923"/>
    <mergeCell ref="S922:S923"/>
    <mergeCell ref="B923:O923"/>
    <mergeCell ref="B916:E916"/>
    <mergeCell ref="H916:L916"/>
    <mergeCell ref="M916:O916"/>
    <mergeCell ref="B917:O917"/>
    <mergeCell ref="Q917:Q918"/>
    <mergeCell ref="S917:S918"/>
    <mergeCell ref="B918:O918"/>
    <mergeCell ref="B919:O919"/>
    <mergeCell ref="B920:O920"/>
    <mergeCell ref="B743:O743"/>
    <mergeCell ref="B744:O744"/>
    <mergeCell ref="R744:R745"/>
    <mergeCell ref="S744:S745"/>
    <mergeCell ref="B745:O745"/>
    <mergeCell ref="H763:L763"/>
    <mergeCell ref="M763:O763"/>
    <mergeCell ref="B764:E764"/>
    <mergeCell ref="H764:L764"/>
    <mergeCell ref="M764:O764"/>
    <mergeCell ref="B765:O765"/>
    <mergeCell ref="B769:O769"/>
    <mergeCell ref="B770:O770"/>
    <mergeCell ref="B817:O817"/>
    <mergeCell ref="B818:O818"/>
    <mergeCell ref="B816:O816"/>
    <mergeCell ref="Q787:Q788"/>
    <mergeCell ref="S787:S788"/>
    <mergeCell ref="B1206:O1206"/>
    <mergeCell ref="Q1206:S1210"/>
    <mergeCell ref="B1207:O1207"/>
    <mergeCell ref="B1208:O1208"/>
    <mergeCell ref="B1209:E1209"/>
    <mergeCell ref="H1209:L1209"/>
    <mergeCell ref="M1209:O1209"/>
    <mergeCell ref="B1210:E1210"/>
    <mergeCell ref="H1210:L1210"/>
    <mergeCell ref="M1210:O1210"/>
    <mergeCell ref="B1211:E1211"/>
    <mergeCell ref="H1211:L1211"/>
    <mergeCell ref="M1211:O1211"/>
    <mergeCell ref="B1212:O1212"/>
    <mergeCell ref="Q1212:Q1213"/>
    <mergeCell ref="S1212:S1213"/>
    <mergeCell ref="B1213:O1213"/>
    <mergeCell ref="B1235:E1235"/>
    <mergeCell ref="H1235:L1235"/>
    <mergeCell ref="M1235:O1235"/>
    <mergeCell ref="B1236:O1236"/>
    <mergeCell ref="Q1236:Q1237"/>
    <mergeCell ref="S1236:S1237"/>
    <mergeCell ref="B1237:O1237"/>
    <mergeCell ref="B1238:O1238"/>
    <mergeCell ref="B1239:O1239"/>
    <mergeCell ref="B1240:O1240"/>
    <mergeCell ref="B1241:O1241"/>
    <mergeCell ref="B1214:O1214"/>
    <mergeCell ref="B1215:O1215"/>
    <mergeCell ref="B1216:O1216"/>
    <mergeCell ref="B1217:O1217"/>
    <mergeCell ref="B1218:O1218"/>
    <mergeCell ref="B1230:O1230"/>
    <mergeCell ref="Q1230:S1234"/>
    <mergeCell ref="B1231:O1231"/>
    <mergeCell ref="B1232:O1232"/>
    <mergeCell ref="B1233:E1233"/>
    <mergeCell ref="H1233:L1233"/>
    <mergeCell ref="M1233:O1233"/>
    <mergeCell ref="B1234:E1234"/>
    <mergeCell ref="H1234:L1234"/>
    <mergeCell ref="M1234:O1234"/>
    <mergeCell ref="B1326:O1326"/>
    <mergeCell ref="Q1326:S1330"/>
    <mergeCell ref="B1327:O1327"/>
    <mergeCell ref="B1328:O1328"/>
    <mergeCell ref="B1329:E1329"/>
    <mergeCell ref="H1329:L1329"/>
    <mergeCell ref="M1329:O1329"/>
    <mergeCell ref="B1330:E1330"/>
    <mergeCell ref="H1330:L1330"/>
    <mergeCell ref="M1330:O1330"/>
    <mergeCell ref="B1331:E1331"/>
    <mergeCell ref="H1331:L1331"/>
    <mergeCell ref="M1331:O1331"/>
    <mergeCell ref="B1332:O1332"/>
    <mergeCell ref="Q1332:Q1333"/>
    <mergeCell ref="S1332:S1333"/>
    <mergeCell ref="B1333:O1333"/>
    <mergeCell ref="B1334:O1334"/>
    <mergeCell ref="B1335:O1335"/>
    <mergeCell ref="B1336:O1336"/>
    <mergeCell ref="B1337:O1337"/>
    <mergeCell ref="B1338:O1338"/>
    <mergeCell ref="B1350:O1350"/>
    <mergeCell ref="B1351:O1351"/>
    <mergeCell ref="B1352:O1352"/>
    <mergeCell ref="B1353:E1353"/>
    <mergeCell ref="H1353:L1353"/>
    <mergeCell ref="M1353:O1353"/>
    <mergeCell ref="B1354:E1354"/>
    <mergeCell ref="H1354:L1354"/>
    <mergeCell ref="M1354:O1354"/>
    <mergeCell ref="B1379:E1379"/>
    <mergeCell ref="H1379:L1379"/>
    <mergeCell ref="M1379:O1379"/>
    <mergeCell ref="B1380:O1380"/>
    <mergeCell ref="B1381:O1381"/>
    <mergeCell ref="B1382:O1382"/>
    <mergeCell ref="B1383:O1383"/>
    <mergeCell ref="B1384:O1384"/>
    <mergeCell ref="B1385:O1385"/>
    <mergeCell ref="R1385:R1386"/>
    <mergeCell ref="S1385:S1386"/>
    <mergeCell ref="B1386:O1386"/>
    <mergeCell ref="B1355:E1355"/>
    <mergeCell ref="H1355:L1355"/>
    <mergeCell ref="M1355:O1355"/>
    <mergeCell ref="B1356:O1356"/>
    <mergeCell ref="Q1356:Q1357"/>
    <mergeCell ref="S1356:S1357"/>
    <mergeCell ref="B1357:O1357"/>
    <mergeCell ref="B1358:O1358"/>
    <mergeCell ref="B1359:O1359"/>
    <mergeCell ref="B1360:O1360"/>
    <mergeCell ref="B1361:O1361"/>
    <mergeCell ref="B1362:O1362"/>
    <mergeCell ref="B1374:O1374"/>
    <mergeCell ref="Q1374:S1378"/>
    <mergeCell ref="B1375:O1375"/>
    <mergeCell ref="B1376:O1376"/>
    <mergeCell ref="B1377:E1377"/>
    <mergeCell ref="H1377:L1377"/>
    <mergeCell ref="M1377:O1377"/>
    <mergeCell ref="B1378:E1378"/>
    <mergeCell ref="H1378:L1378"/>
    <mergeCell ref="M1378:O1378"/>
    <mergeCell ref="B1445:O1445"/>
    <mergeCell ref="B1446:O1446"/>
    <mergeCell ref="B1447:O1447"/>
    <mergeCell ref="B1448:E1448"/>
    <mergeCell ref="H1448:L1448"/>
    <mergeCell ref="M1448:O1448"/>
    <mergeCell ref="B1449:E1449"/>
    <mergeCell ref="H1449:L1449"/>
    <mergeCell ref="M1449:O1449"/>
    <mergeCell ref="B1450:E1450"/>
    <mergeCell ref="H1450:L1450"/>
    <mergeCell ref="M1450:O1450"/>
    <mergeCell ref="B1451:O1451"/>
    <mergeCell ref="B1452:O1452"/>
    <mergeCell ref="B1453:O1453"/>
    <mergeCell ref="B1454:O1454"/>
    <mergeCell ref="B1455:O1455"/>
    <mergeCell ref="B1456:O1456"/>
    <mergeCell ref="B1457:O1457"/>
    <mergeCell ref="B1469:O1469"/>
    <mergeCell ref="B1470:O1470"/>
    <mergeCell ref="B1471:O1471"/>
    <mergeCell ref="B1472:E1472"/>
    <mergeCell ref="H1472:L1472"/>
    <mergeCell ref="M1472:O1472"/>
    <mergeCell ref="B1473:E1473"/>
    <mergeCell ref="H1473:L1473"/>
    <mergeCell ref="M1473:O1473"/>
    <mergeCell ref="B1474:E1474"/>
    <mergeCell ref="H1474:L1474"/>
    <mergeCell ref="M1474:O1474"/>
    <mergeCell ref="B1475:O1475"/>
    <mergeCell ref="B1476:O1476"/>
    <mergeCell ref="B1477:O1477"/>
    <mergeCell ref="B1478:O1478"/>
    <mergeCell ref="B1479:O1479"/>
    <mergeCell ref="B1480:O1480"/>
    <mergeCell ref="B1481:O1481"/>
    <mergeCell ref="B1493:O1493"/>
    <mergeCell ref="B1494:O1494"/>
    <mergeCell ref="B1495:O1495"/>
    <mergeCell ref="B1496:E1496"/>
    <mergeCell ref="H1496:L1496"/>
    <mergeCell ref="M1496:O1496"/>
    <mergeCell ref="B1497:E1497"/>
    <mergeCell ref="H1497:L1497"/>
    <mergeCell ref="M1497:O1497"/>
    <mergeCell ref="B1498:E1498"/>
    <mergeCell ref="H1498:L1498"/>
    <mergeCell ref="M1498:O1498"/>
    <mergeCell ref="B1499:O1499"/>
    <mergeCell ref="B1500:O1500"/>
    <mergeCell ref="B1501:O1501"/>
    <mergeCell ref="B1502:O1502"/>
    <mergeCell ref="B1503:O1503"/>
    <mergeCell ref="B1504:O1504"/>
    <mergeCell ref="B1505:O1505"/>
    <mergeCell ref="B1517:O1517"/>
    <mergeCell ref="B1518:O1518"/>
    <mergeCell ref="B1519:O1519"/>
    <mergeCell ref="B1520:E1520"/>
    <mergeCell ref="H1520:L1520"/>
    <mergeCell ref="M1520:O1520"/>
    <mergeCell ref="B1521:E1521"/>
    <mergeCell ref="H1521:L1521"/>
    <mergeCell ref="M1521:O1521"/>
    <mergeCell ref="B1522:E1522"/>
    <mergeCell ref="H1522:L1522"/>
    <mergeCell ref="M1522:O1522"/>
    <mergeCell ref="B1523:O1523"/>
    <mergeCell ref="B1524:O1524"/>
    <mergeCell ref="B1525:O1525"/>
    <mergeCell ref="B1526:O1526"/>
    <mergeCell ref="B1527:O1527"/>
    <mergeCell ref="B1528:O1528"/>
    <mergeCell ref="B1529:O1529"/>
    <mergeCell ref="B1541:O1541"/>
    <mergeCell ref="B1542:O1542"/>
    <mergeCell ref="B1543:O1543"/>
    <mergeCell ref="B1544:E1544"/>
    <mergeCell ref="H1544:L1544"/>
    <mergeCell ref="M1544:O1544"/>
    <mergeCell ref="B1545:E1545"/>
    <mergeCell ref="H1545:L1545"/>
    <mergeCell ref="M1545:O1545"/>
    <mergeCell ref="B1546:E1546"/>
    <mergeCell ref="H1546:L1546"/>
    <mergeCell ref="M1546:O1546"/>
    <mergeCell ref="B1547:O1547"/>
    <mergeCell ref="B1548:O1548"/>
    <mergeCell ref="B1549:O1549"/>
    <mergeCell ref="B1550:O1550"/>
    <mergeCell ref="B1551:O1551"/>
    <mergeCell ref="B1552:O1552"/>
    <mergeCell ref="B1553:O1553"/>
    <mergeCell ref="B1565:O1565"/>
    <mergeCell ref="B1566:O1566"/>
    <mergeCell ref="B1567:O1567"/>
    <mergeCell ref="B1568:E1568"/>
    <mergeCell ref="H1568:L1568"/>
    <mergeCell ref="M1568:O1568"/>
    <mergeCell ref="B1569:E1569"/>
    <mergeCell ref="H1569:L1569"/>
    <mergeCell ref="M1569:O1569"/>
    <mergeCell ref="B1570:E1570"/>
    <mergeCell ref="H1570:L1570"/>
    <mergeCell ref="M1570:O1570"/>
    <mergeCell ref="B1571:O1571"/>
    <mergeCell ref="B1572:O1572"/>
    <mergeCell ref="B1573:O1573"/>
    <mergeCell ref="B1574:O1574"/>
    <mergeCell ref="B1575:O1575"/>
    <mergeCell ref="B1576:O1576"/>
    <mergeCell ref="B1577:O1577"/>
    <mergeCell ref="B1589:O1589"/>
    <mergeCell ref="B1590:O1590"/>
    <mergeCell ref="B1591:O1591"/>
    <mergeCell ref="B1592:E1592"/>
    <mergeCell ref="H1592:L1592"/>
    <mergeCell ref="M1592:O1592"/>
    <mergeCell ref="B1593:E1593"/>
    <mergeCell ref="H1593:L1593"/>
    <mergeCell ref="M1593:O1593"/>
    <mergeCell ref="B1594:E1594"/>
    <mergeCell ref="H1594:L1594"/>
    <mergeCell ref="M1594:O1594"/>
    <mergeCell ref="B1595:O1595"/>
    <mergeCell ref="B1596:O1596"/>
    <mergeCell ref="B1597:O1597"/>
    <mergeCell ref="B1598:O1598"/>
    <mergeCell ref="B1599:O1599"/>
    <mergeCell ref="B1600:O1600"/>
    <mergeCell ref="B1601:O1601"/>
    <mergeCell ref="B1613:O1613"/>
    <mergeCell ref="B1614:O1614"/>
    <mergeCell ref="B1615:O1615"/>
    <mergeCell ref="B1616:E1616"/>
    <mergeCell ref="H1616:L1616"/>
    <mergeCell ref="M1616:O1616"/>
    <mergeCell ref="B1617:E1617"/>
    <mergeCell ref="H1617:L1617"/>
    <mergeCell ref="M1617:O1617"/>
    <mergeCell ref="B1618:E1618"/>
    <mergeCell ref="H1618:L1618"/>
    <mergeCell ref="M1618:O1618"/>
    <mergeCell ref="B1619:O1619"/>
    <mergeCell ref="B1620:O1620"/>
    <mergeCell ref="B1621:O1621"/>
    <mergeCell ref="B1622:O1622"/>
    <mergeCell ref="B1623:O1623"/>
    <mergeCell ref="B1624:O1624"/>
    <mergeCell ref="B1625:O1625"/>
    <mergeCell ref="B1637:O1637"/>
    <mergeCell ref="B1638:O1638"/>
    <mergeCell ref="B1639:O1639"/>
    <mergeCell ref="B1640:E1640"/>
    <mergeCell ref="H1640:L1640"/>
    <mergeCell ref="M1640:O1640"/>
    <mergeCell ref="B1641:E1641"/>
    <mergeCell ref="H1641:L1641"/>
    <mergeCell ref="M1641:O1641"/>
    <mergeCell ref="B1642:E1642"/>
    <mergeCell ref="H1642:L1642"/>
    <mergeCell ref="M1642:O1642"/>
    <mergeCell ref="B1643:O1643"/>
    <mergeCell ref="B1644:O1644"/>
    <mergeCell ref="B1645:O1645"/>
    <mergeCell ref="B1646:O1646"/>
    <mergeCell ref="B1647:O1647"/>
    <mergeCell ref="B1648:O1648"/>
    <mergeCell ref="B1649:O1649"/>
    <mergeCell ref="B1661:O1661"/>
    <mergeCell ref="B1662:O1662"/>
    <mergeCell ref="B1663:O1663"/>
    <mergeCell ref="B1664:E1664"/>
    <mergeCell ref="H1664:L1664"/>
    <mergeCell ref="M1664:O1664"/>
    <mergeCell ref="B1665:E1665"/>
    <mergeCell ref="H1665:L1665"/>
    <mergeCell ref="M1665:O1665"/>
    <mergeCell ref="B1666:E1666"/>
    <mergeCell ref="H1666:L1666"/>
    <mergeCell ref="M1666:O1666"/>
    <mergeCell ref="B1667:O1667"/>
    <mergeCell ref="B1668:O1668"/>
    <mergeCell ref="B1669:O1669"/>
    <mergeCell ref="B1670:O1670"/>
    <mergeCell ref="B1671:O1671"/>
    <mergeCell ref="B1672:O1672"/>
    <mergeCell ref="B1673:O1673"/>
    <mergeCell ref="B1685:O1685"/>
    <mergeCell ref="B1686:O1686"/>
    <mergeCell ref="B1687:O1687"/>
    <mergeCell ref="B1688:E1688"/>
    <mergeCell ref="H1688:L1688"/>
    <mergeCell ref="M1688:O1688"/>
    <mergeCell ref="B1689:E1689"/>
    <mergeCell ref="H1689:L1689"/>
    <mergeCell ref="M1689:O1689"/>
    <mergeCell ref="B1690:E1690"/>
    <mergeCell ref="H1690:L1690"/>
    <mergeCell ref="M1690:O1690"/>
    <mergeCell ref="B1691:O1691"/>
    <mergeCell ref="B1692:O1692"/>
    <mergeCell ref="B1693:O1693"/>
    <mergeCell ref="B1694:O1694"/>
    <mergeCell ref="B1695:O1695"/>
    <mergeCell ref="B1696:O1696"/>
    <mergeCell ref="B1697:O1697"/>
    <mergeCell ref="B1709:O1709"/>
    <mergeCell ref="B1710:O1710"/>
    <mergeCell ref="B1711:O1711"/>
    <mergeCell ref="B1712:E1712"/>
    <mergeCell ref="H1712:L1712"/>
    <mergeCell ref="M1712:O1712"/>
    <mergeCell ref="B1713:E1713"/>
    <mergeCell ref="H1713:L1713"/>
    <mergeCell ref="M1713:O1713"/>
    <mergeCell ref="B1714:E1714"/>
    <mergeCell ref="H1714:L1714"/>
    <mergeCell ref="M1714:O1714"/>
    <mergeCell ref="B1715:O1715"/>
    <mergeCell ref="B1716:O1716"/>
    <mergeCell ref="B1717:O1717"/>
    <mergeCell ref="B1718:O1718"/>
    <mergeCell ref="B1719:O1719"/>
    <mergeCell ref="B1720:O1720"/>
    <mergeCell ref="B1721:O1721"/>
    <mergeCell ref="B1733:O1733"/>
    <mergeCell ref="B1734:O1734"/>
    <mergeCell ref="B1735:O1735"/>
    <mergeCell ref="B1736:E1736"/>
    <mergeCell ref="H1736:L1736"/>
    <mergeCell ref="M1736:O1736"/>
    <mergeCell ref="B1737:E1737"/>
    <mergeCell ref="H1737:L1737"/>
    <mergeCell ref="M1737:O1737"/>
    <mergeCell ref="B1738:E1738"/>
    <mergeCell ref="H1738:L1738"/>
    <mergeCell ref="M1738:O1738"/>
    <mergeCell ref="B1739:O1739"/>
    <mergeCell ref="B1740:O1740"/>
    <mergeCell ref="B1741:O1741"/>
    <mergeCell ref="B1742:O1742"/>
    <mergeCell ref="B1743:O1743"/>
    <mergeCell ref="B1744:O1744"/>
    <mergeCell ref="B1745:O1745"/>
    <mergeCell ref="B1757:O1757"/>
    <mergeCell ref="B1758:O1758"/>
    <mergeCell ref="B1759:O1759"/>
    <mergeCell ref="B1760:E1760"/>
    <mergeCell ref="H1760:L1760"/>
    <mergeCell ref="M1760:O1760"/>
    <mergeCell ref="B1761:E1761"/>
    <mergeCell ref="H1761:L1761"/>
    <mergeCell ref="M1761:O1761"/>
    <mergeCell ref="B1762:E1762"/>
    <mergeCell ref="H1762:L1762"/>
    <mergeCell ref="M1762:O1762"/>
    <mergeCell ref="B1763:O1763"/>
    <mergeCell ref="B1764:O1764"/>
    <mergeCell ref="B1765:O1765"/>
    <mergeCell ref="B1766:O1766"/>
    <mergeCell ref="B1767:O1767"/>
    <mergeCell ref="B1768:O1768"/>
    <mergeCell ref="B1769:O1769"/>
    <mergeCell ref="B1781:O1781"/>
    <mergeCell ref="B1782:O1782"/>
    <mergeCell ref="B1783:O1783"/>
    <mergeCell ref="B1784:E1784"/>
    <mergeCell ref="H1784:L1784"/>
    <mergeCell ref="M1784:O1784"/>
    <mergeCell ref="B1785:E1785"/>
    <mergeCell ref="H1785:L1785"/>
    <mergeCell ref="M1785:O1785"/>
    <mergeCell ref="B1786:E1786"/>
    <mergeCell ref="H1786:L1786"/>
    <mergeCell ref="M1786:O1786"/>
    <mergeCell ref="B1831:O1831"/>
    <mergeCell ref="B1832:E1832"/>
    <mergeCell ref="H1832:L1832"/>
    <mergeCell ref="M1832:O1832"/>
    <mergeCell ref="B1833:E1833"/>
    <mergeCell ref="H1833:L1833"/>
    <mergeCell ref="M1833:O1833"/>
    <mergeCell ref="B1834:E1834"/>
    <mergeCell ref="H1834:L1834"/>
    <mergeCell ref="M1834:O1834"/>
    <mergeCell ref="B1787:O1787"/>
    <mergeCell ref="B1788:O1788"/>
    <mergeCell ref="B1789:O1789"/>
    <mergeCell ref="B1790:O1790"/>
    <mergeCell ref="B1791:O1791"/>
    <mergeCell ref="B1792:O1792"/>
    <mergeCell ref="B1793:O1793"/>
    <mergeCell ref="B1805:O1805"/>
    <mergeCell ref="B1806:O1806"/>
    <mergeCell ref="B1807:O1807"/>
    <mergeCell ref="B1808:E1808"/>
    <mergeCell ref="H1808:L1808"/>
    <mergeCell ref="M1808:O1808"/>
    <mergeCell ref="B1809:E1809"/>
    <mergeCell ref="H1809:L1809"/>
    <mergeCell ref="M1809:O1809"/>
    <mergeCell ref="B1810:E1810"/>
    <mergeCell ref="H1810:L1810"/>
    <mergeCell ref="M1810:O1810"/>
    <mergeCell ref="B1863:O1863"/>
    <mergeCell ref="B1864:O1864"/>
    <mergeCell ref="B1865:O1865"/>
    <mergeCell ref="B1877:O1877"/>
    <mergeCell ref="B1878:O1878"/>
    <mergeCell ref="B1879:O1879"/>
    <mergeCell ref="B1880:E1880"/>
    <mergeCell ref="H1880:L1880"/>
    <mergeCell ref="M1880:O1880"/>
    <mergeCell ref="B1881:E1881"/>
    <mergeCell ref="H1881:L1881"/>
    <mergeCell ref="M1881:O1881"/>
    <mergeCell ref="B1882:E1882"/>
    <mergeCell ref="H1882:L1882"/>
    <mergeCell ref="M1882:O1882"/>
    <mergeCell ref="B1835:O1835"/>
    <mergeCell ref="B1836:O1836"/>
    <mergeCell ref="B1837:O1837"/>
    <mergeCell ref="B1838:O1838"/>
    <mergeCell ref="B1839:O1839"/>
    <mergeCell ref="B1840:O1840"/>
    <mergeCell ref="B1841:O1841"/>
    <mergeCell ref="B1853:O1853"/>
    <mergeCell ref="B1854:O1854"/>
    <mergeCell ref="B1855:O1855"/>
    <mergeCell ref="B1856:E1856"/>
    <mergeCell ref="H1856:L1856"/>
    <mergeCell ref="M1856:O1856"/>
    <mergeCell ref="B1857:E1857"/>
    <mergeCell ref="H1857:L1857"/>
    <mergeCell ref="M1857:O1857"/>
    <mergeCell ref="B1858:E1858"/>
    <mergeCell ref="B1907:O1907"/>
    <mergeCell ref="B1908:O1908"/>
    <mergeCell ref="B1909:O1909"/>
    <mergeCell ref="B1910:O1910"/>
    <mergeCell ref="B1911:O1911"/>
    <mergeCell ref="B1912:O1912"/>
    <mergeCell ref="B1913:O1913"/>
    <mergeCell ref="B1883:O1883"/>
    <mergeCell ref="B1884:O1884"/>
    <mergeCell ref="B1885:O1885"/>
    <mergeCell ref="B1886:O1886"/>
    <mergeCell ref="B1887:O1887"/>
    <mergeCell ref="B1888:O1888"/>
    <mergeCell ref="B1889:O1889"/>
    <mergeCell ref="B1901:O1901"/>
    <mergeCell ref="B1902:O1902"/>
    <mergeCell ref="B1903:O1903"/>
    <mergeCell ref="B1904:E1904"/>
    <mergeCell ref="H1904:L1904"/>
    <mergeCell ref="M1904:O1904"/>
    <mergeCell ref="B1905:E1905"/>
    <mergeCell ref="H1905:L1905"/>
    <mergeCell ref="M1905:O1905"/>
    <mergeCell ref="B1906:E1906"/>
    <mergeCell ref="H1906:L1906"/>
    <mergeCell ref="M1906:O1906"/>
    <mergeCell ref="B1859:O1859"/>
    <mergeCell ref="B1860:O1860"/>
    <mergeCell ref="B1861:O1861"/>
    <mergeCell ref="B1862:O1862"/>
    <mergeCell ref="B782:O782"/>
    <mergeCell ref="B783:O783"/>
    <mergeCell ref="B785:E785"/>
    <mergeCell ref="B786:E786"/>
    <mergeCell ref="B787:E787"/>
    <mergeCell ref="H785:L785"/>
    <mergeCell ref="H786:L786"/>
    <mergeCell ref="H787:L787"/>
    <mergeCell ref="B784:O784"/>
    <mergeCell ref="M785:O785"/>
    <mergeCell ref="M786:O786"/>
    <mergeCell ref="M787:O787"/>
    <mergeCell ref="B788:O788"/>
    <mergeCell ref="B789:O789"/>
    <mergeCell ref="B790:O790"/>
    <mergeCell ref="B791:O791"/>
    <mergeCell ref="B792:O792"/>
    <mergeCell ref="H1858:L1858"/>
    <mergeCell ref="M1858:O1858"/>
    <mergeCell ref="B1811:O1811"/>
    <mergeCell ref="B1812:O1812"/>
    <mergeCell ref="B1813:O1813"/>
    <mergeCell ref="B1814:O1814"/>
    <mergeCell ref="B1815:O1815"/>
    <mergeCell ref="B1816:O1816"/>
    <mergeCell ref="B1817:O1817"/>
    <mergeCell ref="B1829:O1829"/>
    <mergeCell ref="B1830:O1830"/>
    <mergeCell ref="M2218:O2218"/>
    <mergeCell ref="B2219:O2219"/>
    <mergeCell ref="B2220:O2220"/>
    <mergeCell ref="B2221:O2221"/>
    <mergeCell ref="B2222:O2222"/>
    <mergeCell ref="B2223:O2223"/>
    <mergeCell ref="B2174:O2174"/>
    <mergeCell ref="B2175:O2175"/>
    <mergeCell ref="B2176:O2176"/>
    <mergeCell ref="B2177:O2177"/>
    <mergeCell ref="Q2141:Q2142"/>
    <mergeCell ref="S2141:S2142"/>
    <mergeCell ref="B2165:O2165"/>
    <mergeCell ref="Q2165:Q2166"/>
    <mergeCell ref="S2165:S2166"/>
    <mergeCell ref="B2166:O2166"/>
    <mergeCell ref="B2167:O2167"/>
    <mergeCell ref="B2168:E2168"/>
    <mergeCell ref="H2168:L2168"/>
    <mergeCell ref="M2168:O2168"/>
    <mergeCell ref="B2169:E2169"/>
    <mergeCell ref="H2169:L2169"/>
    <mergeCell ref="M2169:O2169"/>
    <mergeCell ref="B2170:E2170"/>
    <mergeCell ref="H2170:L2170"/>
    <mergeCell ref="M2170:O2170"/>
    <mergeCell ref="B2171:O2171"/>
    <mergeCell ref="B2172:O2172"/>
    <mergeCell ref="B2173:O2173"/>
    <mergeCell ref="B2200:O2200"/>
    <mergeCell ref="Q2189:Q2190"/>
    <mergeCell ref="S2189:S2190"/>
    <mergeCell ref="B2249:O2249"/>
    <mergeCell ref="B2237:O2237"/>
    <mergeCell ref="B2238:O2238"/>
    <mergeCell ref="B2239:O2239"/>
    <mergeCell ref="B2240:E2240"/>
    <mergeCell ref="H2240:L2240"/>
    <mergeCell ref="M2240:O2240"/>
    <mergeCell ref="B2241:E2241"/>
    <mergeCell ref="H2241:L2241"/>
    <mergeCell ref="M2241:O2241"/>
    <mergeCell ref="B2242:E2242"/>
    <mergeCell ref="H2242:L2242"/>
    <mergeCell ref="M2242:O2242"/>
    <mergeCell ref="B2243:O2243"/>
    <mergeCell ref="B2244:O2244"/>
    <mergeCell ref="B2245:O2245"/>
    <mergeCell ref="B2246:O2246"/>
    <mergeCell ref="B2247:O2247"/>
    <mergeCell ref="B2224:O2224"/>
    <mergeCell ref="B2225:O2225"/>
    <mergeCell ref="B2213:O2213"/>
    <mergeCell ref="B2214:O2214"/>
    <mergeCell ref="B2215:O2215"/>
    <mergeCell ref="B2216:E2216"/>
    <mergeCell ref="H2216:L2216"/>
    <mergeCell ref="M2216:O2216"/>
    <mergeCell ref="B2217:E2217"/>
    <mergeCell ref="H2217:L2217"/>
    <mergeCell ref="M2217:O2217"/>
    <mergeCell ref="B2226:O2226"/>
    <mergeCell ref="B2272:O2272"/>
    <mergeCell ref="B2273:O2273"/>
    <mergeCell ref="B2261:O2261"/>
    <mergeCell ref="B2262:O2262"/>
    <mergeCell ref="B2263:O2263"/>
    <mergeCell ref="B2264:E2264"/>
    <mergeCell ref="H2264:L2264"/>
    <mergeCell ref="M2264:O2264"/>
    <mergeCell ref="B2265:E2265"/>
    <mergeCell ref="H2265:L2265"/>
    <mergeCell ref="M2265:O2265"/>
    <mergeCell ref="B2266:E2266"/>
    <mergeCell ref="H2266:L2266"/>
    <mergeCell ref="M2266:O2266"/>
    <mergeCell ref="B2267:O2267"/>
    <mergeCell ref="B2268:O2268"/>
    <mergeCell ref="B2269:O2269"/>
    <mergeCell ref="B2270:O2270"/>
    <mergeCell ref="B2271:O2271"/>
    <mergeCell ref="B2248:O2248"/>
    <mergeCell ref="B2358:O2358"/>
    <mergeCell ref="B2359:O2359"/>
    <mergeCell ref="B2360:E2360"/>
    <mergeCell ref="H2360:L2360"/>
    <mergeCell ref="M2360:O2360"/>
    <mergeCell ref="B2361:E2361"/>
    <mergeCell ref="H2361:L2361"/>
    <mergeCell ref="M2361:O2361"/>
    <mergeCell ref="B2362:E2362"/>
    <mergeCell ref="H2362:L2362"/>
    <mergeCell ref="M2362:O2362"/>
    <mergeCell ref="B2363:O2363"/>
    <mergeCell ref="B2364:O2364"/>
    <mergeCell ref="B2365:O2365"/>
    <mergeCell ref="B2333:O2333"/>
    <mergeCell ref="B2334:O2334"/>
    <mergeCell ref="B2335:O2335"/>
    <mergeCell ref="B2336:E2336"/>
    <mergeCell ref="H2336:L2336"/>
    <mergeCell ref="M2336:O2336"/>
    <mergeCell ref="B2337:E2337"/>
    <mergeCell ref="H2337:L2337"/>
    <mergeCell ref="M2337:O2337"/>
    <mergeCell ref="B2338:E2338"/>
    <mergeCell ref="H2338:L2338"/>
    <mergeCell ref="M2338:O2338"/>
    <mergeCell ref="B2339:O2339"/>
    <mergeCell ref="B2340:O2340"/>
    <mergeCell ref="B2341:O2341"/>
    <mergeCell ref="B2342:O2342"/>
    <mergeCell ref="B2343:O2343"/>
    <mergeCell ref="Q2261:Q2262"/>
    <mergeCell ref="S2261:S2262"/>
    <mergeCell ref="Q2309:Q2310"/>
    <mergeCell ref="S2309:S2310"/>
    <mergeCell ref="Q2333:Q2334"/>
    <mergeCell ref="S2333:S2334"/>
    <mergeCell ref="B2392:O2392"/>
    <mergeCell ref="B2393:O2393"/>
    <mergeCell ref="B2381:O2381"/>
    <mergeCell ref="B2382:O2382"/>
    <mergeCell ref="B2383:O2383"/>
    <mergeCell ref="B2384:E2384"/>
    <mergeCell ref="H2384:L2384"/>
    <mergeCell ref="M2384:O2384"/>
    <mergeCell ref="B2385:E2385"/>
    <mergeCell ref="H2385:L2385"/>
    <mergeCell ref="M2385:O2385"/>
    <mergeCell ref="B2386:E2386"/>
    <mergeCell ref="H2386:L2386"/>
    <mergeCell ref="M2386:O2386"/>
    <mergeCell ref="B2387:O2387"/>
    <mergeCell ref="B2388:O2388"/>
    <mergeCell ref="B2389:O2389"/>
    <mergeCell ref="B2390:O2390"/>
    <mergeCell ref="B2391:O2391"/>
    <mergeCell ref="B2366:O2366"/>
    <mergeCell ref="B2367:O2367"/>
    <mergeCell ref="B2368:O2368"/>
    <mergeCell ref="B2369:O2369"/>
    <mergeCell ref="B2344:O2344"/>
    <mergeCell ref="B2345:O2345"/>
    <mergeCell ref="B2357:O2357"/>
    <mergeCell ref="B2504:E2504"/>
    <mergeCell ref="H2504:L2504"/>
    <mergeCell ref="M2504:O2504"/>
    <mergeCell ref="B2505:E2505"/>
    <mergeCell ref="H2505:L2505"/>
    <mergeCell ref="M2505:O2505"/>
    <mergeCell ref="B2506:E2506"/>
    <mergeCell ref="H2506:L2506"/>
    <mergeCell ref="M2506:O2506"/>
    <mergeCell ref="B2507:O2507"/>
    <mergeCell ref="B2508:O2508"/>
    <mergeCell ref="B2509:O2509"/>
    <mergeCell ref="B2510:O2510"/>
    <mergeCell ref="B2511:O2511"/>
    <mergeCell ref="B2534:O2534"/>
    <mergeCell ref="B2535:O2535"/>
    <mergeCell ref="B2536:O2536"/>
    <mergeCell ref="B2537:O2537"/>
    <mergeCell ref="B2512:O2512"/>
    <mergeCell ref="B2513:O2513"/>
    <mergeCell ref="B2525:O2525"/>
    <mergeCell ref="B2526:O2526"/>
    <mergeCell ref="B2527:O2527"/>
    <mergeCell ref="B2528:E2528"/>
    <mergeCell ref="H2528:L2528"/>
    <mergeCell ref="M2528:O2528"/>
    <mergeCell ref="B2529:E2529"/>
    <mergeCell ref="H2529:L2529"/>
    <mergeCell ref="M2529:O2529"/>
    <mergeCell ref="B2530:E2530"/>
    <mergeCell ref="H2530:L2530"/>
    <mergeCell ref="M2530:O2530"/>
    <mergeCell ref="B2531:O2531"/>
    <mergeCell ref="B2532:O2532"/>
    <mergeCell ref="B2533:O2533"/>
    <mergeCell ref="B2549:O2549"/>
    <mergeCell ref="B2550:O2550"/>
    <mergeCell ref="B2551:O2551"/>
    <mergeCell ref="B2552:E2552"/>
    <mergeCell ref="H2552:L2552"/>
    <mergeCell ref="M2552:O2552"/>
    <mergeCell ref="B2553:E2553"/>
    <mergeCell ref="H2553:L2553"/>
    <mergeCell ref="M2553:O2553"/>
    <mergeCell ref="B2554:E2554"/>
    <mergeCell ref="H2554:L2554"/>
    <mergeCell ref="M2554:O2554"/>
    <mergeCell ref="B2555:O2555"/>
    <mergeCell ref="B2556:O2556"/>
    <mergeCell ref="B2557:O2557"/>
    <mergeCell ref="B2558:O2558"/>
    <mergeCell ref="B2559:O2559"/>
    <mergeCell ref="B2582:O2582"/>
    <mergeCell ref="B2583:O2583"/>
    <mergeCell ref="B2584:O2584"/>
    <mergeCell ref="B2585:O2585"/>
    <mergeCell ref="B2560:O2560"/>
    <mergeCell ref="B2561:O2561"/>
    <mergeCell ref="B2573:O2573"/>
    <mergeCell ref="B2574:O2574"/>
    <mergeCell ref="B2575:O2575"/>
    <mergeCell ref="B2576:E2576"/>
    <mergeCell ref="H2576:L2576"/>
    <mergeCell ref="M2576:O2576"/>
    <mergeCell ref="B2577:E2577"/>
    <mergeCell ref="H2577:L2577"/>
    <mergeCell ref="M2577:O2577"/>
    <mergeCell ref="B2578:E2578"/>
    <mergeCell ref="H2578:L2578"/>
    <mergeCell ref="M2578:O2578"/>
    <mergeCell ref="B2579:O2579"/>
    <mergeCell ref="B2580:O2580"/>
    <mergeCell ref="B2581:O2581"/>
    <mergeCell ref="B2628:O2628"/>
    <mergeCell ref="B2629:O2629"/>
    <mergeCell ref="B2597:O2597"/>
    <mergeCell ref="B2598:O2598"/>
    <mergeCell ref="B2599:O2599"/>
    <mergeCell ref="B2600:E2600"/>
    <mergeCell ref="H2600:L2600"/>
    <mergeCell ref="M2600:O2600"/>
    <mergeCell ref="B2601:E2601"/>
    <mergeCell ref="H2601:L2601"/>
    <mergeCell ref="M2601:O2601"/>
    <mergeCell ref="B2602:E2602"/>
    <mergeCell ref="H2602:L2602"/>
    <mergeCell ref="M2602:O2602"/>
    <mergeCell ref="B2603:O2603"/>
    <mergeCell ref="B2604:O2604"/>
    <mergeCell ref="B2605:O2605"/>
    <mergeCell ref="B2606:O2606"/>
    <mergeCell ref="B2607:O2607"/>
    <mergeCell ref="B2657:O2657"/>
    <mergeCell ref="B2630:O2630"/>
    <mergeCell ref="B2631:O2631"/>
    <mergeCell ref="B2632:O2632"/>
    <mergeCell ref="B2633:O2633"/>
    <mergeCell ref="B2645:O2645"/>
    <mergeCell ref="B2646:O2646"/>
    <mergeCell ref="B2647:O2647"/>
    <mergeCell ref="B2648:E2648"/>
    <mergeCell ref="H2648:L2648"/>
    <mergeCell ref="M2648:O2648"/>
    <mergeCell ref="B2649:E2649"/>
    <mergeCell ref="H2649:L2649"/>
    <mergeCell ref="M2649:O2649"/>
    <mergeCell ref="B2650:E2650"/>
    <mergeCell ref="H2650:L2650"/>
    <mergeCell ref="M2650:O2650"/>
    <mergeCell ref="B2651:O2651"/>
    <mergeCell ref="Q2357:Q2358"/>
    <mergeCell ref="S2357:S2358"/>
    <mergeCell ref="Q2381:Q2382"/>
    <mergeCell ref="S2381:S2382"/>
    <mergeCell ref="Q2405:Q2406"/>
    <mergeCell ref="S2405:S2406"/>
    <mergeCell ref="Q2429:Q2430"/>
    <mergeCell ref="S2429:S2430"/>
    <mergeCell ref="Q2453:Q2454"/>
    <mergeCell ref="S2453:S2454"/>
    <mergeCell ref="Q2477:Q2478"/>
    <mergeCell ref="S2477:S2478"/>
    <mergeCell ref="B2652:O2652"/>
    <mergeCell ref="B2653:O2653"/>
    <mergeCell ref="B2654:O2654"/>
    <mergeCell ref="B2655:O2655"/>
    <mergeCell ref="B2656:O2656"/>
    <mergeCell ref="B2608:O2608"/>
    <mergeCell ref="B2609:O2609"/>
    <mergeCell ref="B2621:O2621"/>
    <mergeCell ref="B2622:O2622"/>
    <mergeCell ref="B2623:O2623"/>
    <mergeCell ref="B2624:E2624"/>
    <mergeCell ref="H2624:L2624"/>
    <mergeCell ref="M2624:O2624"/>
    <mergeCell ref="B2625:E2625"/>
    <mergeCell ref="H2625:L2625"/>
    <mergeCell ref="M2625:O2625"/>
    <mergeCell ref="B2626:E2626"/>
    <mergeCell ref="H2626:L2626"/>
    <mergeCell ref="M2626:O2626"/>
    <mergeCell ref="B2627:O2627"/>
    <mergeCell ref="B2669:O2669"/>
    <mergeCell ref="B2670:O2670"/>
    <mergeCell ref="B2671:O2671"/>
    <mergeCell ref="B2672:E2672"/>
    <mergeCell ref="H2672:L2672"/>
    <mergeCell ref="M2672:O2672"/>
    <mergeCell ref="B2673:E2673"/>
    <mergeCell ref="H2673:L2673"/>
    <mergeCell ref="M2673:O2673"/>
    <mergeCell ref="B2674:E2674"/>
    <mergeCell ref="H2674:L2674"/>
    <mergeCell ref="M2674:O2674"/>
    <mergeCell ref="B2675:O2675"/>
    <mergeCell ref="B2676:O2676"/>
    <mergeCell ref="B2677:O2677"/>
    <mergeCell ref="B2678:O2678"/>
    <mergeCell ref="B2679:O2679"/>
    <mergeCell ref="B2680:O2680"/>
    <mergeCell ref="B2681:O2681"/>
    <mergeCell ref="B2693:O2693"/>
    <mergeCell ref="B2694:O2694"/>
    <mergeCell ref="B2695:O2695"/>
    <mergeCell ref="B2696:E2696"/>
    <mergeCell ref="H2696:L2696"/>
    <mergeCell ref="M2696:O2696"/>
    <mergeCell ref="B2697:E2697"/>
    <mergeCell ref="H2697:L2697"/>
    <mergeCell ref="M2697:O2697"/>
    <mergeCell ref="B2698:E2698"/>
    <mergeCell ref="H2698:L2698"/>
    <mergeCell ref="M2698:O2698"/>
    <mergeCell ref="B2699:O2699"/>
    <mergeCell ref="B2700:O2700"/>
    <mergeCell ref="B2701:O2701"/>
    <mergeCell ref="B2724:O2724"/>
    <mergeCell ref="B2725:O2725"/>
    <mergeCell ref="B2726:O2726"/>
    <mergeCell ref="B2727:O2727"/>
    <mergeCell ref="B2728:O2728"/>
    <mergeCell ref="B2729:O2729"/>
    <mergeCell ref="B2702:O2702"/>
    <mergeCell ref="B2703:O2703"/>
    <mergeCell ref="B2704:O2704"/>
    <mergeCell ref="B2705:O2705"/>
    <mergeCell ref="B2717:O2717"/>
    <mergeCell ref="B2718:O2718"/>
    <mergeCell ref="B2719:O2719"/>
    <mergeCell ref="B2720:E2720"/>
    <mergeCell ref="H2720:L2720"/>
    <mergeCell ref="M2720:O2720"/>
    <mergeCell ref="B2721:E2721"/>
    <mergeCell ref="H2721:L2721"/>
    <mergeCell ref="M2721:O2721"/>
    <mergeCell ref="B2722:E2722"/>
    <mergeCell ref="H2722:L2722"/>
    <mergeCell ref="M2722:O2722"/>
    <mergeCell ref="B2723:O2723"/>
    <mergeCell ref="B2789:O2789"/>
    <mergeCell ref="B2790:O2790"/>
    <mergeCell ref="B2791:O2791"/>
    <mergeCell ref="B2792:E2792"/>
    <mergeCell ref="H2792:L2792"/>
    <mergeCell ref="M2792:O2792"/>
    <mergeCell ref="B2793:E2793"/>
    <mergeCell ref="H2793:L2793"/>
    <mergeCell ref="M2793:O2793"/>
    <mergeCell ref="B2794:E2794"/>
    <mergeCell ref="H2794:L2794"/>
    <mergeCell ref="M2794:O2794"/>
    <mergeCell ref="B2795:O2795"/>
    <mergeCell ref="B2796:O2796"/>
    <mergeCell ref="B2797:O2797"/>
    <mergeCell ref="B2798:O2798"/>
    <mergeCell ref="B2799:O2799"/>
    <mergeCell ref="B2800:O2800"/>
    <mergeCell ref="B2801:O2801"/>
    <mergeCell ref="B2813:O2813"/>
    <mergeCell ref="B2814:O2814"/>
    <mergeCell ref="B2815:O2815"/>
    <mergeCell ref="B2816:E2816"/>
    <mergeCell ref="H2816:L2816"/>
    <mergeCell ref="M2816:O2816"/>
    <mergeCell ref="B2817:E2817"/>
    <mergeCell ref="H2817:L2817"/>
    <mergeCell ref="M2817:O2817"/>
    <mergeCell ref="B2818:E2818"/>
    <mergeCell ref="H2818:L2818"/>
    <mergeCell ref="M2818:O2818"/>
    <mergeCell ref="B2819:O2819"/>
    <mergeCell ref="B2820:O2820"/>
    <mergeCell ref="B2821:O2821"/>
    <mergeCell ref="M2866:O2866"/>
    <mergeCell ref="B2822:O2822"/>
    <mergeCell ref="B2823:O2823"/>
    <mergeCell ref="B2824:O2824"/>
    <mergeCell ref="B2825:O2825"/>
    <mergeCell ref="B2837:O2837"/>
    <mergeCell ref="B2838:O2838"/>
    <mergeCell ref="B2839:O2839"/>
    <mergeCell ref="B2840:E2840"/>
    <mergeCell ref="H2840:L2840"/>
    <mergeCell ref="M2840:O2840"/>
    <mergeCell ref="B2841:E2841"/>
    <mergeCell ref="H2841:L2841"/>
    <mergeCell ref="M2841:O2841"/>
    <mergeCell ref="B2842:E2842"/>
    <mergeCell ref="H2842:L2842"/>
    <mergeCell ref="M2842:O2842"/>
    <mergeCell ref="B2843:O2843"/>
    <mergeCell ref="B2867:O2867"/>
    <mergeCell ref="B2868:O2868"/>
    <mergeCell ref="B2869:O2869"/>
    <mergeCell ref="B2870:O2870"/>
    <mergeCell ref="B2871:O2871"/>
    <mergeCell ref="B2872:O2872"/>
    <mergeCell ref="B2873:O2873"/>
    <mergeCell ref="Q2598:Q2599"/>
    <mergeCell ref="S2598:S2599"/>
    <mergeCell ref="Q2622:Q2623"/>
    <mergeCell ref="S2622:S2623"/>
    <mergeCell ref="Q2646:Q2647"/>
    <mergeCell ref="S2646:S2647"/>
    <mergeCell ref="Q2670:Q2671"/>
    <mergeCell ref="S2670:S2671"/>
    <mergeCell ref="B2844:O2844"/>
    <mergeCell ref="B2845:O2845"/>
    <mergeCell ref="B2846:O2846"/>
    <mergeCell ref="B2847:O2847"/>
    <mergeCell ref="B2848:O2848"/>
    <mergeCell ref="B2849:O2849"/>
    <mergeCell ref="B2861:O2861"/>
    <mergeCell ref="B2862:O2862"/>
    <mergeCell ref="B2863:O2863"/>
    <mergeCell ref="B2864:E2864"/>
    <mergeCell ref="H2864:L2864"/>
    <mergeCell ref="M2864:O2864"/>
    <mergeCell ref="B2865:E2865"/>
    <mergeCell ref="H2865:L2865"/>
    <mergeCell ref="M2865:O2865"/>
    <mergeCell ref="B2866:E2866"/>
    <mergeCell ref="H2866:L2866"/>
  </mergeCells>
  <phoneticPr fontId="14" type="noConversion"/>
  <hyperlinks>
    <hyperlink ref="Q1825" r:id="rId1"/>
  </hyperlinks>
  <pageMargins left="0.7" right="0.7" top="0.75" bottom="0.75" header="0.3" footer="0.3"/>
  <pageSetup paperSize="9" orientation="portrait" horizontalDpi="4294967292" verticalDpi="4294967292"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S82"/>
  <sheetViews>
    <sheetView tabSelected="1" zoomScaleNormal="100" workbookViewId="0">
      <pane xSplit="2" ySplit="4" topLeftCell="EF5" activePane="bottomRight" state="frozen"/>
      <selection pane="topRight" activeCell="C1" sqref="C1"/>
      <selection pane="bottomLeft" activeCell="A5" sqref="A5"/>
      <selection pane="bottomRight" activeCell="EI5" sqref="EI5"/>
    </sheetView>
  </sheetViews>
  <sheetFormatPr defaultColWidth="11.42578125" defaultRowHeight="15" x14ac:dyDescent="0.25"/>
  <cols>
    <col min="1" max="1" width="43" bestFit="1" customWidth="1"/>
    <col min="2" max="2" width="23.42578125" bestFit="1" customWidth="1"/>
    <col min="3" max="3" width="11.42578125" bestFit="1" customWidth="1"/>
    <col min="4" max="11" width="11.140625" customWidth="1"/>
    <col min="12" max="12" width="10.85546875" customWidth="1"/>
    <col min="13" max="13" width="11.7109375" customWidth="1"/>
    <col min="14" max="16" width="10.85546875" customWidth="1"/>
    <col min="17" max="17" width="11.42578125" bestFit="1" customWidth="1"/>
    <col min="18" max="18" width="10.85546875" customWidth="1"/>
    <col min="19" max="22" width="11.42578125" bestFit="1" customWidth="1"/>
    <col min="23" max="23" width="10.85546875" customWidth="1"/>
    <col min="24" max="24" width="11.42578125" bestFit="1" customWidth="1"/>
    <col min="25" max="25" width="10.85546875" customWidth="1"/>
    <col min="26" max="26" width="11.42578125" bestFit="1" customWidth="1"/>
    <col min="27" max="28" width="12" bestFit="1" customWidth="1"/>
    <col min="29" max="29" width="11.42578125" bestFit="1" customWidth="1"/>
    <col min="30" max="30" width="11.28515625" bestFit="1" customWidth="1"/>
    <col min="64" max="65" width="12.140625" bestFit="1" customWidth="1"/>
    <col min="122" max="124" width="11.42578125" style="16"/>
    <col min="126" max="126" width="10" bestFit="1" customWidth="1"/>
  </cols>
  <sheetData>
    <row r="1" spans="1:149" x14ac:dyDescent="0.25">
      <c r="C1" s="795" t="s">
        <v>211</v>
      </c>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6" t="s">
        <v>212</v>
      </c>
      <c r="AE1" s="796"/>
      <c r="AF1" s="796"/>
      <c r="AG1" s="796"/>
      <c r="AH1" s="796"/>
      <c r="AI1" s="796"/>
      <c r="AJ1" s="796"/>
      <c r="AK1" s="796"/>
      <c r="AL1" s="796"/>
      <c r="AM1" s="796"/>
      <c r="AN1" s="796"/>
      <c r="AO1" s="796"/>
      <c r="AP1" s="796"/>
      <c r="AQ1" s="796"/>
      <c r="AR1" s="796"/>
      <c r="AS1" s="796"/>
      <c r="AT1" s="796"/>
      <c r="AU1" s="796"/>
      <c r="AV1" s="796"/>
      <c r="AW1" s="796"/>
      <c r="AX1" s="796"/>
      <c r="AY1" s="796"/>
      <c r="AZ1" s="796"/>
      <c r="BA1" s="796"/>
      <c r="BB1" s="796"/>
      <c r="BC1" s="796"/>
      <c r="BD1" s="797" t="s">
        <v>523</v>
      </c>
      <c r="BE1" s="797"/>
      <c r="BF1" s="797"/>
      <c r="BG1" s="797"/>
      <c r="BH1" s="797"/>
      <c r="BI1" s="797"/>
      <c r="BJ1" s="797"/>
      <c r="BK1" s="797"/>
      <c r="BL1" s="797"/>
      <c r="BM1" s="797"/>
      <c r="BN1" s="797"/>
      <c r="BO1" s="797"/>
      <c r="BP1" s="797"/>
      <c r="BQ1" s="797"/>
      <c r="BR1" s="797"/>
      <c r="BS1" s="797"/>
      <c r="BT1" s="797"/>
      <c r="BU1" s="797"/>
      <c r="BV1" s="797"/>
      <c r="BW1" s="797"/>
      <c r="BX1" s="797"/>
      <c r="BY1" s="797"/>
      <c r="BZ1" s="797"/>
      <c r="CA1" s="797"/>
      <c r="CB1" s="797"/>
      <c r="CC1" s="797"/>
      <c r="CD1" s="798"/>
      <c r="CE1" s="798"/>
      <c r="CF1" s="798"/>
      <c r="CG1" s="798"/>
      <c r="CH1" s="798"/>
      <c r="CI1" s="798"/>
      <c r="CJ1" s="798"/>
      <c r="CK1" s="798"/>
      <c r="CL1" s="798"/>
      <c r="CM1" s="798"/>
      <c r="CN1" s="798"/>
      <c r="CO1" s="798"/>
      <c r="CP1" s="798"/>
      <c r="CQ1" s="799">
        <v>2021</v>
      </c>
      <c r="CR1" s="799"/>
      <c r="CS1" s="799"/>
      <c r="CT1" s="799"/>
      <c r="CU1" s="799"/>
      <c r="CV1" s="799"/>
      <c r="CW1" s="799"/>
      <c r="CX1" s="799"/>
      <c r="CY1" s="799"/>
      <c r="CZ1" s="487"/>
      <c r="DA1" s="487"/>
      <c r="DB1" s="487"/>
      <c r="DC1" s="487"/>
      <c r="DD1" s="487"/>
      <c r="DE1" s="487"/>
      <c r="DF1" s="487"/>
      <c r="DG1" s="487"/>
      <c r="DH1" s="487"/>
      <c r="DI1" s="487"/>
      <c r="DJ1" s="487"/>
      <c r="DK1" s="487"/>
      <c r="DL1" s="487"/>
      <c r="DM1" s="487"/>
      <c r="DN1" s="487"/>
      <c r="DO1" s="525"/>
      <c r="DP1" s="525"/>
      <c r="DQ1" s="794">
        <v>2022</v>
      </c>
      <c r="DR1" s="794"/>
      <c r="DS1" s="794"/>
      <c r="DT1" s="794"/>
      <c r="DU1" s="794"/>
      <c r="DV1" s="794"/>
      <c r="DW1" s="794"/>
      <c r="DX1" s="794"/>
      <c r="DY1" s="794"/>
      <c r="DZ1" s="794"/>
      <c r="EA1" s="794"/>
      <c r="EB1" s="794"/>
      <c r="EC1" s="794"/>
      <c r="ED1" s="794">
        <v>2022</v>
      </c>
      <c r="EE1" s="794"/>
      <c r="EF1" s="794"/>
      <c r="EG1" s="794"/>
      <c r="EH1" s="794"/>
      <c r="EI1" s="794"/>
      <c r="EJ1" s="794"/>
      <c r="EK1" s="794"/>
      <c r="EL1" s="794"/>
      <c r="EM1" s="794"/>
      <c r="EN1" s="794"/>
      <c r="EO1" s="794"/>
      <c r="EP1" s="794"/>
      <c r="EQ1" s="794"/>
      <c r="ER1" s="794"/>
      <c r="ES1" s="794"/>
    </row>
    <row r="2" spans="1:149" ht="21" x14ac:dyDescent="0.25">
      <c r="AE2" s="804" t="s">
        <v>137</v>
      </c>
      <c r="AF2" s="804"/>
      <c r="AJ2" s="805" t="s">
        <v>138</v>
      </c>
      <c r="AK2" s="805"/>
      <c r="AM2" s="803" t="s">
        <v>171</v>
      </c>
      <c r="AN2" s="803"/>
      <c r="AO2" s="83"/>
      <c r="AP2" s="83"/>
    </row>
    <row r="3" spans="1:149" x14ac:dyDescent="0.25">
      <c r="C3" s="494">
        <v>1</v>
      </c>
      <c r="D3" s="494">
        <f>C3+1</f>
        <v>2</v>
      </c>
      <c r="E3" s="494">
        <f t="shared" ref="E3:K3" si="0">D3+1</f>
        <v>3</v>
      </c>
      <c r="F3" s="494">
        <f t="shared" si="0"/>
        <v>4</v>
      </c>
      <c r="G3" s="494">
        <f t="shared" si="0"/>
        <v>5</v>
      </c>
      <c r="H3" s="494">
        <f t="shared" si="0"/>
        <v>6</v>
      </c>
      <c r="I3" s="494">
        <f t="shared" si="0"/>
        <v>7</v>
      </c>
      <c r="J3" s="494">
        <f t="shared" si="0"/>
        <v>8</v>
      </c>
      <c r="K3" s="494">
        <f t="shared" si="0"/>
        <v>9</v>
      </c>
      <c r="L3" s="1">
        <v>10</v>
      </c>
      <c r="M3" s="1">
        <v>11</v>
      </c>
      <c r="N3" s="1">
        <v>12</v>
      </c>
      <c r="O3" s="1">
        <v>13</v>
      </c>
      <c r="P3" s="1">
        <v>14</v>
      </c>
      <c r="Q3" s="1">
        <v>15</v>
      </c>
      <c r="R3" s="1">
        <v>16</v>
      </c>
      <c r="S3" s="1">
        <v>17</v>
      </c>
      <c r="T3" s="1">
        <v>18</v>
      </c>
      <c r="U3" s="1">
        <v>19</v>
      </c>
      <c r="V3" s="1">
        <v>20</v>
      </c>
      <c r="W3" s="1">
        <v>21</v>
      </c>
      <c r="X3" s="1">
        <v>22</v>
      </c>
      <c r="Y3" s="1">
        <v>23</v>
      </c>
      <c r="Z3" s="1">
        <v>24</v>
      </c>
      <c r="AA3" s="1">
        <v>25</v>
      </c>
      <c r="AB3" s="1">
        <v>26</v>
      </c>
      <c r="AC3" s="1">
        <v>27</v>
      </c>
      <c r="AD3" s="1">
        <v>1</v>
      </c>
      <c r="AE3" s="1">
        <v>2</v>
      </c>
      <c r="AF3" s="1">
        <v>3</v>
      </c>
      <c r="AG3" s="1">
        <v>4</v>
      </c>
      <c r="AH3" s="1">
        <v>5</v>
      </c>
      <c r="AI3" s="1">
        <v>6</v>
      </c>
      <c r="AJ3" s="1">
        <v>7</v>
      </c>
      <c r="AK3" s="1">
        <v>8</v>
      </c>
      <c r="AL3" s="1">
        <v>9</v>
      </c>
      <c r="AM3" s="3">
        <v>10</v>
      </c>
      <c r="AN3" s="3">
        <v>11</v>
      </c>
      <c r="AO3" s="3">
        <v>12</v>
      </c>
      <c r="AP3" s="3">
        <v>13</v>
      </c>
      <c r="AQ3" s="3">
        <v>14</v>
      </c>
      <c r="AR3" s="3">
        <v>15</v>
      </c>
      <c r="AS3" s="3">
        <v>16</v>
      </c>
      <c r="AT3" s="3">
        <v>17</v>
      </c>
      <c r="AU3" s="3">
        <v>18</v>
      </c>
      <c r="AV3" s="3">
        <v>19</v>
      </c>
      <c r="AW3" s="3">
        <v>20</v>
      </c>
      <c r="AX3" s="3">
        <v>21</v>
      </c>
      <c r="AY3" s="3">
        <v>22</v>
      </c>
      <c r="AZ3" s="3">
        <v>23</v>
      </c>
      <c r="BA3" s="3">
        <v>24</v>
      </c>
      <c r="BB3" s="3">
        <v>25</v>
      </c>
      <c r="BC3" s="3">
        <v>26</v>
      </c>
      <c r="BD3" s="3">
        <v>1</v>
      </c>
      <c r="BE3" s="3">
        <f>BD3+1</f>
        <v>2</v>
      </c>
      <c r="BF3" s="3">
        <f>BE3+1</f>
        <v>3</v>
      </c>
      <c r="BG3" s="3">
        <f t="shared" ref="BG3:BL3" si="1">BF3+1</f>
        <v>4</v>
      </c>
      <c r="BH3" s="3">
        <f t="shared" si="1"/>
        <v>5</v>
      </c>
      <c r="BI3" s="3">
        <f t="shared" si="1"/>
        <v>6</v>
      </c>
      <c r="BJ3" s="3">
        <f t="shared" si="1"/>
        <v>7</v>
      </c>
      <c r="BK3" s="3">
        <f t="shared" si="1"/>
        <v>8</v>
      </c>
      <c r="BL3" s="3">
        <f t="shared" si="1"/>
        <v>9</v>
      </c>
      <c r="BM3" s="3">
        <f>BL3+1</f>
        <v>10</v>
      </c>
      <c r="BN3" s="3">
        <f t="shared" ref="BN3:BW3" si="2">BM3+1</f>
        <v>11</v>
      </c>
      <c r="BO3" s="3">
        <f t="shared" si="2"/>
        <v>12</v>
      </c>
      <c r="BP3" s="3">
        <f t="shared" si="2"/>
        <v>13</v>
      </c>
      <c r="BQ3" s="3">
        <f t="shared" si="2"/>
        <v>14</v>
      </c>
      <c r="BR3" s="3">
        <f t="shared" si="2"/>
        <v>15</v>
      </c>
      <c r="BS3" s="3">
        <f t="shared" si="2"/>
        <v>16</v>
      </c>
      <c r="BT3" s="3">
        <f t="shared" si="2"/>
        <v>17</v>
      </c>
      <c r="BU3" s="3">
        <f t="shared" si="2"/>
        <v>18</v>
      </c>
      <c r="BV3" s="3">
        <f t="shared" si="2"/>
        <v>19</v>
      </c>
      <c r="BW3" s="3">
        <f t="shared" si="2"/>
        <v>20</v>
      </c>
      <c r="BX3" s="3">
        <f t="shared" ref="BX3:CD3" si="3">BW3+1</f>
        <v>21</v>
      </c>
      <c r="BY3" s="3">
        <f t="shared" si="3"/>
        <v>22</v>
      </c>
      <c r="BZ3" s="3">
        <f t="shared" si="3"/>
        <v>23</v>
      </c>
      <c r="CA3" s="3">
        <f t="shared" si="3"/>
        <v>24</v>
      </c>
      <c r="CB3" s="3">
        <f t="shared" si="3"/>
        <v>25</v>
      </c>
      <c r="CC3" s="3">
        <f t="shared" si="3"/>
        <v>26</v>
      </c>
      <c r="CD3" s="3">
        <f t="shared" si="3"/>
        <v>27</v>
      </c>
      <c r="CE3" s="3">
        <v>28</v>
      </c>
      <c r="CF3" s="3">
        <v>29</v>
      </c>
      <c r="CG3" s="3">
        <v>30</v>
      </c>
      <c r="CH3" s="3">
        <v>31</v>
      </c>
      <c r="CI3" s="3">
        <v>32</v>
      </c>
      <c r="CJ3" s="3">
        <v>33</v>
      </c>
      <c r="CK3" s="486">
        <f t="shared" ref="CK3:CP3" si="4">CJ3+1</f>
        <v>34</v>
      </c>
      <c r="CL3" s="486">
        <f t="shared" si="4"/>
        <v>35</v>
      </c>
      <c r="CM3" s="486">
        <f t="shared" si="4"/>
        <v>36</v>
      </c>
      <c r="CN3" s="486">
        <f t="shared" si="4"/>
        <v>37</v>
      </c>
      <c r="CO3" s="486">
        <f t="shared" si="4"/>
        <v>38</v>
      </c>
      <c r="CP3" s="486">
        <f t="shared" si="4"/>
        <v>39</v>
      </c>
      <c r="CQ3" s="486">
        <v>1</v>
      </c>
      <c r="CR3" s="486">
        <f>CQ3+1</f>
        <v>2</v>
      </c>
      <c r="CS3" s="486">
        <f t="shared" ref="CS3:CY3" si="5">CR3+1</f>
        <v>3</v>
      </c>
      <c r="CT3" s="486">
        <f t="shared" si="5"/>
        <v>4</v>
      </c>
      <c r="CU3" s="486">
        <f t="shared" si="5"/>
        <v>5</v>
      </c>
      <c r="CV3" s="486">
        <f t="shared" si="5"/>
        <v>6</v>
      </c>
      <c r="CW3" s="486">
        <f t="shared" si="5"/>
        <v>7</v>
      </c>
      <c r="CX3" s="486">
        <f t="shared" si="5"/>
        <v>8</v>
      </c>
      <c r="CY3" s="486">
        <f t="shared" si="5"/>
        <v>9</v>
      </c>
      <c r="CZ3" s="486">
        <f t="shared" ref="CZ3:DP3" si="6">CY3+1</f>
        <v>10</v>
      </c>
      <c r="DA3" s="486">
        <f t="shared" si="6"/>
        <v>11</v>
      </c>
      <c r="DB3" s="486">
        <f t="shared" si="6"/>
        <v>12</v>
      </c>
      <c r="DC3" s="486">
        <f t="shared" si="6"/>
        <v>13</v>
      </c>
      <c r="DD3" s="486">
        <f t="shared" si="6"/>
        <v>14</v>
      </c>
      <c r="DE3" s="486">
        <f t="shared" si="6"/>
        <v>15</v>
      </c>
      <c r="DF3" s="486">
        <f t="shared" si="6"/>
        <v>16</v>
      </c>
      <c r="DG3" s="486">
        <f t="shared" si="6"/>
        <v>17</v>
      </c>
      <c r="DH3" s="486">
        <f t="shared" si="6"/>
        <v>18</v>
      </c>
      <c r="DI3" s="486">
        <f t="shared" si="6"/>
        <v>19</v>
      </c>
      <c r="DJ3" s="486">
        <f t="shared" si="6"/>
        <v>20</v>
      </c>
      <c r="DK3" s="486">
        <f t="shared" si="6"/>
        <v>21</v>
      </c>
      <c r="DL3" s="486">
        <f t="shared" si="6"/>
        <v>22</v>
      </c>
      <c r="DM3" s="486">
        <f t="shared" si="6"/>
        <v>23</v>
      </c>
      <c r="DN3" s="486">
        <f t="shared" si="6"/>
        <v>24</v>
      </c>
      <c r="DO3" s="486">
        <f t="shared" si="6"/>
        <v>25</v>
      </c>
      <c r="DP3" s="486">
        <f t="shared" si="6"/>
        <v>26</v>
      </c>
      <c r="DQ3" s="494">
        <v>1</v>
      </c>
      <c r="DR3" s="541">
        <f t="shared" ref="DR3:EP3" si="7">DQ3+1</f>
        <v>2</v>
      </c>
      <c r="DS3" s="541">
        <f t="shared" si="7"/>
        <v>3</v>
      </c>
      <c r="DT3" s="541">
        <f t="shared" si="7"/>
        <v>4</v>
      </c>
      <c r="DU3" s="494">
        <f t="shared" si="7"/>
        <v>5</v>
      </c>
      <c r="DV3" s="494">
        <f t="shared" si="7"/>
        <v>6</v>
      </c>
      <c r="DW3" s="494">
        <f t="shared" si="7"/>
        <v>7</v>
      </c>
      <c r="DX3" s="494">
        <f t="shared" si="7"/>
        <v>8</v>
      </c>
      <c r="DY3" s="494">
        <f t="shared" si="7"/>
        <v>9</v>
      </c>
      <c r="DZ3" s="494">
        <f t="shared" si="7"/>
        <v>10</v>
      </c>
      <c r="EA3" s="494">
        <f t="shared" si="7"/>
        <v>11</v>
      </c>
      <c r="EB3" s="494">
        <f t="shared" si="7"/>
        <v>12</v>
      </c>
      <c r="EC3" s="494">
        <f t="shared" si="7"/>
        <v>13</v>
      </c>
      <c r="ED3" s="494">
        <f t="shared" si="7"/>
        <v>14</v>
      </c>
      <c r="EE3" s="494">
        <f t="shared" si="7"/>
        <v>15</v>
      </c>
      <c r="EF3" s="494">
        <f t="shared" si="7"/>
        <v>16</v>
      </c>
      <c r="EG3" s="494">
        <f t="shared" si="7"/>
        <v>17</v>
      </c>
      <c r="EH3" s="494">
        <f t="shared" si="7"/>
        <v>18</v>
      </c>
      <c r="EI3" s="494">
        <f t="shared" si="7"/>
        <v>19</v>
      </c>
      <c r="EJ3" s="494">
        <f t="shared" si="7"/>
        <v>20</v>
      </c>
      <c r="EK3" s="494">
        <f t="shared" si="7"/>
        <v>21</v>
      </c>
      <c r="EL3" s="494">
        <f t="shared" si="7"/>
        <v>22</v>
      </c>
      <c r="EM3" s="494">
        <f t="shared" si="7"/>
        <v>23</v>
      </c>
      <c r="EN3" s="494">
        <f t="shared" si="7"/>
        <v>24</v>
      </c>
      <c r="EO3" s="494">
        <f t="shared" si="7"/>
        <v>25</v>
      </c>
      <c r="EP3" s="494">
        <f t="shared" si="7"/>
        <v>26</v>
      </c>
      <c r="EQ3" s="494">
        <f t="shared" ref="EQ3" si="8">EP3+1</f>
        <v>27</v>
      </c>
      <c r="ER3" s="494">
        <f t="shared" ref="ER3" si="9">EQ3+1</f>
        <v>28</v>
      </c>
      <c r="ES3" s="494">
        <f t="shared" ref="ES3" si="10">ER3+1</f>
        <v>29</v>
      </c>
    </row>
    <row r="4" spans="1:149" s="4" customFormat="1" x14ac:dyDescent="0.25">
      <c r="A4" s="800" t="s">
        <v>0</v>
      </c>
      <c r="B4" s="3" t="s">
        <v>11</v>
      </c>
      <c r="C4" s="528">
        <v>43099</v>
      </c>
      <c r="D4" s="528">
        <v>43113</v>
      </c>
      <c r="E4" s="528">
        <v>43127</v>
      </c>
      <c r="F4" s="528">
        <v>43141</v>
      </c>
      <c r="G4" s="528">
        <v>43155</v>
      </c>
      <c r="H4" s="528">
        <v>43169</v>
      </c>
      <c r="I4" s="528">
        <v>43183</v>
      </c>
      <c r="J4" s="528">
        <v>43196</v>
      </c>
      <c r="K4" s="528">
        <v>43211</v>
      </c>
      <c r="L4" s="528">
        <v>43225</v>
      </c>
      <c r="M4" s="528">
        <v>43239</v>
      </c>
      <c r="N4" s="528">
        <v>43253</v>
      </c>
      <c r="O4" s="528">
        <v>43267</v>
      </c>
      <c r="P4" s="528">
        <v>43281</v>
      </c>
      <c r="Q4" s="528">
        <v>43281</v>
      </c>
      <c r="R4" s="528">
        <v>43310</v>
      </c>
      <c r="S4" s="528">
        <v>43323</v>
      </c>
      <c r="T4" s="528">
        <v>43337</v>
      </c>
      <c r="U4" s="528">
        <v>43351</v>
      </c>
      <c r="V4" s="528">
        <v>43365</v>
      </c>
      <c r="W4" s="528">
        <v>43378</v>
      </c>
      <c r="X4" s="528">
        <v>43392</v>
      </c>
      <c r="Y4" s="528">
        <v>43406</v>
      </c>
      <c r="Z4" s="528">
        <v>43420</v>
      </c>
      <c r="AA4" s="528">
        <v>43434</v>
      </c>
      <c r="AB4" s="528">
        <v>43813</v>
      </c>
      <c r="AC4" s="528">
        <v>43827</v>
      </c>
      <c r="AD4" s="515">
        <v>43476</v>
      </c>
      <c r="AE4" s="515">
        <v>43490</v>
      </c>
      <c r="AF4" s="529">
        <v>43685</v>
      </c>
      <c r="AG4" s="515">
        <v>43518</v>
      </c>
      <c r="AH4" s="515">
        <v>43532</v>
      </c>
      <c r="AI4" s="515">
        <v>43546</v>
      </c>
      <c r="AJ4" s="515">
        <v>43560</v>
      </c>
      <c r="AK4" s="529">
        <v>43568</v>
      </c>
      <c r="AL4" s="515">
        <v>43582</v>
      </c>
      <c r="AM4" s="515">
        <v>43596</v>
      </c>
      <c r="AN4" s="515">
        <v>43610</v>
      </c>
      <c r="AO4" s="515">
        <v>43624</v>
      </c>
      <c r="AP4" s="515">
        <v>43638</v>
      </c>
      <c r="AQ4" s="515">
        <v>43652</v>
      </c>
      <c r="AR4" s="515">
        <v>43666</v>
      </c>
      <c r="AS4" s="515">
        <v>43684</v>
      </c>
      <c r="AT4" s="515">
        <v>43700</v>
      </c>
      <c r="AU4" s="515">
        <v>43714</v>
      </c>
      <c r="AV4" s="515">
        <v>43729</v>
      </c>
      <c r="AW4" s="515">
        <v>43743</v>
      </c>
      <c r="AX4" s="515">
        <v>43757</v>
      </c>
      <c r="AY4" s="515">
        <v>43771</v>
      </c>
      <c r="AZ4" s="515">
        <v>43782</v>
      </c>
      <c r="BA4" s="515">
        <v>43796</v>
      </c>
      <c r="BB4" s="515">
        <v>43810</v>
      </c>
      <c r="BC4" s="515">
        <v>43822</v>
      </c>
      <c r="BD4" s="515">
        <v>43829</v>
      </c>
      <c r="BE4" s="515">
        <v>43836</v>
      </c>
      <c r="BF4" s="515">
        <v>43843</v>
      </c>
      <c r="BG4" s="515">
        <v>43850</v>
      </c>
      <c r="BH4" s="515">
        <v>43857</v>
      </c>
      <c r="BI4" s="515">
        <v>43864</v>
      </c>
      <c r="BJ4" s="515">
        <v>43871</v>
      </c>
      <c r="BK4" s="515">
        <v>43878</v>
      </c>
      <c r="BL4" s="515">
        <v>43884</v>
      </c>
      <c r="BM4" s="515">
        <v>43891</v>
      </c>
      <c r="BN4" s="515">
        <v>43898</v>
      </c>
      <c r="BO4" s="515">
        <v>43905</v>
      </c>
      <c r="BP4" s="515">
        <v>43913</v>
      </c>
      <c r="BQ4" s="515">
        <v>43920</v>
      </c>
      <c r="BR4" s="515">
        <v>43927</v>
      </c>
      <c r="BS4" s="515">
        <v>43934</v>
      </c>
      <c r="BT4" s="515">
        <v>43941</v>
      </c>
      <c r="BU4" s="515">
        <v>43948</v>
      </c>
      <c r="BV4" s="515">
        <v>43955</v>
      </c>
      <c r="BW4" s="515">
        <v>43962</v>
      </c>
      <c r="BX4" s="515">
        <v>43969</v>
      </c>
      <c r="BY4" s="515">
        <v>43976</v>
      </c>
      <c r="BZ4" s="515">
        <v>43983</v>
      </c>
      <c r="CA4" s="515">
        <v>43990</v>
      </c>
      <c r="CB4" s="515">
        <v>43997</v>
      </c>
      <c r="CC4" s="515">
        <v>44004</v>
      </c>
      <c r="CD4" s="515">
        <v>44014</v>
      </c>
      <c r="CE4" s="515">
        <v>44025</v>
      </c>
      <c r="CF4" s="515">
        <v>44041</v>
      </c>
      <c r="CG4" s="515">
        <v>44055</v>
      </c>
      <c r="CH4" s="515">
        <v>44063</v>
      </c>
      <c r="CI4" s="515">
        <v>44086</v>
      </c>
      <c r="CJ4" s="515">
        <v>44100</v>
      </c>
      <c r="CK4" s="515">
        <v>44114</v>
      </c>
      <c r="CL4" s="515">
        <v>44128</v>
      </c>
      <c r="CM4" s="515">
        <v>44142</v>
      </c>
      <c r="CN4" s="515">
        <v>44156</v>
      </c>
      <c r="CO4" s="515">
        <v>44173</v>
      </c>
      <c r="CP4" s="515">
        <v>44185</v>
      </c>
      <c r="CQ4" s="515">
        <v>44199</v>
      </c>
      <c r="CR4" s="515">
        <v>44213</v>
      </c>
      <c r="CS4" s="515">
        <v>44228</v>
      </c>
      <c r="CT4" s="515">
        <v>44242</v>
      </c>
      <c r="CU4" s="515">
        <v>44344</v>
      </c>
      <c r="CV4" s="515">
        <v>44269</v>
      </c>
      <c r="CW4" s="515">
        <v>44345</v>
      </c>
      <c r="CX4" s="515">
        <v>44298</v>
      </c>
      <c r="CY4" s="515">
        <v>44311</v>
      </c>
      <c r="CZ4" s="515">
        <v>44326</v>
      </c>
      <c r="DA4" s="515">
        <v>44339</v>
      </c>
      <c r="DB4" s="515">
        <v>44353</v>
      </c>
      <c r="DC4" s="515">
        <v>44367</v>
      </c>
      <c r="DD4" s="515">
        <v>44381</v>
      </c>
      <c r="DE4" s="515">
        <v>44395</v>
      </c>
      <c r="DF4" s="515">
        <v>44409</v>
      </c>
      <c r="DG4" s="515">
        <v>44423</v>
      </c>
      <c r="DH4" s="515">
        <v>44437</v>
      </c>
      <c r="DI4" s="515">
        <v>44451</v>
      </c>
      <c r="DJ4" s="515">
        <v>44465</v>
      </c>
      <c r="DK4" s="515">
        <v>44479</v>
      </c>
      <c r="DL4" s="515">
        <v>44493</v>
      </c>
      <c r="DM4" s="515">
        <v>44507</v>
      </c>
      <c r="DN4" s="515">
        <v>44521</v>
      </c>
      <c r="DO4" s="515">
        <v>44535</v>
      </c>
      <c r="DP4" s="515">
        <v>44549</v>
      </c>
      <c r="DQ4" s="515">
        <v>44563</v>
      </c>
      <c r="DR4" s="515">
        <v>44577</v>
      </c>
      <c r="DS4" s="515">
        <v>44591</v>
      </c>
      <c r="DT4" s="515">
        <v>44606</v>
      </c>
      <c r="DU4" s="515">
        <v>44620</v>
      </c>
      <c r="DV4" s="515">
        <v>44633</v>
      </c>
      <c r="DW4" s="515">
        <v>44647</v>
      </c>
      <c r="DX4" s="515">
        <v>44661</v>
      </c>
      <c r="DY4" s="515">
        <v>44675</v>
      </c>
      <c r="DZ4" s="515">
        <v>44689</v>
      </c>
      <c r="EA4" s="515">
        <v>44703</v>
      </c>
      <c r="EB4" s="515">
        <v>44717</v>
      </c>
      <c r="EC4" s="515">
        <v>44731</v>
      </c>
      <c r="ED4" s="515">
        <v>44746</v>
      </c>
      <c r="EE4" s="515">
        <v>44760</v>
      </c>
      <c r="EF4" s="515">
        <v>44774</v>
      </c>
      <c r="EG4" s="515">
        <v>44788</v>
      </c>
      <c r="EH4" s="515">
        <v>44802</v>
      </c>
      <c r="EI4" s="515">
        <v>44816</v>
      </c>
      <c r="EJ4" s="515">
        <v>44830</v>
      </c>
      <c r="EK4" s="515">
        <f t="shared" ref="EK4:EM4" si="11">EJ4+14</f>
        <v>44844</v>
      </c>
      <c r="EL4" s="515">
        <f t="shared" si="11"/>
        <v>44858</v>
      </c>
      <c r="EM4" s="515">
        <f t="shared" si="11"/>
        <v>44872</v>
      </c>
      <c r="EN4" s="515">
        <v>44888</v>
      </c>
      <c r="EO4" s="515">
        <f>EN4+7</f>
        <v>44895</v>
      </c>
      <c r="EP4" s="515">
        <f>EO4+7</f>
        <v>44902</v>
      </c>
      <c r="EQ4" s="515">
        <f t="shared" ref="EQ4:ES4" si="12">EP4+7</f>
        <v>44909</v>
      </c>
      <c r="ER4" s="515">
        <f t="shared" si="12"/>
        <v>44916</v>
      </c>
      <c r="ES4" s="515">
        <f t="shared" si="12"/>
        <v>44923</v>
      </c>
    </row>
    <row r="5" spans="1:149" s="4" customFormat="1" x14ac:dyDescent="0.25">
      <c r="A5" s="801"/>
      <c r="B5" s="3" t="s">
        <v>12</v>
      </c>
      <c r="C5" s="528">
        <v>43184</v>
      </c>
      <c r="D5" s="528">
        <v>43198</v>
      </c>
      <c r="E5" s="528">
        <v>43221</v>
      </c>
      <c r="F5" s="528">
        <v>43231</v>
      </c>
      <c r="G5" s="528">
        <v>43249</v>
      </c>
      <c r="H5" s="528">
        <v>43265</v>
      </c>
      <c r="I5" s="528">
        <v>43281</v>
      </c>
      <c r="J5" s="528">
        <v>43292</v>
      </c>
      <c r="K5" s="528">
        <f>J5+14</f>
        <v>43306</v>
      </c>
      <c r="L5" s="528">
        <v>43324</v>
      </c>
      <c r="M5" s="528">
        <v>43323</v>
      </c>
      <c r="N5" s="528">
        <v>43346</v>
      </c>
      <c r="O5" s="528">
        <v>43362</v>
      </c>
      <c r="P5" s="528">
        <v>43375</v>
      </c>
      <c r="Q5" s="528">
        <v>43390</v>
      </c>
      <c r="R5" s="528">
        <v>43410</v>
      </c>
      <c r="S5" s="528">
        <v>43421</v>
      </c>
      <c r="T5" s="528">
        <v>43428</v>
      </c>
      <c r="U5" s="528">
        <v>43447</v>
      </c>
      <c r="V5" s="528">
        <v>43460</v>
      </c>
      <c r="W5" s="528">
        <v>43469</v>
      </c>
      <c r="X5" s="528">
        <v>43483</v>
      </c>
      <c r="Y5" s="528">
        <v>43498</v>
      </c>
      <c r="Z5" s="528">
        <v>43519</v>
      </c>
      <c r="AA5" s="528">
        <v>43529</v>
      </c>
      <c r="AB5" s="528">
        <v>43542</v>
      </c>
      <c r="AC5" s="528">
        <v>43557</v>
      </c>
      <c r="AD5" s="515">
        <v>43571</v>
      </c>
      <c r="AE5" s="515">
        <v>43585</v>
      </c>
      <c r="AF5" s="530">
        <v>43596</v>
      </c>
      <c r="AG5" s="515">
        <v>43603</v>
      </c>
      <c r="AH5" s="515">
        <v>43719</v>
      </c>
      <c r="AI5" s="515">
        <v>43522</v>
      </c>
      <c r="AJ5" s="515">
        <v>43657</v>
      </c>
      <c r="AK5" s="530">
        <v>43672</v>
      </c>
      <c r="AL5" s="515">
        <v>43685</v>
      </c>
      <c r="AM5" s="515">
        <v>43731</v>
      </c>
      <c r="AN5" s="515">
        <v>43714</v>
      </c>
      <c r="AO5" s="515">
        <v>43728</v>
      </c>
      <c r="AP5" s="515">
        <v>43742</v>
      </c>
      <c r="AQ5" s="515">
        <v>43758</v>
      </c>
      <c r="AR5" s="515">
        <v>43772</v>
      </c>
      <c r="AS5" s="515">
        <v>43786</v>
      </c>
      <c r="AT5" s="515">
        <v>43800</v>
      </c>
      <c r="AU5" s="515">
        <v>43813</v>
      </c>
      <c r="AV5" s="515">
        <v>43827</v>
      </c>
      <c r="AW5" s="515">
        <v>43842</v>
      </c>
      <c r="AX5" s="515">
        <v>43853</v>
      </c>
      <c r="AY5" s="515">
        <v>43867</v>
      </c>
      <c r="AZ5" s="515">
        <v>43881</v>
      </c>
      <c r="BA5" s="515">
        <v>43901</v>
      </c>
      <c r="BB5" s="515">
        <v>43901</v>
      </c>
      <c r="BC5" s="515">
        <v>43908</v>
      </c>
      <c r="BD5" s="515">
        <v>43915</v>
      </c>
      <c r="BE5" s="515">
        <v>43923</v>
      </c>
      <c r="BF5" s="515">
        <v>43930</v>
      </c>
      <c r="BG5" s="515">
        <v>43937</v>
      </c>
      <c r="BH5" s="515">
        <v>43945</v>
      </c>
      <c r="BI5" s="515">
        <v>43951</v>
      </c>
      <c r="BJ5" s="515">
        <v>43958</v>
      </c>
      <c r="BK5" s="515">
        <v>43965</v>
      </c>
      <c r="BL5" s="515">
        <v>43972</v>
      </c>
      <c r="BM5" s="515">
        <v>43979</v>
      </c>
      <c r="BN5" s="515">
        <v>43986</v>
      </c>
      <c r="BO5" s="515">
        <v>43994</v>
      </c>
      <c r="BP5" s="515">
        <v>44003</v>
      </c>
      <c r="BQ5" s="515">
        <v>44010</v>
      </c>
      <c r="BR5" s="515">
        <v>44017</v>
      </c>
      <c r="BS5" s="515">
        <v>44024</v>
      </c>
      <c r="BT5" s="515">
        <v>44026</v>
      </c>
      <c r="BU5" s="515">
        <v>44059</v>
      </c>
      <c r="BV5" s="515">
        <v>44057</v>
      </c>
      <c r="BW5" s="515">
        <v>44078</v>
      </c>
      <c r="BX5" s="515">
        <v>44033</v>
      </c>
      <c r="BY5" s="515">
        <v>44033</v>
      </c>
      <c r="BZ5" s="515">
        <v>44087</v>
      </c>
      <c r="CA5" s="515">
        <v>44100</v>
      </c>
      <c r="CB5" s="515">
        <v>44071</v>
      </c>
      <c r="CC5" s="515">
        <v>44119</v>
      </c>
      <c r="CD5" s="515">
        <v>44119</v>
      </c>
      <c r="CE5" s="515">
        <v>44146</v>
      </c>
      <c r="CF5" s="515">
        <v>44146</v>
      </c>
      <c r="CG5" s="515">
        <v>44160</v>
      </c>
      <c r="CH5" s="515">
        <v>44174</v>
      </c>
      <c r="CI5" s="515">
        <v>44188</v>
      </c>
      <c r="CJ5" s="515">
        <v>44202</v>
      </c>
      <c r="CK5" s="515">
        <v>44215</v>
      </c>
      <c r="CL5" s="515">
        <v>44230</v>
      </c>
      <c r="CM5" s="515">
        <v>44245</v>
      </c>
      <c r="CN5" s="515">
        <v>44258</v>
      </c>
      <c r="CO5" s="515">
        <v>44274</v>
      </c>
      <c r="CP5" s="515">
        <v>44287</v>
      </c>
      <c r="CQ5" s="515">
        <v>44302</v>
      </c>
      <c r="CR5" s="515">
        <v>44316</v>
      </c>
      <c r="CS5" s="515">
        <v>44332</v>
      </c>
      <c r="CT5" s="515">
        <v>44344</v>
      </c>
      <c r="CU5" s="515">
        <v>44358</v>
      </c>
      <c r="CV5" s="515">
        <v>44374</v>
      </c>
      <c r="CW5" s="515">
        <v>44388</v>
      </c>
      <c r="CX5" s="515">
        <v>44402</v>
      </c>
      <c r="CY5" s="515">
        <v>44416</v>
      </c>
      <c r="CZ5" s="515">
        <v>44432</v>
      </c>
      <c r="DA5" s="515">
        <v>44445</v>
      </c>
      <c r="DB5" s="515">
        <v>44456</v>
      </c>
      <c r="DC5" s="515">
        <v>44472</v>
      </c>
      <c r="DD5" s="515">
        <v>44486</v>
      </c>
      <c r="DE5" s="515">
        <v>44500</v>
      </c>
      <c r="DF5" s="515">
        <v>44514</v>
      </c>
      <c r="DG5" s="515">
        <v>44495</v>
      </c>
      <c r="DH5" s="515">
        <v>44540</v>
      </c>
      <c r="DI5" s="515">
        <v>44553</v>
      </c>
      <c r="DJ5" s="515">
        <v>44553</v>
      </c>
      <c r="DK5" s="515">
        <v>44584</v>
      </c>
      <c r="DL5" s="515">
        <v>44596</v>
      </c>
      <c r="DM5" s="515">
        <v>44609</v>
      </c>
      <c r="DN5" s="515">
        <v>44622</v>
      </c>
      <c r="DO5" s="515">
        <v>44637</v>
      </c>
      <c r="DP5" s="515">
        <v>44655</v>
      </c>
      <c r="DQ5" s="515">
        <v>44668</v>
      </c>
      <c r="DR5" s="515">
        <v>44675</v>
      </c>
      <c r="DS5" s="515">
        <v>44694</v>
      </c>
      <c r="DT5" s="515">
        <v>44703</v>
      </c>
      <c r="DU5" s="515">
        <v>44712</v>
      </c>
      <c r="DV5" s="515">
        <v>44736</v>
      </c>
      <c r="DW5" s="515">
        <v>44745</v>
      </c>
      <c r="DX5" s="515">
        <v>44766</v>
      </c>
      <c r="DY5" s="515">
        <v>44792</v>
      </c>
      <c r="DZ5" s="515">
        <v>44792</v>
      </c>
      <c r="EA5" s="515">
        <v>44808</v>
      </c>
      <c r="EB5" s="515">
        <v>44820</v>
      </c>
      <c r="EC5" s="515">
        <v>44833</v>
      </c>
      <c r="ED5" s="515">
        <v>44850</v>
      </c>
      <c r="EE5" s="515">
        <v>44860</v>
      </c>
      <c r="EF5" s="515">
        <v>44875</v>
      </c>
      <c r="EG5" s="515">
        <v>44891</v>
      </c>
      <c r="EH5" s="515">
        <v>44904</v>
      </c>
      <c r="EI5" s="515"/>
      <c r="EJ5" s="515"/>
      <c r="EK5" s="515"/>
      <c r="EL5" s="515"/>
      <c r="EM5" s="515"/>
      <c r="EN5" s="515"/>
      <c r="EO5" s="515"/>
      <c r="EP5" s="515"/>
      <c r="EQ5" s="515"/>
      <c r="ER5" s="515"/>
    </row>
    <row r="6" spans="1:149" s="38" customFormat="1" x14ac:dyDescent="0.25">
      <c r="A6" s="801"/>
      <c r="B6" s="1" t="s">
        <v>586</v>
      </c>
      <c r="C6" s="26">
        <f>'Batch 2018'!B3</f>
        <v>10.625</v>
      </c>
      <c r="D6" s="26">
        <f>'Batch 2018'!B25</f>
        <v>12</v>
      </c>
      <c r="E6" s="26">
        <f>'Batch 2018'!B47</f>
        <v>14</v>
      </c>
      <c r="F6" s="26">
        <f>'Batch 2018'!B69</f>
        <v>14.2</v>
      </c>
      <c r="G6" s="26">
        <f>'Batch 2018'!B91</f>
        <v>14.2</v>
      </c>
      <c r="H6" s="26">
        <v>16</v>
      </c>
      <c r="I6" s="26">
        <v>16</v>
      </c>
      <c r="J6" s="26">
        <v>16</v>
      </c>
      <c r="K6" s="26">
        <v>16</v>
      </c>
      <c r="L6" s="26">
        <f>'Batch 2018'!B201</f>
        <v>16</v>
      </c>
      <c r="M6" s="26">
        <f>'Batch 2018'!B223</f>
        <v>16</v>
      </c>
      <c r="N6" s="26">
        <f>'Batch 2018'!B245</f>
        <v>17</v>
      </c>
      <c r="O6" s="26">
        <f>'Batch 2018'!B267</f>
        <v>17.007999999999999</v>
      </c>
      <c r="P6" s="26">
        <f>'Batch 2018'!B289</f>
        <v>18.547999999999998</v>
      </c>
      <c r="Q6" s="26">
        <f>'Batch 2018'!B311</f>
        <v>12</v>
      </c>
      <c r="R6" s="22">
        <f>'Batch 2018'!B333</f>
        <v>15</v>
      </c>
      <c r="S6" s="22">
        <f>'Batch 2018'!B355</f>
        <v>15.324999999999999</v>
      </c>
      <c r="T6" s="22">
        <f>'Batch 2018'!B377</f>
        <v>17.5</v>
      </c>
      <c r="U6" s="22">
        <f>'Batch 2018'!B399</f>
        <v>15.68</v>
      </c>
      <c r="V6" s="22">
        <f>'Batch 2018'!B421</f>
        <v>15.39</v>
      </c>
      <c r="W6" s="22">
        <f>'Batch 2018'!B443</f>
        <v>16.489999999999998</v>
      </c>
      <c r="X6" s="22">
        <f>'Batch 2018'!B465</f>
        <v>15.031000000000001</v>
      </c>
      <c r="Y6" s="22">
        <f>'Batch 2018'!B487</f>
        <v>15.3</v>
      </c>
      <c r="Z6" s="22">
        <f>'Batch 2018'!B509</f>
        <v>15</v>
      </c>
      <c r="AA6" s="22">
        <f>'Batch 2018'!B531</f>
        <v>15</v>
      </c>
      <c r="AB6" s="22">
        <f>'Batch 2018'!B553</f>
        <v>15</v>
      </c>
      <c r="AC6" s="22">
        <f>'Batch 2018'!B575</f>
        <v>15.042</v>
      </c>
      <c r="AD6" s="109">
        <f>Batches!B3</f>
        <v>15.42</v>
      </c>
      <c r="AE6" s="109">
        <f>Batches!B25</f>
        <v>15.9</v>
      </c>
      <c r="AF6" s="503">
        <f>Batches!B47</f>
        <v>15.54</v>
      </c>
      <c r="AG6" s="109">
        <f>Batches!B69+Batches!H69</f>
        <v>15.629</v>
      </c>
      <c r="AH6" s="109">
        <f>Batches!B91</f>
        <v>17.11</v>
      </c>
      <c r="AI6" s="109">
        <f>Batches!B113</f>
        <v>15.15</v>
      </c>
      <c r="AJ6" s="109">
        <f>Batches!B135</f>
        <v>15.131</v>
      </c>
      <c r="AK6" s="503">
        <f>Batches!B157</f>
        <v>18.8</v>
      </c>
      <c r="AL6" s="109">
        <f>Batches!B179</f>
        <v>17.5</v>
      </c>
      <c r="AM6" s="109">
        <f>Batches!B201</f>
        <v>17.5</v>
      </c>
      <c r="AN6" s="109">
        <f>Batches!B223</f>
        <v>20</v>
      </c>
      <c r="AO6" s="109">
        <f>Batches!B245</f>
        <v>19.962</v>
      </c>
      <c r="AP6" s="109">
        <f>Batches!B267</f>
        <v>20.085000000000001</v>
      </c>
      <c r="AQ6" s="109">
        <f>Batches!B289+Batches!H289</f>
        <v>20.023</v>
      </c>
      <c r="AR6" s="109">
        <f>Batches!B312+Batches!H312</f>
        <v>20.995000000000001</v>
      </c>
      <c r="AS6" s="109">
        <f>Batches!B336</f>
        <v>19.7</v>
      </c>
      <c r="AT6" s="109">
        <f>Batches!B360</f>
        <v>20</v>
      </c>
      <c r="AU6" s="109">
        <f>Batches!B385</f>
        <v>20.05</v>
      </c>
      <c r="AV6" s="109">
        <f>Batches!B410</f>
        <v>20.010999999999999</v>
      </c>
      <c r="AW6" s="109">
        <f>Batches!B435</f>
        <v>20.141999999999999</v>
      </c>
      <c r="AX6" s="109">
        <f>Batches!B460</f>
        <v>18</v>
      </c>
      <c r="AY6" s="109">
        <f>Batches!B485</f>
        <v>19</v>
      </c>
      <c r="AZ6" s="109">
        <f>Batches!B510</f>
        <v>19</v>
      </c>
      <c r="BA6" s="109">
        <f>Batches!B534</f>
        <v>19.5</v>
      </c>
      <c r="BB6" s="38">
        <f>Batches!B558</f>
        <v>20.024000000000001</v>
      </c>
      <c r="BC6" s="38">
        <f>Batches!B582</f>
        <v>12.15</v>
      </c>
      <c r="BD6" s="38">
        <f>Batches!B607</f>
        <v>11.6</v>
      </c>
      <c r="BE6" s="38">
        <f>Batches!B633</f>
        <v>12.048999999999999</v>
      </c>
      <c r="BF6" s="38">
        <f>Batches!B659</f>
        <v>12.003</v>
      </c>
      <c r="BG6" s="38">
        <f>Batches!B684</f>
        <v>12.010999999999999</v>
      </c>
      <c r="BH6" s="38">
        <f>Batches!B710</f>
        <v>12.012</v>
      </c>
      <c r="BI6" s="38">
        <f>Batches!B736</f>
        <v>11.696999999999999</v>
      </c>
      <c r="BJ6" s="38">
        <f>Batches!B762</f>
        <v>11.72</v>
      </c>
      <c r="BK6" s="38">
        <f>Batches!B785</f>
        <v>12.018000000000001</v>
      </c>
      <c r="BL6" s="38">
        <f>Batches!B812</f>
        <v>12.548</v>
      </c>
      <c r="BM6" s="38">
        <f>Batches!B838+Batches!H838</f>
        <v>13</v>
      </c>
      <c r="BN6" s="38">
        <f>Batches!B864+Batches!H864</f>
        <v>14</v>
      </c>
      <c r="BO6" s="38">
        <f>Batches!B889</f>
        <v>13</v>
      </c>
      <c r="BP6" s="38">
        <f>Batches!B914</f>
        <v>10</v>
      </c>
      <c r="BQ6" s="38">
        <f>Batches!B939</f>
        <v>10</v>
      </c>
      <c r="BR6" s="38">
        <f>Batches!B964</f>
        <v>10</v>
      </c>
      <c r="BS6" s="38">
        <f>Batches!B989</f>
        <v>10</v>
      </c>
      <c r="BT6" s="38">
        <f>Batches!B1014</f>
        <v>7.5</v>
      </c>
      <c r="BU6" s="38">
        <f>Batches!B1039</f>
        <v>7.5</v>
      </c>
      <c r="BV6" s="38">
        <f>Batches!B1064</f>
        <v>7.2</v>
      </c>
      <c r="BW6" s="38">
        <f>Batches!B1089</f>
        <v>7.2</v>
      </c>
      <c r="BX6" s="38">
        <f>Batches!B1113</f>
        <v>7.2</v>
      </c>
      <c r="BY6" s="38">
        <f>Batches!B1137</f>
        <v>7.5</v>
      </c>
      <c r="BZ6" s="38">
        <f>Batches!B1161</f>
        <v>7.5</v>
      </c>
      <c r="CA6" s="38">
        <f>Batches!B1185</f>
        <v>7.5</v>
      </c>
      <c r="CB6" s="38">
        <f>Batches!B1209</f>
        <v>7.5</v>
      </c>
      <c r="CC6" s="38">
        <f>Batches!B1233</f>
        <v>8.75</v>
      </c>
      <c r="CD6" s="38">
        <f>Batches!B1257</f>
        <v>8.75</v>
      </c>
      <c r="CE6" s="38">
        <f>Batches!B1281</f>
        <v>18.75</v>
      </c>
      <c r="CF6" s="38">
        <f>Batches!B1305</f>
        <v>20</v>
      </c>
      <c r="CG6" s="38">
        <f>Batches!B1329</f>
        <v>20</v>
      </c>
      <c r="CH6" s="38">
        <f>Batches!B1353</f>
        <v>10.5</v>
      </c>
      <c r="CI6" s="38">
        <f>Batches!B1377</f>
        <v>12</v>
      </c>
      <c r="CJ6" s="38">
        <f>Batches!B1401</f>
        <v>16.7</v>
      </c>
      <c r="CK6" s="38">
        <f>Batches!B1425</f>
        <v>16.7</v>
      </c>
      <c r="CL6" s="38">
        <f>Batches!B1448</f>
        <v>22</v>
      </c>
      <c r="CM6" s="38">
        <f>Batches!B1472</f>
        <v>15.4</v>
      </c>
      <c r="CN6" s="38">
        <f>Batches!B1496</f>
        <v>13</v>
      </c>
      <c r="CO6" s="38">
        <f>Batches!B1520</f>
        <v>16.100000000000001</v>
      </c>
      <c r="CP6" s="38">
        <f>Batches!B1544</f>
        <v>13.13</v>
      </c>
      <c r="CQ6" s="38">
        <f>Batches!B1568</f>
        <v>13.6</v>
      </c>
      <c r="CR6" s="38">
        <f>Batches!B1592</f>
        <v>13.8</v>
      </c>
      <c r="CS6" s="38">
        <f>Batches!B1616</f>
        <v>13.5</v>
      </c>
      <c r="CT6" s="38">
        <f>Batches!B1640</f>
        <v>13.5</v>
      </c>
      <c r="CU6" s="38">
        <f>Batches!B1664</f>
        <v>14.6</v>
      </c>
      <c r="CV6" s="38">
        <f>Batches!B1688</f>
        <v>18.5</v>
      </c>
      <c r="CW6" s="38">
        <f>Batches!B1712</f>
        <v>15</v>
      </c>
      <c r="CX6" s="38">
        <f>Batches!B1736</f>
        <v>21</v>
      </c>
      <c r="CY6" s="38">
        <f>Batches!B1760</f>
        <v>21.5</v>
      </c>
      <c r="CZ6" s="38">
        <f>Batches!B1784</f>
        <v>18</v>
      </c>
      <c r="DA6" s="38">
        <f>Batches!B1808</f>
        <v>18.5</v>
      </c>
      <c r="DB6" s="38">
        <f>Batches!B1832</f>
        <v>18.5</v>
      </c>
      <c r="DC6" s="38">
        <f>Batches!B1856</f>
        <v>18.5</v>
      </c>
      <c r="DD6" s="38">
        <f>Batches!B1880</f>
        <v>17.5</v>
      </c>
      <c r="DE6" s="38">
        <f>Batches!B1904</f>
        <v>14.5</v>
      </c>
      <c r="DF6" s="38">
        <f>Batches!B1928</f>
        <v>14.5</v>
      </c>
      <c r="DG6" s="38">
        <f>Batches!B1952</f>
        <v>14.5</v>
      </c>
      <c r="DH6" s="38">
        <f>Batches!B1976</f>
        <v>14.5</v>
      </c>
      <c r="DI6" s="38">
        <f>Batches!B2000</f>
        <v>14</v>
      </c>
      <c r="DJ6" s="38">
        <f>Batches!B2024</f>
        <v>14</v>
      </c>
      <c r="DK6" s="38">
        <f>Batches!B2048</f>
        <v>15.5</v>
      </c>
      <c r="DL6" s="38">
        <f>Batches!B2072</f>
        <v>16</v>
      </c>
      <c r="DM6" s="38">
        <f>Batches!B2096</f>
        <v>18</v>
      </c>
      <c r="DN6" s="38">
        <f>Batches!B2120</f>
        <v>18</v>
      </c>
      <c r="DO6" s="38">
        <f>Batches!B2144</f>
        <v>20</v>
      </c>
      <c r="DP6" s="38">
        <f>Batches!B2168</f>
        <v>20</v>
      </c>
      <c r="DQ6" s="38">
        <f>Batches!B2192</f>
        <v>19</v>
      </c>
      <c r="DR6" s="38">
        <f>Batches!B2216</f>
        <v>22</v>
      </c>
      <c r="DS6" s="38">
        <f>Batches!B2240</f>
        <v>22</v>
      </c>
      <c r="DT6" s="38">
        <f>Batches!B2264</f>
        <v>22</v>
      </c>
      <c r="DU6" s="38">
        <f>Batches!B2288</f>
        <v>22</v>
      </c>
      <c r="DV6" s="38">
        <f>Batches!B2312</f>
        <v>22</v>
      </c>
      <c r="DW6" s="38">
        <f>Batches!B2336</f>
        <v>23</v>
      </c>
      <c r="DX6" s="38">
        <f>Batches!B2360</f>
        <v>23</v>
      </c>
      <c r="DY6" s="38">
        <f>Batches!B2360</f>
        <v>23</v>
      </c>
      <c r="DZ6" s="38">
        <f>Batches!B2408</f>
        <v>23</v>
      </c>
      <c r="EA6" s="38">
        <f>Batches!B2432</f>
        <v>23</v>
      </c>
      <c r="EB6" s="38">
        <f>Batches!B2456</f>
        <v>20</v>
      </c>
      <c r="EC6" s="38">
        <f>Batches!B2480</f>
        <v>15</v>
      </c>
      <c r="ED6" s="38">
        <f>Batches!B2504</f>
        <v>15</v>
      </c>
      <c r="EE6" s="38">
        <f>Batches!B2528</f>
        <v>18</v>
      </c>
      <c r="EF6" s="38">
        <f>Batches!B2552</f>
        <v>20.5</v>
      </c>
      <c r="EG6" s="38">
        <f>Batches!B2576</f>
        <v>20.5</v>
      </c>
      <c r="EH6" s="38">
        <f>Batches!B2600</f>
        <v>20.5</v>
      </c>
      <c r="EI6" s="38">
        <f>Batches!B2624</f>
        <v>20.2</v>
      </c>
      <c r="EJ6" s="38">
        <f>Batches!B2648</f>
        <v>20</v>
      </c>
      <c r="EK6" s="38">
        <f>Batches!B2672</f>
        <v>16</v>
      </c>
      <c r="EL6" s="38">
        <f>Batches!B2696</f>
        <v>16</v>
      </c>
      <c r="EM6" s="38">
        <f>Batches!B2720</f>
        <v>16</v>
      </c>
      <c r="EN6" s="38">
        <f>Batches!B2744</f>
        <v>10</v>
      </c>
      <c r="EO6" s="581">
        <f>Batches!B2768</f>
        <v>10</v>
      </c>
    </row>
    <row r="7" spans="1:149" x14ac:dyDescent="0.25">
      <c r="A7" s="801"/>
      <c r="B7" s="1" t="s">
        <v>13</v>
      </c>
      <c r="C7" s="79">
        <f>'Batch 2018'!B5</f>
        <v>9.03125</v>
      </c>
      <c r="D7" s="79">
        <f>'Batch 2018'!B27</f>
        <v>10.199999999999999</v>
      </c>
      <c r="E7" s="79">
        <f>'Batch 2018'!B49</f>
        <v>12.32</v>
      </c>
      <c r="F7" s="79">
        <f>'Batch 2018'!B71</f>
        <v>12.495999999999999</v>
      </c>
      <c r="G7" s="79">
        <f>'Batch 2018'!B93</f>
        <v>12.495999999999999</v>
      </c>
      <c r="H7" s="79">
        <f>'Batch 2018'!B115</f>
        <v>14.08</v>
      </c>
      <c r="I7" s="79">
        <f>'Batch 2018'!B137</f>
        <v>14.08</v>
      </c>
      <c r="J7" s="79">
        <f>'Batch 2018'!B159</f>
        <v>14.08</v>
      </c>
      <c r="K7" s="79">
        <f>'Batch 2018'!B181</f>
        <v>14.08</v>
      </c>
      <c r="L7" s="79">
        <f>'Batch 2018'!B203</f>
        <v>14.08</v>
      </c>
      <c r="M7" s="79">
        <f>'Batch 2018'!B225</f>
        <v>13.152000000000001</v>
      </c>
      <c r="N7" s="79">
        <f>'Batch 2018'!B247</f>
        <v>14.161</v>
      </c>
      <c r="O7" s="79">
        <f>'Batch 2018'!B269</f>
        <v>13.597895999999999</v>
      </c>
      <c r="P7" s="79">
        <f>'Batch 2018'!B291</f>
        <v>13.428751999999999</v>
      </c>
      <c r="Q7" s="79">
        <f>'Batch 2018'!B313</f>
        <v>10.8</v>
      </c>
      <c r="R7" s="79">
        <f>'Batch 2018'!B335</f>
        <v>13.35</v>
      </c>
      <c r="S7" s="79">
        <f>'Batch 2018'!B357</f>
        <v>13.588677499999999</v>
      </c>
      <c r="T7" s="79">
        <f>'Batch 2018'!B379</f>
        <v>13.65</v>
      </c>
      <c r="U7" s="79">
        <f>'Batch 2018'!B401</f>
        <v>14.112</v>
      </c>
      <c r="V7" s="79">
        <f>'Batch 2018'!B423</f>
        <v>13.851000000000001</v>
      </c>
      <c r="W7" s="79">
        <f>'Batch 2018'!B445</f>
        <v>13.686699999999998</v>
      </c>
      <c r="X7" s="79">
        <f>'Batch 2018'!B465</f>
        <v>15.031000000000001</v>
      </c>
      <c r="Y7" s="79">
        <f>'Batch 2018'!B489</f>
        <v>13.005000000000001</v>
      </c>
      <c r="Z7" s="79">
        <f>'Batch 2018'!B511</f>
        <v>12.9</v>
      </c>
      <c r="AA7" s="79">
        <f>'Batch 2018'!B533</f>
        <v>12.705</v>
      </c>
      <c r="AB7" s="79">
        <f>'Batch 2018'!B555</f>
        <v>12.975</v>
      </c>
      <c r="AC7" s="79">
        <f>'Batch 2018'!B577</f>
        <v>13.086539999999999</v>
      </c>
      <c r="AD7" s="35">
        <f>Batches!B5</f>
        <v>13.4154</v>
      </c>
      <c r="AE7" s="35">
        <f>Batches!B27</f>
        <v>13.992000000000001</v>
      </c>
      <c r="AF7" s="36">
        <f>Batches!B49</f>
        <v>12.587399999999999</v>
      </c>
      <c r="AG7" s="35">
        <f>Batches!B71+Batches!H71</f>
        <v>11.63686</v>
      </c>
      <c r="AH7" s="35">
        <f>Batches!B93</f>
        <v>12.6614</v>
      </c>
      <c r="AI7" s="35">
        <f>Batches!B115</f>
        <v>12.726000000000001</v>
      </c>
      <c r="AJ7" s="35">
        <f>Batches!B137</f>
        <v>12.40742</v>
      </c>
      <c r="AK7" s="36">
        <f>Batches!B159</f>
        <v>12.784000000000001</v>
      </c>
      <c r="AL7" s="35">
        <f>Batches!B181</f>
        <v>13.3</v>
      </c>
      <c r="AM7" s="35">
        <f>Batches!B203</f>
        <v>13.3</v>
      </c>
      <c r="AN7" s="38">
        <f>Batches!B225</f>
        <v>15.84</v>
      </c>
      <c r="AO7" s="38">
        <v>16.09</v>
      </c>
      <c r="AP7" s="38">
        <f>Batches!B269</f>
        <v>16.59</v>
      </c>
      <c r="AQ7" s="38">
        <f>Batches!B291</f>
        <v>16.22</v>
      </c>
      <c r="AR7" s="109">
        <f>Batches!B314</f>
        <v>17.54</v>
      </c>
      <c r="AS7" s="109">
        <f>Batches!B338</f>
        <v>17.138999999999999</v>
      </c>
      <c r="AT7" s="109">
        <f>Batches!B362</f>
        <v>17.579999999999998</v>
      </c>
      <c r="AU7" s="109">
        <f>Batches!B387</f>
        <v>17.644000000000002</v>
      </c>
      <c r="AV7" s="109">
        <f>Batches!B412</f>
        <v>17.20946</v>
      </c>
      <c r="AW7" s="109">
        <f>Batches!B437+Batches!H437</f>
        <v>17.451899999999998</v>
      </c>
      <c r="AX7" s="109">
        <f>Batches!B462</f>
        <v>14.580000000000002</v>
      </c>
      <c r="AY7" s="109">
        <f>Batches!B487</f>
        <v>16.53</v>
      </c>
      <c r="AZ7" s="109">
        <f>Batches!M512</f>
        <v>16.53</v>
      </c>
      <c r="BA7" s="109">
        <f>Batches!M536</f>
        <v>16.965</v>
      </c>
      <c r="BB7" s="109">
        <f>Batches!M560</f>
        <v>17.42088</v>
      </c>
      <c r="BC7" s="109">
        <f>Batches!M584</f>
        <v>10.692</v>
      </c>
      <c r="BD7" s="109">
        <f>Batches!B613</f>
        <v>8.9280000000000008</v>
      </c>
      <c r="BE7" s="109">
        <f>Batches!M635</f>
        <v>10.48263</v>
      </c>
      <c r="BF7" s="109">
        <f>Batches!M661</f>
        <v>10.44261</v>
      </c>
      <c r="BG7" s="109">
        <f>Batches!M686</f>
        <v>10.44957</v>
      </c>
      <c r="BH7" s="109">
        <f>Batches!M712</f>
        <v>10.45044</v>
      </c>
      <c r="BI7" s="109">
        <f>Batches!M738</f>
        <v>10.17639</v>
      </c>
      <c r="BJ7" s="109">
        <f>Batches!M764</f>
        <v>10.196400000000001</v>
      </c>
      <c r="BK7" s="109">
        <f>Batches!B787</f>
        <v>10.45566</v>
      </c>
      <c r="BL7" s="109">
        <f>Batches!M814</f>
        <v>10.038400000000001</v>
      </c>
      <c r="BM7" s="109">
        <f>Batches!M840+Batches!H840</f>
        <v>11.96819</v>
      </c>
      <c r="BN7" s="109">
        <f>Batches!M866+Batches!H866</f>
        <v>13.049999999999999</v>
      </c>
      <c r="BO7" s="109">
        <f>Batches!M889</f>
        <v>13</v>
      </c>
      <c r="BP7" s="109">
        <f>Batches!M914</f>
        <v>10</v>
      </c>
      <c r="BQ7" s="109">
        <f>Batches!M939</f>
        <v>10</v>
      </c>
      <c r="BR7" s="109">
        <f>Batches!M964</f>
        <v>10</v>
      </c>
      <c r="BS7" s="109">
        <f>Batches!M989</f>
        <v>10</v>
      </c>
      <c r="BT7" s="109">
        <f>Batches!M1014</f>
        <v>14.4</v>
      </c>
      <c r="BU7" s="109">
        <f>Batches!M1039</f>
        <v>7.5</v>
      </c>
      <c r="BV7" s="109">
        <f>Batches!M1064</f>
        <v>7.2</v>
      </c>
      <c r="BW7" s="109">
        <f>Batches!M1089</f>
        <v>7.2</v>
      </c>
      <c r="BX7" s="109">
        <f>Batches!M1113</f>
        <v>7.2</v>
      </c>
      <c r="BY7" s="109">
        <f>Batches!M1137</f>
        <v>7.5</v>
      </c>
      <c r="BZ7" s="109">
        <f>Batches!M1161</f>
        <v>7.5</v>
      </c>
      <c r="CA7" s="109">
        <f>Batches!M1185</f>
        <v>7.5</v>
      </c>
      <c r="CB7" s="109">
        <f>Batches!M1209</f>
        <v>7.5</v>
      </c>
      <c r="CC7" s="109">
        <f>Batches!M1233</f>
        <v>8.75</v>
      </c>
      <c r="CD7" s="109">
        <f>Batches!M1257</f>
        <v>8.75</v>
      </c>
      <c r="CE7" s="109">
        <f>Batches!M1281</f>
        <v>18.75</v>
      </c>
      <c r="CF7" s="109">
        <f>Batches!M1305</f>
        <v>20</v>
      </c>
      <c r="CG7" s="109">
        <f>Batches!M1331</f>
        <v>17.600000000000001</v>
      </c>
      <c r="CH7" s="109">
        <f>Batches!M1355</f>
        <v>9.24</v>
      </c>
      <c r="CI7" s="109">
        <f>Batches!M1379</f>
        <v>10.56</v>
      </c>
      <c r="CJ7" s="109">
        <f>Batches!M1403</f>
        <v>14.361999999999998</v>
      </c>
      <c r="CK7" s="109">
        <f>Batches!M1427</f>
        <v>14.696</v>
      </c>
      <c r="CL7" s="109">
        <f>Batches!M1450</f>
        <v>19.36</v>
      </c>
      <c r="CM7" s="109">
        <f>Batches!M1474</f>
        <v>13.552</v>
      </c>
      <c r="CN7" s="109">
        <f>Batches!M1498</f>
        <v>11.049999999999999</v>
      </c>
      <c r="CO7" s="109">
        <f>Batches!M1522</f>
        <v>13.685</v>
      </c>
      <c r="CP7" s="109">
        <f>Batches!B1546</f>
        <v>11.160500000000001</v>
      </c>
      <c r="CQ7" s="109">
        <f>Batches!B1570</f>
        <v>12.24</v>
      </c>
      <c r="CR7" s="109">
        <f>Batches!B1594</f>
        <v>12.420000000000002</v>
      </c>
      <c r="CS7" s="109">
        <f>Batches!B1618</f>
        <v>12.15</v>
      </c>
      <c r="CT7" s="109">
        <f>Batches!B1642</f>
        <v>12.42</v>
      </c>
      <c r="CU7" s="109">
        <f>Batches!B1666</f>
        <v>11.68</v>
      </c>
      <c r="CV7" s="109">
        <f>Batches!B1690</f>
        <v>14.8</v>
      </c>
      <c r="CW7" s="109">
        <f>Batches!B1714</f>
        <v>12.75</v>
      </c>
      <c r="CX7" s="109">
        <f>Batches!B1738</f>
        <v>16.8</v>
      </c>
      <c r="CY7" s="109">
        <f>Batches!B1762</f>
        <v>17.2</v>
      </c>
      <c r="CZ7" s="109">
        <f>Batches!B1786</f>
        <v>14.94</v>
      </c>
      <c r="DA7" s="109">
        <f>Batches!B1810</f>
        <v>15.354999999999999</v>
      </c>
      <c r="DB7" s="109">
        <f>Batches!B1834</f>
        <v>15.354999999999999</v>
      </c>
      <c r="DC7" s="109">
        <f>Batches!B1858</f>
        <v>15.354999999999999</v>
      </c>
      <c r="DD7" s="109">
        <f>Batches!B1882</f>
        <v>13.825000000000001</v>
      </c>
      <c r="DE7" s="109">
        <f>Batches!B1906</f>
        <v>12.035</v>
      </c>
      <c r="DF7" s="109">
        <f>Batches!B1930</f>
        <v>12.035</v>
      </c>
      <c r="DG7" s="109">
        <f>Batches!B1954</f>
        <v>12.035</v>
      </c>
      <c r="DH7" s="109">
        <f>Batches!B1978</f>
        <v>12.035</v>
      </c>
      <c r="DI7" s="109">
        <f>Batches!B2002</f>
        <v>11.62</v>
      </c>
      <c r="DJ7" s="109">
        <f>Batches!B2026</f>
        <v>11.62</v>
      </c>
      <c r="DK7" s="109">
        <f>Batches!B2050</f>
        <v>12.245000000000001</v>
      </c>
      <c r="DL7" s="109">
        <f>Batches!B2074</f>
        <v>13.76</v>
      </c>
      <c r="DM7" s="109">
        <f>Batches!B2098</f>
        <v>15.48</v>
      </c>
      <c r="DN7" s="109">
        <f>Batches!B2122</f>
        <v>15.48</v>
      </c>
      <c r="DO7" s="109">
        <f>Batches!B2146</f>
        <v>17</v>
      </c>
      <c r="DP7" s="109">
        <f>Batches!B2170</f>
        <v>17.2</v>
      </c>
      <c r="DQ7" s="109">
        <f>Batches!B2194</f>
        <v>15.200000000000001</v>
      </c>
      <c r="DR7" s="109">
        <f>Batches!B2218</f>
        <v>18.7</v>
      </c>
      <c r="DS7" s="109">
        <f>Batches!B2242</f>
        <v>18.7</v>
      </c>
      <c r="DT7" s="109">
        <f>Batches!B2266</f>
        <v>18.48</v>
      </c>
      <c r="DU7" s="109">
        <f>Batches!B2290</f>
        <v>18.919999999999998</v>
      </c>
      <c r="DV7" s="151">
        <f>Batches!B2314</f>
        <v>17.600000000000001</v>
      </c>
      <c r="DW7" s="151">
        <f>Batches!B2338</f>
        <v>18.400000000000002</v>
      </c>
      <c r="DX7" s="151">
        <f>Batches!B2362</f>
        <v>18.400000000000002</v>
      </c>
      <c r="DY7" s="151">
        <f>Batches!B2386</f>
        <v>19.78</v>
      </c>
      <c r="DZ7" s="151">
        <f>Batches!B2410</f>
        <v>18.860000000000003</v>
      </c>
      <c r="EA7" s="151">
        <f>Batches!B2434</f>
        <v>19.32</v>
      </c>
      <c r="EB7" s="151">
        <f>Batches!B2458</f>
        <v>16.8</v>
      </c>
      <c r="EC7" s="151">
        <f>Batches!B2482</f>
        <v>13.2</v>
      </c>
      <c r="ED7" s="151">
        <f>Batches!B2506</f>
        <v>13.2</v>
      </c>
      <c r="EE7" s="151">
        <f>Batches!B2530</f>
        <v>14.4</v>
      </c>
      <c r="EF7" s="151">
        <f>Batches!B2554</f>
        <v>16.400000000000002</v>
      </c>
      <c r="EG7" s="151">
        <f>Batches!B2578</f>
        <v>16.400000000000002</v>
      </c>
      <c r="EH7" s="151">
        <f>Batches!B2602</f>
        <v>17.425000000000001</v>
      </c>
      <c r="EI7" s="151">
        <f>Batches!B2626</f>
        <v>16.765999999999998</v>
      </c>
      <c r="EJ7" s="16">
        <f>Batches!B2650</f>
        <v>17</v>
      </c>
      <c r="EK7" s="151">
        <f>Batches!B2674</f>
        <v>13.6</v>
      </c>
      <c r="EL7" s="151">
        <f>Batches!B2698</f>
        <v>13.6</v>
      </c>
      <c r="EM7" s="151">
        <f>Batches!B2722</f>
        <v>13.6</v>
      </c>
      <c r="EN7" s="151">
        <f>Batches!B2746</f>
        <v>8.5</v>
      </c>
      <c r="EO7" s="151">
        <f>Batches!B2770</f>
        <v>8.6999999999999993</v>
      </c>
    </row>
    <row r="8" spans="1:149" x14ac:dyDescent="0.25">
      <c r="A8" s="801"/>
      <c r="B8" s="1" t="s">
        <v>131</v>
      </c>
      <c r="C8" s="80">
        <f>'Batch 2018'!B8</f>
        <v>0.7</v>
      </c>
      <c r="D8" s="80">
        <f>'Batch 2018'!B30</f>
        <v>0.7</v>
      </c>
      <c r="E8" s="80">
        <f>'Batch 2018'!B52</f>
        <v>0.73</v>
      </c>
      <c r="F8" s="80">
        <f>'Batch 2018'!B74</f>
        <v>0.71</v>
      </c>
      <c r="G8" s="80">
        <f>'Batch 2018'!B96</f>
        <v>0.7</v>
      </c>
      <c r="H8" s="80">
        <f>'Batch 2018'!B118</f>
        <v>0.7</v>
      </c>
      <c r="I8" s="80">
        <f>'Batch 2018'!B140</f>
        <v>0.71</v>
      </c>
      <c r="J8" s="80">
        <f>'Batch 2018'!B162</f>
        <v>0.68</v>
      </c>
      <c r="K8" s="80">
        <f>'Batch 2018'!B184</f>
        <v>0.7</v>
      </c>
      <c r="L8" s="80">
        <f>'Batch 2018'!B206</f>
        <v>0.7</v>
      </c>
      <c r="M8" s="80">
        <f>'Batch 2018'!B228</f>
        <v>0.69799999999999995</v>
      </c>
      <c r="N8" s="80">
        <f>'Batch 2018'!B250</f>
        <v>0.69899999999999995</v>
      </c>
      <c r="O8" s="80">
        <f>'Batch 2018'!B272</f>
        <v>0.70499999999999996</v>
      </c>
      <c r="P8" s="80">
        <f>'Batch 2018'!B294</f>
        <v>0.70499999999999996</v>
      </c>
      <c r="Q8" s="80">
        <f>'Batch 2018'!B316</f>
        <v>0.70599999999999996</v>
      </c>
      <c r="R8" s="80">
        <f>'Batch 2018'!B338</f>
        <v>0.70799999999999996</v>
      </c>
      <c r="S8" s="80">
        <f>'Batch 2018'!B360</f>
        <v>0.68300000000000005</v>
      </c>
      <c r="T8" s="80">
        <f>'Batch 2018'!B382</f>
        <v>0.70299999999999996</v>
      </c>
      <c r="U8" s="80">
        <f>'Batch 2018'!B404</f>
        <v>0.68</v>
      </c>
      <c r="V8" s="80">
        <f>'Batch 2018'!B426</f>
        <v>0.71299999999999997</v>
      </c>
      <c r="W8" s="80">
        <f>'Batch 2018'!B448</f>
        <v>0.71299999999999997</v>
      </c>
      <c r="X8" s="80">
        <f>'Batch 2018'!B470</f>
        <v>0.72099999999999997</v>
      </c>
      <c r="Y8" s="80">
        <f>'Batch 2018'!B492</f>
        <v>0.70799999999999996</v>
      </c>
      <c r="Z8" s="80">
        <f>'Batch 2018'!B514</f>
        <v>0.68500000000000005</v>
      </c>
      <c r="AA8" s="80">
        <f>'Batch 2018'!B536</f>
        <v>0.71</v>
      </c>
      <c r="AB8" s="80">
        <f>'Batch 2018'!B558</f>
        <v>0.71</v>
      </c>
      <c r="AC8" s="80">
        <f>'Batch 2018'!B580</f>
        <v>0.69</v>
      </c>
      <c r="AD8" s="6">
        <f>Batches!B8</f>
        <v>0.7</v>
      </c>
      <c r="AE8" s="6">
        <f>Batches!B30</f>
        <v>0.69</v>
      </c>
      <c r="AF8" s="9">
        <f>Batches!B52</f>
        <v>0.7</v>
      </c>
      <c r="AG8" s="6">
        <f>Batches!B74</f>
        <v>0.7</v>
      </c>
      <c r="AH8" s="6">
        <f>Batches!B96</f>
        <v>0.7</v>
      </c>
      <c r="AI8" s="6">
        <f>Batches!B118</f>
        <v>0.7</v>
      </c>
      <c r="AJ8" s="6">
        <f>Batches!B140</f>
        <v>0.7</v>
      </c>
      <c r="AK8" s="9">
        <f>Batches!B162</f>
        <v>0.72</v>
      </c>
      <c r="AL8" s="6">
        <f>Batches!B184</f>
        <v>0.72</v>
      </c>
      <c r="AM8" s="6">
        <f>Batches!B206</f>
        <v>0.70499999999999996</v>
      </c>
      <c r="AN8" s="40">
        <f>Batches!B228</f>
        <v>0.70499999999999996</v>
      </c>
      <c r="AO8" s="40">
        <v>0.68</v>
      </c>
      <c r="AP8" s="40">
        <f>Batches!B272</f>
        <v>0.69</v>
      </c>
      <c r="AQ8" s="40">
        <f>Batches!B294</f>
        <v>0.68</v>
      </c>
      <c r="AR8" s="110">
        <f>Batches!B317</f>
        <v>0.69499999999999995</v>
      </c>
      <c r="AS8" s="111">
        <f>Batches!B341</f>
        <v>0.7</v>
      </c>
      <c r="AT8" s="110">
        <f>Batches!B365</f>
        <v>0.69</v>
      </c>
      <c r="AU8" s="110">
        <f>Batches!B390</f>
        <v>0.7</v>
      </c>
      <c r="AV8" s="110">
        <f>Batches!B415</f>
        <v>0.7</v>
      </c>
      <c r="AW8" s="110">
        <f>Batches!B440</f>
        <v>0.69499999999999995</v>
      </c>
      <c r="AX8" s="110">
        <f>Batches!B465</f>
        <v>0.69499999999999995</v>
      </c>
      <c r="AY8" s="110">
        <f>Batches!B490</f>
        <v>0.68</v>
      </c>
      <c r="AZ8" s="110">
        <f>Batches!B515</f>
        <v>0.68</v>
      </c>
      <c r="BA8" s="110">
        <f>Batches!B539</f>
        <v>0.68</v>
      </c>
      <c r="BB8" s="110">
        <f>Batches!B563</f>
        <v>0.68</v>
      </c>
      <c r="BC8" s="110">
        <f>Batches!B587</f>
        <v>0.68</v>
      </c>
      <c r="BD8" s="110">
        <f>Batches!B612</f>
        <v>0.69</v>
      </c>
      <c r="BE8" s="110">
        <f>Batches!B638</f>
        <v>0.7</v>
      </c>
      <c r="BF8" s="110">
        <f>Batches!B664</f>
        <v>0.69</v>
      </c>
      <c r="BG8" s="110">
        <f>Batches!B689</f>
        <v>0.69</v>
      </c>
      <c r="BH8" s="110">
        <f>Batches!B715</f>
        <v>0.69</v>
      </c>
      <c r="BI8" s="110">
        <f>Batches!B741</f>
        <v>0.69</v>
      </c>
      <c r="BJ8" s="110">
        <f>Batches!B767</f>
        <v>0.69</v>
      </c>
      <c r="BK8" s="110">
        <f>Batches!B790</f>
        <v>0.7</v>
      </c>
      <c r="BL8" s="110">
        <f>Batches!B817</f>
        <v>0.70499999999999996</v>
      </c>
      <c r="BM8" s="110">
        <f>Batches!B843</f>
        <v>0.7</v>
      </c>
      <c r="BN8" s="110">
        <f>Batches!B869</f>
        <v>0.68500000000000005</v>
      </c>
      <c r="BO8" s="110">
        <f>Batches!B894</f>
        <v>0.68</v>
      </c>
      <c r="BP8" s="110">
        <f>Batches!B919</f>
        <v>0.69</v>
      </c>
      <c r="BQ8" s="110">
        <f>Batches!B944</f>
        <v>0.68</v>
      </c>
      <c r="BR8" s="110">
        <f>Batches!B969</f>
        <v>0.69</v>
      </c>
      <c r="BS8" s="110">
        <f>Batches!B994</f>
        <v>0.69</v>
      </c>
      <c r="BT8" s="110">
        <f>Batches!B1019</f>
        <v>0.69</v>
      </c>
      <c r="BU8" s="110">
        <f>Batches!B1044</f>
        <v>0.69</v>
      </c>
      <c r="BV8" s="110">
        <f>Batches!B1069</f>
        <v>0.7</v>
      </c>
      <c r="BW8" s="110">
        <f>Batches!B1094</f>
        <v>0.69</v>
      </c>
      <c r="BX8" s="110">
        <f>Batches!B1118</f>
        <v>0.69</v>
      </c>
      <c r="BY8" s="110">
        <f>Batches!B1142</f>
        <v>0.69</v>
      </c>
      <c r="BZ8" s="110">
        <f>Batches!B1166</f>
        <v>0.69</v>
      </c>
      <c r="CA8" s="110">
        <f>Batches!B1190</f>
        <v>0.69</v>
      </c>
      <c r="CB8" s="110">
        <f>Batches!B1214</f>
        <v>0.67</v>
      </c>
      <c r="CC8" s="110">
        <f>Batches!B1238</f>
        <v>0.68</v>
      </c>
      <c r="CD8" s="110">
        <f>Batches!B1262</f>
        <v>0.67</v>
      </c>
      <c r="CE8" s="110">
        <f>Batches!B1286</f>
        <v>0.69</v>
      </c>
      <c r="CF8" s="110">
        <f>Batches!B1310</f>
        <v>0.67</v>
      </c>
      <c r="CG8" s="110">
        <f>Batches!B1334</f>
        <v>0.70499999999999996</v>
      </c>
      <c r="CH8" s="110">
        <f>Batches!B1358</f>
        <v>0.69</v>
      </c>
      <c r="CI8" s="110">
        <f>Batches!B1382</f>
        <v>0.68</v>
      </c>
      <c r="CJ8" s="110">
        <f>Batches!B1406</f>
        <v>0.68</v>
      </c>
      <c r="CK8" s="110">
        <f>Batches!B1430</f>
        <v>0.69</v>
      </c>
      <c r="CL8" s="110">
        <f>Batches!B1453</f>
        <v>0.68</v>
      </c>
      <c r="CM8" s="110">
        <f>Batches!B1477</f>
        <v>0.7</v>
      </c>
      <c r="CN8" s="110">
        <f>Batches!B1501</f>
        <v>0.68</v>
      </c>
      <c r="CO8" s="110">
        <f>Batches!B1525</f>
        <v>0.7</v>
      </c>
      <c r="CP8" s="110">
        <f>Batches!B1549</f>
        <v>0.69</v>
      </c>
      <c r="CQ8" s="110">
        <f>Batches!B1573</f>
        <v>0.69</v>
      </c>
      <c r="CR8" s="110">
        <f>Batches!B1597</f>
        <v>0.69</v>
      </c>
      <c r="CS8" s="110">
        <f>Batches!B1621</f>
        <v>0.69</v>
      </c>
      <c r="CT8" s="110">
        <f>Batches!B1645</f>
        <v>0.68</v>
      </c>
      <c r="CU8" s="110">
        <f>Batches!B1669</f>
        <v>0.7</v>
      </c>
      <c r="CV8" s="110">
        <f>Batches!B1693</f>
        <v>0.7</v>
      </c>
      <c r="CW8" s="110">
        <f>Batches!B1717</f>
        <v>0.71499999999999997</v>
      </c>
      <c r="CX8" s="110">
        <f>Batches!B1741</f>
        <v>0.69</v>
      </c>
      <c r="CY8" s="110">
        <f>Batches!B1765</f>
        <v>0.68</v>
      </c>
      <c r="CZ8" s="110">
        <f>Batches!B1789</f>
        <v>0.68</v>
      </c>
      <c r="DA8" s="110">
        <f>Batches!B1813</f>
        <v>0.7</v>
      </c>
      <c r="DB8" s="110">
        <f>Batches!B1837</f>
        <v>0.69</v>
      </c>
      <c r="DC8" s="110">
        <f>Batches!B1861</f>
        <v>0.7</v>
      </c>
      <c r="DD8" s="110">
        <f>Batches!B1885</f>
        <v>0.72</v>
      </c>
      <c r="DE8" s="110">
        <f>Batches!B1909</f>
        <v>0.7</v>
      </c>
      <c r="DF8" s="110">
        <f>Batches!B1933</f>
        <v>0.73</v>
      </c>
      <c r="DG8" s="110">
        <f>Batches!B1957</f>
        <v>0.71</v>
      </c>
      <c r="DH8" s="110">
        <f>Batches!B1981</f>
        <v>0.68</v>
      </c>
      <c r="DI8" s="110">
        <f>Batches!B2005</f>
        <v>0.68</v>
      </c>
      <c r="DJ8" s="110">
        <f>Batches!B2029</f>
        <v>0.68</v>
      </c>
      <c r="DK8" s="110">
        <f>Batches!B2053</f>
        <v>0.68</v>
      </c>
      <c r="DL8" s="110">
        <f>Batches!B2077</f>
        <v>0.68</v>
      </c>
      <c r="DM8" s="110">
        <f>Batches!B2101</f>
        <v>0.68500000000000005</v>
      </c>
      <c r="DN8" s="110">
        <v>0.71</v>
      </c>
      <c r="DO8" s="110">
        <f>Batches!B2149</f>
        <v>0.7</v>
      </c>
      <c r="DP8" s="110">
        <f>Batches!B2173</f>
        <v>0.71</v>
      </c>
      <c r="DQ8" s="40">
        <f>Batches!B2197</f>
        <v>0.72</v>
      </c>
      <c r="DR8" s="40">
        <f>Batches!B2221</f>
        <v>0.67</v>
      </c>
      <c r="DS8" s="40">
        <f>Batches!B2245</f>
        <v>0.68</v>
      </c>
      <c r="DT8" s="40">
        <f>Batches!B2269</f>
        <v>0.7</v>
      </c>
      <c r="DU8" s="546">
        <f>Batches!B2293</f>
        <v>0.7</v>
      </c>
      <c r="DV8" s="40">
        <f>Batches!B2317</f>
        <v>0.71</v>
      </c>
      <c r="DW8" s="546">
        <f>Batches!B2341</f>
        <v>0.71</v>
      </c>
      <c r="DX8" s="40">
        <f>Batches!B2365</f>
        <v>0.69</v>
      </c>
      <c r="DY8" s="546">
        <f>Batches!B2389</f>
        <v>0.70499999999999996</v>
      </c>
      <c r="DZ8" s="40">
        <f>Batches!B2413</f>
        <v>0.7</v>
      </c>
      <c r="EA8" s="40">
        <f>Batches!B2437</f>
        <v>0.7</v>
      </c>
      <c r="EB8" s="40">
        <f>Batches!B2461</f>
        <v>0.69</v>
      </c>
      <c r="EC8" s="40">
        <f>Batches!B2485</f>
        <v>0.7</v>
      </c>
      <c r="ED8" s="40">
        <f>Batches!B2509</f>
        <v>0.68</v>
      </c>
      <c r="EE8" s="40">
        <f>Batches!B2533</f>
        <v>0.7</v>
      </c>
      <c r="EF8" s="40">
        <f>Batches!B2557</f>
        <v>0.71</v>
      </c>
      <c r="EG8" s="40">
        <f>Batches!B2581</f>
        <v>0.68</v>
      </c>
      <c r="EH8" s="40">
        <f>Batches!B2605</f>
        <v>0.68</v>
      </c>
      <c r="EI8" s="40">
        <f>Batches!B2629</f>
        <v>0.68</v>
      </c>
      <c r="EJ8" s="40">
        <f>Batches!B2653</f>
        <v>0.69</v>
      </c>
      <c r="EK8" s="40">
        <f>Batches!B2677</f>
        <v>0.67</v>
      </c>
      <c r="EL8" s="40">
        <f>Batches!B2701</f>
        <v>0.7</v>
      </c>
      <c r="EM8" s="40">
        <f>Batches!B2725</f>
        <v>0.67</v>
      </c>
      <c r="EN8" s="40">
        <f>Batches!B2749</f>
        <v>0.7</v>
      </c>
    </row>
    <row r="9" spans="1:149" x14ac:dyDescent="0.25">
      <c r="A9" s="801"/>
      <c r="B9" s="1" t="s">
        <v>132</v>
      </c>
      <c r="C9" s="80">
        <f>'Batch 2018'!B6</f>
        <v>0.55859377162629764</v>
      </c>
      <c r="D9" s="80">
        <f>'Batch 2018'!B28</f>
        <v>0.60573529411764726</v>
      </c>
      <c r="E9" s="80">
        <f>'Batch 2018'!B50</f>
        <v>0.82971306818181823</v>
      </c>
      <c r="F9" s="80">
        <f>'Batch 2018'!B72</f>
        <v>0.74530649807938576</v>
      </c>
      <c r="G9" s="80">
        <f>'Batch 2018'!B94</f>
        <v>0.80413732394366211</v>
      </c>
      <c r="H9" s="80">
        <f>'Batch 2018'!B116</f>
        <v>0.8873011363636365</v>
      </c>
      <c r="I9" s="80">
        <f>'Batch 2018'!B138</f>
        <v>0.89405681818181837</v>
      </c>
      <c r="J9" s="80">
        <f>'Batch 2018'!B160</f>
        <v>0.90236363636363626</v>
      </c>
      <c r="K9" s="80">
        <f>'Batch 2018'!B182</f>
        <v>0.7673650568181819</v>
      </c>
      <c r="L9" s="80">
        <f>'Batch 2018'!B204</f>
        <v>0.83448153409090919</v>
      </c>
      <c r="M9" s="80">
        <f>'Batch 2018'!B226</f>
        <v>0.65089817518248183</v>
      </c>
      <c r="N9" s="80">
        <f>'Batch 2018'!B248</f>
        <v>0.47945743944636682</v>
      </c>
      <c r="O9" s="80">
        <f>'Batch 2018'!B270</f>
        <v>0.88079802934218654</v>
      </c>
      <c r="P9" s="80">
        <f>'Batch 2018'!B292</f>
        <v>0.60905696970202461</v>
      </c>
      <c r="Q9" s="80">
        <f>'Batch 2018'!B314</f>
        <v>0.60923333333333329</v>
      </c>
      <c r="R9" s="80">
        <f>'Batch 2018'!B336</f>
        <v>0.57358861423220975</v>
      </c>
      <c r="S9" s="80">
        <f>'Batch 2018'!B358</f>
        <v>0.64794200907336275</v>
      </c>
      <c r="T9" s="80">
        <f>'Batch 2018'!B380</f>
        <v>0.93114395604395617</v>
      </c>
      <c r="U9" s="80">
        <f>'Batch 2018'!B402</f>
        <v>0.84336734693877535</v>
      </c>
      <c r="V9" s="80">
        <f>'Batch 2018'!B424</f>
        <v>0.83110028156811799</v>
      </c>
      <c r="W9" s="80">
        <f>'Batch 2018'!B446</f>
        <v>0.83141027420780778</v>
      </c>
      <c r="X9" s="80">
        <f>'Batch 2018'!B468</f>
        <v>0.76141257318496791</v>
      </c>
      <c r="Y9" s="80">
        <f>'Batch 2018'!B490</f>
        <v>0.81764490580545945</v>
      </c>
      <c r="Z9" s="80">
        <f>'Batch 2018'!B512</f>
        <v>0.9834593023255811</v>
      </c>
      <c r="AA9" s="80">
        <f>'Batch 2018'!B534</f>
        <v>0.87839984258166082</v>
      </c>
      <c r="AB9" s="80">
        <f>'Batch 2018'!B556</f>
        <v>0.90669533718689799</v>
      </c>
      <c r="AC9" s="80">
        <f>'Batch 2018'!B578</f>
        <v>0.85843194610645768</v>
      </c>
      <c r="AD9" s="40">
        <f>Batches!B6</f>
        <v>0.88856836173353015</v>
      </c>
      <c r="AE9" s="6">
        <f>Batches!B28</f>
        <v>0.7833083190394512</v>
      </c>
      <c r="AF9" s="9">
        <f>Batches!B50</f>
        <v>0.8694408694408694</v>
      </c>
      <c r="AG9" s="6">
        <f>Batches!B72</f>
        <v>0.90771909260745609</v>
      </c>
      <c r="AH9" s="6">
        <f>Batches!B94</f>
        <v>0.71352299113842088</v>
      </c>
      <c r="AI9" s="6">
        <f>Batches!B116</f>
        <v>0.75676567656765681</v>
      </c>
      <c r="AJ9" s="6">
        <f>Batches!B138</f>
        <v>0.77924338823059114</v>
      </c>
      <c r="AK9" s="9">
        <f>Batches!B160</f>
        <v>0.81533792240300385</v>
      </c>
      <c r="AL9" s="6">
        <f>Batches!B182</f>
        <v>0.91825263157894754</v>
      </c>
      <c r="AM9" s="6">
        <f>Batches!B204</f>
        <v>0.77134736842105256</v>
      </c>
      <c r="AN9" s="40">
        <f>Batches!B226</f>
        <v>0.83667140151515174</v>
      </c>
      <c r="AO9" s="40">
        <v>0.82</v>
      </c>
      <c r="AP9" s="40">
        <f>Batches!B270</f>
        <v>0.72</v>
      </c>
      <c r="AQ9" s="40">
        <f>Batches!B292</f>
        <v>0.65</v>
      </c>
      <c r="AR9" s="110">
        <f>Batches!B315</f>
        <v>0.83080089485458619</v>
      </c>
      <c r="AS9" s="111">
        <f>Batches!B339</f>
        <v>0.82870645895326467</v>
      </c>
      <c r="AT9" s="110">
        <f>Batches!B363</f>
        <v>0.88565130830489236</v>
      </c>
      <c r="AU9" s="110">
        <f>Batches!B388</f>
        <v>0.85380000000000011</v>
      </c>
      <c r="AV9" s="110">
        <f>Batches!B413</f>
        <v>0.86400000000000032</v>
      </c>
      <c r="AW9" s="110">
        <f>Batches!B438</f>
        <v>0.78135239797438205</v>
      </c>
      <c r="AX9" s="110">
        <f>Batches!B463</f>
        <v>0.8315329218106996</v>
      </c>
      <c r="AY9" s="110">
        <f>Batches!B488</f>
        <v>0.82301754385964876</v>
      </c>
      <c r="AZ9" s="110">
        <f>Batches!B513</f>
        <v>0.85836660617059868</v>
      </c>
      <c r="BA9" s="110">
        <f>Batches!B537</f>
        <v>0.76958443854995584</v>
      </c>
      <c r="BB9" s="110">
        <f>Batches!B561</f>
        <v>0.78140713901938341</v>
      </c>
      <c r="BC9" s="110">
        <f>Batches!B585</f>
        <v>0.86195286195286169</v>
      </c>
      <c r="BD9" s="110">
        <f>Batches!B610</f>
        <v>0.87460815047021945</v>
      </c>
      <c r="BE9" s="110">
        <f>Batches!B636</f>
        <v>0.82422063928613343</v>
      </c>
      <c r="BF9" s="110">
        <f>Batches!B662</f>
        <v>0.85495867412457238</v>
      </c>
      <c r="BG9" s="110">
        <f>Batches!B687</f>
        <v>0.82590958288235805</v>
      </c>
      <c r="BH9" s="110">
        <f>Batches!B713</f>
        <v>0.76605339105339132</v>
      </c>
      <c r="BI9" s="110">
        <f>Batches!B739</f>
        <v>0.7181878839156125</v>
      </c>
      <c r="BJ9" s="110">
        <f>Batches!B765</f>
        <v>0.80718145620022752</v>
      </c>
      <c r="BK9" s="110">
        <f>Batches!B788</f>
        <v>0.68328541670253251</v>
      </c>
      <c r="BL9" s="110">
        <f>Batches!B815</f>
        <v>0.71544494142492843</v>
      </c>
      <c r="BM9" s="110">
        <f>Batches!B841</f>
        <v>0.71425701136908193</v>
      </c>
      <c r="BN9" s="110">
        <f>Batches!B867</f>
        <v>0.67957330316742071</v>
      </c>
      <c r="BO9" s="110">
        <f>Batches!B892</f>
        <v>0.63826244343891403</v>
      </c>
      <c r="BP9" s="110">
        <f>Batches!B917</f>
        <v>0.87004235294117649</v>
      </c>
      <c r="BQ9" s="110">
        <f>Batches!B942</f>
        <v>0.88826046511627887</v>
      </c>
      <c r="BR9" s="110">
        <f>Batches!B967</f>
        <v>0.77806395348837232</v>
      </c>
      <c r="BS9" s="110">
        <f>Batches!B992</f>
        <v>0.75211046511627921</v>
      </c>
      <c r="BT9" s="110">
        <f>Batches!B1017</f>
        <v>0.85879393939393966</v>
      </c>
      <c r="BU9" s="110">
        <f>Batches!B1042</f>
        <v>0.87177391304347829</v>
      </c>
      <c r="BV9" s="110">
        <f>Batches!B1067</f>
        <v>0.87635869565217406</v>
      </c>
      <c r="BW9" s="110">
        <f>Batches!B1092</f>
        <v>0.88680555555555562</v>
      </c>
      <c r="BX9" s="110">
        <f>Batches!B1116</f>
        <v>0.78597916666666667</v>
      </c>
      <c r="BY9" s="110">
        <f>Batches!B1140</f>
        <v>0.80670454545454562</v>
      </c>
      <c r="BZ9" s="110">
        <f>Batches!B1164</f>
        <v>0.88209090909090937</v>
      </c>
      <c r="CA9" s="110">
        <f>Batches!B1188</f>
        <v>0.88575454545454568</v>
      </c>
      <c r="CB9" s="110">
        <f>Batches!B1212</f>
        <v>0.77070000000000005</v>
      </c>
      <c r="CC9" s="110">
        <f>Batches!B1236</f>
        <v>0.7592727272727271</v>
      </c>
      <c r="CD9" s="110">
        <f>Batches!B1260</f>
        <v>0.63479999999999992</v>
      </c>
      <c r="CE9" s="110">
        <f>Batches!B1284</f>
        <v>0.6125975757575759</v>
      </c>
      <c r="CF9" s="110">
        <f>Batches!B1308</f>
        <v>0.64679999999999982</v>
      </c>
      <c r="CG9" s="110">
        <f>Batches!B1332</f>
        <v>0.56619886363636374</v>
      </c>
      <c r="CH9" s="110">
        <f>Batches!B1356</f>
        <v>0.69906006493506512</v>
      </c>
      <c r="CI9" s="110">
        <f>Batches!B1380</f>
        <v>0.79662121212121184</v>
      </c>
      <c r="CJ9" s="110">
        <f>Batches!B1404</f>
        <v>0.51874669266118922</v>
      </c>
      <c r="CK9" s="110">
        <f>Batches!B1428</f>
        <v>0.64598802395209576</v>
      </c>
      <c r="CL9" s="110">
        <f>Batches!B1451</f>
        <v>0.7128099173553718</v>
      </c>
      <c r="CM9" s="110">
        <f>Batches!B1475</f>
        <v>0.8102125147579694</v>
      </c>
      <c r="CN9" s="110">
        <f>Batches!B1499</f>
        <v>0.8813755656108595</v>
      </c>
      <c r="CO9" s="110">
        <f>Batches!B1523</f>
        <v>0.81713554987212278</v>
      </c>
      <c r="CP9" s="110">
        <f>Batches!B1547</f>
        <v>0.84579543927243417</v>
      </c>
      <c r="CQ9" s="110">
        <f>Batches!B1571</f>
        <v>0.81564950980392159</v>
      </c>
      <c r="CR9" s="110">
        <f>Batches!B1595</f>
        <v>0.77558655394524967</v>
      </c>
      <c r="CS9" s="110">
        <f>Batches!B1619</f>
        <v>0.77284403292181103</v>
      </c>
      <c r="CT9" s="110">
        <f>Batches!B1643</f>
        <v>0.82638325281803526</v>
      </c>
      <c r="CU9" s="110">
        <f>Batches!B1667</f>
        <v>0.68809931506849342</v>
      </c>
      <c r="CV9" s="110">
        <f>Batches!B1691</f>
        <v>0.67248648648648668</v>
      </c>
      <c r="CW9" s="110">
        <f>Batches!B1715</f>
        <v>0.59508000000000005</v>
      </c>
      <c r="CX9" s="110">
        <f>Batches!B1739</f>
        <v>0.60575476190476196</v>
      </c>
      <c r="CY9" s="110">
        <f>Batches!B1763</f>
        <v>0.72162790697674417</v>
      </c>
      <c r="CZ9" s="110">
        <f>Batches!B1787</f>
        <v>0.83296385542168672</v>
      </c>
      <c r="DA9" s="110">
        <f>Batches!B1811</f>
        <v>0.80427548029957707</v>
      </c>
      <c r="DB9" s="110">
        <f>Batches!B1835</f>
        <v>0.78863757733637274</v>
      </c>
      <c r="DC9" s="110">
        <f>Batches!B1859</f>
        <v>0.73826766525561727</v>
      </c>
      <c r="DD9" s="110">
        <f>Batches!B1883</f>
        <v>0.76941772151898724</v>
      </c>
      <c r="DE9" s="110">
        <f>Batches!B1907</f>
        <v>0.81108433734939778</v>
      </c>
      <c r="DF9" s="110">
        <f>Batches!B1931</f>
        <v>0.67077108433734933</v>
      </c>
      <c r="DG9" s="110">
        <f>Batches!B1955</f>
        <v>0.78614457831325302</v>
      </c>
      <c r="DH9" s="110">
        <f>Batches!B1979</f>
        <v>0.84587951807228889</v>
      </c>
      <c r="DI9" s="110">
        <f>Batches!B2003</f>
        <v>0.78774526678141121</v>
      </c>
      <c r="DJ9" s="110">
        <f>Batches!B2027</f>
        <v>0.81898795180722883</v>
      </c>
      <c r="DK9" s="110">
        <f>Batches!B2051</f>
        <v>0.76392323397304995</v>
      </c>
      <c r="DL9" s="110">
        <f>Batches!B2075</f>
        <v>0.80860465116279068</v>
      </c>
      <c r="DM9" s="110">
        <f>Batches!B2099</f>
        <v>0.72495784883720915</v>
      </c>
      <c r="DN9" s="110">
        <f>Batches!B2123</f>
        <v>0.74832364341085278</v>
      </c>
      <c r="DO9" s="110">
        <f>Batches!B2147</f>
        <v>0.72926470588235315</v>
      </c>
      <c r="DP9" s="110">
        <f>Batches!B2171</f>
        <v>0.76757267441860466</v>
      </c>
      <c r="DQ9" s="40">
        <f>Batches!B2195</f>
        <v>0.71610000000000007</v>
      </c>
      <c r="DR9" s="40">
        <f>Batches!B2219</f>
        <v>0.73450588235294101</v>
      </c>
      <c r="DS9" s="40">
        <f>Batches!B2243</f>
        <v>0.7642352941176469</v>
      </c>
      <c r="DT9" s="40">
        <f>Batches!B2267</f>
        <v>0.58685064935064946</v>
      </c>
      <c r="DU9" s="40">
        <f>Batches!B2291</f>
        <v>0.66514534883720955</v>
      </c>
      <c r="DV9" s="40">
        <f>Batches!B2315</f>
        <v>0.66065624999999994</v>
      </c>
      <c r="DW9" s="40">
        <f>Batches!B2339</f>
        <v>0.731304347826087</v>
      </c>
      <c r="DX9" s="40">
        <f>Batches!B2363</f>
        <v>0.68360054347826105</v>
      </c>
      <c r="DY9" s="40">
        <f>Batches!B2387</f>
        <v>0.81526933771486343</v>
      </c>
      <c r="DZ9" s="40">
        <f>Batches!B2411</f>
        <v>0.75142364793213134</v>
      </c>
      <c r="EA9" s="40">
        <f>Batches!B2435</f>
        <v>0.69479813664596279</v>
      </c>
      <c r="EB9" s="40">
        <f>Batches!B2459</f>
        <v>0.72374851190476197</v>
      </c>
      <c r="EC9" s="40">
        <f>Batches!B2483</f>
        <v>0.81035227272727295</v>
      </c>
      <c r="ED9" s="40">
        <f>Batches!B2507</f>
        <v>0.86437575757575746</v>
      </c>
      <c r="EE9" s="40">
        <f>Batches!B2531</f>
        <v>0.77514583333333342</v>
      </c>
      <c r="EF9" s="40">
        <f>Batches!B2555</f>
        <v>0.67531097560975595</v>
      </c>
      <c r="EG9" s="40">
        <f>Batches!B2579</f>
        <v>0.76956097560975578</v>
      </c>
      <c r="EH9" s="40">
        <f>Batches!B2603</f>
        <v>0.66065078909612618</v>
      </c>
      <c r="EI9" s="40">
        <f>Batches!B2627</f>
        <v>0.7084814505546938</v>
      </c>
      <c r="EJ9" s="40">
        <f>Batches!B2651</f>
        <v>0.72105088235294135</v>
      </c>
      <c r="EK9" s="40">
        <f>Batches!B2675</f>
        <v>0.75821139705882334</v>
      </c>
      <c r="EL9" s="40">
        <f>Batches!B2699</f>
        <v>0.75485294117647073</v>
      </c>
      <c r="EM9" s="40">
        <f>Batches!B2723</f>
        <v>0.7705257352941175</v>
      </c>
      <c r="EN9" s="40">
        <f>Batches!B2747</f>
        <v>0.75670588235294145</v>
      </c>
    </row>
    <row r="10" spans="1:149" x14ac:dyDescent="0.25">
      <c r="A10" s="801"/>
      <c r="B10" s="1" t="s">
        <v>111</v>
      </c>
      <c r="C10" s="10">
        <f>'Batch 2018'!B11</f>
        <v>16</v>
      </c>
      <c r="D10" s="10">
        <f>'Batch 2018'!B33</f>
        <v>15</v>
      </c>
      <c r="E10" s="10">
        <f>'Batch 2018'!B55</f>
        <v>14.5</v>
      </c>
      <c r="F10" s="10">
        <f>'Batch 2018'!B77</f>
        <v>15</v>
      </c>
      <c r="G10" s="10">
        <f>'Batch 2018'!B99</f>
        <v>15</v>
      </c>
      <c r="H10" s="10">
        <f>'Batch 2018'!B121</f>
        <v>14.5</v>
      </c>
      <c r="I10" s="10">
        <f>'Batch 2018'!B143</f>
        <v>16</v>
      </c>
      <c r="J10" s="10">
        <f>'Batch 2018'!B165</f>
        <v>14</v>
      </c>
      <c r="K10" s="10">
        <f>'Batch 2018'!B187</f>
        <v>15</v>
      </c>
      <c r="L10" s="10">
        <f>'Batch 2018'!B209</f>
        <v>15</v>
      </c>
      <c r="M10" s="10">
        <f>'Batch 2018'!B231</f>
        <v>12.4</v>
      </c>
      <c r="N10" s="10">
        <f>'Batch 2018'!B253</f>
        <v>10.6</v>
      </c>
      <c r="O10" s="10">
        <f>'Batch 2018'!B275</f>
        <v>14.5</v>
      </c>
      <c r="P10" s="10">
        <f>'Batch 2018'!B297</f>
        <v>12.5</v>
      </c>
      <c r="Q10" s="10">
        <f>'Batch 2018'!B319</f>
        <v>10</v>
      </c>
      <c r="R10" s="10">
        <f>'Batch 2018'!B341</f>
        <v>11</v>
      </c>
      <c r="S10" s="10">
        <f>'Batch 2018'!B363</f>
        <v>11</v>
      </c>
      <c r="T10" s="10">
        <f>'Batch 2018'!B385</f>
        <v>15</v>
      </c>
      <c r="U10" s="10">
        <f>'Batch 2018'!B407</f>
        <v>14.5</v>
      </c>
      <c r="V10" s="10">
        <f>'Batch 2018'!B429</f>
        <v>15</v>
      </c>
      <c r="W10" s="10">
        <f>'Batch 2018'!B451</f>
        <v>15.5</v>
      </c>
      <c r="X10" s="10">
        <f>'Batch 2018'!B473</f>
        <v>15</v>
      </c>
      <c r="Y10" s="10">
        <f>'Batch 2018'!B495</f>
        <v>16</v>
      </c>
      <c r="Z10" s="10">
        <f>'Batch 2018'!B517</f>
        <v>15</v>
      </c>
      <c r="AA10" s="10">
        <f>'Batch 2018'!B539</f>
        <v>14.5</v>
      </c>
      <c r="AB10" s="10">
        <f>'Batch 2018'!B561</f>
        <v>14.8</v>
      </c>
      <c r="AC10" s="10">
        <f>'Batch 2018'!B583</f>
        <v>14.2</v>
      </c>
      <c r="AD10" s="23">
        <v>15</v>
      </c>
      <c r="AE10" s="23">
        <v>15</v>
      </c>
      <c r="AF10" s="24">
        <v>15</v>
      </c>
      <c r="AG10" s="23">
        <v>14</v>
      </c>
      <c r="AH10" s="23">
        <v>14</v>
      </c>
      <c r="AI10" s="23">
        <v>14</v>
      </c>
      <c r="AJ10" s="23">
        <v>14</v>
      </c>
      <c r="AK10" s="24">
        <v>14</v>
      </c>
      <c r="AL10" s="25">
        <v>15.5</v>
      </c>
      <c r="AM10" s="25">
        <v>14</v>
      </c>
      <c r="AN10" s="33">
        <f>Batches!B231</f>
        <v>15</v>
      </c>
      <c r="AO10" s="33">
        <v>15</v>
      </c>
      <c r="AP10" s="33">
        <f>Batches!B275</f>
        <v>14.5</v>
      </c>
      <c r="AQ10" s="33">
        <f>Batches!B297</f>
        <v>13</v>
      </c>
      <c r="AR10" s="33">
        <f>Batches!B320</f>
        <v>16</v>
      </c>
      <c r="AS10" s="112">
        <f>Batches!B344</f>
        <v>16</v>
      </c>
      <c r="AT10" s="33">
        <f>Batches!B368</f>
        <v>15</v>
      </c>
      <c r="AU10" s="33">
        <f>Batches!B393</f>
        <v>15</v>
      </c>
      <c r="AV10" s="33">
        <f>Batches!B418</f>
        <v>16</v>
      </c>
      <c r="AW10" s="33">
        <f>Batches!B443</f>
        <v>15</v>
      </c>
      <c r="AX10" s="33">
        <f>Batches!B468</f>
        <v>15</v>
      </c>
      <c r="AY10" s="33">
        <f>Batches!B493</f>
        <v>14.5</v>
      </c>
      <c r="AZ10" s="33">
        <f>Batches!B518</f>
        <v>15</v>
      </c>
      <c r="BA10" s="33">
        <f>Batches!B542</f>
        <v>15</v>
      </c>
      <c r="BB10" s="33">
        <f>Batches!B566</f>
        <v>15</v>
      </c>
      <c r="BC10" s="33">
        <f>Batches!B590</f>
        <v>15</v>
      </c>
      <c r="BD10" s="33">
        <f>Batches!B615</f>
        <v>15</v>
      </c>
      <c r="BE10" s="33">
        <f>Batches!B641</f>
        <v>15</v>
      </c>
      <c r="BF10" s="33">
        <f>Batches!B667</f>
        <v>15</v>
      </c>
      <c r="BG10" s="33">
        <f>Batches!B692</f>
        <v>14.5</v>
      </c>
      <c r="BH10" s="33">
        <f>Batches!B718</f>
        <v>14.5</v>
      </c>
      <c r="BI10" s="33">
        <f>Batches!B744</f>
        <v>14</v>
      </c>
      <c r="BJ10" s="33">
        <f>Batches!B770</f>
        <v>14.5</v>
      </c>
      <c r="BK10" s="33">
        <f>Batches!B793</f>
        <v>14</v>
      </c>
      <c r="BL10" s="33">
        <f>Batches!B820</f>
        <v>14.5</v>
      </c>
      <c r="BM10" s="33">
        <f>Batches!B846</f>
        <v>15.5</v>
      </c>
      <c r="BN10" s="33">
        <f>Batches!B872</f>
        <v>15.5</v>
      </c>
      <c r="BO10" s="33">
        <f>Batches!B897</f>
        <v>14.5</v>
      </c>
      <c r="BP10" s="33">
        <f>Batches!B922</f>
        <v>16</v>
      </c>
      <c r="BQ10" s="33">
        <f>Batches!B947</f>
        <v>16</v>
      </c>
      <c r="BR10" s="33">
        <f>Batches!B972</f>
        <v>15</v>
      </c>
      <c r="BS10" s="33">
        <f>Batches!B997</f>
        <v>15</v>
      </c>
      <c r="BT10" s="33">
        <f>Batches!B1022</f>
        <v>14</v>
      </c>
      <c r="BU10" s="33">
        <f>Batches!B1047</f>
        <v>14</v>
      </c>
      <c r="BV10" s="33">
        <f>Batches!B1072</f>
        <v>15</v>
      </c>
      <c r="BW10" s="33">
        <f>Batches!B1097</f>
        <v>15</v>
      </c>
      <c r="BX10" s="33">
        <f>Batches!B1121</f>
        <v>15</v>
      </c>
      <c r="BY10" s="33">
        <f>Batches!B1145</f>
        <v>15</v>
      </c>
      <c r="BZ10" s="33">
        <f>Batches!B1169</f>
        <v>15</v>
      </c>
      <c r="CA10" s="33">
        <f>Batches!B1193</f>
        <v>14</v>
      </c>
      <c r="CB10" s="33">
        <f>Batches!B1217</f>
        <v>14</v>
      </c>
      <c r="CC10" s="33">
        <f>Batches!B1241</f>
        <v>14.5</v>
      </c>
      <c r="CD10" s="33">
        <f>Batches!B1265</f>
        <v>14</v>
      </c>
      <c r="CE10" s="33">
        <f>Batches!B1289</f>
        <v>14</v>
      </c>
      <c r="CF10" s="33">
        <v>14</v>
      </c>
      <c r="CG10" s="33">
        <f>Batches!B1337</f>
        <v>15</v>
      </c>
      <c r="CH10" s="33">
        <f>Batches!B1361</f>
        <v>14.5</v>
      </c>
      <c r="CI10" s="33">
        <f>Batches!B1385</f>
        <v>14.5</v>
      </c>
      <c r="CJ10" s="33">
        <f>Batches!B1409</f>
        <v>14</v>
      </c>
      <c r="CK10" s="33">
        <f>Batches!B1433</f>
        <v>14.5</v>
      </c>
      <c r="CL10" s="33">
        <f>Batches!B1456</f>
        <v>15</v>
      </c>
      <c r="CM10" s="33">
        <f>Batches!B1480</f>
        <v>15</v>
      </c>
      <c r="CN10" s="33">
        <f>Batches!B1504</f>
        <v>15</v>
      </c>
      <c r="CO10" s="33">
        <f>Batches!B1528</f>
        <v>15</v>
      </c>
      <c r="CP10" s="33">
        <f>Batches!B1552</f>
        <v>15</v>
      </c>
      <c r="CQ10" s="33">
        <f>Batches!B1576</f>
        <v>15</v>
      </c>
      <c r="CR10" s="33">
        <f>Batches!B1600</f>
        <v>14.5</v>
      </c>
      <c r="CS10" s="33">
        <f>Batches!B1624</f>
        <v>14.5</v>
      </c>
      <c r="CT10" s="33">
        <f>Batches!B1648</f>
        <v>14</v>
      </c>
      <c r="CU10" s="33">
        <f>Batches!B1672</f>
        <v>15</v>
      </c>
      <c r="CV10" s="33">
        <f>Batches!B1696</f>
        <v>14.5</v>
      </c>
      <c r="CW10" s="33">
        <f>Batches!B1720</f>
        <v>14.5</v>
      </c>
      <c r="CX10" s="33">
        <f>Batches!B1744</f>
        <v>14.5</v>
      </c>
      <c r="CY10" s="33">
        <f>Batches!B1768</f>
        <v>14.5</v>
      </c>
      <c r="CZ10" s="33">
        <f>Batches!B1792</f>
        <v>14.5</v>
      </c>
      <c r="DA10" s="33">
        <f>Batches!B1816</f>
        <v>14.5</v>
      </c>
      <c r="DB10" s="33">
        <f>Batches!B1840</f>
        <v>14.5</v>
      </c>
      <c r="DC10" s="33">
        <f>Batches!B1864</f>
        <v>14.5</v>
      </c>
      <c r="DD10" s="33">
        <f>Batches!B1888</f>
        <v>14.5</v>
      </c>
      <c r="DE10" s="33">
        <f>Batches!B1912</f>
        <v>14.5</v>
      </c>
      <c r="DF10" s="33">
        <f>Batches!B1936</f>
        <v>14.5</v>
      </c>
      <c r="DG10" s="33">
        <f>Batches!B1960</f>
        <v>15</v>
      </c>
      <c r="DH10" s="33">
        <f>Batches!B1984</f>
        <v>14.5</v>
      </c>
      <c r="DI10" s="33">
        <f>Batches!B2008</f>
        <v>15</v>
      </c>
      <c r="DJ10" s="33">
        <f>Batches!B2032</f>
        <v>14.5</v>
      </c>
      <c r="DK10" s="33">
        <f>Batches!B2056</f>
        <v>14.5</v>
      </c>
      <c r="DL10" s="33">
        <f>Batches!B2080</f>
        <v>15</v>
      </c>
      <c r="DM10" s="33">
        <f>Batches!B2104</f>
        <v>14.5</v>
      </c>
      <c r="DN10" s="33">
        <f>Batches!B2128</f>
        <v>15</v>
      </c>
      <c r="DO10" s="33">
        <f>Batches!B2152</f>
        <v>15</v>
      </c>
      <c r="DP10" s="33">
        <f>Batches!B2176</f>
        <v>15</v>
      </c>
      <c r="DQ10">
        <f>Batches!B2200</f>
        <v>15.5</v>
      </c>
      <c r="DR10">
        <f>Batches!B2224</f>
        <v>14</v>
      </c>
      <c r="DS10">
        <f>Batches!B2248</f>
        <v>14.5</v>
      </c>
      <c r="DT10">
        <f>Batches!B2272</f>
        <v>15</v>
      </c>
      <c r="DU10">
        <f>Batches!B2296</f>
        <v>14.5</v>
      </c>
      <c r="DV10">
        <f>Batches!B2320</f>
        <v>15</v>
      </c>
      <c r="DW10">
        <f>Batches!B2344</f>
        <v>16</v>
      </c>
      <c r="DX10">
        <f>Batches!B2368</f>
        <v>15</v>
      </c>
      <c r="DY10">
        <f>Batches!B2392</f>
        <v>16.5</v>
      </c>
      <c r="DZ10">
        <f>Batches!B2416</f>
        <v>16.5</v>
      </c>
      <c r="EA10">
        <f>Batches!B2440</f>
        <v>15</v>
      </c>
      <c r="EB10">
        <f>Batches!B2464</f>
        <v>14.5</v>
      </c>
      <c r="EC10">
        <f>Batches!B2488</f>
        <v>14.5</v>
      </c>
      <c r="ED10">
        <f>Batches!B2512</f>
        <v>14.5</v>
      </c>
      <c r="EE10">
        <f>Batches!B2536</f>
        <v>14.5</v>
      </c>
      <c r="EF10">
        <f>Batches!B2560</f>
        <v>15</v>
      </c>
      <c r="EG10">
        <f>Batches!B2584</f>
        <v>14.5</v>
      </c>
      <c r="EH10">
        <f>Batches!B2608</f>
        <v>14.5</v>
      </c>
      <c r="EI10">
        <f>Batches!B2632</f>
        <v>14.5</v>
      </c>
      <c r="EJ10">
        <f>Batches!B2656</f>
        <v>14.5</v>
      </c>
      <c r="EK10">
        <f>Batches!B2680</f>
        <v>14.5</v>
      </c>
      <c r="EL10">
        <f>Batches!B2704</f>
        <v>14.5</v>
      </c>
      <c r="EM10">
        <f>Batches!B2728</f>
        <v>14.5</v>
      </c>
      <c r="EN10">
        <f>Batches!B2752</f>
        <v>16</v>
      </c>
    </row>
    <row r="11" spans="1:149" x14ac:dyDescent="0.25">
      <c r="A11" s="801"/>
      <c r="B11" s="1" t="s">
        <v>114</v>
      </c>
      <c r="C11" s="10">
        <f>'Batch 2018'!B10</f>
        <v>120</v>
      </c>
      <c r="D11" s="10">
        <f>'Batch 2018'!B32</f>
        <v>126</v>
      </c>
      <c r="E11" s="10">
        <f>'Batch 2018'!B54</f>
        <v>130</v>
      </c>
      <c r="F11" s="10">
        <f>'Batch 2018'!B76</f>
        <v>124</v>
      </c>
      <c r="G11" s="10">
        <f>'Batch 2018'!B98</f>
        <v>128</v>
      </c>
      <c r="H11" s="10">
        <f>'Batch 2018'!B120</f>
        <v>126</v>
      </c>
      <c r="I11" s="10">
        <f>'Batch 2018'!B142</f>
        <v>131</v>
      </c>
      <c r="J11" s="10">
        <f>'Batch 2018'!B164</f>
        <v>132</v>
      </c>
      <c r="K11" s="10">
        <f>'Batch 2018'!B186</f>
        <v>132</v>
      </c>
      <c r="L11" s="10">
        <f>'Batch 2018'!B208</f>
        <v>132</v>
      </c>
      <c r="M11" s="10">
        <f>'Batch 2018'!B230</f>
        <v>128</v>
      </c>
      <c r="N11" s="10">
        <f>'Batch 2018'!B252</f>
        <v>128</v>
      </c>
      <c r="O11" s="10">
        <f>'Batch 2018'!B274</f>
        <v>126</v>
      </c>
      <c r="P11" s="10">
        <f>'Batch 2018'!B296</f>
        <v>126</v>
      </c>
      <c r="Q11" s="10">
        <f>'Batch 2018'!B318</f>
        <v>120</v>
      </c>
      <c r="R11" s="10">
        <f>'Batch 2018'!B340</f>
        <v>127</v>
      </c>
      <c r="S11" s="10">
        <f>'Batch 2018'!B362</f>
        <v>139</v>
      </c>
      <c r="T11" s="10">
        <f>'Batch 2018'!B384</f>
        <v>139</v>
      </c>
      <c r="U11" s="10">
        <f>'Batch 2018'!B406</f>
        <v>131</v>
      </c>
      <c r="V11" s="10">
        <f>'Batch 2018'!B428</f>
        <v>122</v>
      </c>
      <c r="W11" s="10">
        <f>'Batch 2018'!B450</f>
        <v>135</v>
      </c>
      <c r="X11" s="10">
        <f>'Batch 2018'!B472</f>
        <v>129</v>
      </c>
      <c r="Y11" s="10">
        <f>'Batch 2018'!B494</f>
        <v>122</v>
      </c>
      <c r="Z11" s="10">
        <f>'Batch 2018'!B516</f>
        <v>105</v>
      </c>
      <c r="AA11" s="10">
        <f>'Batch 2018'!B538</f>
        <v>104</v>
      </c>
      <c r="AB11" s="10">
        <f>'Batch 2018'!B560</f>
        <v>109</v>
      </c>
      <c r="AC11" s="10">
        <f>'Batch 2018'!B582</f>
        <v>125</v>
      </c>
      <c r="AD11" s="23">
        <v>127</v>
      </c>
      <c r="AE11" s="23">
        <v>127</v>
      </c>
      <c r="AF11" s="24">
        <v>128</v>
      </c>
      <c r="AG11" s="23">
        <v>126</v>
      </c>
      <c r="AH11" s="23">
        <v>129</v>
      </c>
      <c r="AI11" s="23">
        <v>121</v>
      </c>
      <c r="AJ11" s="23">
        <v>107</v>
      </c>
      <c r="AK11" s="24">
        <v>115</v>
      </c>
      <c r="AL11" s="25">
        <v>132</v>
      </c>
      <c r="AM11" s="25">
        <v>123</v>
      </c>
      <c r="AN11" s="33">
        <f>Batches!B230</f>
        <v>122</v>
      </c>
      <c r="AO11" s="33">
        <v>121</v>
      </c>
      <c r="AP11" s="33">
        <f>Batches!B274</f>
        <v>118</v>
      </c>
      <c r="AQ11" s="33">
        <f>Batches!B296</f>
        <v>123</v>
      </c>
      <c r="AR11" s="33">
        <f>Batches!B319</f>
        <v>116</v>
      </c>
      <c r="AS11" s="112">
        <f>Batches!B343</f>
        <v>120</v>
      </c>
      <c r="AT11" s="33">
        <f>Batches!B367</f>
        <v>120</v>
      </c>
      <c r="AU11" s="33">
        <f>Batches!B392</f>
        <v>120</v>
      </c>
      <c r="AV11" s="33">
        <f>Batches!B417</f>
        <v>120</v>
      </c>
      <c r="AW11" s="33">
        <f>Batches!B442</f>
        <v>116</v>
      </c>
      <c r="AX11" s="33">
        <f>Batches!B467</f>
        <v>116</v>
      </c>
      <c r="AY11" s="33">
        <f>Batches!B492</f>
        <v>116</v>
      </c>
      <c r="AZ11" s="33">
        <f>Batches!B517</f>
        <v>116</v>
      </c>
      <c r="BA11" s="33">
        <f>Batches!B541</f>
        <v>116</v>
      </c>
      <c r="BB11" s="33">
        <f>Batches!B565</f>
        <v>116</v>
      </c>
      <c r="BC11" s="33">
        <f>Batches!B589</f>
        <v>116</v>
      </c>
      <c r="BD11" s="33">
        <f>Batches!B614</f>
        <v>116</v>
      </c>
      <c r="BE11" s="33">
        <f>Batches!B640</f>
        <v>116</v>
      </c>
      <c r="BF11" s="33">
        <f>Batches!B666</f>
        <v>116</v>
      </c>
      <c r="BG11" s="33">
        <f>Batches!B691</f>
        <v>116</v>
      </c>
      <c r="BH11" s="33">
        <f>Batches!B717</f>
        <v>116</v>
      </c>
      <c r="BI11" s="33">
        <f>Batches!B743</f>
        <v>116</v>
      </c>
      <c r="BJ11" s="33">
        <f>Batches!B769</f>
        <v>123</v>
      </c>
      <c r="BK11" s="33">
        <f>Batches!B792</f>
        <v>121</v>
      </c>
      <c r="BL11" s="33">
        <f>Batches!B819</f>
        <v>121</v>
      </c>
      <c r="BM11" s="33">
        <f>Batches!B845</f>
        <v>126</v>
      </c>
      <c r="BN11" s="33">
        <f>Batches!B871</f>
        <v>123</v>
      </c>
      <c r="BO11" s="33">
        <f>Batches!B896</f>
        <v>125</v>
      </c>
      <c r="BP11" s="33">
        <f>Batches!B921</f>
        <v>121</v>
      </c>
      <c r="BQ11" s="33">
        <f>Batches!B946</f>
        <v>121</v>
      </c>
      <c r="BR11" s="33">
        <f>Batches!B971</f>
        <v>121</v>
      </c>
      <c r="BS11" s="33">
        <f>Batches!B996</f>
        <v>126</v>
      </c>
      <c r="BT11" s="33">
        <f>Batches!B1021</f>
        <v>127</v>
      </c>
      <c r="BU11" s="33">
        <f>Batches!B1046</f>
        <v>126</v>
      </c>
      <c r="BV11" s="33">
        <f>Batches!B1071</f>
        <v>143</v>
      </c>
      <c r="BW11" s="33">
        <f>Batches!B1096</f>
        <v>163</v>
      </c>
      <c r="BX11" s="33">
        <f>Batches!B1120</f>
        <v>121</v>
      </c>
      <c r="BY11" s="33">
        <f>Batches!B1144</f>
        <v>145</v>
      </c>
      <c r="BZ11" s="33">
        <f>Batches!B1168</f>
        <v>125</v>
      </c>
      <c r="CA11" s="33">
        <f>Batches!B1192</f>
        <v>136</v>
      </c>
      <c r="CB11" s="33">
        <f>Batches!B1216</f>
        <v>121</v>
      </c>
      <c r="CC11" s="33">
        <f>Batches!B1240</f>
        <v>140</v>
      </c>
      <c r="CD11" s="33">
        <f>Batches!B1264</f>
        <v>153</v>
      </c>
      <c r="CE11" s="33">
        <f>Batches!B1288</f>
        <v>150</v>
      </c>
      <c r="CF11" s="33">
        <f>Batches!B1312</f>
        <v>150</v>
      </c>
      <c r="CG11" s="33">
        <f>Batches!B1336</f>
        <v>140</v>
      </c>
      <c r="CH11" s="33">
        <f>Batches!B1360</f>
        <v>140</v>
      </c>
      <c r="CI11" s="33">
        <f>Batches!B1384</f>
        <v>140</v>
      </c>
      <c r="CJ11" s="33">
        <f>Batches!B1408</f>
        <v>140</v>
      </c>
      <c r="CK11" s="33">
        <f>Batches!B1432</f>
        <v>125</v>
      </c>
      <c r="CL11" s="33">
        <f>Batches!B1455</f>
        <v>140</v>
      </c>
      <c r="CM11" s="33">
        <f>Batches!B1479</f>
        <v>140</v>
      </c>
      <c r="CN11" s="33">
        <f>Batches!B1503</f>
        <v>140</v>
      </c>
      <c r="CO11" s="33">
        <f>Batches!B1527</f>
        <v>125</v>
      </c>
      <c r="CP11" s="33">
        <f>Batches!B1551</f>
        <v>140</v>
      </c>
      <c r="CQ11" s="33">
        <f>Batches!B1575</f>
        <v>125</v>
      </c>
      <c r="CR11" s="33">
        <f>Batches!B1599</f>
        <v>125</v>
      </c>
      <c r="CS11" s="33">
        <f>Batches!B1623</f>
        <v>125</v>
      </c>
      <c r="CT11" s="33">
        <f>Batches!B1647</f>
        <v>125</v>
      </c>
      <c r="CU11" s="33">
        <f>Batches!B1671</f>
        <v>125</v>
      </c>
      <c r="CV11" s="33">
        <f>Batches!B1695</f>
        <v>125</v>
      </c>
      <c r="CW11" s="33">
        <f>Batches!B1719</f>
        <v>125</v>
      </c>
      <c r="CX11" s="33">
        <f>Batches!B1743</f>
        <v>125</v>
      </c>
      <c r="CY11" s="33">
        <f>Batches!B1767</f>
        <v>125</v>
      </c>
      <c r="CZ11" s="33">
        <f>Batches!B1791</f>
        <v>125</v>
      </c>
      <c r="DA11" s="33">
        <f>Batches!B1815</f>
        <v>125</v>
      </c>
      <c r="DB11" s="33">
        <f>Batches!B1839</f>
        <v>125</v>
      </c>
      <c r="DC11" s="33">
        <f>Batches!B1863</f>
        <v>125</v>
      </c>
      <c r="DD11" s="33">
        <f>Batches!B1887</f>
        <v>125</v>
      </c>
      <c r="DE11" s="33">
        <f>Batches!B1911</f>
        <v>125</v>
      </c>
      <c r="DF11" s="33">
        <f>Batches!B1935</f>
        <v>125</v>
      </c>
      <c r="DG11" s="33">
        <f>Batches!B1959</f>
        <v>125</v>
      </c>
      <c r="DH11" s="33">
        <f>Batches!B1983</f>
        <v>125</v>
      </c>
      <c r="DI11" s="33">
        <f>Batches!B2007</f>
        <v>125</v>
      </c>
      <c r="DJ11" s="33">
        <f>Batches!B2031</f>
        <v>125</v>
      </c>
      <c r="DK11" s="33">
        <f>Batches!B2055</f>
        <v>125</v>
      </c>
      <c r="DL11" s="33">
        <f>Batches!B2079</f>
        <v>125</v>
      </c>
      <c r="DM11" s="33">
        <f>Batches!B2103</f>
        <v>125</v>
      </c>
      <c r="DN11" s="33">
        <f>Batches!B2127</f>
        <v>125</v>
      </c>
      <c r="DO11" s="33">
        <f>Batches!B2151</f>
        <v>125</v>
      </c>
      <c r="DP11" s="33">
        <f>Batches!B2175</f>
        <v>125</v>
      </c>
      <c r="DQ11">
        <f>Batches!B2199</f>
        <v>125</v>
      </c>
      <c r="DR11">
        <f>Batches!B2223</f>
        <v>126</v>
      </c>
      <c r="DS11">
        <f>Batches!B2247</f>
        <v>125</v>
      </c>
      <c r="DT11">
        <f>Batches!B2271</f>
        <v>125</v>
      </c>
      <c r="DU11">
        <f>Batches!B2295</f>
        <v>125</v>
      </c>
      <c r="DV11">
        <f>Batches!B2319</f>
        <v>125</v>
      </c>
      <c r="DW11">
        <f>Batches!B2343</f>
        <v>125</v>
      </c>
      <c r="DX11">
        <f>Batches!B2367</f>
        <v>125</v>
      </c>
      <c r="DY11">
        <f>Batches!B2391</f>
        <v>125</v>
      </c>
      <c r="DZ11">
        <f>Batches!B2415</f>
        <v>130</v>
      </c>
      <c r="EA11">
        <f>Batches!B2439</f>
        <v>125</v>
      </c>
      <c r="EB11">
        <f>Batches!B2463</f>
        <v>125</v>
      </c>
      <c r="EC11">
        <f>Batches!B2487</f>
        <v>125</v>
      </c>
      <c r="ED11">
        <f>Batches!B2511</f>
        <v>125</v>
      </c>
      <c r="EE11">
        <f>Batches!B2535</f>
        <v>125</v>
      </c>
      <c r="EF11">
        <f>Batches!B2559</f>
        <v>125</v>
      </c>
      <c r="EG11">
        <f>Batches!B2583</f>
        <v>125</v>
      </c>
      <c r="EH11">
        <f>Batches!B2607</f>
        <v>125</v>
      </c>
      <c r="EI11">
        <f>Batches!B2631</f>
        <v>125</v>
      </c>
      <c r="EJ11">
        <f>Batches!B2655</f>
        <v>125</v>
      </c>
      <c r="EK11">
        <f>Batches!B2679</f>
        <v>125</v>
      </c>
      <c r="EL11">
        <f>Batches!B2703</f>
        <v>125</v>
      </c>
      <c r="EM11">
        <f>Batches!B2727</f>
        <v>125</v>
      </c>
      <c r="EN11">
        <f>Batches!B2751</f>
        <v>133</v>
      </c>
    </row>
    <row r="12" spans="1:149" x14ac:dyDescent="0.25">
      <c r="A12" s="802"/>
      <c r="B12" s="1" t="s">
        <v>3</v>
      </c>
      <c r="C12" s="10"/>
      <c r="D12" s="10"/>
      <c r="E12" s="10"/>
      <c r="F12" s="10"/>
      <c r="G12" s="10"/>
      <c r="H12" s="10"/>
      <c r="I12" s="10"/>
      <c r="J12" s="10"/>
      <c r="K12" s="10"/>
      <c r="L12" s="10"/>
      <c r="M12" s="10"/>
      <c r="N12" s="10"/>
      <c r="O12" s="10"/>
      <c r="P12" s="10"/>
      <c r="Q12" s="10"/>
      <c r="R12" s="10"/>
      <c r="S12" s="10"/>
      <c r="T12" s="10"/>
      <c r="U12" s="10"/>
      <c r="V12" s="10"/>
      <c r="W12" s="10"/>
      <c r="X12" s="10"/>
      <c r="Y12" s="10"/>
      <c r="Z12" s="80">
        <f>'Batch 2018'!O521</f>
        <v>0.8</v>
      </c>
      <c r="AA12" s="81" t="str">
        <f>'Batch 2018'!O543</f>
        <v xml:space="preserve">          81.2%</v>
      </c>
      <c r="AB12" s="81" t="str">
        <f>'Batch 2018'!O565</f>
        <v xml:space="preserve">          76.2%</v>
      </c>
      <c r="AC12" s="81" t="str">
        <f>'Batch 2018'!O587</f>
        <v xml:space="preserve">     78.75%</v>
      </c>
      <c r="AD12" s="21">
        <f>Batches!S17</f>
        <v>0.63749999999999996</v>
      </c>
      <c r="AE12" s="21">
        <f>Batches!S39</f>
        <v>0.8</v>
      </c>
      <c r="AF12" s="27">
        <f>Batches!S61</f>
        <v>0.78749999999999998</v>
      </c>
      <c r="AG12" s="21">
        <f>Batches!S83</f>
        <v>0.77500000000000002</v>
      </c>
      <c r="AH12" s="21">
        <f>Batches!S105</f>
        <v>0.71250000000000002</v>
      </c>
      <c r="AI12" s="21">
        <f>Batches!S127</f>
        <v>0.75</v>
      </c>
      <c r="AJ12" s="21">
        <f>Batches!S149</f>
        <v>0.71250000000000002</v>
      </c>
      <c r="AK12" s="27">
        <f>Batches!S171</f>
        <v>0.66249999999999998</v>
      </c>
      <c r="AL12" s="28">
        <f>Batches!S193</f>
        <v>0.67500000000000004</v>
      </c>
      <c r="AM12" s="28">
        <f>Batches!S215</f>
        <v>0.76249999999999996</v>
      </c>
      <c r="AN12" s="28">
        <f>Batches!S237</f>
        <v>0.78749999999999998</v>
      </c>
      <c r="AO12" s="28">
        <v>0.81</v>
      </c>
      <c r="AP12" s="28">
        <f>Batches!S281</f>
        <v>0.73</v>
      </c>
      <c r="AQ12" s="28">
        <f>Batches!S302</f>
        <v>0.8125</v>
      </c>
      <c r="AR12" s="28">
        <f>Batches!S326</f>
        <v>0.83</v>
      </c>
      <c r="AS12" s="113" t="str">
        <f>Batches!S349</f>
        <v>75.6 %</v>
      </c>
      <c r="AT12" s="28" t="str">
        <f>Batches!S374</f>
        <v>75.6 %</v>
      </c>
      <c r="AU12" s="114">
        <f>Batches!S399 %</f>
        <v>0.73750000000000004</v>
      </c>
      <c r="AV12" s="114">
        <f>Batches!S423</f>
        <v>0.95312499999999989</v>
      </c>
      <c r="AW12" s="28">
        <f>Batches!S448</f>
        <v>0.83125000000000004</v>
      </c>
      <c r="AX12" s="28">
        <f>Batches!S473</f>
        <v>0.83099999999999996</v>
      </c>
      <c r="AY12" s="28">
        <f>Batches!S498</f>
        <v>0.82099999999999995</v>
      </c>
      <c r="AZ12" s="28">
        <f>Batches!S523</f>
        <v>0.71875</v>
      </c>
      <c r="BA12" s="28">
        <f>Batches!S548</f>
        <v>0.76249999999999996</v>
      </c>
      <c r="BB12" s="28">
        <f>Batches!S572</f>
        <v>0.63749999999999996</v>
      </c>
      <c r="BC12" s="28">
        <f>Batches!S596</f>
        <v>0.73099999999999998</v>
      </c>
      <c r="BD12" s="28">
        <f>Batches!S621</f>
        <v>0.73099999999999998</v>
      </c>
      <c r="BE12" s="28">
        <f>Batches!S647</f>
        <v>0.64</v>
      </c>
      <c r="BF12" s="28">
        <f>Batches!S673</f>
        <v>0.70699999999999996</v>
      </c>
      <c r="BG12" s="28">
        <f>Batches!S698</f>
        <v>0.67</v>
      </c>
      <c r="BH12" s="28">
        <f>Batches!S724</f>
        <v>0.64</v>
      </c>
      <c r="BI12" s="28">
        <f>Batches!S750</f>
        <v>0.53</v>
      </c>
      <c r="BJ12" s="28">
        <f>Batches!S775</f>
        <v>0.59</v>
      </c>
      <c r="BK12" s="28">
        <f>Batches!U750</f>
        <v>0</v>
      </c>
      <c r="BL12" s="28">
        <f>Batches!U775</f>
        <v>0</v>
      </c>
      <c r="BM12" s="28">
        <f>Batches!S852</f>
        <v>0.65</v>
      </c>
      <c r="BN12" s="28">
        <v>0.65</v>
      </c>
      <c r="BO12" s="28">
        <v>0.68</v>
      </c>
      <c r="BP12" s="28">
        <v>0.64</v>
      </c>
      <c r="BQ12" s="28">
        <v>0.56999999999999995</v>
      </c>
      <c r="BR12" s="28">
        <v>0.52</v>
      </c>
      <c r="BS12" s="28">
        <v>0.54</v>
      </c>
      <c r="BT12" s="28">
        <v>0.5</v>
      </c>
      <c r="BU12" s="28">
        <v>0.51</v>
      </c>
      <c r="BV12" s="28">
        <v>0.51</v>
      </c>
      <c r="BW12" s="28">
        <v>0.54</v>
      </c>
      <c r="BX12" s="28">
        <v>0.54</v>
      </c>
      <c r="BY12" s="28">
        <v>0.51</v>
      </c>
      <c r="BZ12" s="40">
        <v>0.48</v>
      </c>
      <c r="CA12" s="40">
        <v>0.62</v>
      </c>
      <c r="CB12" s="110">
        <v>0.6</v>
      </c>
      <c r="CC12" s="110">
        <v>0.53</v>
      </c>
      <c r="CD12" s="110">
        <v>0.6</v>
      </c>
      <c r="CE12" s="110">
        <v>0.6</v>
      </c>
      <c r="CF12" s="171">
        <f>Batches!S1318</f>
        <v>0.55000000000000004</v>
      </c>
      <c r="CG12" s="171">
        <f>Batches!S1342</f>
        <v>0.58499999999999996</v>
      </c>
      <c r="CH12" s="171">
        <f>Batches!S1366</f>
        <v>0.72799999999999998</v>
      </c>
      <c r="CI12" s="171">
        <f>Batches!R1391</f>
        <v>0.77142857142857146</v>
      </c>
      <c r="CJ12" s="171">
        <f>Batches!S1415</f>
        <v>0.68500000000000005</v>
      </c>
      <c r="CK12" s="171">
        <f>Batches!R1439</f>
        <v>0.77142857142857146</v>
      </c>
      <c r="CL12" s="171">
        <f>Batches!R1455</f>
        <v>0.83571428571428574</v>
      </c>
      <c r="CM12" s="171">
        <f>Batches!R1479</f>
        <v>0.75714285714285712</v>
      </c>
      <c r="CN12" s="171">
        <f>Batches!S1503</f>
        <v>0.77800000000000002</v>
      </c>
      <c r="CO12" s="171">
        <f>Batches!R1527</f>
        <v>0.77857142857142858</v>
      </c>
      <c r="CP12" s="171">
        <f>Batches!S1551</f>
        <v>0.78500000000000003</v>
      </c>
      <c r="CQ12" s="171">
        <f>Batches!S1579</f>
        <v>0.81</v>
      </c>
      <c r="CR12" s="171">
        <f>Batches!S1600</f>
        <v>0.84</v>
      </c>
      <c r="CS12" s="171">
        <f>Batches!S1624</f>
        <v>0.8</v>
      </c>
      <c r="CT12" s="171">
        <f>Batches!S1648</f>
        <v>0.77800000000000002</v>
      </c>
      <c r="CU12" s="171">
        <f>Batches!S1672</f>
        <v>0.70699999999999996</v>
      </c>
      <c r="CV12" s="171">
        <f>Batches!S1696</f>
        <v>0.5</v>
      </c>
      <c r="CW12" s="171">
        <f>Batches!S1720</f>
        <v>0.48499999999999999</v>
      </c>
      <c r="CX12" s="171">
        <f>Batches!S1744</f>
        <v>0.85699999999999998</v>
      </c>
      <c r="CY12" s="171">
        <f>Batches!S1768</f>
        <v>0.84</v>
      </c>
      <c r="CZ12" s="171">
        <f>Batches!S1792</f>
        <v>0.83</v>
      </c>
      <c r="DA12" s="171">
        <f>Batches!S1816</f>
        <v>0.77</v>
      </c>
      <c r="DB12" s="171">
        <f>Batches!S1839</f>
        <v>0.82</v>
      </c>
      <c r="DC12" s="171">
        <f>Batches!S1863</f>
        <v>0.82</v>
      </c>
      <c r="DD12" s="171">
        <f>Batches!S1887</f>
        <v>0.75700000000000001</v>
      </c>
      <c r="DE12" s="171">
        <f>Batches!S1911</f>
        <v>0.85</v>
      </c>
      <c r="DF12" s="171">
        <f>Batches!S1935</f>
        <v>0.71499999999999997</v>
      </c>
      <c r="DG12" s="171">
        <f>Batches!S1959</f>
        <v>0.8</v>
      </c>
      <c r="DH12" s="171">
        <f>Batches!S1983</f>
        <v>0.81</v>
      </c>
      <c r="DI12" s="171">
        <f>Batches!S2007</f>
        <v>0.84</v>
      </c>
      <c r="DJ12" s="171">
        <f>Batches!S2031</f>
        <v>0.8</v>
      </c>
      <c r="DK12" s="171">
        <f>Batches!S2055</f>
        <v>0.78500000000000003</v>
      </c>
      <c r="DL12" s="171">
        <f>Batches!S2079</f>
        <v>0.8</v>
      </c>
      <c r="DM12" s="171">
        <f>Batches!S2103</f>
        <v>0.8</v>
      </c>
      <c r="DN12" s="171">
        <f>Batches!S2127</f>
        <v>0.75714285714285712</v>
      </c>
      <c r="DO12" s="171">
        <f>Batches!S2151</f>
        <v>0.8571428571428571</v>
      </c>
      <c r="DP12" s="171">
        <f>Batches!S2175</f>
        <v>0.72857142857142854</v>
      </c>
      <c r="DQ12" s="171">
        <f>Batches!S2199</f>
        <v>0.65</v>
      </c>
      <c r="DR12" s="171">
        <f>Batches!S2223</f>
        <v>0.72799999999999998</v>
      </c>
      <c r="DS12" s="171">
        <f>Batches!S2248</f>
        <v>0.81</v>
      </c>
      <c r="DT12" s="171">
        <f>Batches!S2271</f>
        <v>0.75700000000000001</v>
      </c>
      <c r="DU12" s="171">
        <f>Batches!S2295</f>
        <v>0.85</v>
      </c>
      <c r="DV12" s="171">
        <f>Batches!S2319</f>
        <v>0.77</v>
      </c>
      <c r="DW12" s="171">
        <f>Batches!S2343</f>
        <v>0.77</v>
      </c>
      <c r="DX12" s="171">
        <f>Batches!S2367</f>
        <v>0.8</v>
      </c>
      <c r="DY12" s="171">
        <f>Batches!S2391</f>
        <v>0.7</v>
      </c>
      <c r="DZ12" s="171">
        <f>Batches!S2415</f>
        <v>0.78</v>
      </c>
      <c r="EA12" s="171">
        <f>Batches!S2439</f>
        <v>0.73</v>
      </c>
      <c r="EB12" s="171">
        <f>Batches!S2463</f>
        <v>0.8</v>
      </c>
      <c r="EC12" s="171">
        <f>Batches!S2487</f>
        <v>0.74</v>
      </c>
      <c r="ED12" s="171">
        <f>Batches!S2511</f>
        <v>0.76</v>
      </c>
      <c r="EE12" s="171">
        <f>Batches!S2535</f>
        <v>0.76</v>
      </c>
      <c r="EF12" s="171">
        <f>Batches!S2559</f>
        <v>0.78</v>
      </c>
      <c r="EG12" s="171">
        <f>Batches!S2584</f>
        <v>0.8</v>
      </c>
      <c r="EH12" s="171"/>
      <c r="EI12" s="171"/>
      <c r="EJ12" s="171"/>
      <c r="EK12" s="171"/>
      <c r="EL12" s="171"/>
      <c r="EM12" s="171"/>
    </row>
    <row r="13" spans="1:149" x14ac:dyDescent="0.25">
      <c r="A13" s="8"/>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17"/>
      <c r="AE13" s="17"/>
      <c r="AF13" s="26"/>
      <c r="AG13" s="17"/>
      <c r="AH13" s="17"/>
      <c r="AI13" s="17"/>
      <c r="AJ13" s="17"/>
      <c r="AK13" s="26"/>
      <c r="AL13" s="22"/>
      <c r="AM13" s="22"/>
      <c r="AN13" s="22"/>
      <c r="AO13" s="22"/>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DR13"/>
      <c r="DS13"/>
      <c r="DT13"/>
    </row>
    <row r="14" spans="1:149" s="34" customFormat="1" x14ac:dyDescent="0.25">
      <c r="A14" s="807" t="s">
        <v>9</v>
      </c>
      <c r="B14" s="562" t="s">
        <v>4</v>
      </c>
      <c r="C14" s="523">
        <f>'Batch 2018'!A14</f>
        <v>373</v>
      </c>
      <c r="D14" s="523">
        <f>'Batch 2018'!A36</f>
        <v>559</v>
      </c>
      <c r="E14" s="523">
        <f>'Batch 2018'!A58</f>
        <v>1056</v>
      </c>
      <c r="F14" s="523">
        <f>'Batch 2018'!A80</f>
        <v>965</v>
      </c>
      <c r="G14" s="523">
        <f>'Batch 2018'!A102</f>
        <v>990</v>
      </c>
      <c r="H14" s="523">
        <f>'Batch 2018'!A124</f>
        <v>1308</v>
      </c>
      <c r="I14" s="523">
        <f>'Batch 2018'!A146</f>
        <v>1202</v>
      </c>
      <c r="J14" s="523">
        <f>'Batch 2018'!A168</f>
        <v>1252</v>
      </c>
      <c r="K14" s="523">
        <f>'Batch 2018'!A190</f>
        <v>1024</v>
      </c>
      <c r="L14" s="563">
        <f>'Batch 2018'!A212</f>
        <v>1130</v>
      </c>
      <c r="M14" s="563">
        <f>'Batch 2018'!A234</f>
        <v>964</v>
      </c>
      <c r="N14" s="564">
        <f>'Batch 2018'!A256</f>
        <v>889</v>
      </c>
      <c r="O14" s="564">
        <f>'Batch 2018'!A278</f>
        <v>1209</v>
      </c>
      <c r="P14" s="564">
        <f>'Batch 2018'!A300</f>
        <v>952</v>
      </c>
      <c r="Q14" s="563">
        <f>'Batch 2018'!A322</f>
        <v>896</v>
      </c>
      <c r="R14" s="563">
        <f>'Batch 2018'!A344</f>
        <v>1054</v>
      </c>
      <c r="S14" s="563">
        <f>'Batch 2018'!A366</f>
        <v>1106</v>
      </c>
      <c r="T14" s="563">
        <f>'Batch 2018'!A388</f>
        <v>1278</v>
      </c>
      <c r="U14" s="563">
        <f>'Batch 2018'!A410</f>
        <v>1155</v>
      </c>
      <c r="V14" s="563">
        <f>'Batch 2018'!A432</f>
        <v>1183</v>
      </c>
      <c r="W14" s="563">
        <f>'Batch 2018'!A454</f>
        <v>1129</v>
      </c>
      <c r="X14" s="563">
        <f>'Batch 2018'!A476</f>
        <v>1125</v>
      </c>
      <c r="Y14" s="563">
        <f>'Batch 2018'!A498</f>
        <v>987</v>
      </c>
      <c r="Z14" s="563">
        <f>'Batch 2018'!A520</f>
        <v>1112</v>
      </c>
      <c r="AA14" s="563">
        <f>'Batch 2018'!A542</f>
        <v>1115</v>
      </c>
      <c r="AB14" s="563">
        <f>'Batch 2018'!A564</f>
        <v>1139</v>
      </c>
      <c r="AC14" s="563">
        <f>'Batch 2018'!A586</f>
        <v>1110</v>
      </c>
      <c r="AD14" s="34">
        <f>Batches!A14</f>
        <v>1157</v>
      </c>
      <c r="AE14" s="34">
        <f>Batches!A36</f>
        <v>1006</v>
      </c>
      <c r="AF14" s="32">
        <f>Batches!A58</f>
        <v>1016</v>
      </c>
      <c r="AG14" s="34">
        <f>Batches!A80</f>
        <v>1088</v>
      </c>
      <c r="AH14" s="34">
        <f>Batches!A102</f>
        <v>944</v>
      </c>
      <c r="AI14" s="34">
        <f>Batches!A124</f>
        <v>956</v>
      </c>
      <c r="AJ14" s="34">
        <f>Batches!A146</f>
        <v>974</v>
      </c>
      <c r="AK14" s="32">
        <f>Batches!A168</f>
        <v>1168</v>
      </c>
      <c r="AL14" s="33">
        <f>Batches!A190</f>
        <v>1265</v>
      </c>
      <c r="AM14" s="33">
        <f>Batches!A212</f>
        <v>1087</v>
      </c>
      <c r="AN14" s="33">
        <f>Batches!A234</f>
        <v>1265</v>
      </c>
      <c r="AO14" s="33">
        <f>Batches!A256</f>
        <v>1220</v>
      </c>
      <c r="AP14" s="33">
        <f>Batches!A278</f>
        <v>1179</v>
      </c>
      <c r="AQ14" s="33">
        <f>Batches!A300</f>
        <v>1143</v>
      </c>
      <c r="AR14" s="33">
        <f>Batches!A324</f>
        <v>1280</v>
      </c>
      <c r="AS14" s="33">
        <f>Batches!A348</f>
        <v>1280</v>
      </c>
      <c r="AT14" s="33">
        <f>Batches!A372</f>
        <v>1289</v>
      </c>
      <c r="AU14" s="33">
        <f>Batches!A397</f>
        <v>1273</v>
      </c>
      <c r="AV14" s="33">
        <f>Batches!A422</f>
        <v>1289</v>
      </c>
      <c r="AW14" s="33">
        <v>1280</v>
      </c>
      <c r="AX14" s="33">
        <f>Batches!A472</f>
        <v>1159</v>
      </c>
      <c r="AY14" s="33">
        <f>Batches!A497</f>
        <v>1264</v>
      </c>
      <c r="AZ14" s="33">
        <f>Batches!A522</f>
        <v>1320</v>
      </c>
      <c r="BA14" s="33">
        <f>Batches!A546</f>
        <v>1168</v>
      </c>
      <c r="BB14" s="33">
        <f>Batches!A570</f>
        <v>1257</v>
      </c>
      <c r="BC14" s="140"/>
      <c r="BD14" s="140"/>
      <c r="BE14" s="140"/>
      <c r="BF14" s="140"/>
      <c r="BG14" s="140"/>
      <c r="BH14" s="140"/>
      <c r="BI14" s="140"/>
      <c r="BJ14" s="140"/>
      <c r="BK14" s="140"/>
      <c r="BL14" s="140"/>
      <c r="BM14" s="140"/>
      <c r="BN14" s="140"/>
      <c r="BO14" s="140"/>
      <c r="BP14" s="140"/>
      <c r="BQ14" s="140"/>
      <c r="BR14" s="140"/>
      <c r="BS14" s="140"/>
      <c r="BT14" s="140"/>
      <c r="BU14" s="140"/>
      <c r="BV14" s="140"/>
      <c r="BW14" s="140"/>
      <c r="BX14" s="140"/>
      <c r="BY14" s="140"/>
      <c r="BZ14" s="140"/>
      <c r="CA14" s="140"/>
      <c r="CB14" s="140"/>
      <c r="CC14" s="140"/>
      <c r="CD14" s="140"/>
      <c r="CE14" s="33">
        <f>Batches!B1293</f>
        <v>1055</v>
      </c>
      <c r="CF14" s="33">
        <f>Batches!B1317</f>
        <v>1174</v>
      </c>
      <c r="CG14" s="33">
        <f>Batches!B1341</f>
        <v>992</v>
      </c>
      <c r="CH14" s="140"/>
      <c r="CI14" s="33">
        <f>Batches!B1389</f>
        <v>805</v>
      </c>
      <c r="CJ14" s="33">
        <f>Batches!B1413</f>
        <v>751</v>
      </c>
      <c r="CK14" s="33">
        <f>Batches!B1437</f>
        <v>964</v>
      </c>
      <c r="CL14" s="33">
        <f>Batches!B1460</f>
        <v>1265</v>
      </c>
      <c r="CM14" s="33">
        <f>Batches!B1484</f>
        <v>1026</v>
      </c>
      <c r="CN14" s="33">
        <f>Batches!B1508</f>
        <v>869</v>
      </c>
      <c r="CO14" s="33">
        <f>Batches!B1532</f>
        <v>1078</v>
      </c>
      <c r="CP14" s="33">
        <f>Batches!B1556</f>
        <v>917</v>
      </c>
      <c r="CQ14" s="33">
        <f>Batches!B1580</f>
        <v>971</v>
      </c>
      <c r="CR14" s="33">
        <f>Batches!B1604</f>
        <v>975</v>
      </c>
      <c r="CS14" s="33">
        <f>Batches!B1628</f>
        <v>944</v>
      </c>
      <c r="CT14" s="33">
        <f>Batches!B1652</f>
        <v>1041</v>
      </c>
      <c r="CU14" s="33">
        <f>Batches!B1676</f>
        <v>613</v>
      </c>
      <c r="CV14" s="33">
        <f>Batches!B1700</f>
        <v>1031</v>
      </c>
      <c r="CW14" s="33">
        <f>Batches!B1724</f>
        <v>804</v>
      </c>
      <c r="CX14" s="33">
        <f>Batches!B1748</f>
        <v>973</v>
      </c>
      <c r="CY14" s="33">
        <f>Batches!B1772</f>
        <v>1159</v>
      </c>
      <c r="CZ14" s="33">
        <f>Batches!B1796</f>
        <v>1166</v>
      </c>
      <c r="DA14" s="33">
        <f>Batches!B1820</f>
        <v>1183</v>
      </c>
      <c r="DB14" s="33">
        <f>Batches!B1844</f>
        <v>1234</v>
      </c>
      <c r="DC14" s="33">
        <f>Batches!B1868</f>
        <v>1126</v>
      </c>
      <c r="DD14" s="33">
        <f>Batches!B1892</f>
        <v>1134</v>
      </c>
      <c r="DE14" s="33">
        <f>Batches!B1916</f>
        <v>940</v>
      </c>
      <c r="DF14" s="33">
        <f>Batches!B1940</f>
        <v>874</v>
      </c>
      <c r="DG14" s="33">
        <f>Batches!B1964</f>
        <v>989</v>
      </c>
      <c r="DH14" s="33">
        <f>Batches!B1988</f>
        <v>988</v>
      </c>
      <c r="DI14" s="33">
        <f>Batches!B2012</f>
        <v>878</v>
      </c>
      <c r="DJ14" s="33">
        <f>Batches!B2036</f>
        <v>948</v>
      </c>
      <c r="DK14" s="33">
        <f>Batches!B2060</f>
        <v>932</v>
      </c>
      <c r="DL14" s="33">
        <f>Batches!B2084</f>
        <v>1086</v>
      </c>
      <c r="DM14" s="33">
        <f>Batches!B2108</f>
        <v>1127</v>
      </c>
      <c r="DN14" s="33">
        <f>Batches!B2132</f>
        <v>1204</v>
      </c>
      <c r="DO14" s="33">
        <f>Batches!B2156</f>
        <v>1229</v>
      </c>
      <c r="DP14" s="33">
        <f>Batches!B2180</f>
        <v>1308</v>
      </c>
      <c r="DQ14" s="34">
        <f>Batches!B2204</f>
        <v>1186</v>
      </c>
      <c r="DR14" s="34">
        <f>Batches!B2228</f>
        <v>1289</v>
      </c>
      <c r="DS14" s="34">
        <f>Batches!B2252</f>
        <v>1333</v>
      </c>
      <c r="DT14" s="34">
        <f>Batches!B2276</f>
        <v>945</v>
      </c>
      <c r="DU14" s="34">
        <f>Batches!B2300</f>
        <v>1248</v>
      </c>
      <c r="DV14" s="34">
        <f>Batches!B2324</f>
        <v>1257</v>
      </c>
      <c r="DW14" s="34">
        <f>Batches!B2348</f>
        <v>1235</v>
      </c>
      <c r="DX14" s="34">
        <f>Batches!B2372</f>
        <v>1170</v>
      </c>
      <c r="DY14" s="34">
        <f>Batches!B2396</f>
        <v>581</v>
      </c>
      <c r="DZ14" s="34">
        <f>Batches!B2420</f>
        <v>1230</v>
      </c>
      <c r="EA14" s="34">
        <f>Batches!B2444</f>
        <v>1042</v>
      </c>
      <c r="EB14" s="34">
        <f>Batches!B2468</f>
        <v>1100</v>
      </c>
      <c r="EC14" s="34">
        <f>Batches!B2492</f>
        <v>1055</v>
      </c>
      <c r="ED14" s="34">
        <f>Batches!B2516</f>
        <v>1114</v>
      </c>
      <c r="EE14" s="34">
        <f>Batches!B2540</f>
        <v>1026</v>
      </c>
      <c r="EF14" s="34">
        <f>Batches!B2564</f>
        <v>1115</v>
      </c>
      <c r="EG14" s="34">
        <f>Batches!B2588</f>
        <v>1219</v>
      </c>
      <c r="EH14" s="34">
        <f>Batches!B2612</f>
        <v>1094</v>
      </c>
      <c r="EI14" s="34">
        <f>Batches!B2636</f>
        <v>1168</v>
      </c>
      <c r="EJ14" s="34">
        <f>Batches!B2660</f>
        <v>1205</v>
      </c>
      <c r="EK14" s="34">
        <f>Batches!B2684</f>
        <v>977</v>
      </c>
      <c r="EL14" s="34">
        <f>Batches!B2708</f>
        <v>1078</v>
      </c>
      <c r="EM14" s="34">
        <f>Batches!B2732</f>
        <v>988</v>
      </c>
      <c r="EN14" s="34">
        <f>Batches!B2756</f>
        <v>1240</v>
      </c>
    </row>
    <row r="15" spans="1:149" s="34" customFormat="1" x14ac:dyDescent="0.25">
      <c r="A15" s="807"/>
      <c r="B15" s="562" t="s">
        <v>1</v>
      </c>
      <c r="C15" s="523">
        <f>'Batch 2018'!H14</f>
        <v>372</v>
      </c>
      <c r="D15" s="523">
        <f>'Batch 2018'!H36</f>
        <v>564</v>
      </c>
      <c r="E15" s="523">
        <f>'Batch 2018'!H58</f>
        <v>1199</v>
      </c>
      <c r="F15" s="523">
        <f>'Batch 2018'!H80</f>
        <v>965</v>
      </c>
      <c r="G15" s="523">
        <f>'Batch 2018'!H102</f>
        <v>993</v>
      </c>
      <c r="H15" s="523">
        <f>'Batch 2018'!H124</f>
        <v>1309</v>
      </c>
      <c r="I15" s="523">
        <f>'Batch 2018'!H146</f>
        <v>1208</v>
      </c>
      <c r="J15" s="523">
        <f>'Batch 2018'!H168</f>
        <v>1234</v>
      </c>
      <c r="K15" s="523">
        <f>'Batch 2018'!H190</f>
        <v>1025</v>
      </c>
      <c r="L15" s="563">
        <f>'Batch 2018'!H212</f>
        <v>1131</v>
      </c>
      <c r="M15" s="563">
        <f>'Batch 2018'!H234</f>
        <v>968</v>
      </c>
      <c r="N15" s="563">
        <f>'Batch 2018'!H256</f>
        <v>889</v>
      </c>
      <c r="O15" s="564">
        <f>'Batch 2018'!H278</f>
        <v>1246</v>
      </c>
      <c r="P15" s="564">
        <f>'Batch 2018'!H300</f>
        <v>965</v>
      </c>
      <c r="Q15" s="563">
        <f>'Batch 2018'!H322</f>
        <v>1006</v>
      </c>
      <c r="R15" s="563">
        <f>'Batch 2018'!H344</f>
        <v>1026</v>
      </c>
      <c r="S15" s="563">
        <f>'Batch 2018'!H366</f>
        <v>1118</v>
      </c>
      <c r="T15" s="563">
        <f>'Batch 2018'!H388</f>
        <v>1271</v>
      </c>
      <c r="U15" s="563">
        <f>'Batch 2018'!H410</f>
        <v>1193</v>
      </c>
      <c r="V15" s="563">
        <f>'Batch 2018'!H432</f>
        <v>1141</v>
      </c>
      <c r="W15" s="563">
        <f>'Batch 2018'!H454</f>
        <v>1079</v>
      </c>
      <c r="X15" s="563">
        <f>'Batch 2018'!H476</f>
        <v>846</v>
      </c>
      <c r="Y15" s="563">
        <f>'Batch 2018'!H498</f>
        <v>965</v>
      </c>
      <c r="Z15" s="563">
        <f>'Batch 2018'!H520</f>
        <v>1125</v>
      </c>
      <c r="AA15" s="563">
        <f>'Batch 2018'!H542</f>
        <v>1089</v>
      </c>
      <c r="AB15" s="563">
        <f>'Batch 2018'!H564</f>
        <v>1200</v>
      </c>
      <c r="AC15" s="563">
        <f>'Batch 2018'!H586</f>
        <v>1042</v>
      </c>
      <c r="AD15" s="34">
        <f>Batches!I14</f>
        <v>1142</v>
      </c>
      <c r="AE15" s="34">
        <f>Batches!I36</f>
        <v>1002</v>
      </c>
      <c r="AF15" s="32">
        <f>Batches!I58</f>
        <v>1066</v>
      </c>
      <c r="AG15" s="34">
        <f>Batches!I80</f>
        <v>1077</v>
      </c>
      <c r="AH15" s="34">
        <f>Batches!I102</f>
        <v>857</v>
      </c>
      <c r="AI15" s="34">
        <f>Batches!I124</f>
        <v>986</v>
      </c>
      <c r="AJ15" s="34">
        <f>Batches!I146</f>
        <v>1028</v>
      </c>
      <c r="AK15" s="32">
        <f>Batches!I168</f>
        <v>1169</v>
      </c>
      <c r="AL15" s="33">
        <f>Batches!I190</f>
        <v>1226</v>
      </c>
      <c r="AM15" s="33">
        <f>Batches!I212</f>
        <v>1097</v>
      </c>
      <c r="AN15" s="33">
        <f>Batches!I234</f>
        <v>1404</v>
      </c>
      <c r="AO15" s="33">
        <f>Batches!I256</f>
        <v>1219</v>
      </c>
      <c r="AP15" s="33">
        <f>Batches!I278</f>
        <v>1123</v>
      </c>
      <c r="AQ15" s="33">
        <f>Batches!I300</f>
        <v>1148</v>
      </c>
      <c r="AR15" s="33">
        <f>Batches!I324</f>
        <v>1464</v>
      </c>
      <c r="AS15" s="33">
        <f>Batches!I348</f>
        <v>1379</v>
      </c>
      <c r="AT15" s="33">
        <f>Batches!I372</f>
        <v>1288</v>
      </c>
      <c r="AU15" s="33">
        <f>Batches!I397</f>
        <v>1273</v>
      </c>
      <c r="AV15" s="33">
        <f>Batches!I422</f>
        <v>1290</v>
      </c>
      <c r="AW15" s="33">
        <f>Batches!I447</f>
        <v>1339</v>
      </c>
      <c r="AX15" s="33">
        <f>Batches!I472</f>
        <v>1141</v>
      </c>
      <c r="AY15" s="33">
        <f>Batches!I497</f>
        <v>1339</v>
      </c>
      <c r="AZ15" s="33">
        <f>Batches!I522</f>
        <v>1336</v>
      </c>
      <c r="BA15" s="33">
        <f>Batches!I546</f>
        <v>1250</v>
      </c>
      <c r="BB15" s="33">
        <f>Batches!I570</f>
        <v>1280</v>
      </c>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33">
        <f>Batches!I1293</f>
        <v>1054</v>
      </c>
      <c r="CF15" s="33">
        <f>Batches!I1317</f>
        <v>1053</v>
      </c>
      <c r="CG15" s="33">
        <f>Batches!I1341</f>
        <v>1024</v>
      </c>
      <c r="CH15" s="140"/>
      <c r="CI15" s="33">
        <f>Batches!I1389</f>
        <v>808</v>
      </c>
      <c r="CJ15" s="33">
        <f>Batches!I1413</f>
        <v>751</v>
      </c>
      <c r="CK15" s="33">
        <f>Batches!I1437</f>
        <v>966</v>
      </c>
      <c r="CL15" s="33">
        <f>Batches!I1460</f>
        <v>1204</v>
      </c>
      <c r="CM15" s="33">
        <f>Batches!I1484</f>
        <v>1035</v>
      </c>
      <c r="CN15" s="33">
        <f>Batches!I1508</f>
        <v>867</v>
      </c>
      <c r="CO15" s="33">
        <f>Batches!I1532</f>
        <v>1048</v>
      </c>
      <c r="CP15" s="33">
        <f>Batches!I1556</f>
        <v>913</v>
      </c>
      <c r="CQ15" s="33">
        <f>Batches!I1580</f>
        <v>976</v>
      </c>
      <c r="CR15" s="33">
        <f>Batches!I1604</f>
        <v>968</v>
      </c>
      <c r="CS15" s="33">
        <f>Batches!I1628</f>
        <v>944</v>
      </c>
      <c r="CT15" s="33">
        <f>Batches!I1652</f>
        <v>1048</v>
      </c>
      <c r="CU15" s="33">
        <f>Batches!I1676</f>
        <v>818</v>
      </c>
      <c r="CV15" s="33">
        <f>Batches!I1700</f>
        <v>908</v>
      </c>
      <c r="CW15" s="33">
        <f>Batches!I1724</f>
        <v>834</v>
      </c>
      <c r="CX15" s="33">
        <f>Batches!I1748</f>
        <v>966</v>
      </c>
      <c r="CY15" s="33">
        <f>Batches!I1772</f>
        <v>1165</v>
      </c>
      <c r="CZ15" s="33">
        <f>Batches!I1796</f>
        <v>1166</v>
      </c>
      <c r="DA15" s="33">
        <f>Batches!I1820</f>
        <v>1250</v>
      </c>
      <c r="DB15" s="33">
        <f>Batches!I1844</f>
        <v>1059</v>
      </c>
      <c r="DC15" s="33">
        <f>Batches!I1868</f>
        <v>1130</v>
      </c>
      <c r="DD15" s="33">
        <f>Batches!I1892</f>
        <v>1136</v>
      </c>
      <c r="DE15" s="33">
        <f>Batches!I1916</f>
        <v>952</v>
      </c>
      <c r="DF15" s="33">
        <f>Batches!I1940</f>
        <v>883</v>
      </c>
      <c r="DG15" s="33">
        <f>Batches!I1964</f>
        <v>986</v>
      </c>
      <c r="DH15" s="33">
        <f>Batches!I1988</f>
        <v>992</v>
      </c>
      <c r="DI15" s="33">
        <f>Batches!I2012</f>
        <v>878</v>
      </c>
      <c r="DJ15" s="33">
        <f>Batches!I2036</f>
        <v>947</v>
      </c>
      <c r="DK15" s="33">
        <f>Batches!I2060</f>
        <v>933</v>
      </c>
      <c r="DL15" s="33">
        <f>Batches!I2084</f>
        <v>1051</v>
      </c>
      <c r="DM15" s="33">
        <f>Batches!I2108</f>
        <v>1129</v>
      </c>
      <c r="DN15" s="33">
        <f>Batches!I2132</f>
        <v>1209</v>
      </c>
      <c r="DO15" s="33">
        <f>Batches!I2156</f>
        <v>1226</v>
      </c>
      <c r="DP15" s="33">
        <f>Batches!I2180</f>
        <v>1323</v>
      </c>
      <c r="DQ15" s="34">
        <f>Batches!I2204</f>
        <v>959</v>
      </c>
      <c r="DR15" s="34">
        <f>Batches!I2228</f>
        <v>1284</v>
      </c>
      <c r="DS15" s="34">
        <f>Batches!I2252</f>
        <v>1347</v>
      </c>
      <c r="DT15" s="34">
        <f>Batches!I2276</f>
        <v>1064</v>
      </c>
      <c r="DU15" s="34">
        <f>Batches!I2300</f>
        <v>1246</v>
      </c>
      <c r="DV15" s="34">
        <f>Batches!I2324</f>
        <v>978</v>
      </c>
      <c r="DW15" s="34">
        <f>Batches!I2348</f>
        <v>1265</v>
      </c>
      <c r="DX15" s="34">
        <f>Batches!I2372</f>
        <v>1135</v>
      </c>
      <c r="DY15" s="34">
        <f>Batches!I2396</f>
        <v>2332</v>
      </c>
      <c r="DZ15" s="34">
        <f>Batches!I2420</f>
        <v>1233</v>
      </c>
      <c r="EA15" s="34">
        <f>Batches!I2444</f>
        <v>1540</v>
      </c>
      <c r="EB15" s="34">
        <f>Batches!I2468</f>
        <v>1132</v>
      </c>
      <c r="EC15" s="34">
        <f>Batches!I2492</f>
        <v>1104</v>
      </c>
      <c r="ED15" s="34">
        <f>Batches!I2516</f>
        <v>1105</v>
      </c>
      <c r="EE15" s="34">
        <f>Batches!I2540</f>
        <v>1179</v>
      </c>
      <c r="EF15" s="34">
        <f>Batches!I2564</f>
        <v>1131</v>
      </c>
      <c r="EG15" s="34">
        <f>Batches!I2588</f>
        <v>1201</v>
      </c>
      <c r="EH15" s="34">
        <f>Batches!I2612</f>
        <v>1087</v>
      </c>
      <c r="EI15" s="34">
        <f>Batches!I2636</f>
        <v>1092</v>
      </c>
      <c r="EJ15" s="34">
        <f>Batches!I2660</f>
        <v>1222</v>
      </c>
      <c r="EK15" s="34">
        <f>Batches!I2684</f>
        <v>978</v>
      </c>
      <c r="EL15" s="34">
        <f>Batches!I2708</f>
        <v>1082</v>
      </c>
      <c r="EM15" s="34">
        <f>Batches!I2732</f>
        <v>1002</v>
      </c>
      <c r="EN15" s="34">
        <v>0</v>
      </c>
    </row>
    <row r="16" spans="1:149" x14ac:dyDescent="0.25">
      <c r="A16" s="807"/>
      <c r="B16" s="30" t="s">
        <v>2</v>
      </c>
      <c r="C16" s="34">
        <f t="shared" ref="C16:K16" si="13">C14+C15</f>
        <v>745</v>
      </c>
      <c r="D16" s="34">
        <f t="shared" si="13"/>
        <v>1123</v>
      </c>
      <c r="E16" s="34">
        <f t="shared" si="13"/>
        <v>2255</v>
      </c>
      <c r="F16" s="34">
        <f t="shared" si="13"/>
        <v>1930</v>
      </c>
      <c r="G16" s="34">
        <f t="shared" si="13"/>
        <v>1983</v>
      </c>
      <c r="H16" s="34">
        <f t="shared" si="13"/>
        <v>2617</v>
      </c>
      <c r="I16" s="34">
        <f t="shared" si="13"/>
        <v>2410</v>
      </c>
      <c r="J16" s="34">
        <f t="shared" si="13"/>
        <v>2486</v>
      </c>
      <c r="K16" s="34">
        <f t="shared" si="13"/>
        <v>2049</v>
      </c>
      <c r="L16" s="34">
        <f t="shared" ref="L16:AD16" si="14">L14+L15</f>
        <v>2261</v>
      </c>
      <c r="M16" s="34">
        <f t="shared" si="14"/>
        <v>1932</v>
      </c>
      <c r="N16" s="34">
        <f t="shared" si="14"/>
        <v>1778</v>
      </c>
      <c r="O16" s="34">
        <f t="shared" si="14"/>
        <v>2455</v>
      </c>
      <c r="P16" s="82">
        <f t="shared" si="14"/>
        <v>1917</v>
      </c>
      <c r="Q16" s="34">
        <f t="shared" si="14"/>
        <v>1902</v>
      </c>
      <c r="R16" s="34">
        <f t="shared" si="14"/>
        <v>2080</v>
      </c>
      <c r="S16" s="34">
        <f t="shared" si="14"/>
        <v>2224</v>
      </c>
      <c r="T16" s="34">
        <f t="shared" si="14"/>
        <v>2549</v>
      </c>
      <c r="U16" s="34">
        <f t="shared" si="14"/>
        <v>2348</v>
      </c>
      <c r="V16" s="34">
        <f t="shared" si="14"/>
        <v>2324</v>
      </c>
      <c r="W16" s="34">
        <f t="shared" si="14"/>
        <v>2208</v>
      </c>
      <c r="X16" s="34">
        <f t="shared" si="14"/>
        <v>1971</v>
      </c>
      <c r="Y16" s="34">
        <f t="shared" si="14"/>
        <v>1952</v>
      </c>
      <c r="Z16" s="34">
        <f t="shared" si="14"/>
        <v>2237</v>
      </c>
      <c r="AA16" s="34">
        <f t="shared" si="14"/>
        <v>2204</v>
      </c>
      <c r="AB16" s="34">
        <f t="shared" si="14"/>
        <v>2339</v>
      </c>
      <c r="AC16" s="34">
        <f t="shared" si="14"/>
        <v>2152</v>
      </c>
      <c r="AD16" s="34">
        <f t="shared" si="14"/>
        <v>2299</v>
      </c>
      <c r="AE16" s="34">
        <f t="shared" ref="AE16:AM16" si="15">AE14+AE15</f>
        <v>2008</v>
      </c>
      <c r="AF16" s="34">
        <f t="shared" si="15"/>
        <v>2082</v>
      </c>
      <c r="AG16" s="34">
        <f t="shared" si="15"/>
        <v>2165</v>
      </c>
      <c r="AH16" s="34">
        <f t="shared" si="15"/>
        <v>1801</v>
      </c>
      <c r="AI16" s="34">
        <f t="shared" si="15"/>
        <v>1942</v>
      </c>
      <c r="AJ16" s="34">
        <f t="shared" si="15"/>
        <v>2002</v>
      </c>
      <c r="AK16" s="34">
        <f t="shared" si="15"/>
        <v>2337</v>
      </c>
      <c r="AL16" s="34">
        <f t="shared" si="15"/>
        <v>2491</v>
      </c>
      <c r="AM16" s="34">
        <f t="shared" si="15"/>
        <v>2184</v>
      </c>
      <c r="AN16" s="34">
        <f t="shared" ref="AN16:BB16" si="16">AN14+AN15</f>
        <v>2669</v>
      </c>
      <c r="AO16" s="34">
        <f t="shared" si="16"/>
        <v>2439</v>
      </c>
      <c r="AP16" s="34">
        <f t="shared" si="16"/>
        <v>2302</v>
      </c>
      <c r="AQ16" s="34">
        <f t="shared" si="16"/>
        <v>2291</v>
      </c>
      <c r="AR16" s="34">
        <f t="shared" si="16"/>
        <v>2744</v>
      </c>
      <c r="AS16" s="34">
        <f t="shared" si="16"/>
        <v>2659</v>
      </c>
      <c r="AT16" s="112">
        <f t="shared" si="16"/>
        <v>2577</v>
      </c>
      <c r="AU16" s="112">
        <f t="shared" si="16"/>
        <v>2546</v>
      </c>
      <c r="AV16" s="112">
        <f t="shared" si="16"/>
        <v>2579</v>
      </c>
      <c r="AW16" s="112">
        <f t="shared" si="16"/>
        <v>2619</v>
      </c>
      <c r="AX16" s="112">
        <f t="shared" si="16"/>
        <v>2300</v>
      </c>
      <c r="AY16" s="112">
        <f t="shared" si="16"/>
        <v>2603</v>
      </c>
      <c r="AZ16" s="112">
        <f t="shared" si="16"/>
        <v>2656</v>
      </c>
      <c r="BA16" s="112">
        <f t="shared" si="16"/>
        <v>2418</v>
      </c>
      <c r="BB16" s="112">
        <f t="shared" si="16"/>
        <v>2537</v>
      </c>
      <c r="BC16" s="112">
        <f>Batches!E594</f>
        <v>1770</v>
      </c>
      <c r="BD16" s="112">
        <f>Batches!E619</f>
        <v>1770</v>
      </c>
      <c r="BE16" s="112">
        <f>Batches!E645</f>
        <v>1770</v>
      </c>
      <c r="BF16" s="112">
        <f>Batches!E671</f>
        <v>1770</v>
      </c>
      <c r="BG16" s="112">
        <f>Batches!E696</f>
        <v>1770</v>
      </c>
      <c r="BH16" s="112">
        <f>Batches!E722</f>
        <v>1631</v>
      </c>
      <c r="BI16" s="112">
        <f>Batches!E748</f>
        <v>1528</v>
      </c>
      <c r="BJ16" s="112">
        <f>Batches!E774</f>
        <v>1681</v>
      </c>
      <c r="BK16" s="112">
        <f>Batches!E797</f>
        <v>1550</v>
      </c>
      <c r="BL16" s="112">
        <f>Batches!E824</f>
        <v>1558</v>
      </c>
      <c r="BM16" s="112">
        <f>Batches!E850</f>
        <v>1409</v>
      </c>
      <c r="BN16" s="112">
        <f>Batches!E876</f>
        <v>1418</v>
      </c>
      <c r="BO16" s="112">
        <f>Batches!E901</f>
        <v>1400</v>
      </c>
      <c r="BP16" s="112">
        <f>Batches!E926</f>
        <v>1371</v>
      </c>
      <c r="BQ16" s="112">
        <f>Batches!E951</f>
        <v>1402</v>
      </c>
      <c r="BR16" s="112">
        <f>Batches!E976</f>
        <v>1439</v>
      </c>
      <c r="BS16" s="112">
        <f>Batches!E1001</f>
        <v>1391</v>
      </c>
      <c r="BT16" s="112">
        <f>Batches!E1026</f>
        <v>1306</v>
      </c>
      <c r="BU16" s="112">
        <f>Batches!E1051</f>
        <v>1386</v>
      </c>
      <c r="BV16" s="112">
        <f>Batches!E1076</f>
        <v>1290</v>
      </c>
      <c r="BW16" s="112">
        <f>Batches!E1101</f>
        <v>1277</v>
      </c>
      <c r="BX16" s="112">
        <f>Batches!E1125</f>
        <v>1097</v>
      </c>
      <c r="BY16" s="112">
        <v>826</v>
      </c>
      <c r="BZ16" s="112">
        <f>Batches!E1173</f>
        <v>1180</v>
      </c>
      <c r="CA16" s="112">
        <f>Batches!E1197</f>
        <v>931</v>
      </c>
      <c r="CB16" s="112">
        <f>Batches!E1221</f>
        <v>1101</v>
      </c>
      <c r="CC16" s="112">
        <f>Batches!E1245</f>
        <v>1260</v>
      </c>
      <c r="CD16" s="112">
        <f>Batches!E1269</f>
        <v>1058</v>
      </c>
      <c r="CE16" s="112">
        <f>CE14+CE15</f>
        <v>2109</v>
      </c>
      <c r="CF16" s="112">
        <f>CF14+CF15</f>
        <v>2227</v>
      </c>
      <c r="CG16" s="112">
        <f>CG14+CG15</f>
        <v>2016</v>
      </c>
      <c r="CH16" s="112">
        <f>Batches!E1365</f>
        <v>1273</v>
      </c>
      <c r="CI16" s="112">
        <f t="shared" ref="CI16:EN16" si="17">CI14+CI15</f>
        <v>1613</v>
      </c>
      <c r="CJ16" s="112">
        <f t="shared" si="17"/>
        <v>1502</v>
      </c>
      <c r="CK16" s="112">
        <f t="shared" si="17"/>
        <v>1930</v>
      </c>
      <c r="CL16" s="112">
        <f t="shared" si="17"/>
        <v>2469</v>
      </c>
      <c r="CM16" s="112">
        <f t="shared" si="17"/>
        <v>2061</v>
      </c>
      <c r="CN16" s="112">
        <f t="shared" si="17"/>
        <v>1736</v>
      </c>
      <c r="CO16" s="112">
        <f t="shared" si="17"/>
        <v>2126</v>
      </c>
      <c r="CP16" s="112">
        <f t="shared" si="17"/>
        <v>1830</v>
      </c>
      <c r="CQ16" s="112">
        <f t="shared" si="17"/>
        <v>1947</v>
      </c>
      <c r="CR16" s="112">
        <f t="shared" si="17"/>
        <v>1943</v>
      </c>
      <c r="CS16" s="112">
        <f t="shared" si="17"/>
        <v>1888</v>
      </c>
      <c r="CT16" s="112">
        <f t="shared" si="17"/>
        <v>2089</v>
      </c>
      <c r="CU16" s="112">
        <f t="shared" si="17"/>
        <v>1431</v>
      </c>
      <c r="CV16" s="112">
        <f t="shared" si="17"/>
        <v>1939</v>
      </c>
      <c r="CW16" s="112">
        <f t="shared" si="17"/>
        <v>1638</v>
      </c>
      <c r="CX16" s="112">
        <f t="shared" si="17"/>
        <v>1939</v>
      </c>
      <c r="CY16" s="112">
        <f t="shared" si="17"/>
        <v>2324</v>
      </c>
      <c r="CZ16" s="112">
        <f t="shared" si="17"/>
        <v>2332</v>
      </c>
      <c r="DA16" s="112">
        <f t="shared" si="17"/>
        <v>2433</v>
      </c>
      <c r="DB16" s="112">
        <f t="shared" si="17"/>
        <v>2293</v>
      </c>
      <c r="DC16" s="112">
        <f t="shared" si="17"/>
        <v>2256</v>
      </c>
      <c r="DD16" s="112">
        <f t="shared" si="17"/>
        <v>2270</v>
      </c>
      <c r="DE16" s="112">
        <f t="shared" si="17"/>
        <v>1892</v>
      </c>
      <c r="DF16" s="112">
        <f t="shared" si="17"/>
        <v>1757</v>
      </c>
      <c r="DG16" s="112">
        <f t="shared" si="17"/>
        <v>1975</v>
      </c>
      <c r="DH16" s="112">
        <f t="shared" si="17"/>
        <v>1980</v>
      </c>
      <c r="DI16" s="112">
        <f t="shared" si="17"/>
        <v>1756</v>
      </c>
      <c r="DJ16" s="112">
        <f t="shared" si="17"/>
        <v>1895</v>
      </c>
      <c r="DK16" s="112">
        <f t="shared" si="17"/>
        <v>1865</v>
      </c>
      <c r="DL16" s="112">
        <f t="shared" si="17"/>
        <v>2137</v>
      </c>
      <c r="DM16" s="112">
        <f t="shared" si="17"/>
        <v>2256</v>
      </c>
      <c r="DN16" s="112">
        <f t="shared" si="17"/>
        <v>2413</v>
      </c>
      <c r="DO16" s="112">
        <f t="shared" si="17"/>
        <v>2455</v>
      </c>
      <c r="DP16" s="112">
        <f t="shared" si="17"/>
        <v>2631</v>
      </c>
      <c r="DQ16" s="112">
        <f t="shared" si="17"/>
        <v>2145</v>
      </c>
      <c r="DR16" s="112">
        <f t="shared" si="17"/>
        <v>2573</v>
      </c>
      <c r="DS16" s="112">
        <f t="shared" si="17"/>
        <v>2680</v>
      </c>
      <c r="DT16" s="112">
        <f t="shared" si="17"/>
        <v>2009</v>
      </c>
      <c r="DU16" s="112">
        <f t="shared" si="17"/>
        <v>2494</v>
      </c>
      <c r="DV16" s="112">
        <f t="shared" si="17"/>
        <v>2235</v>
      </c>
      <c r="DW16" s="112">
        <f t="shared" si="17"/>
        <v>2500</v>
      </c>
      <c r="DX16" s="112">
        <f t="shared" si="17"/>
        <v>2305</v>
      </c>
      <c r="DY16" s="112">
        <f t="shared" si="17"/>
        <v>2913</v>
      </c>
      <c r="DZ16" s="112">
        <f t="shared" si="17"/>
        <v>2463</v>
      </c>
      <c r="EA16" s="112">
        <f t="shared" si="17"/>
        <v>2582</v>
      </c>
      <c r="EB16" s="112">
        <f t="shared" si="17"/>
        <v>2232</v>
      </c>
      <c r="EC16" s="112">
        <f t="shared" si="17"/>
        <v>2159</v>
      </c>
      <c r="ED16" s="112">
        <f t="shared" si="17"/>
        <v>2219</v>
      </c>
      <c r="EE16" s="112">
        <f t="shared" si="17"/>
        <v>2205</v>
      </c>
      <c r="EF16" s="112">
        <f t="shared" si="17"/>
        <v>2246</v>
      </c>
      <c r="EG16" s="112">
        <f t="shared" si="17"/>
        <v>2420</v>
      </c>
      <c r="EH16" s="112">
        <f t="shared" si="17"/>
        <v>2181</v>
      </c>
      <c r="EI16" s="112">
        <f t="shared" si="17"/>
        <v>2260</v>
      </c>
      <c r="EJ16" s="112">
        <f t="shared" si="17"/>
        <v>2427</v>
      </c>
      <c r="EK16" s="112">
        <f t="shared" si="17"/>
        <v>1955</v>
      </c>
      <c r="EL16" s="112">
        <f t="shared" si="17"/>
        <v>2160</v>
      </c>
      <c r="EM16" s="112">
        <f t="shared" si="17"/>
        <v>1990</v>
      </c>
      <c r="EN16" s="112">
        <f t="shared" si="17"/>
        <v>1240</v>
      </c>
    </row>
    <row r="17" spans="1:144" x14ac:dyDescent="0.25">
      <c r="A17" s="29"/>
      <c r="B17" s="8"/>
      <c r="C17" s="8"/>
      <c r="D17" s="8"/>
      <c r="E17" s="8"/>
      <c r="F17" s="8"/>
      <c r="G17" s="8"/>
      <c r="H17" s="8"/>
      <c r="I17" s="8"/>
      <c r="J17" s="8"/>
      <c r="K17" s="8"/>
      <c r="L17" s="34"/>
      <c r="M17" s="34"/>
      <c r="N17" s="34"/>
      <c r="O17" s="34"/>
      <c r="P17" s="34"/>
      <c r="Q17" s="34"/>
      <c r="R17" s="34"/>
      <c r="S17" s="34"/>
      <c r="T17" s="34"/>
      <c r="U17" s="34"/>
      <c r="V17" s="34"/>
      <c r="W17" s="34"/>
      <c r="X17" s="34"/>
      <c r="Y17" s="34"/>
      <c r="Z17" s="34"/>
      <c r="AA17" s="34"/>
      <c r="AB17" s="34"/>
      <c r="AC17" s="34"/>
      <c r="AD17" s="31"/>
      <c r="AE17" s="31"/>
      <c r="AF17" s="32"/>
      <c r="AG17" s="31"/>
      <c r="AH17" s="31"/>
      <c r="AI17" s="31"/>
      <c r="AJ17" s="31"/>
      <c r="AK17" s="32"/>
      <c r="AL17" s="33"/>
      <c r="AM17" s="33"/>
      <c r="AN17" s="33"/>
      <c r="AO17" s="33"/>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DR17"/>
      <c r="DS17"/>
      <c r="DT17"/>
    </row>
    <row r="18" spans="1:144" s="34" customFormat="1" x14ac:dyDescent="0.25">
      <c r="A18" s="806" t="s">
        <v>10</v>
      </c>
      <c r="B18" s="562" t="s">
        <v>4</v>
      </c>
      <c r="C18" s="523">
        <f>'Batch 2018'!A15</f>
        <v>153</v>
      </c>
      <c r="D18" s="523">
        <f>'Batch 2018'!A37</f>
        <v>125</v>
      </c>
      <c r="E18" s="523">
        <f>'Batch 2018'!A59</f>
        <v>160</v>
      </c>
      <c r="F18" s="523">
        <f>'Batch 2018'!A81</f>
        <v>105</v>
      </c>
      <c r="G18" s="523">
        <f>'Batch 2018'!A103</f>
        <v>125</v>
      </c>
      <c r="H18" s="523">
        <f>'Batch 2018'!A125</f>
        <v>128</v>
      </c>
      <c r="I18" s="523">
        <f>'Batch 2018'!A147</f>
        <v>152</v>
      </c>
      <c r="J18" s="523">
        <f>'Batch 2018'!A169</f>
        <v>175</v>
      </c>
      <c r="K18" s="523">
        <f>'Batch 2018'!A191</f>
        <v>176</v>
      </c>
      <c r="L18" s="34">
        <f>'Batch 2018'!A213</f>
        <v>175</v>
      </c>
      <c r="M18" s="34">
        <f>'Batch 2018'!A235</f>
        <v>175</v>
      </c>
      <c r="N18" s="34">
        <f>'Batch 2018'!A257</f>
        <v>175</v>
      </c>
      <c r="O18" s="34">
        <f>'Batch 2018'!A279</f>
        <v>170</v>
      </c>
      <c r="P18" s="34">
        <f>'Batch 2018'!A301</f>
        <v>152</v>
      </c>
      <c r="Q18" s="34">
        <f>'Batch 2018'!A323</f>
        <v>176</v>
      </c>
      <c r="R18" s="34">
        <f>'Batch 2018'!A345</f>
        <v>151</v>
      </c>
      <c r="S18" s="34">
        <f>'Batch 2018'!A367</f>
        <v>152</v>
      </c>
      <c r="T18" s="34">
        <f>'Batch 2018'!A389</f>
        <v>151</v>
      </c>
      <c r="U18" s="34">
        <f>'Batch 2018'!A411</f>
        <v>160</v>
      </c>
      <c r="V18" s="34">
        <f>'Batch 2018'!A433</f>
        <v>172</v>
      </c>
      <c r="W18" s="34">
        <f>'Batch 2018'!A455</f>
        <v>175</v>
      </c>
      <c r="X18" s="34">
        <f>'Batch 2018'!A477</f>
        <v>197</v>
      </c>
      <c r="Y18" s="34">
        <f>'Batch 2018'!A499</f>
        <v>163</v>
      </c>
      <c r="Z18" s="34">
        <f>'Batch 2018'!A521</f>
        <v>224</v>
      </c>
      <c r="AA18" s="34">
        <f>'Batch 2018'!A543</f>
        <v>220</v>
      </c>
      <c r="AB18" s="34">
        <f>'Batch 2018'!A565</f>
        <v>201</v>
      </c>
      <c r="AC18" s="34">
        <f>'Batch 2018'!A587</f>
        <v>200</v>
      </c>
      <c r="AD18" s="34">
        <f>Batches!A15</f>
        <v>176</v>
      </c>
      <c r="AE18" s="34">
        <f>Batches!A37</f>
        <v>196</v>
      </c>
      <c r="AF18" s="32">
        <f>Batches!A59</f>
        <v>175</v>
      </c>
      <c r="AG18" s="34">
        <f>Batches!A81</f>
        <v>175</v>
      </c>
      <c r="AH18" s="34">
        <f>Batches!A103</f>
        <v>173</v>
      </c>
      <c r="AI18" s="34">
        <f>Batches!A125</f>
        <v>176</v>
      </c>
      <c r="AJ18" s="34">
        <f>Batches!A147</f>
        <v>150</v>
      </c>
      <c r="AK18" s="32">
        <f>Batches!A169</f>
        <v>162</v>
      </c>
      <c r="AL18" s="33">
        <f>Batches!A191</f>
        <v>162</v>
      </c>
      <c r="AM18" s="33">
        <f>Batches!A213</f>
        <v>152</v>
      </c>
      <c r="AN18" s="33">
        <f>Batches!A235</f>
        <v>162</v>
      </c>
      <c r="AO18" s="33">
        <f>Batches!A257</f>
        <v>152</v>
      </c>
      <c r="AP18" s="33">
        <f>Batches!A279</f>
        <v>152</v>
      </c>
      <c r="AQ18" s="33">
        <f>Batches!A301</f>
        <v>157</v>
      </c>
      <c r="AR18" s="33">
        <f>Batches!A325</f>
        <v>151</v>
      </c>
      <c r="AS18" s="33">
        <f>Batches!A349</f>
        <v>150</v>
      </c>
      <c r="AT18" s="33">
        <f>Batches!A373</f>
        <v>151</v>
      </c>
      <c r="AU18" s="33">
        <f>Batches!A398</f>
        <v>150</v>
      </c>
      <c r="AV18" s="33">
        <f>Batches!A423</f>
        <v>151</v>
      </c>
      <c r="AW18" s="33">
        <f>Batches!A448</f>
        <v>151</v>
      </c>
      <c r="AX18" s="33">
        <f>Batches!A473</f>
        <v>174</v>
      </c>
      <c r="AY18" s="33">
        <f>Batches!A498</f>
        <v>175</v>
      </c>
      <c r="AZ18" s="33">
        <f>Batches!A523</f>
        <v>150</v>
      </c>
      <c r="BA18" s="33">
        <f>Batches!A547</f>
        <v>135</v>
      </c>
      <c r="BB18" s="33">
        <f>Batches!A571</f>
        <v>151</v>
      </c>
      <c r="BC18" s="140"/>
      <c r="BD18" s="140"/>
      <c r="BE18" s="140"/>
      <c r="BF18" s="140"/>
      <c r="BG18" s="140"/>
      <c r="BH18" s="140"/>
      <c r="BI18" s="140"/>
      <c r="BJ18" s="140"/>
      <c r="BK18" s="140"/>
      <c r="BL18" s="140"/>
      <c r="BM18" s="140"/>
      <c r="BN18" s="140"/>
      <c r="BO18" s="140"/>
      <c r="BP18" s="140"/>
      <c r="BQ18" s="140"/>
      <c r="BR18" s="140"/>
      <c r="BS18" s="140"/>
      <c r="BT18" s="140"/>
      <c r="BU18" s="140"/>
      <c r="BV18" s="140"/>
      <c r="BW18" s="140"/>
      <c r="BX18" s="140"/>
      <c r="BY18" s="140"/>
      <c r="BZ18" s="140"/>
      <c r="CA18" s="140"/>
      <c r="CB18" s="140"/>
      <c r="CC18" s="140"/>
      <c r="CD18" s="140"/>
      <c r="CE18" s="33">
        <f>Batches!B1294</f>
        <v>110</v>
      </c>
      <c r="CF18" s="33">
        <f>Batches!B1318</f>
        <v>118</v>
      </c>
      <c r="CG18" s="33">
        <f>Batches!B1342</f>
        <v>118</v>
      </c>
      <c r="CH18" s="140"/>
      <c r="CI18" s="33">
        <f>Batches!B1390</f>
        <v>100</v>
      </c>
      <c r="CJ18" s="33">
        <f>Batches!B1414</f>
        <v>81</v>
      </c>
      <c r="CK18" s="33">
        <f>Batches!B1438</f>
        <v>90</v>
      </c>
      <c r="CL18" s="33">
        <f>Batches!B1461</f>
        <v>183</v>
      </c>
      <c r="CM18" s="33">
        <f>Batches!B1485</f>
        <v>191</v>
      </c>
      <c r="CN18" s="33">
        <f>Batches!B1509</f>
        <v>149</v>
      </c>
      <c r="CO18" s="33">
        <f>Batches!B1533</f>
        <v>179</v>
      </c>
      <c r="CP18" s="33">
        <f>Batches!B1557</f>
        <v>100</v>
      </c>
      <c r="CQ18" s="33">
        <f>Batches!B1581</f>
        <v>100</v>
      </c>
      <c r="CR18" s="33">
        <f>Batches!B1605</f>
        <v>100</v>
      </c>
      <c r="CS18" s="33">
        <f>Batches!B1629</f>
        <v>100</v>
      </c>
      <c r="CT18" s="33">
        <f>Batches!B1653</f>
        <v>100</v>
      </c>
      <c r="CU18" s="33">
        <f>Batches!B1677</f>
        <v>178</v>
      </c>
      <c r="CV18" s="33">
        <f>Batches!B1701</f>
        <v>175</v>
      </c>
      <c r="CW18" s="33">
        <f>Batches!B1725</f>
        <v>99</v>
      </c>
      <c r="CX18" s="33">
        <f>Batches!B1749</f>
        <v>163</v>
      </c>
      <c r="CY18" s="33">
        <f>Batches!B1773</f>
        <v>175</v>
      </c>
      <c r="CZ18" s="33">
        <f>Batches!B1797</f>
        <v>175</v>
      </c>
      <c r="DA18" s="33">
        <f>Batches!B1821</f>
        <v>206</v>
      </c>
      <c r="DB18" s="33">
        <f>Batches!B1845</f>
        <v>201</v>
      </c>
      <c r="DC18" s="33">
        <f>Batches!B1869</f>
        <v>175</v>
      </c>
      <c r="DD18" s="33">
        <f>Batches!B1893</f>
        <v>175</v>
      </c>
      <c r="DE18" s="33">
        <f>Batches!B1917</f>
        <v>176</v>
      </c>
      <c r="DF18" s="33">
        <f>Batches!B1941</f>
        <v>152</v>
      </c>
      <c r="DG18" s="33">
        <f>Batches!B1965</f>
        <v>100</v>
      </c>
      <c r="DH18" s="33">
        <f>Batches!B1989</f>
        <v>109</v>
      </c>
      <c r="DI18" s="33">
        <f>Batches!B2013</f>
        <v>76</v>
      </c>
      <c r="DJ18" s="33">
        <f>Batches!B2037</f>
        <v>75</v>
      </c>
      <c r="DK18" s="33">
        <f>Batches!B2061</f>
        <v>76</v>
      </c>
      <c r="DL18" s="33">
        <f>Batches!B2085</f>
        <v>90</v>
      </c>
      <c r="DM18" s="33">
        <f>Batches!B2109</f>
        <v>101</v>
      </c>
      <c r="DN18" s="33">
        <f>Batches!B2133</f>
        <v>127</v>
      </c>
      <c r="DO18" s="33">
        <f>Batches!B2157</f>
        <v>150</v>
      </c>
      <c r="DP18" s="33">
        <f>Batches!B2181</f>
        <v>200</v>
      </c>
      <c r="DQ18" s="34">
        <f>Batches!B2205</f>
        <v>181</v>
      </c>
      <c r="DR18" s="34">
        <f>Batches!B2229</f>
        <v>200</v>
      </c>
      <c r="DS18" s="34">
        <f>Batches!B2253</f>
        <v>200</v>
      </c>
      <c r="DT18" s="34">
        <f>Batches!B2277</f>
        <v>200</v>
      </c>
      <c r="DU18" s="34">
        <f>Batches!B2301</f>
        <v>200</v>
      </c>
      <c r="DV18" s="34">
        <f>Batches!B2325</f>
        <v>219</v>
      </c>
      <c r="DW18" s="34">
        <f>Batches!B2349</f>
        <v>200</v>
      </c>
      <c r="DX18" s="34">
        <f>Batches!B2373</f>
        <v>200</v>
      </c>
      <c r="DY18" s="34">
        <f>Batches!B2397</f>
        <v>72</v>
      </c>
      <c r="DZ18" s="34">
        <f>Batches!B2421</f>
        <v>200</v>
      </c>
      <c r="EA18" s="34">
        <f>Batches!B2445</f>
        <v>200</v>
      </c>
      <c r="EB18" s="34">
        <f>Batches!B2469</f>
        <v>237</v>
      </c>
      <c r="EC18" s="34">
        <f>Batches!B2493</f>
        <v>150</v>
      </c>
      <c r="ED18" s="34">
        <f>Batches!B2517</f>
        <v>120</v>
      </c>
      <c r="EE18" s="34">
        <f>Batches!B2541</f>
        <v>181</v>
      </c>
      <c r="EF18" s="34">
        <f>Batches!B2565</f>
        <v>150</v>
      </c>
      <c r="EG18" s="34">
        <f>Batches!B2589</f>
        <v>150</v>
      </c>
      <c r="EH18" s="34">
        <f>Batches!B2613</f>
        <v>150</v>
      </c>
      <c r="EI18" s="34">
        <f>Batches!B2637</f>
        <v>150</v>
      </c>
      <c r="EJ18" s="34">
        <f>Batches!B2661</f>
        <v>150</v>
      </c>
      <c r="EK18" s="34">
        <f>Batches!B2685</f>
        <v>100</v>
      </c>
      <c r="EL18" s="34">
        <f>Batches!B2709</f>
        <v>100</v>
      </c>
      <c r="EM18" s="34">
        <f>Batches!B2733</f>
        <v>100</v>
      </c>
      <c r="EN18" s="34">
        <f>Batches!B2757</f>
        <v>100</v>
      </c>
    </row>
    <row r="19" spans="1:144" s="34" customFormat="1" x14ac:dyDescent="0.25">
      <c r="A19" s="807"/>
      <c r="B19" s="562" t="s">
        <v>1</v>
      </c>
      <c r="C19" s="523">
        <f>'Batch 2018'!H15</f>
        <v>153</v>
      </c>
      <c r="D19" s="523">
        <f>'Batch 2018'!H37</f>
        <v>125</v>
      </c>
      <c r="E19" s="523">
        <f>'Batch 2018'!H59</f>
        <v>160</v>
      </c>
      <c r="F19" s="523">
        <f>'Batch 2018'!H81</f>
        <v>106</v>
      </c>
      <c r="G19" s="523">
        <f>'Batch 2018'!H103</f>
        <v>125</v>
      </c>
      <c r="H19" s="523">
        <f>'Batch 2018'!H125</f>
        <v>127</v>
      </c>
      <c r="I19" s="523">
        <f>'Batch 2018'!H147</f>
        <v>151</v>
      </c>
      <c r="J19" s="523">
        <f>'Batch 2018'!H169</f>
        <v>175</v>
      </c>
      <c r="K19" s="523">
        <f>'Batch 2018'!H191</f>
        <v>176</v>
      </c>
      <c r="L19" s="34">
        <f>'Batch 2018'!H213</f>
        <v>175</v>
      </c>
      <c r="M19" s="34">
        <f>'Batch 2018'!H235</f>
        <v>175</v>
      </c>
      <c r="N19" s="34">
        <f>'Batch 2018'!H257</f>
        <v>175</v>
      </c>
      <c r="O19" s="34">
        <f>'Batch 2018'!H279</f>
        <v>175</v>
      </c>
      <c r="P19" s="34">
        <f>'Batch 2018'!H301</f>
        <v>149</v>
      </c>
      <c r="Q19" s="34">
        <f>'Batch 2018'!H323</f>
        <v>158</v>
      </c>
      <c r="R19" s="34">
        <f>'Batch 2018'!H345</f>
        <v>153</v>
      </c>
      <c r="S19" s="34">
        <f>'Batch 2018'!H367</f>
        <v>154</v>
      </c>
      <c r="T19" s="34">
        <f>'Batch 2018'!H389</f>
        <v>139</v>
      </c>
      <c r="U19" s="34">
        <f>'Batch 2018'!H411</f>
        <v>157</v>
      </c>
      <c r="V19" s="34">
        <f>'Batch 2018'!H433</f>
        <v>178</v>
      </c>
      <c r="W19" s="34">
        <f>'Batch 2018'!H455</f>
        <v>175</v>
      </c>
      <c r="X19" s="34">
        <f>'Batch 2018'!H477</f>
        <v>203</v>
      </c>
      <c r="Y19" s="34">
        <f>'Batch 2018'!H499</f>
        <v>161</v>
      </c>
      <c r="Z19" s="34">
        <f>'Batch 2018'!H521</f>
        <v>226</v>
      </c>
      <c r="AA19" s="34">
        <f>'Batch 2018'!H543</f>
        <v>230</v>
      </c>
      <c r="AB19" s="34">
        <f>'Batch 2018'!H565</f>
        <v>201</v>
      </c>
      <c r="AC19" s="34">
        <f>'Batch 2018'!H587</f>
        <v>200</v>
      </c>
      <c r="AD19" s="34">
        <f>Batches!I15</f>
        <v>174</v>
      </c>
      <c r="AE19" s="34">
        <f>Batches!I37</f>
        <v>153</v>
      </c>
      <c r="AF19" s="32">
        <f>Batches!I59</f>
        <v>175</v>
      </c>
      <c r="AG19" s="34">
        <f>Batches!I81</f>
        <v>175</v>
      </c>
      <c r="AH19" s="34">
        <f>Batches!I103</f>
        <v>177</v>
      </c>
      <c r="AI19" s="34">
        <f>Batches!I125</f>
        <v>175</v>
      </c>
      <c r="AJ19" s="34">
        <f>Batches!I147</f>
        <v>150</v>
      </c>
      <c r="AK19" s="32">
        <f>Batches!I169</f>
        <v>160</v>
      </c>
      <c r="AL19" s="33">
        <f>Batches!I191</f>
        <v>161</v>
      </c>
      <c r="AM19" s="33">
        <f>Batches!I213</f>
        <v>148</v>
      </c>
      <c r="AN19" s="33">
        <f>Batches!I235</f>
        <v>164</v>
      </c>
      <c r="AO19" s="33">
        <f>Batches!I257</f>
        <v>152</v>
      </c>
      <c r="AP19" s="33">
        <f>Batches!I279</f>
        <v>150</v>
      </c>
      <c r="AQ19" s="33">
        <f>Batches!I301</f>
        <v>155</v>
      </c>
      <c r="AR19" s="33">
        <f>Batches!I325</f>
        <v>150</v>
      </c>
      <c r="AS19" s="33">
        <f>Batches!I349</f>
        <v>150</v>
      </c>
      <c r="AT19" s="33">
        <f>Batches!I373</f>
        <v>151</v>
      </c>
      <c r="AU19" s="33">
        <f>Batches!I398</f>
        <v>150</v>
      </c>
      <c r="AV19" s="33">
        <f>Batches!I423</f>
        <v>150</v>
      </c>
      <c r="AW19" s="33">
        <f>Batches!I448</f>
        <v>154</v>
      </c>
      <c r="AX19" s="33">
        <f>Batches!I473</f>
        <v>176</v>
      </c>
      <c r="AY19" s="33">
        <f>Batches!I498</f>
        <v>154</v>
      </c>
      <c r="AZ19" s="33">
        <f>Batches!I523</f>
        <v>150</v>
      </c>
      <c r="BA19" s="33">
        <f>Batches!I547</f>
        <v>167</v>
      </c>
      <c r="BB19" s="33">
        <f>Batches!I571</f>
        <v>148</v>
      </c>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33">
        <f>Batches!I1294</f>
        <v>110</v>
      </c>
      <c r="CF19" s="33">
        <f>Batches!I1318</f>
        <v>119</v>
      </c>
      <c r="CG19" s="33">
        <f>Batches!I1342</f>
        <v>118</v>
      </c>
      <c r="CH19" s="140"/>
      <c r="CI19" s="33">
        <f>Batches!I1390</f>
        <v>100</v>
      </c>
      <c r="CJ19" s="33">
        <f>Batches!I1414</f>
        <v>80</v>
      </c>
      <c r="CK19" s="33">
        <f>Batches!I1438</f>
        <v>92</v>
      </c>
      <c r="CL19" s="33">
        <f>Batches!I1461</f>
        <v>223</v>
      </c>
      <c r="CM19" s="33">
        <f>Batches!I1485</f>
        <v>188</v>
      </c>
      <c r="CN19" s="33">
        <f>Batches!I1509</f>
        <v>144</v>
      </c>
      <c r="CO19" s="33">
        <f>Batches!I1533</f>
        <v>180</v>
      </c>
      <c r="CP19" s="33">
        <f>Batches!I1557</f>
        <v>100</v>
      </c>
      <c r="CQ19" s="33">
        <f>Batches!I1581</f>
        <v>100</v>
      </c>
      <c r="CR19" s="33">
        <f>Batches!I1605</f>
        <v>100</v>
      </c>
      <c r="CS19" s="33">
        <f>Batches!I1629</f>
        <v>101</v>
      </c>
      <c r="CT19" s="33">
        <f>Batches!I1653</f>
        <v>102</v>
      </c>
      <c r="CU19" s="33">
        <f>Batches!I1677</f>
        <v>177</v>
      </c>
      <c r="CV19" s="33">
        <f>Batches!I1701</f>
        <v>174</v>
      </c>
      <c r="CW19" s="33">
        <f>Batches!I1725</f>
        <v>99</v>
      </c>
      <c r="CX19" s="33">
        <f>Batches!I1749</f>
        <v>162</v>
      </c>
      <c r="CY19" s="33">
        <f>Batches!I1773</f>
        <v>176</v>
      </c>
      <c r="CZ19" s="33">
        <f>Batches!I1797</f>
        <v>175</v>
      </c>
      <c r="DA19" s="33">
        <f>Batches!I1821</f>
        <v>200</v>
      </c>
      <c r="DB19" s="33">
        <f>Batches!I1845</f>
        <v>200</v>
      </c>
      <c r="DC19" s="33">
        <f>Batches!I1869</f>
        <v>175</v>
      </c>
      <c r="DD19" s="33">
        <f>Batches!I1893</f>
        <v>175</v>
      </c>
      <c r="DE19" s="33">
        <f>Batches!I1917</f>
        <v>176</v>
      </c>
      <c r="DF19" s="33">
        <f>Batches!I1941</f>
        <v>153</v>
      </c>
      <c r="DG19" s="33">
        <f>Batches!I1965</f>
        <v>100</v>
      </c>
      <c r="DH19" s="33">
        <f>Batches!I1989</f>
        <v>105</v>
      </c>
      <c r="DI19" s="33">
        <f>Batches!I2013</f>
        <v>75</v>
      </c>
      <c r="DJ19" s="33">
        <f>Batches!I2037</f>
        <v>81</v>
      </c>
      <c r="DK19" s="33">
        <f>Batches!I2061</f>
        <v>75</v>
      </c>
      <c r="DL19" s="33">
        <f>Batches!I2085</f>
        <v>91</v>
      </c>
      <c r="DM19" s="33">
        <f>Batches!I2109</f>
        <v>100</v>
      </c>
      <c r="DN19" s="33">
        <f>Batches!I2133</f>
        <v>123</v>
      </c>
      <c r="DO19" s="33">
        <f>Batches!I2157</f>
        <v>150</v>
      </c>
      <c r="DP19" s="33">
        <f>Batches!I2181</f>
        <v>204</v>
      </c>
      <c r="DQ19" s="34">
        <f>Batches!I2205</f>
        <v>182</v>
      </c>
      <c r="DR19" s="34">
        <f>Batches!I2229</f>
        <v>200</v>
      </c>
      <c r="DS19" s="34">
        <f>Batches!I2253</f>
        <v>200</v>
      </c>
      <c r="DT19" s="34">
        <f>Batches!I2277</f>
        <v>201</v>
      </c>
      <c r="DU19" s="34">
        <f>Batches!I2301</f>
        <v>199</v>
      </c>
      <c r="DV19" s="34">
        <f>Batches!I2325</f>
        <v>219</v>
      </c>
      <c r="DW19" s="34">
        <f>Batches!I2349</f>
        <v>200</v>
      </c>
      <c r="DX19" s="34">
        <f>Batches!I2373</f>
        <v>200</v>
      </c>
      <c r="DY19" s="34">
        <f>Batches!I2397</f>
        <v>328</v>
      </c>
      <c r="DZ19" s="34">
        <f>Batches!I2421</f>
        <v>200</v>
      </c>
      <c r="EA19" s="34">
        <f>Batches!I2445</f>
        <v>201</v>
      </c>
      <c r="EB19" s="34">
        <f>Batches!I2469</f>
        <v>236</v>
      </c>
      <c r="EC19" s="34">
        <f>Batches!I2493</f>
        <v>150</v>
      </c>
      <c r="ED19" s="34">
        <f>Batches!I2517</f>
        <v>120</v>
      </c>
      <c r="EE19" s="34">
        <f>Batches!I2541</f>
        <v>180</v>
      </c>
      <c r="EF19" s="34">
        <f>Batches!I2565</f>
        <v>150</v>
      </c>
      <c r="EG19" s="34">
        <f>Batches!I2589</f>
        <v>150</v>
      </c>
      <c r="EH19" s="34">
        <f>Batches!I2613</f>
        <v>150</v>
      </c>
      <c r="EI19" s="34">
        <f>Batches!I2637</f>
        <v>150</v>
      </c>
      <c r="EJ19" s="34">
        <f>Batches!I2661</f>
        <v>150</v>
      </c>
      <c r="EK19" s="34">
        <f>Batches!I2685</f>
        <v>100</v>
      </c>
      <c r="EL19" s="34">
        <f>Batches!I2709</f>
        <v>100</v>
      </c>
      <c r="EM19" s="34">
        <f>Batches!I2733</f>
        <v>100</v>
      </c>
      <c r="EN19" s="34">
        <v>0</v>
      </c>
    </row>
    <row r="20" spans="1:144" x14ac:dyDescent="0.25">
      <c r="A20" s="807"/>
      <c r="B20" s="30" t="s">
        <v>2</v>
      </c>
      <c r="C20" s="34">
        <f t="shared" ref="C20:K20" si="18">C18+C19</f>
        <v>306</v>
      </c>
      <c r="D20" s="34">
        <f t="shared" si="18"/>
        <v>250</v>
      </c>
      <c r="E20" s="34">
        <f t="shared" si="18"/>
        <v>320</v>
      </c>
      <c r="F20" s="34">
        <f t="shared" si="18"/>
        <v>211</v>
      </c>
      <c r="G20" s="34">
        <f t="shared" si="18"/>
        <v>250</v>
      </c>
      <c r="H20" s="34">
        <f t="shared" si="18"/>
        <v>255</v>
      </c>
      <c r="I20" s="34">
        <f t="shared" si="18"/>
        <v>303</v>
      </c>
      <c r="J20" s="34">
        <f t="shared" si="18"/>
        <v>350</v>
      </c>
      <c r="K20" s="34">
        <f t="shared" si="18"/>
        <v>352</v>
      </c>
      <c r="L20" s="34">
        <f t="shared" ref="L20:AD20" si="19">L18+L19</f>
        <v>350</v>
      </c>
      <c r="M20" s="34">
        <f t="shared" si="19"/>
        <v>350</v>
      </c>
      <c r="N20" s="34">
        <f t="shared" si="19"/>
        <v>350</v>
      </c>
      <c r="O20" s="34">
        <f t="shared" si="19"/>
        <v>345</v>
      </c>
      <c r="P20" s="34">
        <f t="shared" si="19"/>
        <v>301</v>
      </c>
      <c r="Q20" s="34">
        <f t="shared" si="19"/>
        <v>334</v>
      </c>
      <c r="R20" s="34">
        <f t="shared" si="19"/>
        <v>304</v>
      </c>
      <c r="S20" s="34">
        <f t="shared" si="19"/>
        <v>306</v>
      </c>
      <c r="T20" s="34">
        <f t="shared" si="19"/>
        <v>290</v>
      </c>
      <c r="U20" s="34">
        <f t="shared" si="19"/>
        <v>317</v>
      </c>
      <c r="V20" s="34">
        <f t="shared" si="19"/>
        <v>350</v>
      </c>
      <c r="W20" s="34">
        <f t="shared" si="19"/>
        <v>350</v>
      </c>
      <c r="X20" s="34">
        <f t="shared" si="19"/>
        <v>400</v>
      </c>
      <c r="Y20" s="34">
        <f t="shared" si="19"/>
        <v>324</v>
      </c>
      <c r="Z20" s="34">
        <f t="shared" si="19"/>
        <v>450</v>
      </c>
      <c r="AA20" s="34">
        <f t="shared" si="19"/>
        <v>450</v>
      </c>
      <c r="AB20" s="34">
        <f t="shared" si="19"/>
        <v>402</v>
      </c>
      <c r="AC20" s="34">
        <f t="shared" si="19"/>
        <v>400</v>
      </c>
      <c r="AD20" s="34">
        <f t="shared" si="19"/>
        <v>350</v>
      </c>
      <c r="AE20" s="34">
        <f t="shared" ref="AE20:AM20" si="20">AE18+AE19</f>
        <v>349</v>
      </c>
      <c r="AF20" s="34">
        <f t="shared" si="20"/>
        <v>350</v>
      </c>
      <c r="AG20" s="34">
        <f t="shared" si="20"/>
        <v>350</v>
      </c>
      <c r="AH20" s="34">
        <f t="shared" si="20"/>
        <v>350</v>
      </c>
      <c r="AI20" s="34">
        <f t="shared" si="20"/>
        <v>351</v>
      </c>
      <c r="AJ20" s="34">
        <f t="shared" si="20"/>
        <v>300</v>
      </c>
      <c r="AK20" s="34">
        <f t="shared" si="20"/>
        <v>322</v>
      </c>
      <c r="AL20" s="34">
        <f t="shared" si="20"/>
        <v>323</v>
      </c>
      <c r="AM20" s="34">
        <f t="shared" si="20"/>
        <v>300</v>
      </c>
      <c r="AN20" s="34">
        <f t="shared" ref="AN20:BB20" si="21">AN18+AN19</f>
        <v>326</v>
      </c>
      <c r="AO20" s="34">
        <f t="shared" si="21"/>
        <v>304</v>
      </c>
      <c r="AP20" s="34">
        <f t="shared" si="21"/>
        <v>302</v>
      </c>
      <c r="AQ20" s="34">
        <f t="shared" si="21"/>
        <v>312</v>
      </c>
      <c r="AR20" s="34">
        <f t="shared" si="21"/>
        <v>301</v>
      </c>
      <c r="AS20" s="34">
        <f t="shared" si="21"/>
        <v>300</v>
      </c>
      <c r="AT20" s="112">
        <f t="shared" si="21"/>
        <v>302</v>
      </c>
      <c r="AU20" s="112">
        <f t="shared" si="21"/>
        <v>300</v>
      </c>
      <c r="AV20" s="112">
        <f t="shared" si="21"/>
        <v>301</v>
      </c>
      <c r="AW20" s="112">
        <f t="shared" si="21"/>
        <v>305</v>
      </c>
      <c r="AX20" s="112">
        <f t="shared" si="21"/>
        <v>350</v>
      </c>
      <c r="AY20" s="112">
        <f t="shared" si="21"/>
        <v>329</v>
      </c>
      <c r="AZ20" s="112">
        <f t="shared" si="21"/>
        <v>300</v>
      </c>
      <c r="BA20" s="112">
        <f t="shared" si="21"/>
        <v>302</v>
      </c>
      <c r="BB20" s="112">
        <f t="shared" si="21"/>
        <v>299</v>
      </c>
      <c r="BC20" s="112">
        <f>Batches!E595</f>
        <v>150</v>
      </c>
      <c r="BD20" s="112">
        <f>Batches!E620</f>
        <v>150</v>
      </c>
      <c r="BE20" s="112">
        <f>Batches!E646</f>
        <v>150</v>
      </c>
      <c r="BF20" s="112">
        <f>Batches!E672</f>
        <v>150</v>
      </c>
      <c r="BG20" s="112">
        <f>Batches!E697</f>
        <v>150</v>
      </c>
      <c r="BH20" s="112">
        <f>Batches!E723</f>
        <v>150</v>
      </c>
      <c r="BI20" s="112">
        <f>Batches!E749</f>
        <v>156</v>
      </c>
      <c r="BJ20" s="112">
        <f>Batches!E775</f>
        <v>150</v>
      </c>
      <c r="BK20" s="112">
        <f>Batches!E798</f>
        <v>151</v>
      </c>
      <c r="BL20" s="112">
        <f>Batches!E825</f>
        <v>121</v>
      </c>
      <c r="BM20" s="112">
        <f>Batches!E851</f>
        <v>120</v>
      </c>
      <c r="BN20" s="112">
        <f>Batches!E877</f>
        <v>120</v>
      </c>
      <c r="BO20" s="112">
        <f>Batches!E902</f>
        <v>120</v>
      </c>
      <c r="BP20" s="112">
        <f>Batches!E927</f>
        <v>120</v>
      </c>
      <c r="BQ20" s="112">
        <f>Batches!E952</f>
        <v>90</v>
      </c>
      <c r="BR20" s="112">
        <f>Batches!E977</f>
        <v>0</v>
      </c>
      <c r="BS20" s="112">
        <f>Batches!E1002</f>
        <v>0</v>
      </c>
      <c r="BT20" s="112">
        <f>Batches!E1027</f>
        <v>0</v>
      </c>
      <c r="BU20" s="112">
        <v>0</v>
      </c>
      <c r="BV20" s="112">
        <f>Batches!H1027</f>
        <v>0</v>
      </c>
      <c r="BW20" s="112">
        <f>Batches!I1027</f>
        <v>0</v>
      </c>
      <c r="BX20" s="112">
        <f>Batches!J1027</f>
        <v>0</v>
      </c>
      <c r="BY20" s="112">
        <f>Batches!K1027</f>
        <v>0</v>
      </c>
      <c r="BZ20" s="112">
        <f>Batches!L1027</f>
        <v>0</v>
      </c>
      <c r="CA20" s="112">
        <f>Batches!E1198</f>
        <v>416</v>
      </c>
      <c r="CB20" s="112">
        <f>Batches!E1222</f>
        <v>0</v>
      </c>
      <c r="CC20" s="112">
        <f>Batches!E1246</f>
        <v>0</v>
      </c>
      <c r="CD20" s="112">
        <f>Batches!E1270</f>
        <v>0</v>
      </c>
      <c r="CE20" s="112">
        <f>CE18+CE19</f>
        <v>220</v>
      </c>
      <c r="CF20" s="112">
        <f t="shared" ref="CF20:EN20" si="22">CF18+CF19</f>
        <v>237</v>
      </c>
      <c r="CG20" s="112">
        <f t="shared" si="22"/>
        <v>236</v>
      </c>
      <c r="CH20" s="112">
        <f>Batches!E1366</f>
        <v>164</v>
      </c>
      <c r="CI20" s="112">
        <f t="shared" si="22"/>
        <v>200</v>
      </c>
      <c r="CJ20" s="112">
        <f t="shared" si="22"/>
        <v>161</v>
      </c>
      <c r="CK20" s="112">
        <f t="shared" si="22"/>
        <v>182</v>
      </c>
      <c r="CL20" s="112">
        <f t="shared" si="22"/>
        <v>406</v>
      </c>
      <c r="CM20" s="112">
        <f t="shared" si="22"/>
        <v>379</v>
      </c>
      <c r="CN20" s="112">
        <f t="shared" si="22"/>
        <v>293</v>
      </c>
      <c r="CO20" s="112">
        <f t="shared" si="22"/>
        <v>359</v>
      </c>
      <c r="CP20" s="112">
        <f t="shared" si="22"/>
        <v>200</v>
      </c>
      <c r="CQ20" s="112">
        <f t="shared" si="22"/>
        <v>200</v>
      </c>
      <c r="CR20" s="112">
        <f t="shared" si="22"/>
        <v>200</v>
      </c>
      <c r="CS20" s="112">
        <f t="shared" si="22"/>
        <v>201</v>
      </c>
      <c r="CT20" s="112">
        <f t="shared" si="22"/>
        <v>202</v>
      </c>
      <c r="CU20" s="112">
        <f t="shared" si="22"/>
        <v>355</v>
      </c>
      <c r="CV20" s="112">
        <f t="shared" si="22"/>
        <v>349</v>
      </c>
      <c r="CW20" s="112">
        <f t="shared" si="22"/>
        <v>198</v>
      </c>
      <c r="CX20" s="112">
        <f t="shared" si="22"/>
        <v>325</v>
      </c>
      <c r="CY20" s="112">
        <f t="shared" si="22"/>
        <v>351</v>
      </c>
      <c r="CZ20" s="112">
        <f t="shared" si="22"/>
        <v>350</v>
      </c>
      <c r="DA20" s="112">
        <f t="shared" si="22"/>
        <v>406</v>
      </c>
      <c r="DB20" s="112">
        <f t="shared" si="22"/>
        <v>401</v>
      </c>
      <c r="DC20" s="112">
        <f t="shared" si="22"/>
        <v>350</v>
      </c>
      <c r="DD20" s="112">
        <f t="shared" si="22"/>
        <v>350</v>
      </c>
      <c r="DE20" s="112">
        <f t="shared" si="22"/>
        <v>352</v>
      </c>
      <c r="DF20" s="112">
        <f t="shared" si="22"/>
        <v>305</v>
      </c>
      <c r="DG20" s="112">
        <f t="shared" si="22"/>
        <v>200</v>
      </c>
      <c r="DH20" s="112">
        <f t="shared" si="22"/>
        <v>214</v>
      </c>
      <c r="DI20" s="112">
        <f t="shared" si="22"/>
        <v>151</v>
      </c>
      <c r="DJ20" s="112">
        <f t="shared" si="22"/>
        <v>156</v>
      </c>
      <c r="DK20" s="112">
        <f t="shared" si="22"/>
        <v>151</v>
      </c>
      <c r="DL20" s="112">
        <f t="shared" si="22"/>
        <v>181</v>
      </c>
      <c r="DM20" s="112">
        <f t="shared" si="22"/>
        <v>201</v>
      </c>
      <c r="DN20" s="112">
        <f t="shared" si="22"/>
        <v>250</v>
      </c>
      <c r="DO20" s="112">
        <f t="shared" si="22"/>
        <v>300</v>
      </c>
      <c r="DP20" s="112">
        <f t="shared" si="22"/>
        <v>404</v>
      </c>
      <c r="DQ20" s="112">
        <f t="shared" si="22"/>
        <v>363</v>
      </c>
      <c r="DR20" s="112">
        <f t="shared" si="22"/>
        <v>400</v>
      </c>
      <c r="DS20" s="112">
        <f t="shared" si="22"/>
        <v>400</v>
      </c>
      <c r="DT20" s="112">
        <f t="shared" si="22"/>
        <v>401</v>
      </c>
      <c r="DU20" s="112">
        <f t="shared" si="22"/>
        <v>399</v>
      </c>
      <c r="DV20" s="112">
        <f t="shared" si="22"/>
        <v>438</v>
      </c>
      <c r="DW20" s="112">
        <f t="shared" si="22"/>
        <v>400</v>
      </c>
      <c r="DX20" s="112">
        <f t="shared" si="22"/>
        <v>400</v>
      </c>
      <c r="DY20" s="112">
        <f t="shared" si="22"/>
        <v>400</v>
      </c>
      <c r="DZ20" s="112">
        <f t="shared" si="22"/>
        <v>400</v>
      </c>
      <c r="EA20" s="112">
        <f t="shared" si="22"/>
        <v>401</v>
      </c>
      <c r="EB20" s="112">
        <f t="shared" si="22"/>
        <v>473</v>
      </c>
      <c r="EC20" s="112">
        <f t="shared" si="22"/>
        <v>300</v>
      </c>
      <c r="ED20" s="112">
        <f t="shared" si="22"/>
        <v>240</v>
      </c>
      <c r="EE20" s="112">
        <f t="shared" si="22"/>
        <v>361</v>
      </c>
      <c r="EF20" s="112">
        <f t="shared" si="22"/>
        <v>300</v>
      </c>
      <c r="EG20" s="112">
        <f t="shared" si="22"/>
        <v>300</v>
      </c>
      <c r="EH20" s="112">
        <f t="shared" si="22"/>
        <v>300</v>
      </c>
      <c r="EI20" s="112">
        <f t="shared" si="22"/>
        <v>300</v>
      </c>
      <c r="EJ20" s="112">
        <f t="shared" si="22"/>
        <v>300</v>
      </c>
      <c r="EK20" s="112">
        <f t="shared" si="22"/>
        <v>200</v>
      </c>
      <c r="EL20" s="112">
        <f t="shared" si="22"/>
        <v>200</v>
      </c>
      <c r="EM20" s="112">
        <f t="shared" si="22"/>
        <v>200</v>
      </c>
      <c r="EN20" s="112">
        <f t="shared" si="22"/>
        <v>100</v>
      </c>
    </row>
    <row r="21" spans="1:144" x14ac:dyDescent="0.25">
      <c r="A21" s="29"/>
      <c r="B21" s="8"/>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112"/>
      <c r="DR21"/>
      <c r="DS21"/>
      <c r="DT21"/>
    </row>
    <row r="22" spans="1:144" x14ac:dyDescent="0.25">
      <c r="A22" s="532" t="s">
        <v>624</v>
      </c>
      <c r="B22" s="527" t="s">
        <v>2</v>
      </c>
      <c r="C22" s="112">
        <f t="shared" ref="C22:BN22" si="23">C16+C20</f>
        <v>1051</v>
      </c>
      <c r="D22" s="112">
        <f t="shared" si="23"/>
        <v>1373</v>
      </c>
      <c r="E22" s="112">
        <f t="shared" si="23"/>
        <v>2575</v>
      </c>
      <c r="F22" s="112">
        <f t="shared" si="23"/>
        <v>2141</v>
      </c>
      <c r="G22" s="112">
        <f t="shared" si="23"/>
        <v>2233</v>
      </c>
      <c r="H22" s="112">
        <f t="shared" si="23"/>
        <v>2872</v>
      </c>
      <c r="I22" s="112">
        <f t="shared" si="23"/>
        <v>2713</v>
      </c>
      <c r="J22" s="112">
        <f t="shared" si="23"/>
        <v>2836</v>
      </c>
      <c r="K22" s="112">
        <f t="shared" si="23"/>
        <v>2401</v>
      </c>
      <c r="L22" s="112">
        <f t="shared" si="23"/>
        <v>2611</v>
      </c>
      <c r="M22" s="112">
        <f t="shared" si="23"/>
        <v>2282</v>
      </c>
      <c r="N22" s="112">
        <f t="shared" si="23"/>
        <v>2128</v>
      </c>
      <c r="O22" s="112">
        <f t="shared" si="23"/>
        <v>2800</v>
      </c>
      <c r="P22" s="112">
        <f t="shared" si="23"/>
        <v>2218</v>
      </c>
      <c r="Q22" s="112">
        <f t="shared" si="23"/>
        <v>2236</v>
      </c>
      <c r="R22" s="112">
        <f t="shared" si="23"/>
        <v>2384</v>
      </c>
      <c r="S22" s="112">
        <f t="shared" si="23"/>
        <v>2530</v>
      </c>
      <c r="T22" s="112">
        <f t="shared" si="23"/>
        <v>2839</v>
      </c>
      <c r="U22" s="112">
        <f t="shared" si="23"/>
        <v>2665</v>
      </c>
      <c r="V22" s="112">
        <f t="shared" si="23"/>
        <v>2674</v>
      </c>
      <c r="W22" s="112">
        <f t="shared" si="23"/>
        <v>2558</v>
      </c>
      <c r="X22" s="112">
        <f t="shared" si="23"/>
        <v>2371</v>
      </c>
      <c r="Y22" s="112">
        <f t="shared" si="23"/>
        <v>2276</v>
      </c>
      <c r="Z22" s="112">
        <f t="shared" si="23"/>
        <v>2687</v>
      </c>
      <c r="AA22" s="112">
        <f t="shared" si="23"/>
        <v>2654</v>
      </c>
      <c r="AB22" s="112">
        <f t="shared" si="23"/>
        <v>2741</v>
      </c>
      <c r="AC22" s="112">
        <f t="shared" si="23"/>
        <v>2552</v>
      </c>
      <c r="AD22" s="112">
        <f t="shared" si="23"/>
        <v>2649</v>
      </c>
      <c r="AE22" s="112">
        <f t="shared" si="23"/>
        <v>2357</v>
      </c>
      <c r="AF22" s="112">
        <f t="shared" si="23"/>
        <v>2432</v>
      </c>
      <c r="AG22" s="112">
        <f t="shared" si="23"/>
        <v>2515</v>
      </c>
      <c r="AH22" s="112">
        <f t="shared" si="23"/>
        <v>2151</v>
      </c>
      <c r="AI22" s="112">
        <f t="shared" si="23"/>
        <v>2293</v>
      </c>
      <c r="AJ22" s="112">
        <f t="shared" si="23"/>
        <v>2302</v>
      </c>
      <c r="AK22" s="112">
        <f t="shared" si="23"/>
        <v>2659</v>
      </c>
      <c r="AL22" s="112">
        <f t="shared" si="23"/>
        <v>2814</v>
      </c>
      <c r="AM22" s="112">
        <f t="shared" si="23"/>
        <v>2484</v>
      </c>
      <c r="AN22" s="112">
        <f t="shared" si="23"/>
        <v>2995</v>
      </c>
      <c r="AO22" s="112">
        <f t="shared" si="23"/>
        <v>2743</v>
      </c>
      <c r="AP22" s="112">
        <f t="shared" si="23"/>
        <v>2604</v>
      </c>
      <c r="AQ22" s="112">
        <f t="shared" si="23"/>
        <v>2603</v>
      </c>
      <c r="AR22" s="112">
        <f t="shared" si="23"/>
        <v>3045</v>
      </c>
      <c r="AS22" s="112">
        <f t="shared" si="23"/>
        <v>2959</v>
      </c>
      <c r="AT22" s="112">
        <f t="shared" si="23"/>
        <v>2879</v>
      </c>
      <c r="AU22" s="112">
        <f t="shared" si="23"/>
        <v>2846</v>
      </c>
      <c r="AV22" s="112">
        <f t="shared" si="23"/>
        <v>2880</v>
      </c>
      <c r="AW22" s="112">
        <f t="shared" si="23"/>
        <v>2924</v>
      </c>
      <c r="AX22" s="112">
        <f t="shared" si="23"/>
        <v>2650</v>
      </c>
      <c r="AY22" s="112">
        <f t="shared" si="23"/>
        <v>2932</v>
      </c>
      <c r="AZ22" s="112">
        <f t="shared" si="23"/>
        <v>2956</v>
      </c>
      <c r="BA22" s="112">
        <f t="shared" si="23"/>
        <v>2720</v>
      </c>
      <c r="BB22" s="112">
        <f t="shared" si="23"/>
        <v>2836</v>
      </c>
      <c r="BC22" s="112">
        <f t="shared" si="23"/>
        <v>1920</v>
      </c>
      <c r="BD22" s="112">
        <f t="shared" si="23"/>
        <v>1920</v>
      </c>
      <c r="BE22" s="112">
        <f t="shared" si="23"/>
        <v>1920</v>
      </c>
      <c r="BF22" s="112">
        <f t="shared" si="23"/>
        <v>1920</v>
      </c>
      <c r="BG22" s="112">
        <f t="shared" si="23"/>
        <v>1920</v>
      </c>
      <c r="BH22" s="112">
        <f t="shared" si="23"/>
        <v>1781</v>
      </c>
      <c r="BI22" s="112">
        <f t="shared" si="23"/>
        <v>1684</v>
      </c>
      <c r="BJ22" s="112">
        <f t="shared" si="23"/>
        <v>1831</v>
      </c>
      <c r="BK22" s="112">
        <f t="shared" si="23"/>
        <v>1701</v>
      </c>
      <c r="BL22" s="112">
        <f t="shared" si="23"/>
        <v>1679</v>
      </c>
      <c r="BM22" s="112">
        <f t="shared" si="23"/>
        <v>1529</v>
      </c>
      <c r="BN22" s="112">
        <f t="shared" si="23"/>
        <v>1538</v>
      </c>
      <c r="BO22" s="112">
        <f t="shared" ref="BO22:DH22" si="24">BO16+BO20</f>
        <v>1520</v>
      </c>
      <c r="BP22" s="112">
        <f t="shared" si="24"/>
        <v>1491</v>
      </c>
      <c r="BQ22" s="112">
        <f t="shared" si="24"/>
        <v>1492</v>
      </c>
      <c r="BR22" s="112">
        <f t="shared" si="24"/>
        <v>1439</v>
      </c>
      <c r="BS22" s="112">
        <f t="shared" si="24"/>
        <v>1391</v>
      </c>
      <c r="BT22" s="112">
        <f t="shared" si="24"/>
        <v>1306</v>
      </c>
      <c r="BU22" s="112">
        <f t="shared" si="24"/>
        <v>1386</v>
      </c>
      <c r="BV22" s="112">
        <f t="shared" si="24"/>
        <v>1290</v>
      </c>
      <c r="BW22" s="112">
        <f t="shared" si="24"/>
        <v>1277</v>
      </c>
      <c r="BX22" s="112">
        <f t="shared" si="24"/>
        <v>1097</v>
      </c>
      <c r="BY22" s="112">
        <f t="shared" si="24"/>
        <v>826</v>
      </c>
      <c r="BZ22" s="112">
        <f t="shared" si="24"/>
        <v>1180</v>
      </c>
      <c r="CA22" s="112">
        <f t="shared" si="24"/>
        <v>1347</v>
      </c>
      <c r="CB22" s="112">
        <f t="shared" si="24"/>
        <v>1101</v>
      </c>
      <c r="CC22" s="112">
        <f t="shared" si="24"/>
        <v>1260</v>
      </c>
      <c r="CD22" s="112">
        <f t="shared" si="24"/>
        <v>1058</v>
      </c>
      <c r="CE22" s="112">
        <f t="shared" si="24"/>
        <v>2329</v>
      </c>
      <c r="CF22" s="112">
        <f t="shared" si="24"/>
        <v>2464</v>
      </c>
      <c r="CG22" s="112">
        <f t="shared" si="24"/>
        <v>2252</v>
      </c>
      <c r="CH22" s="112">
        <f t="shared" si="24"/>
        <v>1437</v>
      </c>
      <c r="CI22" s="112">
        <f t="shared" si="24"/>
        <v>1813</v>
      </c>
      <c r="CJ22" s="112">
        <f t="shared" si="24"/>
        <v>1663</v>
      </c>
      <c r="CK22" s="112">
        <f t="shared" si="24"/>
        <v>2112</v>
      </c>
      <c r="CL22" s="112">
        <f t="shared" si="24"/>
        <v>2875</v>
      </c>
      <c r="CM22" s="112">
        <f t="shared" si="24"/>
        <v>2440</v>
      </c>
      <c r="CN22" s="112">
        <f t="shared" si="24"/>
        <v>2029</v>
      </c>
      <c r="CO22" s="112">
        <f t="shared" si="24"/>
        <v>2485</v>
      </c>
      <c r="CP22" s="112">
        <f t="shared" si="24"/>
        <v>2030</v>
      </c>
      <c r="CQ22" s="112">
        <f t="shared" si="24"/>
        <v>2147</v>
      </c>
      <c r="CR22" s="112">
        <f t="shared" si="24"/>
        <v>2143</v>
      </c>
      <c r="CS22" s="112">
        <f t="shared" si="24"/>
        <v>2089</v>
      </c>
      <c r="CT22" s="112">
        <f t="shared" si="24"/>
        <v>2291</v>
      </c>
      <c r="CU22" s="112">
        <f t="shared" si="24"/>
        <v>1786</v>
      </c>
      <c r="CV22" s="112">
        <f t="shared" si="24"/>
        <v>2288</v>
      </c>
      <c r="CW22" s="112">
        <f t="shared" si="24"/>
        <v>1836</v>
      </c>
      <c r="CX22" s="112">
        <f t="shared" si="24"/>
        <v>2264</v>
      </c>
      <c r="CY22" s="112">
        <f t="shared" si="24"/>
        <v>2675</v>
      </c>
      <c r="CZ22" s="112">
        <f t="shared" si="24"/>
        <v>2682</v>
      </c>
      <c r="DA22" s="112">
        <f t="shared" si="24"/>
        <v>2839</v>
      </c>
      <c r="DB22" s="112">
        <f t="shared" si="24"/>
        <v>2694</v>
      </c>
      <c r="DC22" s="112">
        <f t="shared" si="24"/>
        <v>2606</v>
      </c>
      <c r="DD22" s="112">
        <f t="shared" si="24"/>
        <v>2620</v>
      </c>
      <c r="DE22" s="112">
        <f t="shared" si="24"/>
        <v>2244</v>
      </c>
      <c r="DF22" s="112">
        <f t="shared" si="24"/>
        <v>2062</v>
      </c>
      <c r="DG22" s="112">
        <f t="shared" si="24"/>
        <v>2175</v>
      </c>
      <c r="DH22" s="112">
        <f t="shared" si="24"/>
        <v>2194</v>
      </c>
      <c r="DI22" s="112">
        <f>DI16+DI20</f>
        <v>1907</v>
      </c>
      <c r="DJ22" s="112">
        <f t="shared" ref="DJ22:EE22" si="25">DJ16+DJ20</f>
        <v>2051</v>
      </c>
      <c r="DK22" s="112">
        <f t="shared" si="25"/>
        <v>2016</v>
      </c>
      <c r="DL22" s="112">
        <f t="shared" si="25"/>
        <v>2318</v>
      </c>
      <c r="DM22" s="112">
        <f t="shared" si="25"/>
        <v>2457</v>
      </c>
      <c r="DN22" s="112">
        <f t="shared" si="25"/>
        <v>2663</v>
      </c>
      <c r="DO22" s="112">
        <f t="shared" si="25"/>
        <v>2755</v>
      </c>
      <c r="DP22" s="112">
        <f t="shared" si="25"/>
        <v>3035</v>
      </c>
      <c r="DQ22" s="112">
        <f t="shared" si="25"/>
        <v>2508</v>
      </c>
      <c r="DR22" s="112">
        <f t="shared" si="25"/>
        <v>2973</v>
      </c>
      <c r="DS22" s="112">
        <f t="shared" si="25"/>
        <v>3080</v>
      </c>
      <c r="DT22" s="112">
        <f t="shared" si="25"/>
        <v>2410</v>
      </c>
      <c r="DU22" s="112">
        <f t="shared" si="25"/>
        <v>2893</v>
      </c>
      <c r="DV22" s="112">
        <f t="shared" si="25"/>
        <v>2673</v>
      </c>
      <c r="DW22" s="112">
        <f t="shared" si="25"/>
        <v>2900</v>
      </c>
      <c r="DX22" s="112">
        <f t="shared" si="25"/>
        <v>2705</v>
      </c>
      <c r="DY22" s="112">
        <f t="shared" si="25"/>
        <v>3313</v>
      </c>
      <c r="DZ22" s="112">
        <f t="shared" si="25"/>
        <v>2863</v>
      </c>
      <c r="EA22" s="112">
        <f t="shared" si="25"/>
        <v>2983</v>
      </c>
      <c r="EB22" s="112">
        <f t="shared" si="25"/>
        <v>2705</v>
      </c>
      <c r="EC22" s="112">
        <f t="shared" si="25"/>
        <v>2459</v>
      </c>
      <c r="ED22" s="112">
        <f t="shared" si="25"/>
        <v>2459</v>
      </c>
      <c r="EE22" s="112">
        <f t="shared" si="25"/>
        <v>2566</v>
      </c>
      <c r="EF22" s="112">
        <f>EF16+EF20</f>
        <v>2546</v>
      </c>
      <c r="EG22" s="112">
        <f>EG16+EG20</f>
        <v>2720</v>
      </c>
      <c r="EH22" s="112">
        <f>EH16+EH20</f>
        <v>2481</v>
      </c>
      <c r="EI22" s="112">
        <f t="shared" ref="EI22:EN22" si="26">EI16+EI20</f>
        <v>2560</v>
      </c>
      <c r="EJ22" s="112">
        <f t="shared" si="26"/>
        <v>2727</v>
      </c>
      <c r="EK22" s="112">
        <f t="shared" si="26"/>
        <v>2155</v>
      </c>
      <c r="EL22" s="112">
        <f t="shared" si="26"/>
        <v>2360</v>
      </c>
      <c r="EM22" s="112">
        <f t="shared" si="26"/>
        <v>2190</v>
      </c>
      <c r="EN22" s="112">
        <f t="shared" si="26"/>
        <v>1340</v>
      </c>
    </row>
    <row r="23" spans="1:144" s="112" customFormat="1" x14ac:dyDescent="0.25">
      <c r="A23" s="551" t="s">
        <v>703</v>
      </c>
      <c r="B23" s="550" t="s">
        <v>2</v>
      </c>
      <c r="C23" s="112">
        <f t="shared" ref="C23:AH23" si="27">C22*C10</f>
        <v>16816</v>
      </c>
      <c r="D23" s="112">
        <f t="shared" si="27"/>
        <v>20595</v>
      </c>
      <c r="E23" s="112">
        <f t="shared" si="27"/>
        <v>37337.5</v>
      </c>
      <c r="F23" s="112">
        <f t="shared" si="27"/>
        <v>32115</v>
      </c>
      <c r="G23" s="112">
        <f t="shared" si="27"/>
        <v>33495</v>
      </c>
      <c r="H23" s="112">
        <f t="shared" si="27"/>
        <v>41644</v>
      </c>
      <c r="I23" s="112">
        <f t="shared" si="27"/>
        <v>43408</v>
      </c>
      <c r="J23" s="112">
        <f t="shared" si="27"/>
        <v>39704</v>
      </c>
      <c r="K23" s="112">
        <f t="shared" si="27"/>
        <v>36015</v>
      </c>
      <c r="L23" s="112">
        <f t="shared" si="27"/>
        <v>39165</v>
      </c>
      <c r="M23" s="112">
        <f t="shared" si="27"/>
        <v>28296.799999999999</v>
      </c>
      <c r="N23" s="112">
        <f t="shared" si="27"/>
        <v>22556.799999999999</v>
      </c>
      <c r="O23" s="112">
        <f t="shared" si="27"/>
        <v>40600</v>
      </c>
      <c r="P23" s="112">
        <f t="shared" si="27"/>
        <v>27725</v>
      </c>
      <c r="Q23" s="112">
        <f t="shared" si="27"/>
        <v>22360</v>
      </c>
      <c r="R23" s="112">
        <f t="shared" si="27"/>
        <v>26224</v>
      </c>
      <c r="S23" s="112">
        <f t="shared" si="27"/>
        <v>27830</v>
      </c>
      <c r="T23" s="112">
        <f t="shared" si="27"/>
        <v>42585</v>
      </c>
      <c r="U23" s="112">
        <f t="shared" si="27"/>
        <v>38642.5</v>
      </c>
      <c r="V23" s="112">
        <f t="shared" si="27"/>
        <v>40110</v>
      </c>
      <c r="W23" s="112">
        <f t="shared" si="27"/>
        <v>39649</v>
      </c>
      <c r="X23" s="112">
        <f t="shared" si="27"/>
        <v>35565</v>
      </c>
      <c r="Y23" s="112">
        <f t="shared" si="27"/>
        <v>36416</v>
      </c>
      <c r="Z23" s="112">
        <f t="shared" si="27"/>
        <v>40305</v>
      </c>
      <c r="AA23" s="112">
        <f t="shared" si="27"/>
        <v>38483</v>
      </c>
      <c r="AB23" s="112">
        <f t="shared" si="27"/>
        <v>40566.800000000003</v>
      </c>
      <c r="AC23" s="112">
        <f t="shared" si="27"/>
        <v>36238.400000000001</v>
      </c>
      <c r="AD23" s="112">
        <f t="shared" si="27"/>
        <v>39735</v>
      </c>
      <c r="AE23" s="112">
        <f t="shared" si="27"/>
        <v>35355</v>
      </c>
      <c r="AF23" s="112">
        <f t="shared" si="27"/>
        <v>36480</v>
      </c>
      <c r="AG23" s="112">
        <f t="shared" si="27"/>
        <v>35210</v>
      </c>
      <c r="AH23" s="112">
        <f t="shared" si="27"/>
        <v>30114</v>
      </c>
      <c r="AI23" s="112">
        <f t="shared" ref="AI23:BN23" si="28">AI22*AI10</f>
        <v>32102</v>
      </c>
      <c r="AJ23" s="112">
        <f t="shared" si="28"/>
        <v>32228</v>
      </c>
      <c r="AK23" s="112">
        <f t="shared" si="28"/>
        <v>37226</v>
      </c>
      <c r="AL23" s="112">
        <f t="shared" si="28"/>
        <v>43617</v>
      </c>
      <c r="AM23" s="112">
        <f t="shared" si="28"/>
        <v>34776</v>
      </c>
      <c r="AN23" s="112">
        <f t="shared" si="28"/>
        <v>44925</v>
      </c>
      <c r="AO23" s="112">
        <f t="shared" si="28"/>
        <v>41145</v>
      </c>
      <c r="AP23" s="112">
        <f t="shared" si="28"/>
        <v>37758</v>
      </c>
      <c r="AQ23" s="112">
        <f t="shared" si="28"/>
        <v>33839</v>
      </c>
      <c r="AR23" s="112">
        <f t="shared" si="28"/>
        <v>48720</v>
      </c>
      <c r="AS23" s="112">
        <f t="shared" si="28"/>
        <v>47344</v>
      </c>
      <c r="AT23" s="112">
        <f t="shared" si="28"/>
        <v>43185</v>
      </c>
      <c r="AU23" s="112">
        <f t="shared" si="28"/>
        <v>42690</v>
      </c>
      <c r="AV23" s="112">
        <f t="shared" si="28"/>
        <v>46080</v>
      </c>
      <c r="AW23" s="112">
        <f t="shared" si="28"/>
        <v>43860</v>
      </c>
      <c r="AX23" s="112">
        <f t="shared" si="28"/>
        <v>39750</v>
      </c>
      <c r="AY23" s="112">
        <f t="shared" si="28"/>
        <v>42514</v>
      </c>
      <c r="AZ23" s="112">
        <f t="shared" si="28"/>
        <v>44340</v>
      </c>
      <c r="BA23" s="112">
        <f t="shared" si="28"/>
        <v>40800</v>
      </c>
      <c r="BB23" s="112">
        <f t="shared" si="28"/>
        <v>42540</v>
      </c>
      <c r="BC23" s="112">
        <f t="shared" si="28"/>
        <v>28800</v>
      </c>
      <c r="BD23" s="112">
        <f t="shared" si="28"/>
        <v>28800</v>
      </c>
      <c r="BE23" s="112">
        <f t="shared" si="28"/>
        <v>28800</v>
      </c>
      <c r="BF23" s="112">
        <f t="shared" si="28"/>
        <v>28800</v>
      </c>
      <c r="BG23" s="112">
        <f t="shared" si="28"/>
        <v>27840</v>
      </c>
      <c r="BH23" s="112">
        <f t="shared" si="28"/>
        <v>25824.5</v>
      </c>
      <c r="BI23" s="112">
        <f t="shared" si="28"/>
        <v>23576</v>
      </c>
      <c r="BJ23" s="112">
        <f t="shared" si="28"/>
        <v>26549.5</v>
      </c>
      <c r="BK23" s="112">
        <f t="shared" si="28"/>
        <v>23814</v>
      </c>
      <c r="BL23" s="112">
        <f t="shared" si="28"/>
        <v>24345.5</v>
      </c>
      <c r="BM23" s="112">
        <f t="shared" si="28"/>
        <v>23699.5</v>
      </c>
      <c r="BN23" s="112">
        <f t="shared" si="28"/>
        <v>23839</v>
      </c>
      <c r="BO23" s="112">
        <f t="shared" ref="BO23:CT23" si="29">BO22*BO10</f>
        <v>22040</v>
      </c>
      <c r="BP23" s="112">
        <f t="shared" si="29"/>
        <v>23856</v>
      </c>
      <c r="BQ23" s="112">
        <f t="shared" si="29"/>
        <v>23872</v>
      </c>
      <c r="BR23" s="112">
        <f t="shared" si="29"/>
        <v>21585</v>
      </c>
      <c r="BS23" s="112">
        <f t="shared" si="29"/>
        <v>20865</v>
      </c>
      <c r="BT23" s="112">
        <f t="shared" si="29"/>
        <v>18284</v>
      </c>
      <c r="BU23" s="112">
        <f t="shared" si="29"/>
        <v>19404</v>
      </c>
      <c r="BV23" s="112">
        <f t="shared" si="29"/>
        <v>19350</v>
      </c>
      <c r="BW23" s="112">
        <f t="shared" si="29"/>
        <v>19155</v>
      </c>
      <c r="BX23" s="112">
        <f t="shared" si="29"/>
        <v>16455</v>
      </c>
      <c r="BY23" s="112">
        <f t="shared" si="29"/>
        <v>12390</v>
      </c>
      <c r="BZ23" s="112">
        <f t="shared" si="29"/>
        <v>17700</v>
      </c>
      <c r="CA23" s="112">
        <f t="shared" si="29"/>
        <v>18858</v>
      </c>
      <c r="CB23" s="112">
        <f t="shared" si="29"/>
        <v>15414</v>
      </c>
      <c r="CC23" s="112">
        <f t="shared" si="29"/>
        <v>18270</v>
      </c>
      <c r="CD23" s="112">
        <f t="shared" si="29"/>
        <v>14812</v>
      </c>
      <c r="CE23" s="112">
        <f t="shared" si="29"/>
        <v>32606</v>
      </c>
      <c r="CF23" s="112">
        <f t="shared" si="29"/>
        <v>34496</v>
      </c>
      <c r="CG23" s="112">
        <f t="shared" si="29"/>
        <v>33780</v>
      </c>
      <c r="CH23" s="112">
        <f t="shared" si="29"/>
        <v>20836.5</v>
      </c>
      <c r="CI23" s="112">
        <f t="shared" si="29"/>
        <v>26288.5</v>
      </c>
      <c r="CJ23" s="112">
        <f t="shared" si="29"/>
        <v>23282</v>
      </c>
      <c r="CK23" s="112">
        <f t="shared" si="29"/>
        <v>30624</v>
      </c>
      <c r="CL23" s="112">
        <f t="shared" si="29"/>
        <v>43125</v>
      </c>
      <c r="CM23" s="112">
        <f t="shared" si="29"/>
        <v>36600</v>
      </c>
      <c r="CN23" s="112">
        <f t="shared" si="29"/>
        <v>30435</v>
      </c>
      <c r="CO23" s="112">
        <f t="shared" si="29"/>
        <v>37275</v>
      </c>
      <c r="CP23" s="112">
        <f t="shared" si="29"/>
        <v>30450</v>
      </c>
      <c r="CQ23" s="112">
        <f t="shared" si="29"/>
        <v>32205</v>
      </c>
      <c r="CR23" s="112">
        <f t="shared" si="29"/>
        <v>31073.5</v>
      </c>
      <c r="CS23" s="112">
        <f t="shared" si="29"/>
        <v>30290.5</v>
      </c>
      <c r="CT23" s="112">
        <f t="shared" si="29"/>
        <v>32074</v>
      </c>
      <c r="CU23" s="112">
        <f t="shared" ref="CU23:DZ23" si="30">CU22*CU10</f>
        <v>26790</v>
      </c>
      <c r="CV23" s="112">
        <f t="shared" si="30"/>
        <v>33176</v>
      </c>
      <c r="CW23" s="112">
        <f t="shared" si="30"/>
        <v>26622</v>
      </c>
      <c r="CX23" s="112">
        <f t="shared" si="30"/>
        <v>32828</v>
      </c>
      <c r="CY23" s="112">
        <f t="shared" si="30"/>
        <v>38787.5</v>
      </c>
      <c r="CZ23" s="112">
        <f t="shared" si="30"/>
        <v>38889</v>
      </c>
      <c r="DA23" s="112">
        <f t="shared" si="30"/>
        <v>41165.5</v>
      </c>
      <c r="DB23" s="112">
        <f t="shared" si="30"/>
        <v>39063</v>
      </c>
      <c r="DC23" s="112">
        <f t="shared" si="30"/>
        <v>37787</v>
      </c>
      <c r="DD23" s="112">
        <f t="shared" si="30"/>
        <v>37990</v>
      </c>
      <c r="DE23" s="112">
        <f t="shared" si="30"/>
        <v>32538</v>
      </c>
      <c r="DF23" s="112">
        <f t="shared" si="30"/>
        <v>29899</v>
      </c>
      <c r="DG23" s="112">
        <f t="shared" si="30"/>
        <v>32625</v>
      </c>
      <c r="DH23" s="112">
        <f t="shared" si="30"/>
        <v>31813</v>
      </c>
      <c r="DI23" s="112">
        <f t="shared" si="30"/>
        <v>28605</v>
      </c>
      <c r="DJ23" s="112">
        <f t="shared" si="30"/>
        <v>29739.5</v>
      </c>
      <c r="DK23" s="112">
        <f t="shared" si="30"/>
        <v>29232</v>
      </c>
      <c r="DL23" s="112">
        <f t="shared" si="30"/>
        <v>34770</v>
      </c>
      <c r="DM23" s="112">
        <f t="shared" si="30"/>
        <v>35626.5</v>
      </c>
      <c r="DN23" s="112">
        <f t="shared" si="30"/>
        <v>39945</v>
      </c>
      <c r="DO23" s="112">
        <f t="shared" si="30"/>
        <v>41325</v>
      </c>
      <c r="DP23" s="112">
        <f t="shared" si="30"/>
        <v>45525</v>
      </c>
      <c r="DQ23" s="112">
        <f t="shared" si="30"/>
        <v>38874</v>
      </c>
      <c r="DR23" s="112">
        <f t="shared" si="30"/>
        <v>41622</v>
      </c>
      <c r="DS23" s="112">
        <f t="shared" si="30"/>
        <v>44660</v>
      </c>
      <c r="DT23" s="112">
        <f t="shared" si="30"/>
        <v>36150</v>
      </c>
      <c r="DU23" s="112">
        <f t="shared" si="30"/>
        <v>41948.5</v>
      </c>
      <c r="DV23" s="112">
        <f t="shared" si="30"/>
        <v>40095</v>
      </c>
      <c r="DW23" s="112">
        <f t="shared" si="30"/>
        <v>46400</v>
      </c>
      <c r="DX23" s="112">
        <f t="shared" si="30"/>
        <v>40575</v>
      </c>
      <c r="DY23" s="112">
        <f t="shared" si="30"/>
        <v>54664.5</v>
      </c>
      <c r="DZ23" s="112">
        <f t="shared" si="30"/>
        <v>47239.5</v>
      </c>
      <c r="EA23" s="112">
        <f t="shared" ref="EA23" si="31">EA22*EA10</f>
        <v>44745</v>
      </c>
      <c r="EB23" s="112">
        <f t="shared" ref="EB23:EM23" si="32">EB22*EB10</f>
        <v>39222.5</v>
      </c>
      <c r="EC23" s="112">
        <f t="shared" si="32"/>
        <v>35655.5</v>
      </c>
      <c r="ED23" s="112">
        <f t="shared" si="32"/>
        <v>35655.5</v>
      </c>
      <c r="EE23" s="112">
        <f t="shared" si="32"/>
        <v>37207</v>
      </c>
      <c r="EF23" s="112">
        <f t="shared" si="32"/>
        <v>38190</v>
      </c>
      <c r="EG23" s="112">
        <f t="shared" si="32"/>
        <v>39440</v>
      </c>
      <c r="EH23" s="112">
        <f t="shared" si="32"/>
        <v>35974.5</v>
      </c>
      <c r="EI23" s="112">
        <f t="shared" si="32"/>
        <v>37120</v>
      </c>
      <c r="EJ23" s="112">
        <f t="shared" si="32"/>
        <v>39541.5</v>
      </c>
      <c r="EK23" s="112">
        <f t="shared" si="32"/>
        <v>31247.5</v>
      </c>
      <c r="EL23" s="112">
        <f t="shared" si="32"/>
        <v>34220</v>
      </c>
      <c r="EM23" s="112">
        <f t="shared" si="32"/>
        <v>31755</v>
      </c>
      <c r="EN23" s="112">
        <f>EN22*EN10</f>
        <v>21440</v>
      </c>
    </row>
    <row r="24" spans="1:144" x14ac:dyDescent="0.25">
      <c r="A24" s="532" t="s">
        <v>704</v>
      </c>
      <c r="B24" s="550" t="s">
        <v>2</v>
      </c>
      <c r="C24" s="16">
        <f t="shared" ref="C24:AH24" si="33">C23/(C6*1000)</f>
        <v>1.5826823529411764</v>
      </c>
      <c r="D24" s="16">
        <f t="shared" si="33"/>
        <v>1.7162500000000001</v>
      </c>
      <c r="E24" s="16">
        <f t="shared" si="33"/>
        <v>2.6669642857142857</v>
      </c>
      <c r="F24" s="16">
        <f t="shared" si="33"/>
        <v>2.2616197183098592</v>
      </c>
      <c r="G24" s="16">
        <f t="shared" si="33"/>
        <v>2.3588028169014086</v>
      </c>
      <c r="H24" s="16">
        <f t="shared" si="33"/>
        <v>2.6027499999999999</v>
      </c>
      <c r="I24" s="16">
        <f t="shared" si="33"/>
        <v>2.7130000000000001</v>
      </c>
      <c r="J24" s="16">
        <f t="shared" si="33"/>
        <v>2.4815</v>
      </c>
      <c r="K24" s="16">
        <f t="shared" si="33"/>
        <v>2.2509375</v>
      </c>
      <c r="L24" s="16">
        <f t="shared" si="33"/>
        <v>2.4478124999999999</v>
      </c>
      <c r="M24" s="16">
        <f t="shared" si="33"/>
        <v>1.7685499999999998</v>
      </c>
      <c r="N24" s="16">
        <f t="shared" si="33"/>
        <v>1.326870588235294</v>
      </c>
      <c r="O24" s="16">
        <f t="shared" si="33"/>
        <v>2.3871119473189086</v>
      </c>
      <c r="P24" s="16">
        <f t="shared" si="33"/>
        <v>1.4947703256415785</v>
      </c>
      <c r="Q24" s="16">
        <f t="shared" si="33"/>
        <v>1.8633333333333333</v>
      </c>
      <c r="R24" s="16">
        <f t="shared" si="33"/>
        <v>1.7482666666666666</v>
      </c>
      <c r="S24" s="16">
        <f t="shared" si="33"/>
        <v>1.8159869494290375</v>
      </c>
      <c r="T24" s="16">
        <f t="shared" si="33"/>
        <v>2.4334285714285713</v>
      </c>
      <c r="U24" s="16">
        <f t="shared" si="33"/>
        <v>2.4644451530612246</v>
      </c>
      <c r="V24" s="16">
        <f t="shared" si="33"/>
        <v>2.6062378167641325</v>
      </c>
      <c r="W24" s="16">
        <f t="shared" si="33"/>
        <v>2.4044269254093389</v>
      </c>
      <c r="X24" s="16">
        <f t="shared" si="33"/>
        <v>2.3661100392522121</v>
      </c>
      <c r="Y24" s="16">
        <f t="shared" si="33"/>
        <v>2.3801307189542484</v>
      </c>
      <c r="Z24" s="16">
        <f t="shared" si="33"/>
        <v>2.6869999999999998</v>
      </c>
      <c r="AA24" s="16">
        <f t="shared" si="33"/>
        <v>2.5655333333333332</v>
      </c>
      <c r="AB24" s="16">
        <f t="shared" si="33"/>
        <v>2.7044533333333334</v>
      </c>
      <c r="AC24" s="16">
        <f t="shared" si="33"/>
        <v>2.4091477197181228</v>
      </c>
      <c r="AD24" s="16">
        <f t="shared" si="33"/>
        <v>2.5768482490272375</v>
      </c>
      <c r="AE24" s="16">
        <f t="shared" si="33"/>
        <v>2.2235849056603771</v>
      </c>
      <c r="AF24" s="16">
        <f t="shared" si="33"/>
        <v>2.3474903474903477</v>
      </c>
      <c r="AG24" s="16">
        <f t="shared" si="33"/>
        <v>2.2528632670036473</v>
      </c>
      <c r="AH24" s="16">
        <f t="shared" si="33"/>
        <v>1.7600233781414378</v>
      </c>
      <c r="AI24" s="16">
        <f t="shared" ref="AI24:BN24" si="34">AI23/(AI6*1000)</f>
        <v>2.1189438943894388</v>
      </c>
      <c r="AJ24" s="16">
        <f t="shared" si="34"/>
        <v>2.1299319278302824</v>
      </c>
      <c r="AK24" s="16">
        <f t="shared" si="34"/>
        <v>1.9801063829787233</v>
      </c>
      <c r="AL24" s="16">
        <f t="shared" si="34"/>
        <v>2.4923999999999999</v>
      </c>
      <c r="AM24" s="16">
        <f t="shared" si="34"/>
        <v>1.9872000000000001</v>
      </c>
      <c r="AN24" s="16">
        <f t="shared" si="34"/>
        <v>2.2462499999999999</v>
      </c>
      <c r="AO24" s="16">
        <f t="shared" si="34"/>
        <v>2.0611662158100392</v>
      </c>
      <c r="AP24" s="16">
        <f t="shared" si="34"/>
        <v>1.8799103808812547</v>
      </c>
      <c r="AQ24" s="16">
        <f t="shared" si="34"/>
        <v>1.6900064925335865</v>
      </c>
      <c r="AR24" s="16">
        <f t="shared" si="34"/>
        <v>2.3205525125029771</v>
      </c>
      <c r="AS24" s="16">
        <f t="shared" si="34"/>
        <v>2.4032487309644668</v>
      </c>
      <c r="AT24" s="16">
        <f t="shared" si="34"/>
        <v>2.1592500000000001</v>
      </c>
      <c r="AU24" s="16">
        <f t="shared" si="34"/>
        <v>2.1291770573566087</v>
      </c>
      <c r="AV24" s="16">
        <f t="shared" si="34"/>
        <v>2.3027334965768826</v>
      </c>
      <c r="AW24" s="16">
        <f t="shared" si="34"/>
        <v>2.1775394697646711</v>
      </c>
      <c r="AX24" s="16">
        <f t="shared" si="34"/>
        <v>2.2083333333333335</v>
      </c>
      <c r="AY24" s="16">
        <f t="shared" si="34"/>
        <v>2.2375789473684211</v>
      </c>
      <c r="AZ24" s="16">
        <f t="shared" si="34"/>
        <v>2.3336842105263158</v>
      </c>
      <c r="BA24" s="16">
        <f t="shared" si="34"/>
        <v>2.0923076923076924</v>
      </c>
      <c r="BB24" s="16">
        <f t="shared" si="34"/>
        <v>2.1244506592089492</v>
      </c>
      <c r="BC24" s="16">
        <f t="shared" si="34"/>
        <v>2.3703703703703702</v>
      </c>
      <c r="BD24" s="16">
        <f t="shared" si="34"/>
        <v>2.4827586206896552</v>
      </c>
      <c r="BE24" s="16">
        <f t="shared" si="34"/>
        <v>2.3902398539297867</v>
      </c>
      <c r="BF24" s="16">
        <f t="shared" si="34"/>
        <v>2.3994001499625095</v>
      </c>
      <c r="BG24" s="16">
        <f t="shared" si="34"/>
        <v>2.3178752809924235</v>
      </c>
      <c r="BH24" s="16">
        <f t="shared" si="34"/>
        <v>2.149891774891775</v>
      </c>
      <c r="BI24" s="16">
        <f t="shared" si="34"/>
        <v>2.0155595451825254</v>
      </c>
      <c r="BJ24" s="16">
        <f t="shared" si="34"/>
        <v>2.2653156996587032</v>
      </c>
      <c r="BK24" s="16">
        <f t="shared" si="34"/>
        <v>1.9815277084373439</v>
      </c>
      <c r="BL24" s="16">
        <f t="shared" si="34"/>
        <v>1.9401896716608225</v>
      </c>
      <c r="BM24" s="16">
        <f t="shared" si="34"/>
        <v>1.8230384615384616</v>
      </c>
      <c r="BN24" s="16">
        <f t="shared" si="34"/>
        <v>1.7027857142857143</v>
      </c>
      <c r="BO24" s="16">
        <f t="shared" ref="BO24:CT24" si="35">BO23/(BO6*1000)</f>
        <v>1.6953846153846155</v>
      </c>
      <c r="BP24" s="16">
        <f t="shared" si="35"/>
        <v>2.3856000000000002</v>
      </c>
      <c r="BQ24" s="16">
        <f t="shared" si="35"/>
        <v>2.3872</v>
      </c>
      <c r="BR24" s="16">
        <f t="shared" si="35"/>
        <v>2.1585000000000001</v>
      </c>
      <c r="BS24" s="16">
        <f t="shared" si="35"/>
        <v>2.0865</v>
      </c>
      <c r="BT24" s="16">
        <f t="shared" si="35"/>
        <v>2.4378666666666668</v>
      </c>
      <c r="BU24" s="16">
        <f t="shared" si="35"/>
        <v>2.5872000000000002</v>
      </c>
      <c r="BV24" s="16">
        <f t="shared" si="35"/>
        <v>2.6875</v>
      </c>
      <c r="BW24" s="16">
        <f t="shared" si="35"/>
        <v>2.6604166666666669</v>
      </c>
      <c r="BX24" s="16">
        <f t="shared" si="35"/>
        <v>2.2854166666666669</v>
      </c>
      <c r="BY24" s="16">
        <f t="shared" si="35"/>
        <v>1.6519999999999999</v>
      </c>
      <c r="BZ24" s="16">
        <f t="shared" si="35"/>
        <v>2.36</v>
      </c>
      <c r="CA24" s="16">
        <f t="shared" si="35"/>
        <v>2.5144000000000002</v>
      </c>
      <c r="CB24" s="16">
        <f t="shared" si="35"/>
        <v>2.0552000000000001</v>
      </c>
      <c r="CC24" s="16">
        <f t="shared" si="35"/>
        <v>2.0880000000000001</v>
      </c>
      <c r="CD24" s="16">
        <f t="shared" si="35"/>
        <v>1.6928000000000001</v>
      </c>
      <c r="CE24" s="16">
        <f t="shared" si="35"/>
        <v>1.7389866666666667</v>
      </c>
      <c r="CF24" s="16">
        <f t="shared" si="35"/>
        <v>1.7248000000000001</v>
      </c>
      <c r="CG24" s="16">
        <f t="shared" si="35"/>
        <v>1.6890000000000001</v>
      </c>
      <c r="CH24" s="16">
        <f t="shared" si="35"/>
        <v>1.9844285714285714</v>
      </c>
      <c r="CI24" s="16">
        <f t="shared" si="35"/>
        <v>2.1907083333333333</v>
      </c>
      <c r="CJ24" s="16">
        <f t="shared" si="35"/>
        <v>1.3941317365269461</v>
      </c>
      <c r="CK24" s="16">
        <f t="shared" si="35"/>
        <v>1.8337724550898205</v>
      </c>
      <c r="CL24" s="16">
        <f t="shared" si="35"/>
        <v>1.9602272727272727</v>
      </c>
      <c r="CM24" s="16">
        <f t="shared" si="35"/>
        <v>2.3766233766233764</v>
      </c>
      <c r="CN24" s="16">
        <f t="shared" si="35"/>
        <v>2.3411538461538464</v>
      </c>
      <c r="CO24" s="16">
        <f t="shared" si="35"/>
        <v>2.3152173913043477</v>
      </c>
      <c r="CP24" s="16">
        <f t="shared" si="35"/>
        <v>2.3191165270373193</v>
      </c>
      <c r="CQ24" s="16">
        <f t="shared" si="35"/>
        <v>2.3680147058823531</v>
      </c>
      <c r="CR24" s="16">
        <f t="shared" si="35"/>
        <v>2.2517028985507248</v>
      </c>
      <c r="CS24" s="16">
        <f t="shared" si="35"/>
        <v>2.2437407407407406</v>
      </c>
      <c r="CT24" s="16">
        <f t="shared" si="35"/>
        <v>2.3758518518518517</v>
      </c>
      <c r="CU24" s="16">
        <f t="shared" ref="CU24:DV24" si="36">CU23/(CU6*1000)</f>
        <v>1.8349315068493151</v>
      </c>
      <c r="CV24" s="16">
        <f t="shared" si="36"/>
        <v>1.7932972972972974</v>
      </c>
      <c r="CW24" s="16">
        <f t="shared" si="36"/>
        <v>1.7747999999999999</v>
      </c>
      <c r="CX24" s="16">
        <f t="shared" si="36"/>
        <v>1.5632380952380953</v>
      </c>
      <c r="CY24" s="16">
        <f t="shared" si="36"/>
        <v>1.8040697674418604</v>
      </c>
      <c r="CZ24" s="16">
        <f t="shared" si="36"/>
        <v>2.1604999999999999</v>
      </c>
      <c r="DA24" s="16">
        <f t="shared" si="36"/>
        <v>2.225162162162162</v>
      </c>
      <c r="DB24" s="16">
        <f t="shared" si="36"/>
        <v>2.1115135135135135</v>
      </c>
      <c r="DC24" s="16">
        <f t="shared" si="36"/>
        <v>2.0425405405405406</v>
      </c>
      <c r="DD24" s="16">
        <f t="shared" si="36"/>
        <v>2.1708571428571428</v>
      </c>
      <c r="DE24" s="16">
        <f t="shared" si="36"/>
        <v>2.2440000000000002</v>
      </c>
      <c r="DF24" s="16">
        <f t="shared" si="36"/>
        <v>2.0619999999999998</v>
      </c>
      <c r="DG24" s="16">
        <f t="shared" si="36"/>
        <v>2.25</v>
      </c>
      <c r="DH24" s="16">
        <f t="shared" si="36"/>
        <v>2.194</v>
      </c>
      <c r="DI24" s="16">
        <f t="shared" si="36"/>
        <v>2.0432142857142859</v>
      </c>
      <c r="DJ24" s="16">
        <f t="shared" si="36"/>
        <v>2.12425</v>
      </c>
      <c r="DK24" s="16">
        <f t="shared" si="36"/>
        <v>1.8859354838709677</v>
      </c>
      <c r="DL24" s="16">
        <f t="shared" si="36"/>
        <v>2.1731250000000002</v>
      </c>
      <c r="DM24" s="16">
        <f t="shared" si="36"/>
        <v>1.97925</v>
      </c>
      <c r="DN24" s="16">
        <f t="shared" si="36"/>
        <v>2.2191666666666667</v>
      </c>
      <c r="DO24" s="16">
        <f t="shared" si="36"/>
        <v>2.0662500000000001</v>
      </c>
      <c r="DP24" s="16">
        <f t="shared" si="36"/>
        <v>2.2762500000000001</v>
      </c>
      <c r="DQ24" s="16">
        <f t="shared" si="36"/>
        <v>2.0459999999999998</v>
      </c>
      <c r="DR24" s="16">
        <f t="shared" si="36"/>
        <v>1.891909090909091</v>
      </c>
      <c r="DS24" s="16">
        <f t="shared" si="36"/>
        <v>2.0299999999999998</v>
      </c>
      <c r="DT24" s="16">
        <f t="shared" si="36"/>
        <v>1.6431818181818181</v>
      </c>
      <c r="DU24" s="16">
        <f t="shared" si="36"/>
        <v>1.9067499999999999</v>
      </c>
      <c r="DV24" s="16">
        <f t="shared" si="36"/>
        <v>1.8225</v>
      </c>
      <c r="DW24" s="16">
        <f t="shared" ref="DW24:EB24" si="37">DW23/(DW6*1000)</f>
        <v>2.017391304347826</v>
      </c>
      <c r="DX24" s="16">
        <f t="shared" si="37"/>
        <v>1.7641304347826088</v>
      </c>
      <c r="DY24" s="16">
        <f t="shared" si="37"/>
        <v>2.3767173913043478</v>
      </c>
      <c r="DZ24" s="16">
        <f t="shared" si="37"/>
        <v>2.0538913043478262</v>
      </c>
      <c r="EA24" s="16">
        <f t="shared" si="37"/>
        <v>1.9454347826086957</v>
      </c>
      <c r="EB24" s="16">
        <f t="shared" si="37"/>
        <v>1.961125</v>
      </c>
      <c r="EC24" s="16">
        <f t="shared" ref="EC24:EN24" si="38">EC23/(EC6*1000)</f>
        <v>2.3770333333333333</v>
      </c>
      <c r="ED24" s="16">
        <f t="shared" si="38"/>
        <v>2.3770333333333333</v>
      </c>
      <c r="EE24" s="16">
        <f t="shared" si="38"/>
        <v>2.0670555555555556</v>
      </c>
      <c r="EF24" s="16">
        <f t="shared" si="38"/>
        <v>1.8629268292682928</v>
      </c>
      <c r="EG24" s="16">
        <f t="shared" si="38"/>
        <v>1.9239024390243902</v>
      </c>
      <c r="EH24" s="16">
        <f t="shared" si="38"/>
        <v>1.7548536585365853</v>
      </c>
      <c r="EI24" s="16">
        <f t="shared" si="38"/>
        <v>1.8376237623762377</v>
      </c>
      <c r="EJ24" s="16">
        <f t="shared" si="38"/>
        <v>1.9770749999999999</v>
      </c>
      <c r="EK24" s="16">
        <f t="shared" si="38"/>
        <v>1.9529687499999999</v>
      </c>
      <c r="EL24" s="16">
        <f t="shared" si="38"/>
        <v>2.1387499999999999</v>
      </c>
      <c r="EM24" s="16">
        <f t="shared" si="38"/>
        <v>1.9846874999999999</v>
      </c>
      <c r="EN24" s="16">
        <f t="shared" si="38"/>
        <v>2.1440000000000001</v>
      </c>
    </row>
    <row r="25" spans="1:144" x14ac:dyDescent="0.25">
      <c r="A25" s="29"/>
      <c r="B25" s="8"/>
      <c r="C25" s="8"/>
      <c r="D25" s="8"/>
      <c r="E25" s="8"/>
      <c r="F25" s="8"/>
      <c r="G25" s="8"/>
      <c r="H25" s="8"/>
      <c r="I25" s="8"/>
      <c r="J25" s="8"/>
      <c r="K25" s="8"/>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DR25"/>
      <c r="DS25"/>
      <c r="DT25"/>
      <c r="DV25" s="39"/>
    </row>
    <row r="26" spans="1:144" x14ac:dyDescent="0.25">
      <c r="A26" s="37" t="s">
        <v>16</v>
      </c>
      <c r="B26" s="30" t="s">
        <v>2</v>
      </c>
      <c r="C26" s="38">
        <f t="shared" ref="C26:K26" si="39">C7*1000/(C16+C20)</f>
        <v>8.5930066603235016</v>
      </c>
      <c r="D26" s="38">
        <f t="shared" si="39"/>
        <v>7.4289876183539691</v>
      </c>
      <c r="E26" s="38">
        <f>E7*1000/(E16+E20)</f>
        <v>4.7844660194174757</v>
      </c>
      <c r="F26" s="38">
        <f t="shared" si="39"/>
        <v>5.8365249883232124</v>
      </c>
      <c r="G26" s="38">
        <f t="shared" si="39"/>
        <v>5.596059113300492</v>
      </c>
      <c r="H26" s="38">
        <f t="shared" si="39"/>
        <v>4.9025069637883005</v>
      </c>
      <c r="I26" s="38">
        <f t="shared" si="39"/>
        <v>5.1898267600442312</v>
      </c>
      <c r="J26" s="38">
        <f t="shared" si="39"/>
        <v>4.9647390691114248</v>
      </c>
      <c r="K26" s="38">
        <f t="shared" si="39"/>
        <v>5.8642232403165346</v>
      </c>
      <c r="L26" s="38">
        <f>L7*1000/(L16+L20)</f>
        <v>5.3925698965913442</v>
      </c>
      <c r="M26" s="38">
        <f t="shared" ref="M26:AC26" si="40">M7*1000/(M16+M20)</f>
        <v>5.763365468886942</v>
      </c>
      <c r="N26" s="38">
        <f t="shared" si="40"/>
        <v>6.6546052631578947</v>
      </c>
      <c r="O26" s="38">
        <f t="shared" si="40"/>
        <v>4.8563914285714285</v>
      </c>
      <c r="P26" s="38">
        <f t="shared" si="40"/>
        <v>6.0544418394950403</v>
      </c>
      <c r="Q26" s="38">
        <f t="shared" si="40"/>
        <v>4.8300536672629697</v>
      </c>
      <c r="R26" s="38">
        <f t="shared" si="40"/>
        <v>5.599832214765101</v>
      </c>
      <c r="S26" s="38">
        <f t="shared" si="40"/>
        <v>5.3710187747035576</v>
      </c>
      <c r="T26" s="38">
        <f t="shared" si="40"/>
        <v>4.8080309968298698</v>
      </c>
      <c r="U26" s="38">
        <f t="shared" si="40"/>
        <v>5.2953095684802998</v>
      </c>
      <c r="V26" s="38">
        <f t="shared" si="40"/>
        <v>5.1798803290949884</v>
      </c>
      <c r="W26" s="38">
        <f t="shared" si="40"/>
        <v>5.3505473025801402</v>
      </c>
      <c r="X26" s="38">
        <f t="shared" si="40"/>
        <v>6.3395191902150989</v>
      </c>
      <c r="Y26" s="38">
        <f t="shared" si="40"/>
        <v>5.7139718804920916</v>
      </c>
      <c r="Z26" s="38">
        <f t="shared" si="40"/>
        <v>4.8008931894305915</v>
      </c>
      <c r="AA26" s="38">
        <f t="shared" si="40"/>
        <v>4.7871137905048986</v>
      </c>
      <c r="AB26" s="38">
        <f t="shared" si="40"/>
        <v>4.7336738416636264</v>
      </c>
      <c r="AC26" s="38">
        <f t="shared" si="40"/>
        <v>5.1279545454545454</v>
      </c>
      <c r="AD26" s="38">
        <f t="shared" ref="AD26:AM26" si="41">AD7*1000/(AD16+AD20)</f>
        <v>5.0643261608154022</v>
      </c>
      <c r="AE26" s="38">
        <f t="shared" si="41"/>
        <v>5.9363597793805685</v>
      </c>
      <c r="AF26" s="38">
        <f t="shared" si="41"/>
        <v>5.1757401315789471</v>
      </c>
      <c r="AG26" s="38">
        <f t="shared" si="41"/>
        <v>4.6269821073558655</v>
      </c>
      <c r="AH26" s="38">
        <f t="shared" si="41"/>
        <v>5.886285448628545</v>
      </c>
      <c r="AI26" s="38">
        <f t="shared" si="41"/>
        <v>5.5499345835150455</v>
      </c>
      <c r="AJ26" s="38">
        <f t="shared" si="41"/>
        <v>5.3898436142484796</v>
      </c>
      <c r="AK26" s="38">
        <f t="shared" si="41"/>
        <v>4.8078224896577657</v>
      </c>
      <c r="AL26" s="38">
        <f t="shared" si="41"/>
        <v>4.7263681592039797</v>
      </c>
      <c r="AM26" s="38">
        <f t="shared" si="41"/>
        <v>5.3542673107890497</v>
      </c>
      <c r="AN26" s="38">
        <f>AN7*1000/(AN16+AN20)</f>
        <v>5.28881469115192</v>
      </c>
      <c r="AO26" s="38">
        <f>AO7*1000/(AO16+AO20)</f>
        <v>5.8658403208166243</v>
      </c>
      <c r="AP26" s="38">
        <f>AP7*1000/(AP16+AP20)</f>
        <v>6.370967741935484</v>
      </c>
      <c r="AQ26" s="38">
        <f t="shared" ref="AQ26:BF26" si="42">AQ7*1000/(AQ16+AQ20)</f>
        <v>6.2312716096811362</v>
      </c>
      <c r="AR26" s="38">
        <f t="shared" si="42"/>
        <v>5.7602627257799668</v>
      </c>
      <c r="AS26" s="38">
        <f t="shared" si="42"/>
        <v>5.7921595133491044</v>
      </c>
      <c r="AT26" s="38">
        <f t="shared" si="42"/>
        <v>6.1062869051754083</v>
      </c>
      <c r="AU26" s="38">
        <f t="shared" si="42"/>
        <v>6.19957835558679</v>
      </c>
      <c r="AV26" s="38">
        <f t="shared" si="42"/>
        <v>5.9755069444444437</v>
      </c>
      <c r="AW26" s="38">
        <f t="shared" si="42"/>
        <v>5.9685020519835836</v>
      </c>
      <c r="AX26" s="38">
        <f t="shared" si="42"/>
        <v>5.5018867924528312</v>
      </c>
      <c r="AY26" s="38">
        <f t="shared" si="42"/>
        <v>5.6377899045020463</v>
      </c>
      <c r="AZ26" s="38">
        <f t="shared" si="42"/>
        <v>5.5920162381596752</v>
      </c>
      <c r="BA26" s="38">
        <f t="shared" si="42"/>
        <v>6.2371323529411766</v>
      </c>
      <c r="BB26" s="38">
        <f t="shared" si="42"/>
        <v>6.1427644569816646</v>
      </c>
      <c r="BC26" s="38">
        <f t="shared" si="42"/>
        <v>5.5687499999999996</v>
      </c>
      <c r="BD26" s="38">
        <f t="shared" si="42"/>
        <v>4.6500000000000004</v>
      </c>
      <c r="BE26" s="38">
        <f t="shared" si="42"/>
        <v>5.4597031250000008</v>
      </c>
      <c r="BF26" s="38">
        <f t="shared" si="42"/>
        <v>5.4388593750000007</v>
      </c>
      <c r="BG26" s="38">
        <f t="shared" ref="BG26:BM26" si="43">BG7*1000/(BG16+BG20)</f>
        <v>5.4424843750000003</v>
      </c>
      <c r="BH26" s="38">
        <f t="shared" si="43"/>
        <v>5.8677372262773728</v>
      </c>
      <c r="BI26" s="38">
        <f t="shared" si="43"/>
        <v>6.042986935866983</v>
      </c>
      <c r="BJ26" s="38">
        <f t="shared" si="43"/>
        <v>5.5687602403058447</v>
      </c>
      <c r="BK26" s="38">
        <f t="shared" si="43"/>
        <v>6.1467724867724867</v>
      </c>
      <c r="BL26" s="38">
        <f t="shared" si="43"/>
        <v>5.9787969029184049</v>
      </c>
      <c r="BM26" s="38">
        <f t="shared" si="43"/>
        <v>7.8274623937213867</v>
      </c>
      <c r="BN26" s="38">
        <f t="shared" ref="BN26:BX26" si="44">BN7*1000/(BN16+BN20)</f>
        <v>8.4850455136540948</v>
      </c>
      <c r="BO26" s="38">
        <f t="shared" si="44"/>
        <v>8.5526315789473681</v>
      </c>
      <c r="BP26" s="38">
        <f>BP7*1000/(BP16+BP20)</f>
        <v>6.7069081153588197</v>
      </c>
      <c r="BQ26" s="38">
        <f t="shared" si="44"/>
        <v>6.7024128686327078</v>
      </c>
      <c r="BR26" s="38">
        <f t="shared" si="44"/>
        <v>6.9492703266157054</v>
      </c>
      <c r="BS26" s="38">
        <f>BS7*1000/(BS16+BS20)</f>
        <v>7.1890726096333575</v>
      </c>
      <c r="BT26" s="38">
        <f>BT7*1000/(BT16+BT20)</f>
        <v>11.026033690658499</v>
      </c>
      <c r="BU26" s="38">
        <f>BU7*1000/(BU16+BU20)</f>
        <v>5.4112554112554117</v>
      </c>
      <c r="BV26" s="38">
        <f>BV7*1000/(BV16+BV20)</f>
        <v>5.5813953488372094</v>
      </c>
      <c r="BW26" s="38">
        <f>BW7*1000/(BW16+BW20)</f>
        <v>5.638214565387627</v>
      </c>
      <c r="BX26" s="38">
        <f t="shared" si="44"/>
        <v>6.5633546034639929</v>
      </c>
      <c r="BY26" s="38">
        <f>BY7*1000/(BY16+BY20)</f>
        <v>9.079903147699758</v>
      </c>
      <c r="BZ26" s="38">
        <f t="shared" ref="BZ26:CO26" si="45">BZ7*1000/(BZ16+BZ20)</f>
        <v>6.3559322033898304</v>
      </c>
      <c r="CA26" s="38">
        <f t="shared" si="45"/>
        <v>5.5679287305122491</v>
      </c>
      <c r="CB26" s="38">
        <f t="shared" si="45"/>
        <v>6.8119891008174385</v>
      </c>
      <c r="CC26" s="38">
        <f t="shared" si="45"/>
        <v>6.9444444444444446</v>
      </c>
      <c r="CD26" s="38">
        <f>CD7*1000/(CD16+CD20)</f>
        <v>8.2703213610586008</v>
      </c>
      <c r="CE26" s="38">
        <f>CE7*1000/(CE16+CE20)</f>
        <v>8.0506655216831255</v>
      </c>
      <c r="CF26" s="38">
        <f>CF7*1000/(CF16+CF20)</f>
        <v>8.1168831168831161</v>
      </c>
      <c r="CG26" s="38">
        <f>CG7*1000/(CG16+CG20)</f>
        <v>7.8152753108348136</v>
      </c>
      <c r="CH26" s="38">
        <f t="shared" si="45"/>
        <v>6.4300626304801671</v>
      </c>
      <c r="CI26" s="38">
        <f t="shared" si="45"/>
        <v>5.8246001103143961</v>
      </c>
      <c r="CJ26" s="38">
        <f t="shared" si="45"/>
        <v>8.6361996392062519</v>
      </c>
      <c r="CK26" s="38">
        <f t="shared" si="45"/>
        <v>6.958333333333333</v>
      </c>
      <c r="CL26" s="38">
        <f t="shared" si="45"/>
        <v>6.7339130434782613</v>
      </c>
      <c r="CM26" s="38">
        <f t="shared" si="45"/>
        <v>5.5540983606557379</v>
      </c>
      <c r="CN26" s="38">
        <f t="shared" si="45"/>
        <v>5.4460325283390825</v>
      </c>
      <c r="CO26" s="38">
        <f t="shared" si="45"/>
        <v>5.507042253521127</v>
      </c>
      <c r="CP26" s="38">
        <f t="shared" ref="CP26:DL26" si="46">CP7*1000/(CP16+CP20)</f>
        <v>5.4977832512315272</v>
      </c>
      <c r="CQ26" s="38">
        <f t="shared" si="46"/>
        <v>5.700978108989287</v>
      </c>
      <c r="CR26" s="38">
        <f t="shared" si="46"/>
        <v>5.7956136257582838</v>
      </c>
      <c r="CS26" s="38">
        <f t="shared" si="46"/>
        <v>5.8161799904260407</v>
      </c>
      <c r="CT26" s="38">
        <f t="shared" si="46"/>
        <v>5.4212134439109558</v>
      </c>
      <c r="CU26" s="38">
        <f t="shared" si="46"/>
        <v>6.5397536394176932</v>
      </c>
      <c r="CV26" s="38">
        <f t="shared" si="46"/>
        <v>6.4685314685314683</v>
      </c>
      <c r="CW26" s="38">
        <f t="shared" si="46"/>
        <v>6.9444444444444446</v>
      </c>
      <c r="CX26" s="38">
        <f t="shared" si="46"/>
        <v>7.4204946996466434</v>
      </c>
      <c r="CY26" s="38">
        <f t="shared" si="46"/>
        <v>6.4299065420560746</v>
      </c>
      <c r="CZ26" s="38">
        <f t="shared" si="46"/>
        <v>5.5704697986577179</v>
      </c>
      <c r="DA26" s="38">
        <f t="shared" si="46"/>
        <v>5.4085945755547717</v>
      </c>
      <c r="DB26" s="38">
        <f t="shared" si="46"/>
        <v>5.6997030438010388</v>
      </c>
      <c r="DC26" s="38">
        <f t="shared" si="46"/>
        <v>5.8921719109746729</v>
      </c>
      <c r="DD26" s="38">
        <f t="shared" si="46"/>
        <v>5.2767175572519092</v>
      </c>
      <c r="DE26" s="38">
        <f t="shared" si="46"/>
        <v>5.3631907308377897</v>
      </c>
      <c r="DF26" s="38">
        <f t="shared" si="46"/>
        <v>5.8365664403491753</v>
      </c>
      <c r="DG26" s="38">
        <f t="shared" si="46"/>
        <v>5.5333333333333332</v>
      </c>
      <c r="DH26" s="38">
        <f>DH7*1000/(DH16+DH20)</f>
        <v>5.4854147675478577</v>
      </c>
      <c r="DI26" s="38">
        <f t="shared" si="46"/>
        <v>6.0933403251179863</v>
      </c>
      <c r="DJ26" s="38">
        <f t="shared" si="46"/>
        <v>5.6655290102389078</v>
      </c>
      <c r="DK26" s="38">
        <f t="shared" si="46"/>
        <v>6.0739087301587311</v>
      </c>
      <c r="DL26" s="38">
        <f t="shared" si="46"/>
        <v>5.9361518550474548</v>
      </c>
      <c r="DM26" s="38">
        <f>DM7*1000/(DM16+DM20)</f>
        <v>6.3003663003663002</v>
      </c>
      <c r="DN26" s="38">
        <f t="shared" ref="DN26:EJ26" si="47">DN7*1000/(DN16+DN20)</f>
        <v>5.8129928651896359</v>
      </c>
      <c r="DO26" s="38">
        <f t="shared" si="47"/>
        <v>6.1705989110707806</v>
      </c>
      <c r="DP26" s="38">
        <f t="shared" si="47"/>
        <v>5.6672158154859966</v>
      </c>
      <c r="DQ26" s="38">
        <f t="shared" si="47"/>
        <v>6.0606060606060614</v>
      </c>
      <c r="DR26" s="38">
        <f t="shared" si="47"/>
        <v>6.2899428187016477</v>
      </c>
      <c r="DS26" s="38">
        <f t="shared" si="47"/>
        <v>6.0714285714285712</v>
      </c>
      <c r="DT26" s="38">
        <f t="shared" si="47"/>
        <v>7.6680497925311206</v>
      </c>
      <c r="DU26" s="38">
        <f t="shared" si="47"/>
        <v>6.5399239543726226</v>
      </c>
      <c r="DV26" s="38">
        <f t="shared" si="47"/>
        <v>6.5843621399176957</v>
      </c>
      <c r="DW26" s="38">
        <f t="shared" si="47"/>
        <v>6.3448275862068977</v>
      </c>
      <c r="DX26" s="38">
        <f t="shared" si="47"/>
        <v>6.8022181146025895</v>
      </c>
      <c r="DY26" s="38">
        <f t="shared" si="47"/>
        <v>5.9704195593118019</v>
      </c>
      <c r="DZ26" s="38">
        <f t="shared" si="47"/>
        <v>6.5874956339504029</v>
      </c>
      <c r="EA26" s="38">
        <f t="shared" si="47"/>
        <v>6.476701307408649</v>
      </c>
      <c r="EB26" s="38">
        <f t="shared" si="47"/>
        <v>6.2107208872458406</v>
      </c>
      <c r="EC26" s="38">
        <f t="shared" si="47"/>
        <v>5.3680357869052457</v>
      </c>
      <c r="ED26" s="38">
        <f t="shared" si="47"/>
        <v>5.3680357869052457</v>
      </c>
      <c r="EE26" s="38">
        <f t="shared" si="47"/>
        <v>5.6118472330475448</v>
      </c>
      <c r="EF26" s="38">
        <f t="shared" si="47"/>
        <v>6.4414768263943456</v>
      </c>
      <c r="EG26" s="38">
        <f t="shared" si="47"/>
        <v>6.029411764705884</v>
      </c>
      <c r="EH26" s="38">
        <f t="shared" si="47"/>
        <v>7.0233776702942361</v>
      </c>
      <c r="EI26" s="38">
        <f t="shared" si="47"/>
        <v>6.5492187499999996</v>
      </c>
      <c r="EJ26" s="38">
        <f t="shared" si="47"/>
        <v>6.2339567290062341</v>
      </c>
      <c r="EK26" s="38">
        <f t="shared" ref="EK26:EN26" si="48">EK7*1000/(EK16+EK20)</f>
        <v>6.3109048723897914</v>
      </c>
      <c r="EL26" s="38">
        <f t="shared" si="48"/>
        <v>5.7627118644067794</v>
      </c>
      <c r="EM26" s="38">
        <f t="shared" si="48"/>
        <v>6.2100456621004563</v>
      </c>
      <c r="EN26" s="38">
        <f t="shared" si="48"/>
        <v>6.3432835820895521</v>
      </c>
    </row>
    <row r="27" spans="1:144" x14ac:dyDescent="0.25">
      <c r="A27" s="534" t="s">
        <v>625</v>
      </c>
      <c r="B27" s="533" t="s">
        <v>2</v>
      </c>
      <c r="C27" s="34">
        <f t="shared" ref="C27:K27" si="49">(C16+C20)/C6</f>
        <v>98.917647058823533</v>
      </c>
      <c r="D27" s="34">
        <f t="shared" si="49"/>
        <v>114.41666666666667</v>
      </c>
      <c r="E27" s="34">
        <f t="shared" si="49"/>
        <v>183.92857142857142</v>
      </c>
      <c r="F27" s="34">
        <f t="shared" si="49"/>
        <v>150.77464788732397</v>
      </c>
      <c r="G27" s="34">
        <f t="shared" si="49"/>
        <v>157.25352112676057</v>
      </c>
      <c r="H27" s="34">
        <f t="shared" si="49"/>
        <v>179.5</v>
      </c>
      <c r="I27" s="34">
        <f t="shared" si="49"/>
        <v>169.5625</v>
      </c>
      <c r="J27" s="34">
        <f t="shared" si="49"/>
        <v>177.25</v>
      </c>
      <c r="K27" s="34">
        <f t="shared" si="49"/>
        <v>150.0625</v>
      </c>
      <c r="L27" s="34">
        <f t="shared" ref="L27:BW27" si="50">(L16+L20)/L6</f>
        <v>163.1875</v>
      </c>
      <c r="M27" s="34">
        <f t="shared" si="50"/>
        <v>142.625</v>
      </c>
      <c r="N27" s="34">
        <f t="shared" si="50"/>
        <v>125.17647058823529</v>
      </c>
      <c r="O27" s="34">
        <f t="shared" si="50"/>
        <v>164.62841015992475</v>
      </c>
      <c r="P27" s="34">
        <f t="shared" si="50"/>
        <v>119.5816260513263</v>
      </c>
      <c r="Q27" s="34">
        <f t="shared" si="50"/>
        <v>186.33333333333334</v>
      </c>
      <c r="R27" s="34">
        <f t="shared" si="50"/>
        <v>158.93333333333334</v>
      </c>
      <c r="S27" s="34">
        <f t="shared" si="50"/>
        <v>165.08972267536706</v>
      </c>
      <c r="T27" s="34">
        <f t="shared" si="50"/>
        <v>162.22857142857143</v>
      </c>
      <c r="U27" s="34">
        <f t="shared" si="50"/>
        <v>169.96173469387756</v>
      </c>
      <c r="V27" s="34">
        <f t="shared" si="50"/>
        <v>173.74918778427551</v>
      </c>
      <c r="W27" s="34">
        <f t="shared" si="50"/>
        <v>155.12431776834447</v>
      </c>
      <c r="X27" s="34">
        <f t="shared" si="50"/>
        <v>157.7406692834808</v>
      </c>
      <c r="Y27" s="34">
        <f t="shared" si="50"/>
        <v>148.75816993464051</v>
      </c>
      <c r="Z27" s="34">
        <f t="shared" si="50"/>
        <v>179.13333333333333</v>
      </c>
      <c r="AA27" s="34">
        <f t="shared" si="50"/>
        <v>176.93333333333334</v>
      </c>
      <c r="AB27" s="34">
        <f t="shared" si="50"/>
        <v>182.73333333333332</v>
      </c>
      <c r="AC27" s="34">
        <f t="shared" si="50"/>
        <v>169.65829012099456</v>
      </c>
      <c r="AD27" s="34">
        <f t="shared" si="50"/>
        <v>171.7898832684825</v>
      </c>
      <c r="AE27" s="34">
        <f t="shared" si="50"/>
        <v>148.23899371069183</v>
      </c>
      <c r="AF27" s="34">
        <f t="shared" si="50"/>
        <v>156.49935649935651</v>
      </c>
      <c r="AG27" s="34">
        <f t="shared" si="50"/>
        <v>160.9188047859748</v>
      </c>
      <c r="AH27" s="34">
        <f t="shared" si="50"/>
        <v>125.71595558153128</v>
      </c>
      <c r="AI27" s="34">
        <f t="shared" si="50"/>
        <v>151.35313531353134</v>
      </c>
      <c r="AJ27" s="34">
        <f t="shared" si="50"/>
        <v>152.13799484502016</v>
      </c>
      <c r="AK27" s="34">
        <f t="shared" si="50"/>
        <v>141.43617021276594</v>
      </c>
      <c r="AL27" s="34">
        <f t="shared" si="50"/>
        <v>160.80000000000001</v>
      </c>
      <c r="AM27" s="34">
        <f t="shared" si="50"/>
        <v>141.94285714285715</v>
      </c>
      <c r="AN27" s="34">
        <f t="shared" si="50"/>
        <v>149.75</v>
      </c>
      <c r="AO27" s="34">
        <f t="shared" si="50"/>
        <v>137.41108105400261</v>
      </c>
      <c r="AP27" s="34">
        <f t="shared" si="50"/>
        <v>129.6489917849141</v>
      </c>
      <c r="AQ27" s="34">
        <f t="shared" si="50"/>
        <v>130.00049942566048</v>
      </c>
      <c r="AR27" s="34">
        <f t="shared" si="50"/>
        <v>145.03453203143604</v>
      </c>
      <c r="AS27" s="34">
        <f t="shared" si="50"/>
        <v>150.20304568527919</v>
      </c>
      <c r="AT27" s="34">
        <f t="shared" si="50"/>
        <v>143.94999999999999</v>
      </c>
      <c r="AU27" s="34">
        <f t="shared" si="50"/>
        <v>141.94513715710724</v>
      </c>
      <c r="AV27" s="34">
        <f t="shared" si="50"/>
        <v>143.92084353605517</v>
      </c>
      <c r="AW27" s="34">
        <f t="shared" si="50"/>
        <v>145.16929798431138</v>
      </c>
      <c r="AX27" s="34">
        <f t="shared" si="50"/>
        <v>147.22222222222223</v>
      </c>
      <c r="AY27" s="34">
        <f t="shared" si="50"/>
        <v>154.31578947368422</v>
      </c>
      <c r="AZ27" s="34">
        <f t="shared" si="50"/>
        <v>155.57894736842104</v>
      </c>
      <c r="BA27" s="34">
        <f t="shared" si="50"/>
        <v>139.48717948717947</v>
      </c>
      <c r="BB27" s="34">
        <f t="shared" si="50"/>
        <v>141.63004394726329</v>
      </c>
      <c r="BC27" s="34">
        <f t="shared" si="50"/>
        <v>158.02469135802468</v>
      </c>
      <c r="BD27" s="34">
        <f t="shared" si="50"/>
        <v>165.51724137931035</v>
      </c>
      <c r="BE27" s="34">
        <f t="shared" si="50"/>
        <v>159.34932359531913</v>
      </c>
      <c r="BF27" s="34">
        <f t="shared" si="50"/>
        <v>159.96000999750063</v>
      </c>
      <c r="BG27" s="34">
        <f t="shared" si="50"/>
        <v>159.8534676546499</v>
      </c>
      <c r="BH27" s="34">
        <f t="shared" si="50"/>
        <v>148.26839826839827</v>
      </c>
      <c r="BI27" s="34">
        <f t="shared" si="50"/>
        <v>143.96853894160898</v>
      </c>
      <c r="BJ27" s="34">
        <f t="shared" si="50"/>
        <v>156.22866894197952</v>
      </c>
      <c r="BK27" s="34">
        <f t="shared" si="50"/>
        <v>141.53769345981027</v>
      </c>
      <c r="BL27" s="34">
        <f t="shared" si="50"/>
        <v>133.8061842524705</v>
      </c>
      <c r="BM27" s="34">
        <f t="shared" si="50"/>
        <v>117.61538461538461</v>
      </c>
      <c r="BN27" s="34">
        <f t="shared" si="50"/>
        <v>109.85714285714286</v>
      </c>
      <c r="BO27" s="34">
        <f t="shared" si="50"/>
        <v>116.92307692307692</v>
      </c>
      <c r="BP27" s="34">
        <f t="shared" si="50"/>
        <v>149.1</v>
      </c>
      <c r="BQ27" s="34">
        <f t="shared" si="50"/>
        <v>149.19999999999999</v>
      </c>
      <c r="BR27" s="34">
        <f t="shared" si="50"/>
        <v>143.9</v>
      </c>
      <c r="BS27" s="34">
        <f t="shared" si="50"/>
        <v>139.1</v>
      </c>
      <c r="BT27" s="34">
        <f t="shared" si="50"/>
        <v>174.13333333333333</v>
      </c>
      <c r="BU27" s="34">
        <f t="shared" si="50"/>
        <v>184.8</v>
      </c>
      <c r="BV27" s="34">
        <f t="shared" si="50"/>
        <v>179.16666666666666</v>
      </c>
      <c r="BW27" s="34">
        <f t="shared" si="50"/>
        <v>177.36111111111111</v>
      </c>
      <c r="BX27" s="34">
        <f t="shared" ref="BX27:DJ27" si="51">(BX16+BX20)/BX6</f>
        <v>152.36111111111111</v>
      </c>
      <c r="BY27" s="34">
        <f t="shared" si="51"/>
        <v>110.13333333333334</v>
      </c>
      <c r="BZ27" s="34">
        <f t="shared" si="51"/>
        <v>157.33333333333334</v>
      </c>
      <c r="CA27" s="34">
        <f t="shared" si="51"/>
        <v>179.6</v>
      </c>
      <c r="CB27" s="34">
        <f t="shared" si="51"/>
        <v>146.80000000000001</v>
      </c>
      <c r="CC27" s="34">
        <f t="shared" si="51"/>
        <v>144</v>
      </c>
      <c r="CD27" s="34">
        <f t="shared" si="51"/>
        <v>120.91428571428571</v>
      </c>
      <c r="CE27" s="34">
        <f t="shared" si="51"/>
        <v>124.21333333333334</v>
      </c>
      <c r="CF27" s="34">
        <f t="shared" si="51"/>
        <v>123.2</v>
      </c>
      <c r="CG27" s="34">
        <f t="shared" si="51"/>
        <v>112.6</v>
      </c>
      <c r="CH27" s="34">
        <f t="shared" si="51"/>
        <v>136.85714285714286</v>
      </c>
      <c r="CI27" s="34">
        <f t="shared" si="51"/>
        <v>151.08333333333334</v>
      </c>
      <c r="CJ27" s="34">
        <f t="shared" si="51"/>
        <v>99.580838323353291</v>
      </c>
      <c r="CK27" s="34">
        <f t="shared" si="51"/>
        <v>126.46706586826348</v>
      </c>
      <c r="CL27" s="34">
        <f t="shared" si="51"/>
        <v>130.68181818181819</v>
      </c>
      <c r="CM27" s="34">
        <f t="shared" si="51"/>
        <v>158.44155844155844</v>
      </c>
      <c r="CN27" s="34">
        <f t="shared" si="51"/>
        <v>156.07692307692307</v>
      </c>
      <c r="CO27" s="34">
        <f t="shared" si="51"/>
        <v>154.3478260869565</v>
      </c>
      <c r="CP27" s="34">
        <f t="shared" si="51"/>
        <v>154.60776846915459</v>
      </c>
      <c r="CQ27" s="34">
        <f t="shared" si="51"/>
        <v>157.86764705882354</v>
      </c>
      <c r="CR27" s="34">
        <f t="shared" si="51"/>
        <v>155.28985507246375</v>
      </c>
      <c r="CS27" s="34">
        <f t="shared" si="51"/>
        <v>154.74074074074073</v>
      </c>
      <c r="CT27" s="34">
        <f t="shared" si="51"/>
        <v>169.7037037037037</v>
      </c>
      <c r="CU27" s="34">
        <f t="shared" si="51"/>
        <v>122.32876712328768</v>
      </c>
      <c r="CV27" s="34">
        <f t="shared" si="51"/>
        <v>123.67567567567568</v>
      </c>
      <c r="CW27" s="34">
        <f t="shared" si="51"/>
        <v>122.4</v>
      </c>
      <c r="CX27" s="34">
        <f t="shared" si="51"/>
        <v>107.80952380952381</v>
      </c>
      <c r="CY27" s="34">
        <f t="shared" si="51"/>
        <v>124.41860465116279</v>
      </c>
      <c r="CZ27" s="34">
        <f t="shared" si="51"/>
        <v>149</v>
      </c>
      <c r="DA27" s="34">
        <f t="shared" si="51"/>
        <v>153.45945945945945</v>
      </c>
      <c r="DB27" s="34">
        <f t="shared" si="51"/>
        <v>145.62162162162161</v>
      </c>
      <c r="DC27" s="34">
        <f t="shared" si="51"/>
        <v>140.86486486486487</v>
      </c>
      <c r="DD27" s="34">
        <f t="shared" si="51"/>
        <v>149.71428571428572</v>
      </c>
      <c r="DE27" s="34">
        <f t="shared" si="51"/>
        <v>154.75862068965517</v>
      </c>
      <c r="DF27" s="34">
        <f t="shared" si="51"/>
        <v>142.20689655172413</v>
      </c>
      <c r="DG27" s="34">
        <f t="shared" si="51"/>
        <v>150</v>
      </c>
      <c r="DH27" s="34">
        <f t="shared" si="51"/>
        <v>151.31034482758622</v>
      </c>
      <c r="DI27" s="34">
        <f t="shared" si="51"/>
        <v>136.21428571428572</v>
      </c>
      <c r="DJ27" s="34">
        <f t="shared" si="51"/>
        <v>146.5</v>
      </c>
      <c r="DK27" s="34">
        <f t="shared" ref="DK27:DP27" si="52">(DK16+DK20)/DK6</f>
        <v>130.06451612903226</v>
      </c>
      <c r="DL27" s="34">
        <f t="shared" si="52"/>
        <v>144.875</v>
      </c>
      <c r="DM27" s="34">
        <f t="shared" si="52"/>
        <v>136.5</v>
      </c>
      <c r="DN27" s="34">
        <f t="shared" si="52"/>
        <v>147.94444444444446</v>
      </c>
      <c r="DO27" s="34">
        <f t="shared" si="52"/>
        <v>137.75</v>
      </c>
      <c r="DP27" s="34">
        <f t="shared" si="52"/>
        <v>151.75</v>
      </c>
      <c r="DQ27" s="34">
        <f t="shared" ref="DQ27:EB27" si="53">(DQ16+DQ20)/DQ6</f>
        <v>132</v>
      </c>
      <c r="DR27" s="34">
        <f t="shared" si="53"/>
        <v>135.13636363636363</v>
      </c>
      <c r="DS27" s="34">
        <f t="shared" si="53"/>
        <v>140</v>
      </c>
      <c r="DT27" s="34">
        <f t="shared" si="53"/>
        <v>109.54545454545455</v>
      </c>
      <c r="DU27" s="34">
        <f t="shared" si="53"/>
        <v>131.5</v>
      </c>
      <c r="DV27" s="34">
        <f t="shared" si="53"/>
        <v>121.5</v>
      </c>
      <c r="DW27" s="34">
        <f t="shared" si="53"/>
        <v>126.08695652173913</v>
      </c>
      <c r="DX27" s="34">
        <f t="shared" si="53"/>
        <v>117.60869565217391</v>
      </c>
      <c r="DY27" s="34">
        <f t="shared" si="53"/>
        <v>144.04347826086956</v>
      </c>
      <c r="DZ27" s="34">
        <f t="shared" si="53"/>
        <v>124.47826086956522</v>
      </c>
      <c r="EA27" s="34">
        <f t="shared" si="53"/>
        <v>129.69565217391303</v>
      </c>
      <c r="EB27" s="34">
        <f t="shared" si="53"/>
        <v>135.25</v>
      </c>
      <c r="EC27" s="34">
        <f t="shared" ref="EC27:EJ27" si="54">(EC16+EC20)/EC6</f>
        <v>163.93333333333334</v>
      </c>
      <c r="ED27" s="34">
        <f t="shared" si="54"/>
        <v>163.93333333333334</v>
      </c>
      <c r="EE27" s="34">
        <f t="shared" si="54"/>
        <v>142.55555555555554</v>
      </c>
      <c r="EF27" s="34">
        <f t="shared" si="54"/>
        <v>124.19512195121951</v>
      </c>
      <c r="EG27" s="34">
        <f t="shared" si="54"/>
        <v>132.6829268292683</v>
      </c>
      <c r="EH27" s="34">
        <f t="shared" si="54"/>
        <v>121.02439024390245</v>
      </c>
      <c r="EI27" s="34">
        <f t="shared" si="54"/>
        <v>126.73267326732673</v>
      </c>
      <c r="EJ27" s="34">
        <f t="shared" si="54"/>
        <v>136.35</v>
      </c>
      <c r="EK27" s="34">
        <f t="shared" ref="EK27:EM27" si="55">(EK16+EK20)/EK6</f>
        <v>134.6875</v>
      </c>
      <c r="EL27" s="34">
        <f t="shared" si="55"/>
        <v>147.5</v>
      </c>
      <c r="EM27" s="34">
        <f t="shared" si="55"/>
        <v>136.875</v>
      </c>
      <c r="EN27" s="34">
        <f>(EN16+EN20)/EN6</f>
        <v>134</v>
      </c>
    </row>
    <row r="28" spans="1:144" x14ac:dyDescent="0.25">
      <c r="A28" s="29"/>
      <c r="B28" s="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DR28"/>
      <c r="DS28"/>
      <c r="DT28"/>
    </row>
    <row r="29" spans="1:144" x14ac:dyDescent="0.25">
      <c r="A29" s="807" t="s">
        <v>14</v>
      </c>
      <c r="B29" s="30" t="s">
        <v>4</v>
      </c>
      <c r="C29" s="21">
        <f t="shared" ref="C29:BB29" si="56">C45/C$26</f>
        <v>0.27811130922010818</v>
      </c>
      <c r="D29" s="21">
        <f t="shared" si="56"/>
        <v>0.33755505279034698</v>
      </c>
      <c r="E29" s="21">
        <f t="shared" si="56"/>
        <v>9.2629316706021245E-2</v>
      </c>
      <c r="F29" s="21">
        <f t="shared" si="56"/>
        <v>0.22055142205091124</v>
      </c>
      <c r="G29" s="21">
        <f t="shared" si="56"/>
        <v>0.24741437259923182</v>
      </c>
      <c r="H29" s="21">
        <f t="shared" si="56"/>
        <v>9.4861907492354736E-2</v>
      </c>
      <c r="I29" s="21">
        <f t="shared" si="56"/>
        <v>0.16689184574005447</v>
      </c>
      <c r="J29" s="21">
        <f t="shared" si="56"/>
        <v>0.17315402174702296</v>
      </c>
      <c r="K29" s="21">
        <f t="shared" si="56"/>
        <v>9.6886499578302546E-2</v>
      </c>
      <c r="L29" s="21">
        <f t="shared" si="56"/>
        <v>0.19024866125301687</v>
      </c>
      <c r="M29" s="21">
        <f t="shared" si="56"/>
        <v>0.35792681926482312</v>
      </c>
      <c r="N29" s="21">
        <f t="shared" si="56"/>
        <v>0.21744627448014872</v>
      </c>
      <c r="O29" s="21">
        <f t="shared" si="56"/>
        <v>0.25910445514829472</v>
      </c>
      <c r="P29" s="21">
        <f t="shared" si="56"/>
        <v>0.21201185499953676</v>
      </c>
      <c r="Q29" s="21">
        <f t="shared" si="56"/>
        <v>0.27101979993386244</v>
      </c>
      <c r="R29" s="21">
        <f t="shared" si="56"/>
        <v>0.23560613748942852</v>
      </c>
      <c r="S29" s="21">
        <f t="shared" si="56"/>
        <v>0.23459909920624425</v>
      </c>
      <c r="T29" s="21">
        <f t="shared" si="56"/>
        <v>0.32405354061692093</v>
      </c>
      <c r="U29" s="21">
        <f t="shared" si="56"/>
        <v>0.41166874036771994</v>
      </c>
      <c r="V29" s="21">
        <f t="shared" si="56"/>
        <v>0.40608385355723792</v>
      </c>
      <c r="W29" s="21">
        <f t="shared" si="56"/>
        <v>0.43174974459925003</v>
      </c>
      <c r="X29" s="21">
        <f t="shared" si="56"/>
        <v>0.52144157777629929</v>
      </c>
      <c r="Y29" s="21">
        <f t="shared" si="56"/>
        <v>0.54829252407401563</v>
      </c>
      <c r="Z29" s="21">
        <f t="shared" si="56"/>
        <v>0.45064306229435064</v>
      </c>
      <c r="AA29" s="21">
        <f t="shared" si="56"/>
        <v>0.4384341322490527</v>
      </c>
      <c r="AB29" s="21">
        <f t="shared" si="56"/>
        <v>0.42387730845940313</v>
      </c>
      <c r="AC29" s="21">
        <f t="shared" si="56"/>
        <v>0.41654738104678274</v>
      </c>
      <c r="AD29" s="21">
        <f t="shared" si="56"/>
        <v>0.21664240437617266</v>
      </c>
      <c r="AE29" s="21">
        <f t="shared" si="56"/>
        <v>0.35090551601767328</v>
      </c>
      <c r="AF29" s="21">
        <f t="shared" si="56"/>
        <v>0.46318834770278344</v>
      </c>
      <c r="AG29" s="21">
        <f t="shared" si="56"/>
        <v>0.61239653155626861</v>
      </c>
      <c r="AH29" s="21">
        <f t="shared" si="56"/>
        <v>0.35730138887364321</v>
      </c>
      <c r="AI29" s="21">
        <f t="shared" si="56"/>
        <v>0.33889728109093037</v>
      </c>
      <c r="AJ29" s="21">
        <f t="shared" si="56"/>
        <v>0.38775492350694024</v>
      </c>
      <c r="AK29" s="21">
        <f t="shared" si="56"/>
        <v>0.36327071135580435</v>
      </c>
      <c r="AL29" s="21">
        <f t="shared" si="56"/>
        <v>0.40677014354066987</v>
      </c>
      <c r="AM29" s="21">
        <f t="shared" si="56"/>
        <v>0.30061398205725909</v>
      </c>
      <c r="AN29" s="21">
        <f t="shared" si="56"/>
        <v>0.42399870743003149</v>
      </c>
      <c r="AO29" s="21">
        <f t="shared" si="56"/>
        <v>0.50461653200745804</v>
      </c>
      <c r="AP29" s="21">
        <f t="shared" si="56"/>
        <v>0.52986332549575366</v>
      </c>
      <c r="AQ29" s="21">
        <f t="shared" si="56"/>
        <v>0.5087651312389897</v>
      </c>
      <c r="AR29" s="21">
        <f t="shared" si="56"/>
        <v>0.4477470469284493</v>
      </c>
      <c r="AS29" s="21">
        <f t="shared" si="56"/>
        <v>0.4838572070642978</v>
      </c>
      <c r="AT29" s="21">
        <f t="shared" si="56"/>
        <v>0.41050672488219653</v>
      </c>
      <c r="AU29" s="21">
        <f t="shared" si="56"/>
        <v>0.35879083979688703</v>
      </c>
      <c r="AV29" s="21">
        <f t="shared" si="56"/>
        <v>0.41904965691930407</v>
      </c>
      <c r="AW29" s="21">
        <f t="shared" si="56"/>
        <v>0.42010907479987852</v>
      </c>
      <c r="AX29" s="21">
        <f t="shared" si="56"/>
        <v>0.42324487431220564</v>
      </c>
      <c r="AY29" s="21">
        <f t="shared" si="56"/>
        <v>0.35293871135717952</v>
      </c>
      <c r="AZ29" s="21">
        <f t="shared" si="56"/>
        <v>0.30340875176446869</v>
      </c>
      <c r="BA29" s="21">
        <f t="shared" si="56"/>
        <v>0.30535469883604038</v>
      </c>
      <c r="BB29" s="21">
        <f t="shared" si="56"/>
        <v>0.28679828118510087</v>
      </c>
      <c r="BC29" s="140"/>
      <c r="BD29" s="140"/>
      <c r="BE29" s="140"/>
      <c r="BF29" s="140"/>
      <c r="BG29" s="140"/>
      <c r="BH29" s="140"/>
      <c r="BI29" s="140"/>
      <c r="BJ29" s="140"/>
      <c r="BK29" s="140"/>
      <c r="BL29" s="140"/>
      <c r="BM29" s="140"/>
      <c r="BN29" s="140"/>
      <c r="BO29" s="140"/>
      <c r="BP29" s="140"/>
      <c r="BQ29" s="140"/>
      <c r="BR29" s="140"/>
      <c r="BS29" s="140"/>
      <c r="BT29" s="140"/>
      <c r="BU29" s="140"/>
      <c r="BV29" s="140"/>
      <c r="BW29" s="140"/>
      <c r="BX29" s="140"/>
      <c r="BY29" s="140"/>
      <c r="BZ29" s="140"/>
      <c r="CA29" s="140"/>
      <c r="CB29" s="140"/>
      <c r="CC29" s="140"/>
      <c r="CD29" s="140"/>
      <c r="CE29" s="21">
        <f t="shared" ref="BO29:DN31" si="57">CE45/CE$26</f>
        <v>0.12535303481832544</v>
      </c>
      <c r="CF29" s="21">
        <f t="shared" si="57"/>
        <v>0.31576139011925042</v>
      </c>
      <c r="CG29" s="21">
        <f t="shared" si="57"/>
        <v>0.31536796875000001</v>
      </c>
      <c r="CH29" s="21">
        <f t="shared" si="57"/>
        <v>0</v>
      </c>
      <c r="CI29" s="21">
        <f t="shared" si="57"/>
        <v>0.4233084568511199</v>
      </c>
      <c r="CJ29" s="21">
        <f t="shared" si="57"/>
        <v>0.28491072943451351</v>
      </c>
      <c r="CK29" s="21">
        <f t="shared" si="57"/>
        <v>0.34414391134742967</v>
      </c>
      <c r="CL29" s="21">
        <f t="shared" si="57"/>
        <v>0.42990232907588272</v>
      </c>
      <c r="CM29" s="21">
        <f t="shared" si="57"/>
        <v>0.51516319494788387</v>
      </c>
      <c r="CN29" s="21">
        <f t="shared" si="57"/>
        <v>0.56416741769027712</v>
      </c>
      <c r="CO29" s="21">
        <f t="shared" si="57"/>
        <v>0.4447636287716667</v>
      </c>
      <c r="CP29" s="21">
        <f t="shared" si="57"/>
        <v>0.59007028263186934</v>
      </c>
      <c r="CQ29" s="21">
        <f t="shared" si="57"/>
        <v>0.42227021364673573</v>
      </c>
      <c r="CR29" s="21">
        <f t="shared" si="57"/>
        <v>0.39266831661092522</v>
      </c>
      <c r="CS29" s="21">
        <f t="shared" si="57"/>
        <v>0.45770183790193208</v>
      </c>
      <c r="CT29" s="21">
        <f t="shared" si="57"/>
        <v>0.43063475445541188</v>
      </c>
      <c r="CU29" s="21">
        <f t="shared" si="57"/>
        <v>0.34861204160986836</v>
      </c>
      <c r="CV29" s="21">
        <f t="shared" si="57"/>
        <v>0.29029146197604005</v>
      </c>
      <c r="CW29" s="21">
        <f t="shared" si="57"/>
        <v>0.29912059701492538</v>
      </c>
      <c r="CX29" s="21">
        <f t="shared" si="57"/>
        <v>0.30809646160622522</v>
      </c>
      <c r="CY29" s="21">
        <f t="shared" si="57"/>
        <v>0.45903782581214764</v>
      </c>
      <c r="CZ29" s="21">
        <f t="shared" si="57"/>
        <v>0.49086953646489906</v>
      </c>
      <c r="DA29" s="21">
        <f t="shared" si="57"/>
        <v>0.44100156042139366</v>
      </c>
      <c r="DB29" s="21">
        <f t="shared" si="57"/>
        <v>0.41145053506768764</v>
      </c>
      <c r="DC29" s="21">
        <f t="shared" si="57"/>
        <v>0.40445781744422848</v>
      </c>
      <c r="DD29" s="21">
        <f t="shared" si="57"/>
        <v>0.44164260359558721</v>
      </c>
      <c r="DE29" s="21">
        <f t="shared" si="57"/>
        <v>0.49361295512202891</v>
      </c>
      <c r="DF29" s="21">
        <f t="shared" si="57"/>
        <v>0.364683785564415</v>
      </c>
      <c r="DG29" s="21">
        <f t="shared" si="57"/>
        <v>0.34587328078745722</v>
      </c>
      <c r="DH29" s="21">
        <f t="shared" si="57"/>
        <v>0.35675947346555004</v>
      </c>
      <c r="DI29" s="21">
        <f t="shared" si="57"/>
        <v>0.4228560666355628</v>
      </c>
      <c r="DJ29" s="21">
        <f t="shared" si="57"/>
        <v>0.36207939352346097</v>
      </c>
      <c r="DK29" s="21">
        <f t="shared" si="57"/>
        <v>0.22703878783842746</v>
      </c>
      <c r="DL29" s="21">
        <f t="shared" si="57"/>
        <v>0.29087151082487467</v>
      </c>
      <c r="DM29" s="21">
        <f t="shared" si="57"/>
        <v>0.26396684963166261</v>
      </c>
      <c r="DN29" s="21">
        <f t="shared" si="57"/>
        <v>0.26680694090327672</v>
      </c>
      <c r="DO29" s="21">
        <f t="shared" ref="DO29:DU31" si="58">DO45/DO$26</f>
        <v>0.32965586560091892</v>
      </c>
      <c r="DP29" s="21">
        <f t="shared" si="58"/>
        <v>0.3130551992212503</v>
      </c>
      <c r="DQ29" s="21">
        <f t="shared" si="58"/>
        <v>0.26865366779089372</v>
      </c>
      <c r="DR29" s="21">
        <f t="shared" si="58"/>
        <v>0.25746273984309859</v>
      </c>
      <c r="DS29" s="21">
        <f t="shared" si="58"/>
        <v>0.27718282511804421</v>
      </c>
      <c r="DT29" s="21">
        <f>Batches!H2282</f>
        <v>0.1220801152110676</v>
      </c>
      <c r="DU29" s="21">
        <f>Batches!H2306</f>
        <v>0.13692927586463924</v>
      </c>
      <c r="DV29" s="21">
        <f>Batches!H2330</f>
        <v>0.13868471062052504</v>
      </c>
      <c r="DW29" s="21">
        <f>Batches!H2354</f>
        <v>3.8797262805844043E-2</v>
      </c>
      <c r="DX29" s="21">
        <f>Batches!H2378</f>
        <v>0.22922638424377556</v>
      </c>
      <c r="DY29" s="21">
        <f>Batches!H2402</f>
        <v>6.7991542944854655E-2</v>
      </c>
      <c r="DZ29" s="21">
        <f>Batches!H2426</f>
        <v>4.1139781358577092E-2</v>
      </c>
      <c r="EA29" s="21">
        <f>Batches!H2450</f>
        <v>3.5052558584979514E-2</v>
      </c>
      <c r="EB29" s="21">
        <f>Batches!H2474</f>
        <v>0.16571198863636363</v>
      </c>
      <c r="EC29" s="21">
        <f>Batches!H2498</f>
        <v>0.2189968519316387</v>
      </c>
      <c r="ED29" s="21">
        <f>Batches!H2522</f>
        <v>0.28173449689897179</v>
      </c>
      <c r="EE29" s="21">
        <f>Batches!H2546</f>
        <v>0.30843617338098339</v>
      </c>
      <c r="EF29" s="21">
        <f>Batches!H2570</f>
        <v>0.22359020452805417</v>
      </c>
      <c r="EG29" s="21">
        <f>Batches!H2594</f>
        <v>0.25447039756697809</v>
      </c>
      <c r="EH29" s="21">
        <f>Batches!H2618</f>
        <v>0.31940209411449966</v>
      </c>
      <c r="EI29" s="21">
        <f>Batches!H2642</f>
        <v>0.26463472226080498</v>
      </c>
      <c r="EJ29" s="21">
        <f>Batches!H2666</f>
        <v>0.36530085281913599</v>
      </c>
    </row>
    <row r="30" spans="1:144" x14ac:dyDescent="0.25">
      <c r="A30" s="807"/>
      <c r="B30" s="30" t="s">
        <v>1</v>
      </c>
      <c r="C30" s="21">
        <f t="shared" ref="C30:BB30" si="59">C46/C$26</f>
        <v>0.24842031476727314</v>
      </c>
      <c r="D30" s="21">
        <f t="shared" si="59"/>
        <v>0.31468163329161453</v>
      </c>
      <c r="E30" s="21">
        <f t="shared" si="59"/>
        <v>0.26690142895053237</v>
      </c>
      <c r="F30" s="21">
        <f t="shared" si="59"/>
        <v>0.20906399892525199</v>
      </c>
      <c r="G30" s="21">
        <f t="shared" si="59"/>
        <v>0.26284502077925764</v>
      </c>
      <c r="H30" s="21">
        <f t="shared" si="59"/>
        <v>8.6814223209945141E-2</v>
      </c>
      <c r="I30" s="21">
        <f t="shared" si="59"/>
        <v>0.19718276123193859</v>
      </c>
      <c r="J30" s="21">
        <f t="shared" si="59"/>
        <v>0.12078698246648005</v>
      </c>
      <c r="K30" s="21">
        <f t="shared" si="59"/>
        <v>0.10075149667405765</v>
      </c>
      <c r="L30" s="21">
        <f t="shared" si="59"/>
        <v>0.23089044037858694</v>
      </c>
      <c r="M30" s="21">
        <f t="shared" si="59"/>
        <v>4.9077442892763064E-2</v>
      </c>
      <c r="N30" s="21">
        <f t="shared" si="59"/>
        <v>0.23808541480510684</v>
      </c>
      <c r="O30" s="21">
        <f t="shared" si="59"/>
        <v>0.29523734712877886</v>
      </c>
      <c r="P30" s="21">
        <f t="shared" si="59"/>
        <v>0.20290845000980062</v>
      </c>
      <c r="Q30" s="21">
        <f t="shared" si="59"/>
        <v>0.22352179515499593</v>
      </c>
      <c r="R30" s="21">
        <f t="shared" si="59"/>
        <v>0.34399526907155525</v>
      </c>
      <c r="S30" s="21">
        <f t="shared" si="59"/>
        <v>0.31453176086460538</v>
      </c>
      <c r="T30" s="21">
        <f t="shared" si="59"/>
        <v>0.32308911963986708</v>
      </c>
      <c r="U30" s="21">
        <f t="shared" si="59"/>
        <v>0.52815248934164327</v>
      </c>
      <c r="V30" s="21">
        <f t="shared" si="59"/>
        <v>0.46852553889710519</v>
      </c>
      <c r="W30" s="21">
        <f t="shared" si="59"/>
        <v>0.46490354622222341</v>
      </c>
      <c r="X30" s="21">
        <f t="shared" si="59"/>
        <v>0.33036042297455237</v>
      </c>
      <c r="Y30" s="21">
        <f t="shared" si="59"/>
        <v>0.51790150061853457</v>
      </c>
      <c r="Z30" s="21">
        <f t="shared" si="59"/>
        <v>0.45772963996554705</v>
      </c>
      <c r="AA30" s="21">
        <f t="shared" si="59"/>
        <v>0.52169823887329525</v>
      </c>
      <c r="AB30" s="21">
        <f t="shared" si="59"/>
        <v>0.43028594733461778</v>
      </c>
      <c r="AC30" s="21">
        <f t="shared" si="59"/>
        <v>0.4810297428662742</v>
      </c>
      <c r="AD30" s="21">
        <f t="shared" si="59"/>
        <v>0.4044983120138978</v>
      </c>
      <c r="AE30" s="21">
        <f t="shared" si="59"/>
        <v>0.43623042651118582</v>
      </c>
      <c r="AF30" s="21">
        <f t="shared" si="59"/>
        <v>0.54823530162283551</v>
      </c>
      <c r="AG30" s="21">
        <f t="shared" si="59"/>
        <v>0.42311661731503308</v>
      </c>
      <c r="AH30" s="21">
        <f t="shared" si="59"/>
        <v>0.54894923238887428</v>
      </c>
      <c r="AI30" s="21">
        <f t="shared" si="59"/>
        <v>0.37213310725450988</v>
      </c>
      <c r="AJ30" s="21">
        <f t="shared" si="59"/>
        <v>0.49049956594631433</v>
      </c>
      <c r="AK30" s="21">
        <f t="shared" si="59"/>
        <v>0.43484523131459235</v>
      </c>
      <c r="AL30" s="21">
        <f t="shared" si="59"/>
        <v>0.44417772817034434</v>
      </c>
      <c r="AM30" s="21">
        <f t="shared" si="59"/>
        <v>0.56562965298387258</v>
      </c>
      <c r="AN30" s="21">
        <f t="shared" si="59"/>
        <v>0.49334079308037632</v>
      </c>
      <c r="AO30" s="21">
        <f t="shared" si="59"/>
        <v>0.57962709757613418</v>
      </c>
      <c r="AP30" s="21">
        <f t="shared" si="59"/>
        <v>0.5406314460588163</v>
      </c>
      <c r="AQ30" s="21">
        <f t="shared" si="59"/>
        <v>0.56242400335972709</v>
      </c>
      <c r="AR30" s="21">
        <f t="shared" si="59"/>
        <v>0.39396303764697094</v>
      </c>
      <c r="AS30" s="21">
        <f t="shared" si="59"/>
        <v>0.53018584003735869</v>
      </c>
      <c r="AT30" s="21">
        <f t="shared" si="59"/>
        <v>0.52677100777987407</v>
      </c>
      <c r="AU30" s="21">
        <f t="shared" si="59"/>
        <v>0.44676529949139854</v>
      </c>
      <c r="AV30" s="21">
        <f t="shared" si="59"/>
        <v>0.4888430887079171</v>
      </c>
      <c r="AW30" s="21">
        <f t="shared" si="59"/>
        <v>0.43116563793707086</v>
      </c>
      <c r="AX30" s="21">
        <f t="shared" si="59"/>
        <v>0.44424247014567392</v>
      </c>
      <c r="AY30" s="21">
        <f t="shared" si="59"/>
        <v>0.35780894899038435</v>
      </c>
      <c r="AZ30" s="21">
        <f t="shared" si="59"/>
        <v>0.42536851886064531</v>
      </c>
      <c r="BA30" s="21">
        <f t="shared" si="59"/>
        <v>0.34370923666371939</v>
      </c>
      <c r="BB30" s="21">
        <f t="shared" si="59"/>
        <v>0.35689855363219308</v>
      </c>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21">
        <f t="shared" si="57"/>
        <v>0.20072827526881723</v>
      </c>
      <c r="CF30" s="21">
        <f t="shared" si="57"/>
        <v>0.36252272744539421</v>
      </c>
      <c r="CG30" s="21">
        <f t="shared" si="57"/>
        <v>0.33943941761363638</v>
      </c>
      <c r="CH30" s="21">
        <f t="shared" si="57"/>
        <v>0</v>
      </c>
      <c r="CI30" s="21">
        <f t="shared" si="57"/>
        <v>0.5759244651027603</v>
      </c>
      <c r="CJ30" s="21">
        <f t="shared" si="57"/>
        <v>0.28030064820039424</v>
      </c>
      <c r="CK30" s="21">
        <f t="shared" si="57"/>
        <v>0.40478446833041987</v>
      </c>
      <c r="CL30" s="21">
        <f t="shared" si="57"/>
        <v>0.51169569067296339</v>
      </c>
      <c r="CM30" s="21">
        <f t="shared" si="57"/>
        <v>0.48640410314323357</v>
      </c>
      <c r="CN30" s="21">
        <f t="shared" si="57"/>
        <v>0.67596694066500707</v>
      </c>
      <c r="CO30" s="21">
        <f t="shared" si="57"/>
        <v>0.49512939028913922</v>
      </c>
      <c r="CP30" s="21">
        <f t="shared" si="57"/>
        <v>0.56450512739220282</v>
      </c>
      <c r="CQ30" s="21">
        <f t="shared" si="57"/>
        <v>0.56886269487303132</v>
      </c>
      <c r="CR30" s="21">
        <f t="shared" si="57"/>
        <v>0.51097349649325929</v>
      </c>
      <c r="CS30" s="21">
        <f t="shared" si="57"/>
        <v>0.5053935315965683</v>
      </c>
      <c r="CT30" s="21">
        <f t="shared" si="57"/>
        <v>0.48142442778822636</v>
      </c>
      <c r="CU30" s="21">
        <f t="shared" si="57"/>
        <v>0.39643194225809691</v>
      </c>
      <c r="CV30" s="21">
        <f t="shared" si="57"/>
        <v>0.3999709489224908</v>
      </c>
      <c r="CW30" s="21">
        <f t="shared" si="57"/>
        <v>0.30292661870503595</v>
      </c>
      <c r="CX30" s="21">
        <f t="shared" si="57"/>
        <v>0.37692876860889279</v>
      </c>
      <c r="CY30" s="21">
        <f t="shared" si="57"/>
        <v>0.49939652160894299</v>
      </c>
      <c r="CZ30" s="21">
        <f t="shared" si="57"/>
        <v>0.60608903883113929</v>
      </c>
      <c r="DA30" s="21">
        <f t="shared" si="57"/>
        <v>0.50673866597199613</v>
      </c>
      <c r="DB30" s="21">
        <f t="shared" si="57"/>
        <v>0.46177546138923664</v>
      </c>
      <c r="DC30" s="21">
        <f t="shared" si="57"/>
        <v>0.40518886990199504</v>
      </c>
      <c r="DD30" s="21">
        <f t="shared" si="57"/>
        <v>0.48027716934518494</v>
      </c>
      <c r="DE30" s="21">
        <f t="shared" si="57"/>
        <v>0.47303264288681823</v>
      </c>
      <c r="DF30" s="21">
        <f t="shared" si="57"/>
        <v>0.53080433108228608</v>
      </c>
      <c r="DG30" s="21">
        <f t="shared" si="57"/>
        <v>0.38820596788777834</v>
      </c>
      <c r="DH30" s="21">
        <f t="shared" si="57"/>
        <v>0.42348372354825314</v>
      </c>
      <c r="DI30" s="21">
        <f t="shared" si="57"/>
        <v>0.4392786414123791</v>
      </c>
      <c r="DJ30" s="21">
        <f t="shared" si="57"/>
        <v>0.42245141919314005</v>
      </c>
      <c r="DK30" s="21">
        <f t="shared" si="57"/>
        <v>0.31673436890705431</v>
      </c>
      <c r="DL30" s="21">
        <f t="shared" si="57"/>
        <v>0.30012683656761002</v>
      </c>
      <c r="DM30" s="21">
        <f t="shared" si="57"/>
        <v>0.40031414917502622</v>
      </c>
      <c r="DN30" s="21">
        <f t="shared" si="57"/>
        <v>0.24037165968842633</v>
      </c>
      <c r="DO30" s="21">
        <f t="shared" si="58"/>
        <v>0.35582486565588717</v>
      </c>
      <c r="DP30" s="21">
        <f t="shared" si="58"/>
        <v>0.34337608764436006</v>
      </c>
      <c r="DQ30" s="21">
        <f t="shared" si="58"/>
        <v>0.22460474452554738</v>
      </c>
      <c r="DR30" s="21">
        <f t="shared" si="58"/>
        <v>0.26107790744165127</v>
      </c>
      <c r="DS30" s="21">
        <f t="shared" si="58"/>
        <v>0.23741246342635047</v>
      </c>
      <c r="DT30" s="21">
        <f>Batches!O2282</f>
        <v>0.10079662427171826</v>
      </c>
      <c r="DU30" s="21">
        <f>Batches!O2306</f>
        <v>0.11796049217962599</v>
      </c>
      <c r="DV30" s="21">
        <f>Batches!O2330</f>
        <v>0.13020563650306746</v>
      </c>
      <c r="DW30" s="21">
        <f>Batches!O2354</f>
        <v>3.7407458326172885E-2</v>
      </c>
      <c r="DX30" s="21">
        <f>Batches!O2378</f>
        <v>0.32941832982187319</v>
      </c>
      <c r="DY30" s="21">
        <v>0</v>
      </c>
      <c r="DZ30" s="21">
        <f>Batches!O2426</f>
        <v>8.1031646941350371E-2</v>
      </c>
      <c r="EA30" s="21">
        <f>Batches!O2450</f>
        <v>7.0447317563388984E-2</v>
      </c>
      <c r="EB30" s="21">
        <f>Batches!O2474</f>
        <v>0.22282795936395758</v>
      </c>
      <c r="EC30" s="21">
        <f>Batches!O2498</f>
        <v>0.29581468969587177</v>
      </c>
      <c r="ED30" s="21">
        <f>Batches!O2522</f>
        <v>0.35269100164541339</v>
      </c>
      <c r="EE30" s="21">
        <f>Batches!O2546</f>
        <v>0.34588463622655735</v>
      </c>
      <c r="EF30" s="21">
        <f>Batches!O2570</f>
        <v>0.24022724224191838</v>
      </c>
      <c r="EG30" s="21">
        <f>Batches!O2594</f>
        <v>0.39541666497430994</v>
      </c>
      <c r="EH30" s="21">
        <f>Batches!O2618</f>
        <v>0.28869284712112231</v>
      </c>
      <c r="EI30" s="21">
        <f>Batches!O2642</f>
        <v>0.30256663690995073</v>
      </c>
      <c r="EJ30" s="21">
        <f>Batches!O2666</f>
        <v>0.41712965967074228</v>
      </c>
    </row>
    <row r="31" spans="1:144" x14ac:dyDescent="0.25">
      <c r="A31" s="807"/>
      <c r="B31" s="30" t="s">
        <v>2</v>
      </c>
      <c r="C31" s="21">
        <f t="shared" ref="C31:BN31" si="60">C47/C$26</f>
        <v>0.2632857388356053</v>
      </c>
      <c r="D31" s="21">
        <f t="shared" si="60"/>
        <v>0.32606742269481259</v>
      </c>
      <c r="E31" s="21">
        <f t="shared" si="60"/>
        <v>0.18529107394822475</v>
      </c>
      <c r="F31" s="21">
        <f t="shared" si="60"/>
        <v>0.21480771048808159</v>
      </c>
      <c r="G31" s="21">
        <f t="shared" si="60"/>
        <v>0.25514136888907835</v>
      </c>
      <c r="H31" s="21">
        <f t="shared" si="60"/>
        <v>9.0836527772953077E-2</v>
      </c>
      <c r="I31" s="21">
        <f t="shared" si="60"/>
        <v>0.18207501001980389</v>
      </c>
      <c r="J31" s="21">
        <f t="shared" si="60"/>
        <v>0.14716008511299644</v>
      </c>
      <c r="K31" s="21">
        <f t="shared" si="60"/>
        <v>9.8819941268467992E-2</v>
      </c>
      <c r="L31" s="21">
        <f t="shared" si="60"/>
        <v>0.21057853838305657</v>
      </c>
      <c r="M31" s="21">
        <f t="shared" si="60"/>
        <v>0.20318241122747624</v>
      </c>
      <c r="N31" s="21">
        <f t="shared" si="60"/>
        <v>0.22776584464262778</v>
      </c>
      <c r="O31" s="21">
        <f t="shared" si="60"/>
        <v>0.27744318566058934</v>
      </c>
      <c r="P31" s="21">
        <f t="shared" si="60"/>
        <v>0.2074292854559294</v>
      </c>
      <c r="Q31" s="21">
        <f t="shared" si="60"/>
        <v>0.24589730108657551</v>
      </c>
      <c r="R31" s="21">
        <f t="shared" si="60"/>
        <v>0.28907116104868913</v>
      </c>
      <c r="S31" s="21">
        <f t="shared" si="60"/>
        <v>0.27478107570536642</v>
      </c>
      <c r="T31" s="21">
        <f t="shared" si="60"/>
        <v>0.32357265436276816</v>
      </c>
      <c r="U31" s="21">
        <f t="shared" si="60"/>
        <v>0.47085320055762225</v>
      </c>
      <c r="V31" s="21">
        <f t="shared" si="60"/>
        <v>0.43674046413072698</v>
      </c>
      <c r="W31" s="21">
        <f t="shared" si="60"/>
        <v>0.44795126269308527</v>
      </c>
      <c r="X31" s="21">
        <f t="shared" si="60"/>
        <v>0.43942500904860887</v>
      </c>
      <c r="Y31" s="21">
        <f t="shared" si="60"/>
        <v>0.53326827323664916</v>
      </c>
      <c r="Z31" s="21">
        <f t="shared" si="60"/>
        <v>0.4542069424374422</v>
      </c>
      <c r="AA31" s="21">
        <f t="shared" si="60"/>
        <v>0.47957506333516881</v>
      </c>
      <c r="AB31" s="21">
        <f t="shared" si="60"/>
        <v>0.42716519501359629</v>
      </c>
      <c r="AC31" s="21">
        <f t="shared" si="60"/>
        <v>0.4477697885820569</v>
      </c>
      <c r="AD31" s="21">
        <f t="shared" si="60"/>
        <v>0.30995751813097128</v>
      </c>
      <c r="AE31" s="21">
        <f t="shared" si="60"/>
        <v>0.3934829862938185</v>
      </c>
      <c r="AF31" s="21">
        <f t="shared" si="60"/>
        <v>0.50673304168874667</v>
      </c>
      <c r="AG31" s="21">
        <f t="shared" si="60"/>
        <v>0.51823742410231455</v>
      </c>
      <c r="AH31" s="21">
        <f t="shared" si="60"/>
        <v>0.44849639270071318</v>
      </c>
      <c r="AI31" s="21">
        <f t="shared" si="60"/>
        <v>0.35577190755709381</v>
      </c>
      <c r="AJ31" s="21">
        <f t="shared" si="60"/>
        <v>0.44051291173255291</v>
      </c>
      <c r="AK31" s="21">
        <f t="shared" si="60"/>
        <v>0.39907328466852288</v>
      </c>
      <c r="AL31" s="21">
        <f t="shared" si="60"/>
        <v>0.42518110249529883</v>
      </c>
      <c r="AM31" s="21">
        <f t="shared" si="60"/>
        <v>0.43372853837891434</v>
      </c>
      <c r="AN31" s="21">
        <f t="shared" si="60"/>
        <v>0.46047539842032154</v>
      </c>
      <c r="AO31" s="21">
        <f t="shared" si="60"/>
        <v>0.54210643747208132</v>
      </c>
      <c r="AP31" s="21">
        <f t="shared" si="60"/>
        <v>0.53511640950631811</v>
      </c>
      <c r="AQ31" s="21">
        <f t="shared" si="60"/>
        <v>0.53565312128464959</v>
      </c>
      <c r="AR31" s="21">
        <f t="shared" si="60"/>
        <v>0.41905178833220863</v>
      </c>
      <c r="AS31" s="21">
        <f t="shared" si="60"/>
        <v>0.50788397835796129</v>
      </c>
      <c r="AT31" s="21">
        <f t="shared" si="60"/>
        <v>0.46861630826295275</v>
      </c>
      <c r="AU31" s="21">
        <f t="shared" si="60"/>
        <v>0.40277806964414281</v>
      </c>
      <c r="AV31" s="21">
        <f t="shared" si="60"/>
        <v>0.45395990391709801</v>
      </c>
      <c r="AW31" s="21">
        <f t="shared" si="60"/>
        <v>0.42576189573943585</v>
      </c>
      <c r="AX31" s="21">
        <f t="shared" si="60"/>
        <v>0.43366150772350448</v>
      </c>
      <c r="AY31" s="21">
        <f t="shared" si="60"/>
        <v>0.35544399302865903</v>
      </c>
      <c r="AZ31" s="21">
        <f t="shared" si="60"/>
        <v>0.3647559840086298</v>
      </c>
      <c r="BA31" s="21">
        <f t="shared" si="60"/>
        <v>0.32518231351122595</v>
      </c>
      <c r="BB31" s="21">
        <f t="shared" si="60"/>
        <v>0.32216617583716156</v>
      </c>
      <c r="BC31" s="21">
        <f t="shared" si="60"/>
        <v>0.24604614887100767</v>
      </c>
      <c r="BD31" s="21">
        <f t="shared" si="60"/>
        <v>0.24742117732823035</v>
      </c>
      <c r="BE31" s="21">
        <f t="shared" si="60"/>
        <v>0.25709682087964825</v>
      </c>
      <c r="BF31" s="21">
        <f t="shared" si="60"/>
        <v>0.16598486913111643</v>
      </c>
      <c r="BG31" s="21">
        <f t="shared" si="60"/>
        <v>0.2228128339333337</v>
      </c>
      <c r="BH31" s="21">
        <f t="shared" si="60"/>
        <v>0.15854291541938212</v>
      </c>
      <c r="BI31" s="21">
        <f t="shared" si="60"/>
        <v>0.19019494199408266</v>
      </c>
      <c r="BJ31" s="21">
        <f t="shared" si="60"/>
        <v>0.19160170165154461</v>
      </c>
      <c r="BK31" s="21">
        <f t="shared" si="60"/>
        <v>0.20802524800119065</v>
      </c>
      <c r="BL31" s="21">
        <f t="shared" si="60"/>
        <v>0.19808768859031892</v>
      </c>
      <c r="BM31" s="21">
        <f t="shared" si="60"/>
        <v>9.8750604490830049E-2</v>
      </c>
      <c r="BN31" s="21">
        <f t="shared" si="60"/>
        <v>0.12789280893168839</v>
      </c>
      <c r="BO31" s="21">
        <f t="shared" si="57"/>
        <v>0.2063141098901099</v>
      </c>
      <c r="BP31" s="21">
        <f t="shared" si="57"/>
        <v>5.2792927789934357E-2</v>
      </c>
      <c r="BQ31" s="21">
        <f t="shared" si="57"/>
        <v>0.10842859914407987</v>
      </c>
      <c r="BR31" s="21">
        <f t="shared" si="57"/>
        <v>5.2028000000000005E-2</v>
      </c>
      <c r="BS31" s="21">
        <f t="shared" si="57"/>
        <v>0.15142400000000003</v>
      </c>
      <c r="BT31" s="21">
        <f t="shared" si="57"/>
        <v>5.7687499999999996E-2</v>
      </c>
      <c r="BU31" s="21">
        <f t="shared" si="57"/>
        <v>4.0416000000000001E-2</v>
      </c>
      <c r="BV31" s="21">
        <f t="shared" si="57"/>
        <v>8.0888888888888885E-3</v>
      </c>
      <c r="BW31" s="21">
        <f t="shared" si="57"/>
        <v>0.10170138888888887</v>
      </c>
      <c r="BX31" s="21">
        <f t="shared" si="57"/>
        <v>0</v>
      </c>
      <c r="BY31" s="21">
        <f t="shared" si="57"/>
        <v>0</v>
      </c>
      <c r="BZ31" s="21">
        <f t="shared" si="57"/>
        <v>6.2902666666666662E-2</v>
      </c>
      <c r="CA31" s="21">
        <f t="shared" si="57"/>
        <v>0.2343500279269603</v>
      </c>
      <c r="CB31" s="21">
        <f t="shared" si="57"/>
        <v>0</v>
      </c>
      <c r="CC31" s="21">
        <f t="shared" si="57"/>
        <v>4.8012571428571425E-2</v>
      </c>
      <c r="CD31" s="21">
        <f t="shared" si="57"/>
        <v>8.4756571428571431E-2</v>
      </c>
      <c r="CE31" s="21">
        <f t="shared" si="57"/>
        <v>0.16302278514303781</v>
      </c>
      <c r="CF31" s="21">
        <f t="shared" si="57"/>
        <v>0.33787171261787163</v>
      </c>
      <c r="CG31" s="21">
        <f t="shared" si="57"/>
        <v>0.32759473642676773</v>
      </c>
      <c r="CH31" s="21">
        <f t="shared" si="57"/>
        <v>0</v>
      </c>
      <c r="CI31" s="21">
        <f t="shared" si="57"/>
        <v>0.49975838534915179</v>
      </c>
      <c r="CJ31" s="21">
        <f t="shared" si="57"/>
        <v>0.28260568881745385</v>
      </c>
      <c r="CK31" s="21">
        <f t="shared" si="57"/>
        <v>0.37449560981663615</v>
      </c>
      <c r="CL31" s="21">
        <f t="shared" si="57"/>
        <v>0.46978860180285115</v>
      </c>
      <c r="CM31" s="21">
        <f t="shared" si="57"/>
        <v>0.50072085626869267</v>
      </c>
      <c r="CN31" s="21">
        <f t="shared" si="57"/>
        <v>0.62000277853076735</v>
      </c>
      <c r="CO31" s="21">
        <f t="shared" si="57"/>
        <v>0.46959115373418364</v>
      </c>
      <c r="CP31" s="21">
        <f t="shared" si="57"/>
        <v>0.57731564507240729</v>
      </c>
      <c r="CQ31" s="21">
        <f t="shared" si="57"/>
        <v>0.49575468292093428</v>
      </c>
      <c r="CR31" s="21">
        <f t="shared" si="57"/>
        <v>0.4516077989197772</v>
      </c>
      <c r="CS31" s="21">
        <f t="shared" si="57"/>
        <v>0.48154768474925025</v>
      </c>
      <c r="CT31" s="21">
        <f t="shared" si="57"/>
        <v>0.4561146863140953</v>
      </c>
      <c r="CU31" s="21">
        <f t="shared" si="57"/>
        <v>0.37594724687209824</v>
      </c>
      <c r="CV31" s="21">
        <f t="shared" si="57"/>
        <v>0.34165245947339812</v>
      </c>
      <c r="CW31" s="21">
        <f t="shared" si="57"/>
        <v>0.30105846153846155</v>
      </c>
      <c r="CX31" s="21">
        <f t="shared" si="57"/>
        <v>0.34238836906603792</v>
      </c>
      <c r="CY31" s="21">
        <f t="shared" si="57"/>
        <v>0.47926927185486123</v>
      </c>
      <c r="CZ31" s="21">
        <f t="shared" si="57"/>
        <v>0.54847928764801912</v>
      </c>
      <c r="DA31" s="21">
        <f t="shared" si="57"/>
        <v>0.47477524802445698</v>
      </c>
      <c r="DB31" s="21">
        <f t="shared" si="57"/>
        <v>0.43469261835356665</v>
      </c>
      <c r="DC31" s="21">
        <f t="shared" si="57"/>
        <v>0.40482399176926226</v>
      </c>
      <c r="DD31" s="21">
        <f t="shared" si="57"/>
        <v>0.46097690610287489</v>
      </c>
      <c r="DE31" s="21">
        <f t="shared" si="57"/>
        <v>0.48325753374363534</v>
      </c>
      <c r="DF31" s="21">
        <f t="shared" si="57"/>
        <v>0.44816952357937234</v>
      </c>
      <c r="DG31" s="21">
        <f t="shared" si="57"/>
        <v>0.36700747292969338</v>
      </c>
      <c r="DH31" s="21">
        <f t="shared" si="57"/>
        <v>0.39018899673930835</v>
      </c>
      <c r="DI31" s="21">
        <f t="shared" si="57"/>
        <v>0.43106735402397095</v>
      </c>
      <c r="DJ31" s="21">
        <f t="shared" si="57"/>
        <v>0.39224947706392854</v>
      </c>
      <c r="DK31" s="21">
        <f t="shared" si="57"/>
        <v>0.27191062544541345</v>
      </c>
      <c r="DL31" s="21">
        <f t="shared" si="57"/>
        <v>0.29542338137031915</v>
      </c>
      <c r="DM31" s="21">
        <f t="shared" si="57"/>
        <v>0.33220093703612075</v>
      </c>
      <c r="DN31" s="21">
        <f t="shared" si="57"/>
        <v>0.25356191189840555</v>
      </c>
      <c r="DO31" s="21">
        <f t="shared" si="58"/>
        <v>0.34272437642266684</v>
      </c>
      <c r="DP31" s="21">
        <f t="shared" si="58"/>
        <v>0.32830207698019148</v>
      </c>
      <c r="DQ31" s="21">
        <f t="shared" si="58"/>
        <v>0.24895999999999993</v>
      </c>
      <c r="DR31" s="21">
        <f t="shared" si="58"/>
        <v>0.25926681104268728</v>
      </c>
      <c r="DS31" s="21">
        <f t="shared" si="58"/>
        <v>0.25719376646180858</v>
      </c>
      <c r="DT31" s="21">
        <f t="shared" si="58"/>
        <v>0.11080802244876409</v>
      </c>
      <c r="DU31" s="21">
        <f t="shared" si="58"/>
        <v>0.12745248978944818</v>
      </c>
      <c r="DV31" s="21">
        <f>DV47/DV$26</f>
        <v>0.13497440436241612</v>
      </c>
      <c r="DW31" s="21">
        <f>DW47/DW$26</f>
        <v>3.8094021739130429E-2</v>
      </c>
      <c r="DX31" s="21">
        <f>DX47/DX$26</f>
        <v>0.2785616806564179</v>
      </c>
      <c r="DY31" s="21">
        <f t="shared" ref="DY31:EJ31" si="61">DY47/DY$26</f>
        <v>1.3560963422918147E-2</v>
      </c>
      <c r="DZ31" s="21">
        <f t="shared" si="61"/>
        <v>6.1110008830586628E-2</v>
      </c>
      <c r="EA31" s="21">
        <f t="shared" si="61"/>
        <v>5.6163297867222191E-2</v>
      </c>
      <c r="EB31" s="21">
        <f t="shared" si="61"/>
        <v>0.19467940748207888</v>
      </c>
      <c r="EC31" s="21">
        <f>EC47/EC$26</f>
        <v>0.25827748782404875</v>
      </c>
      <c r="ED31" s="21">
        <f t="shared" si="61"/>
        <v>0.31706885370150356</v>
      </c>
      <c r="EE31" s="21">
        <f>EE47/EE$26</f>
        <v>0.3284596371882087</v>
      </c>
      <c r="EF31" s="21">
        <f t="shared" si="61"/>
        <v>0.23196798264665633</v>
      </c>
      <c r="EG31" s="21">
        <f t="shared" si="61"/>
        <v>0.32441935093731095</v>
      </c>
      <c r="EH31" s="21">
        <f t="shared" si="61"/>
        <v>0.3040967518486577</v>
      </c>
      <c r="EI31" s="21">
        <f t="shared" si="61"/>
        <v>0.28296288633021527</v>
      </c>
      <c r="EJ31" s="21">
        <f t="shared" si="61"/>
        <v>0</v>
      </c>
    </row>
    <row r="32" spans="1:144" x14ac:dyDescent="0.25">
      <c r="A32" s="29"/>
      <c r="B32" s="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153"/>
      <c r="CL32" s="153"/>
      <c r="CM32" s="153"/>
      <c r="CN32" s="153"/>
      <c r="CO32" s="153"/>
      <c r="CP32" s="153"/>
      <c r="CQ32" s="153"/>
      <c r="CR32" s="153"/>
      <c r="CS32" s="153"/>
      <c r="CT32" s="153"/>
      <c r="CU32" s="153"/>
      <c r="CV32" s="153"/>
      <c r="CW32" s="153"/>
      <c r="CX32" s="153"/>
      <c r="CY32" s="153"/>
      <c r="CZ32" s="153"/>
      <c r="DA32" s="153"/>
      <c r="DB32" s="153"/>
      <c r="DC32" s="153"/>
      <c r="DD32" s="153"/>
      <c r="DE32" s="153"/>
      <c r="DF32" s="153"/>
      <c r="DG32" s="153"/>
      <c r="DH32" s="153"/>
      <c r="DI32" s="153"/>
      <c r="DJ32" s="153"/>
      <c r="DK32" s="153"/>
      <c r="DL32" s="153"/>
      <c r="DM32" s="153"/>
      <c r="DN32" s="153"/>
      <c r="DO32" s="153"/>
      <c r="DP32" s="153"/>
      <c r="DR32"/>
      <c r="DS32"/>
      <c r="DT32"/>
      <c r="DV32" s="21"/>
      <c r="DW32" s="21"/>
      <c r="DX32" s="21"/>
      <c r="EF32" s="21"/>
      <c r="EG32" s="21"/>
    </row>
    <row r="33" spans="1:140" x14ac:dyDescent="0.25">
      <c r="A33" s="806" t="s">
        <v>15</v>
      </c>
      <c r="B33" s="30" t="s">
        <v>4</v>
      </c>
      <c r="C33" s="21">
        <f t="shared" ref="C33:K33" si="62">C49/C$26</f>
        <v>0.28751150010177084</v>
      </c>
      <c r="D33" s="21">
        <f t="shared" si="62"/>
        <v>4.5719017872635784E-2</v>
      </c>
      <c r="E33" s="21">
        <f t="shared" si="62"/>
        <v>0.11312652191558442</v>
      </c>
      <c r="F33" s="21">
        <f t="shared" si="62"/>
        <v>0.20821260898725691</v>
      </c>
      <c r="G33" s="21">
        <f t="shared" si="62"/>
        <v>0.26146971830985921</v>
      </c>
      <c r="H33" s="21">
        <f t="shared" si="62"/>
        <v>9.5933061079545467E-2</v>
      </c>
      <c r="I33" s="21">
        <f t="shared" si="62"/>
        <v>0.24656030390251196</v>
      </c>
      <c r="J33" s="21">
        <f t="shared" si="62"/>
        <v>0.2074055194805195</v>
      </c>
      <c r="K33" s="21">
        <f t="shared" si="62"/>
        <v>6.8016448217975214E-2</v>
      </c>
      <c r="L33" s="21">
        <f>L49/L$26</f>
        <v>0.28918096590909093</v>
      </c>
      <c r="M33" s="21">
        <f t="shared" ref="M33:AD33" si="63">M49/M$26</f>
        <v>0.41693892944038924</v>
      </c>
      <c r="N33" s="21">
        <f t="shared" si="63"/>
        <v>0.19602321869924438</v>
      </c>
      <c r="O33" s="21">
        <f t="shared" si="63"/>
        <v>0.34642037527674263</v>
      </c>
      <c r="P33" s="21">
        <f t="shared" si="63"/>
        <v>0.2562277135695582</v>
      </c>
      <c r="Q33" s="21">
        <f t="shared" si="63"/>
        <v>0.39701704545454541</v>
      </c>
      <c r="R33" s="21">
        <f t="shared" si="63"/>
        <v>0.28134712404196738</v>
      </c>
      <c r="S33" s="21">
        <f t="shared" si="63"/>
        <v>0.25796340953322117</v>
      </c>
      <c r="T33" s="21">
        <f t="shared" si="63"/>
        <v>0.20357771147175119</v>
      </c>
      <c r="U33" s="21">
        <f t="shared" si="63"/>
        <v>0.39858387365362818</v>
      </c>
      <c r="V33" s="21">
        <f t="shared" si="63"/>
        <v>0.3066426234022227</v>
      </c>
      <c r="W33" s="21">
        <f t="shared" si="63"/>
        <v>0.34164729262714899</v>
      </c>
      <c r="X33" s="21">
        <f t="shared" si="63"/>
        <v>0.54704784393134054</v>
      </c>
      <c r="Y33" s="21">
        <f t="shared" si="63"/>
        <v>0.50988996681314158</v>
      </c>
      <c r="Z33" s="21">
        <f t="shared" si="63"/>
        <v>0.46010783499446289</v>
      </c>
      <c r="AA33" s="21">
        <f t="shared" si="63"/>
        <v>0.4485526814783013</v>
      </c>
      <c r="AB33" s="21">
        <f t="shared" si="63"/>
        <v>0.42050790364171436</v>
      </c>
      <c r="AC33" s="21">
        <f t="shared" si="63"/>
        <v>0.33180871338031293</v>
      </c>
      <c r="AD33" s="21">
        <f t="shared" si="63"/>
        <v>0.37214409796339887</v>
      </c>
      <c r="AE33" s="21">
        <f t="shared" ref="AE33:CP33" si="64">AE49/AE$26</f>
        <v>0.32126470227885323</v>
      </c>
      <c r="AF33" s="21">
        <f t="shared" si="64"/>
        <v>0.42614195147528477</v>
      </c>
      <c r="AG33" s="21">
        <f t="shared" si="64"/>
        <v>0.69085450395185144</v>
      </c>
      <c r="AH33" s="21">
        <f t="shared" si="64"/>
        <v>0.38248996015471348</v>
      </c>
      <c r="AI33" s="21">
        <f t="shared" si="64"/>
        <v>0.40070087365879442</v>
      </c>
      <c r="AJ33" s="21">
        <f t="shared" si="64"/>
        <v>0.33462937500302242</v>
      </c>
      <c r="AK33" s="21">
        <f t="shared" si="64"/>
        <v>0.50904695684420342</v>
      </c>
      <c r="AL33" s="21">
        <f t="shared" si="64"/>
        <v>0.42933547758284601</v>
      </c>
      <c r="AM33" s="21">
        <f t="shared" si="64"/>
        <v>0.28739988128215282</v>
      </c>
      <c r="AN33" s="21">
        <f t="shared" si="64"/>
        <v>0.39974883869559791</v>
      </c>
      <c r="AO33" s="21">
        <f t="shared" si="64"/>
        <v>0.41085332504661282</v>
      </c>
      <c r="AP33" s="21">
        <f t="shared" si="64"/>
        <v>0.43495003331112592</v>
      </c>
      <c r="AQ33" s="21">
        <f t="shared" si="64"/>
        <v>0.3824964854272857</v>
      </c>
      <c r="AR33" s="21">
        <f t="shared" si="64"/>
        <v>0.36134757262491785</v>
      </c>
      <c r="AS33" s="21">
        <f t="shared" si="64"/>
        <v>0.4419767781084078</v>
      </c>
      <c r="AT33" s="21">
        <f t="shared" si="64"/>
        <v>0.47752326168358084</v>
      </c>
      <c r="AU33" s="21">
        <f t="shared" si="64"/>
        <v>0.47927990629486872</v>
      </c>
      <c r="AV33" s="21">
        <f t="shared" si="64"/>
        <v>0.32804997448538681</v>
      </c>
      <c r="AW33" s="21">
        <f t="shared" si="64"/>
        <v>0.43229145736385227</v>
      </c>
      <c r="AX33" s="21">
        <f t="shared" si="64"/>
        <v>0.31253646153603581</v>
      </c>
      <c r="AY33" s="21">
        <f t="shared" si="64"/>
        <v>0.32150389767522258</v>
      </c>
      <c r="AZ33" s="21">
        <f t="shared" si="64"/>
        <v>0.43264061302682</v>
      </c>
      <c r="BA33" s="21">
        <f t="shared" si="64"/>
        <v>0.33443669428343753</v>
      </c>
      <c r="BB33" s="21">
        <f t="shared" si="64"/>
        <v>0.20958270947208632</v>
      </c>
      <c r="BC33" s="21">
        <f t="shared" si="64"/>
        <v>0</v>
      </c>
      <c r="BD33" s="21">
        <f t="shared" si="64"/>
        <v>0</v>
      </c>
      <c r="BE33" s="21">
        <f t="shared" si="64"/>
        <v>0</v>
      </c>
      <c r="BF33" s="21">
        <f t="shared" si="64"/>
        <v>0</v>
      </c>
      <c r="BG33" s="21">
        <f t="shared" si="64"/>
        <v>0</v>
      </c>
      <c r="BH33" s="21">
        <f t="shared" si="64"/>
        <v>0</v>
      </c>
      <c r="BI33" s="21">
        <f t="shared" si="64"/>
        <v>0</v>
      </c>
      <c r="BJ33" s="21">
        <f t="shared" si="64"/>
        <v>0</v>
      </c>
      <c r="BK33" s="21">
        <f t="shared" si="64"/>
        <v>0</v>
      </c>
      <c r="BL33" s="21">
        <f t="shared" si="64"/>
        <v>0</v>
      </c>
      <c r="BM33" s="21">
        <f t="shared" si="64"/>
        <v>0</v>
      </c>
      <c r="BN33" s="21">
        <f t="shared" si="64"/>
        <v>0</v>
      </c>
      <c r="BO33" s="21">
        <f t="shared" si="64"/>
        <v>0</v>
      </c>
      <c r="BP33" s="21">
        <f t="shared" si="64"/>
        <v>0</v>
      </c>
      <c r="BQ33" s="21">
        <f t="shared" si="64"/>
        <v>0</v>
      </c>
      <c r="BR33" s="21">
        <f t="shared" si="64"/>
        <v>0</v>
      </c>
      <c r="BS33" s="21">
        <f t="shared" si="64"/>
        <v>0</v>
      </c>
      <c r="BT33" s="21">
        <f t="shared" si="64"/>
        <v>0</v>
      </c>
      <c r="BU33" s="21">
        <f t="shared" si="64"/>
        <v>0</v>
      </c>
      <c r="BV33" s="21">
        <f t="shared" si="64"/>
        <v>0</v>
      </c>
      <c r="BW33" s="21">
        <f t="shared" si="64"/>
        <v>0</v>
      </c>
      <c r="BX33" s="21">
        <f t="shared" si="64"/>
        <v>0</v>
      </c>
      <c r="BY33" s="21">
        <f t="shared" si="64"/>
        <v>0</v>
      </c>
      <c r="BZ33" s="21">
        <f t="shared" si="64"/>
        <v>0</v>
      </c>
      <c r="CA33" s="21">
        <f t="shared" si="64"/>
        <v>0</v>
      </c>
      <c r="CB33" s="21">
        <f t="shared" si="64"/>
        <v>0</v>
      </c>
      <c r="CC33" s="21">
        <f t="shared" si="64"/>
        <v>0</v>
      </c>
      <c r="CD33" s="21">
        <f t="shared" si="64"/>
        <v>0</v>
      </c>
      <c r="CE33" s="21">
        <f t="shared" si="64"/>
        <v>0.16755249454545454</v>
      </c>
      <c r="CF33" s="21">
        <f t="shared" si="64"/>
        <v>0.30064976271186444</v>
      </c>
      <c r="CG33" s="21">
        <f t="shared" si="64"/>
        <v>0.2699624036979969</v>
      </c>
      <c r="CH33" s="21">
        <f t="shared" si="64"/>
        <v>0</v>
      </c>
      <c r="CI33" s="21">
        <f t="shared" si="64"/>
        <v>0.52508325757575758</v>
      </c>
      <c r="CJ33" s="21">
        <f t="shared" si="64"/>
        <v>0.29871392443364786</v>
      </c>
      <c r="CK33" s="21">
        <f t="shared" si="64"/>
        <v>0.33235928143712579</v>
      </c>
      <c r="CL33" s="21">
        <f t="shared" si="64"/>
        <v>0.26273504888678134</v>
      </c>
      <c r="CM33" s="21">
        <f t="shared" si="64"/>
        <v>0.28984775338892427</v>
      </c>
      <c r="CN33" s="21">
        <f t="shared" si="64"/>
        <v>0.54363816696528899</v>
      </c>
      <c r="CO33" s="21">
        <f t="shared" si="64"/>
        <v>0.51377587906671052</v>
      </c>
      <c r="CP33" s="21">
        <f t="shared" si="64"/>
        <v>0.53639801084180816</v>
      </c>
      <c r="CQ33" s="21">
        <f t="shared" ref="CQ33:DN35" si="65">CQ49/CQ$26</f>
        <v>0.39572156862745106</v>
      </c>
      <c r="CR33" s="21">
        <f t="shared" si="65"/>
        <v>0.56339159420289842</v>
      </c>
      <c r="CS33" s="21">
        <f t="shared" si="65"/>
        <v>0.49266013168724276</v>
      </c>
      <c r="CT33" s="21">
        <f t="shared" si="65"/>
        <v>0.41581096618357488</v>
      </c>
      <c r="CU33" s="21">
        <f t="shared" si="65"/>
        <v>0.25737147914422043</v>
      </c>
      <c r="CV33" s="21">
        <f t="shared" si="65"/>
        <v>0.24471882625482627</v>
      </c>
      <c r="CW33" s="21">
        <f t="shared" si="65"/>
        <v>0.47957818181818179</v>
      </c>
      <c r="CX33" s="21">
        <f t="shared" si="65"/>
        <v>0.2317243353783231</v>
      </c>
      <c r="CY33" s="21">
        <f t="shared" si="65"/>
        <v>0.36045847176079732</v>
      </c>
      <c r="CZ33" s="21">
        <f t="shared" si="65"/>
        <v>0.51692998278829605</v>
      </c>
      <c r="DA33" s="21">
        <f t="shared" si="65"/>
        <v>0.38293062567773067</v>
      </c>
      <c r="DB33" s="21">
        <f t="shared" si="65"/>
        <v>0.27542676069343941</v>
      </c>
      <c r="DC33" s="21">
        <f t="shared" si="65"/>
        <v>0.45507352281713742</v>
      </c>
      <c r="DD33" s="21">
        <f t="shared" si="65"/>
        <v>0.38949538620511492</v>
      </c>
      <c r="DE33" s="21">
        <f t="shared" si="65"/>
        <v>0.4343263398421271</v>
      </c>
      <c r="DF33" s="21">
        <f t="shared" si="65"/>
        <v>0.4575283711980408</v>
      </c>
      <c r="DG33" s="21">
        <f t="shared" si="65"/>
        <v>0.46603012048192766</v>
      </c>
      <c r="DH33" s="21">
        <f t="shared" si="65"/>
        <v>0.43352663294748117</v>
      </c>
      <c r="DI33" s="21">
        <f t="shared" si="65"/>
        <v>0.57647060422139684</v>
      </c>
      <c r="DJ33" s="21">
        <f t="shared" si="65"/>
        <v>0.52318738955823296</v>
      </c>
      <c r="DK33" s="21">
        <f t="shared" si="65"/>
        <v>0.27652790612709799</v>
      </c>
      <c r="DL33" s="21">
        <f t="shared" si="65"/>
        <v>0.27174357235142121</v>
      </c>
      <c r="DM33" s="21">
        <f t="shared" si="65"/>
        <v>0.27901882339396733</v>
      </c>
      <c r="DN33" s="21">
        <f t="shared" si="65"/>
        <v>0.26260748438421944</v>
      </c>
      <c r="DO33" s="21">
        <f t="shared" ref="DO33:DS35" si="66">DO49/DO$26</f>
        <v>0.33693109803921573</v>
      </c>
      <c r="DP33" s="21">
        <f t="shared" si="66"/>
        <v>0.22785438953488371</v>
      </c>
      <c r="DQ33" s="21">
        <f t="shared" si="66"/>
        <v>0.19363342541436462</v>
      </c>
      <c r="DR33" s="21">
        <f t="shared" si="66"/>
        <v>0.29287229679144383</v>
      </c>
      <c r="DS33" s="21">
        <f t="shared" si="66"/>
        <v>0.19940941176470592</v>
      </c>
      <c r="DT33" s="21">
        <f>Batches!H2283</f>
        <v>8.6854548160173156E-2</v>
      </c>
      <c r="DU33" s="21">
        <f>Batches!H2307</f>
        <v>6.689894302325583E-2</v>
      </c>
      <c r="DV33" s="21">
        <f>Batches!H2331</f>
        <v>7.4765496575342455E-2</v>
      </c>
      <c r="DW33" s="21">
        <f>Batches!H2355</f>
        <v>2.4035326086956521E-2</v>
      </c>
      <c r="DX33" s="21">
        <f>Batches!H2379</f>
        <v>0.20115497282608699</v>
      </c>
      <c r="DY33" s="21">
        <f>Batches!H2403</f>
        <v>9.305134254578136E-3</v>
      </c>
      <c r="DZ33" s="21">
        <f>Batches!H2427</f>
        <v>4.0159419406150573E-2</v>
      </c>
      <c r="EA33" s="21">
        <f>Batches!H2451</f>
        <v>5.0179865424430639E-3</v>
      </c>
      <c r="EB33" s="21">
        <f>Batches!H2475</f>
        <v>7.3861663652802875E-2</v>
      </c>
      <c r="EC33" s="21">
        <f>Batches!H2499</f>
        <v>0.21331204040404042</v>
      </c>
      <c r="ED33" s="21">
        <f>Batches!H2523</f>
        <v>0.22739540404040406</v>
      </c>
      <c r="EE33" s="21">
        <f>Batches!H2547</f>
        <v>0.27120997544505826</v>
      </c>
      <c r="EF33" s="21">
        <f>Batches!H2571</f>
        <v>0.25507608130081288</v>
      </c>
      <c r="EG33" s="21">
        <f>Batches!H2595</f>
        <v>0.17956422764227639</v>
      </c>
      <c r="EH33" s="21">
        <f>Batches!H2619</f>
        <v>0.29627719942611197</v>
      </c>
      <c r="EI33" s="21">
        <f>Batches!H2643</f>
        <v>0.20178488210266807</v>
      </c>
      <c r="EJ33" s="21">
        <f>Batches!H2667</f>
        <v>0.18317954117647059</v>
      </c>
    </row>
    <row r="34" spans="1:140" x14ac:dyDescent="0.25">
      <c r="A34" s="807"/>
      <c r="B34" s="30" t="s">
        <v>1</v>
      </c>
      <c r="C34" s="21">
        <f t="shared" ref="C34:K34" si="67">C50/C$26</f>
        <v>0.24613418368500803</v>
      </c>
      <c r="D34" s="21">
        <f t="shared" si="67"/>
        <v>0.33738109803921573</v>
      </c>
      <c r="E34" s="21">
        <f t="shared" si="67"/>
        <v>0.34512733360389614</v>
      </c>
      <c r="F34" s="21">
        <f t="shared" si="67"/>
        <v>0.20366215302104226</v>
      </c>
      <c r="G34" s="21">
        <f t="shared" si="67"/>
        <v>0.3398105633802817</v>
      </c>
      <c r="H34" s="21">
        <f t="shared" si="67"/>
        <v>0.13154124910522549</v>
      </c>
      <c r="I34" s="21">
        <f t="shared" si="67"/>
        <v>0.34032449390427455</v>
      </c>
      <c r="J34" s="21">
        <f t="shared" si="67"/>
        <v>0.26265227272727271</v>
      </c>
      <c r="K34" s="21">
        <f t="shared" si="67"/>
        <v>0.17866428848140498</v>
      </c>
      <c r="L34" s="21">
        <f t="shared" ref="L34:AD34" si="68">L50/L$26</f>
        <v>0.29214801136363638</v>
      </c>
      <c r="M34" s="21">
        <f t="shared" si="68"/>
        <v>0.10727858880778589</v>
      </c>
      <c r="N34" s="21">
        <f t="shared" si="68"/>
        <v>0.22892846550384863</v>
      </c>
      <c r="O34" s="21">
        <f t="shared" si="68"/>
        <v>0.44971663263198958</v>
      </c>
      <c r="P34" s="21">
        <f t="shared" si="68"/>
        <v>0.25484645175201082</v>
      </c>
      <c r="Q34" s="21">
        <f t="shared" si="68"/>
        <v>0.26351359587435536</v>
      </c>
      <c r="R34" s="21">
        <f t="shared" si="68"/>
        <v>0.35575295586399353</v>
      </c>
      <c r="S34" s="21">
        <f t="shared" si="68"/>
        <v>0.2882231496458304</v>
      </c>
      <c r="T34" s="21">
        <f t="shared" si="68"/>
        <v>0.23970685429678232</v>
      </c>
      <c r="U34" s="21">
        <f t="shared" si="68"/>
        <v>0.53610718438118354</v>
      </c>
      <c r="V34" s="21">
        <f t="shared" si="68"/>
        <v>0.27841083960189467</v>
      </c>
      <c r="W34" s="21">
        <f t="shared" si="68"/>
        <v>0.44075597895349916</v>
      </c>
      <c r="X34" s="21">
        <f t="shared" si="68"/>
        <v>0.37578023480537598</v>
      </c>
      <c r="Y34" s="21">
        <f t="shared" si="68"/>
        <v>0.5003535668316772</v>
      </c>
      <c r="Z34" s="21">
        <f t="shared" si="68"/>
        <v>0.351335802977293</v>
      </c>
      <c r="AA34" s="21">
        <f t="shared" si="68"/>
        <v>0.51751251646903818</v>
      </c>
      <c r="AB34" s="21">
        <f t="shared" si="68"/>
        <v>0.3638586259454174</v>
      </c>
      <c r="AC34" s="21">
        <f t="shared" si="68"/>
        <v>0.43409121127509637</v>
      </c>
      <c r="AD34" s="21">
        <f t="shared" si="68"/>
        <v>0.38118788340522702</v>
      </c>
      <c r="AE34" s="21">
        <f t="shared" ref="AE34:CP35" si="69">AE50/AE$26</f>
        <v>0.40285686125031306</v>
      </c>
      <c r="AF34" s="21">
        <f t="shared" si="69"/>
        <v>0.38222276698467172</v>
      </c>
      <c r="AG34" s="21">
        <f t="shared" si="69"/>
        <v>0.4265662239273677</v>
      </c>
      <c r="AH34" s="21">
        <f t="shared" si="69"/>
        <v>0.48355243870801229</v>
      </c>
      <c r="AI34" s="21">
        <f t="shared" si="69"/>
        <v>0.44190997058889564</v>
      </c>
      <c r="AJ34" s="21">
        <f t="shared" si="69"/>
        <v>0.37500160387896919</v>
      </c>
      <c r="AK34" s="21">
        <f t="shared" si="69"/>
        <v>0.36224819109824785</v>
      </c>
      <c r="AL34" s="21">
        <f t="shared" si="69"/>
        <v>0.47741935272965025</v>
      </c>
      <c r="AM34" s="21">
        <f t="shared" si="69"/>
        <v>0.46343434261329003</v>
      </c>
      <c r="AN34" s="21">
        <f t="shared" si="69"/>
        <v>0.46698877109509729</v>
      </c>
      <c r="AO34" s="21">
        <f t="shared" si="69"/>
        <v>0.49438781852082037</v>
      </c>
      <c r="AP34" s="21">
        <f t="shared" si="69"/>
        <v>0.45759662447257388</v>
      </c>
      <c r="AQ34" s="21">
        <f t="shared" si="69"/>
        <v>0.50732667753868188</v>
      </c>
      <c r="AR34" s="21">
        <f t="shared" si="69"/>
        <v>0.34766932725199551</v>
      </c>
      <c r="AS34" s="21">
        <f t="shared" si="69"/>
        <v>0.52243036349845384</v>
      </c>
      <c r="AT34" s="21">
        <f t="shared" si="69"/>
        <v>0.50116624852142333</v>
      </c>
      <c r="AU34" s="21">
        <f t="shared" si="69"/>
        <v>0.49444222776392338</v>
      </c>
      <c r="AV34" s="21">
        <f t="shared" si="69"/>
        <v>0.38378891609614718</v>
      </c>
      <c r="AW34" s="21">
        <f t="shared" si="69"/>
        <v>0.42985398903092681</v>
      </c>
      <c r="AX34" s="21">
        <f t="shared" si="69"/>
        <v>0.47411421311884272</v>
      </c>
      <c r="AY34" s="21">
        <f t="shared" si="69"/>
        <v>0.4001291630329743</v>
      </c>
      <c r="AZ34" s="21">
        <f t="shared" si="69"/>
        <v>0.3469231699939504</v>
      </c>
      <c r="BA34" s="21">
        <f t="shared" si="69"/>
        <v>0.35589440041226128</v>
      </c>
      <c r="BB34" s="21">
        <f t="shared" si="69"/>
        <v>0.33020611364529695</v>
      </c>
      <c r="BC34" s="21">
        <f t="shared" si="69"/>
        <v>0</v>
      </c>
      <c r="BD34" s="21">
        <f t="shared" si="69"/>
        <v>0</v>
      </c>
      <c r="BE34" s="21">
        <f t="shared" si="69"/>
        <v>0</v>
      </c>
      <c r="BF34" s="21">
        <f t="shared" si="69"/>
        <v>0</v>
      </c>
      <c r="BG34" s="21">
        <f t="shared" si="69"/>
        <v>0</v>
      </c>
      <c r="BH34" s="21">
        <f t="shared" si="69"/>
        <v>0</v>
      </c>
      <c r="BI34" s="21">
        <f t="shared" si="69"/>
        <v>0</v>
      </c>
      <c r="BJ34" s="21">
        <f t="shared" si="69"/>
        <v>0</v>
      </c>
      <c r="BK34" s="21">
        <f t="shared" si="69"/>
        <v>0</v>
      </c>
      <c r="BL34" s="21">
        <f t="shared" si="69"/>
        <v>0</v>
      </c>
      <c r="BM34" s="21">
        <f t="shared" si="69"/>
        <v>0</v>
      </c>
      <c r="BN34" s="21">
        <f t="shared" si="69"/>
        <v>0</v>
      </c>
      <c r="BO34" s="21">
        <f t="shared" si="69"/>
        <v>0</v>
      </c>
      <c r="BP34" s="21">
        <f t="shared" si="69"/>
        <v>0</v>
      </c>
      <c r="BQ34" s="21">
        <f t="shared" si="69"/>
        <v>0</v>
      </c>
      <c r="BR34" s="21">
        <f t="shared" si="69"/>
        <v>0</v>
      </c>
      <c r="BS34" s="21">
        <f t="shared" si="69"/>
        <v>0</v>
      </c>
      <c r="BT34" s="21">
        <f t="shared" si="69"/>
        <v>0</v>
      </c>
      <c r="BU34" s="21">
        <f t="shared" si="69"/>
        <v>0</v>
      </c>
      <c r="BV34" s="21">
        <f t="shared" si="69"/>
        <v>0</v>
      </c>
      <c r="BW34" s="21">
        <f t="shared" si="69"/>
        <v>0</v>
      </c>
      <c r="BX34" s="21">
        <f t="shared" si="69"/>
        <v>0</v>
      </c>
      <c r="BY34" s="21">
        <f t="shared" si="69"/>
        <v>0</v>
      </c>
      <c r="BZ34" s="21">
        <f t="shared" si="69"/>
        <v>0</v>
      </c>
      <c r="CA34" s="21">
        <f t="shared" si="69"/>
        <v>0</v>
      </c>
      <c r="CB34" s="21">
        <f t="shared" si="69"/>
        <v>0</v>
      </c>
      <c r="CC34" s="21">
        <f t="shared" si="69"/>
        <v>0</v>
      </c>
      <c r="CD34" s="21">
        <f t="shared" si="69"/>
        <v>0</v>
      </c>
      <c r="CE34" s="21">
        <f t="shared" si="69"/>
        <v>0.21975597090909088</v>
      </c>
      <c r="CF34" s="21">
        <f t="shared" si="69"/>
        <v>0.24622400000000003</v>
      </c>
      <c r="CG34" s="21">
        <f t="shared" si="69"/>
        <v>0.27789992295839749</v>
      </c>
      <c r="CH34" s="21">
        <f t="shared" si="69"/>
        <v>0</v>
      </c>
      <c r="CI34" s="21">
        <f t="shared" si="69"/>
        <v>0.47357757575757575</v>
      </c>
      <c r="CJ34" s="21">
        <f t="shared" si="69"/>
        <v>0.27830528477927874</v>
      </c>
      <c r="CK34" s="21">
        <f t="shared" si="69"/>
        <v>0.43947930226503512</v>
      </c>
      <c r="CL34" s="21">
        <f t="shared" si="69"/>
        <v>0.36998990104880847</v>
      </c>
      <c r="CM34" s="21">
        <f t="shared" si="69"/>
        <v>0.52566128262453216</v>
      </c>
      <c r="CN34" s="21">
        <f t="shared" si="69"/>
        <v>0.31977917295123176</v>
      </c>
      <c r="CO34" s="21">
        <f t="shared" si="69"/>
        <v>0.35774396135265696</v>
      </c>
      <c r="CP34" s="21">
        <f t="shared" si="69"/>
        <v>0.62217803861834142</v>
      </c>
      <c r="CQ34" s="21">
        <f t="shared" si="65"/>
        <v>0.51870046568627459</v>
      </c>
      <c r="CR34" s="21">
        <f t="shared" si="65"/>
        <v>0.61480979066022534</v>
      </c>
      <c r="CS34" s="21">
        <f t="shared" si="65"/>
        <v>0.58838932485841178</v>
      </c>
      <c r="CT34" s="21">
        <f t="shared" si="65"/>
        <v>0.75028423478892359</v>
      </c>
      <c r="CU34" s="21">
        <f t="shared" si="65"/>
        <v>0.43258251102855821</v>
      </c>
      <c r="CV34" s="21">
        <f t="shared" si="65"/>
        <v>0.41834718856787823</v>
      </c>
      <c r="CW34" s="21">
        <f t="shared" si="65"/>
        <v>0.21073454545454542</v>
      </c>
      <c r="CX34" s="21">
        <f t="shared" si="65"/>
        <v>0.39760584950029393</v>
      </c>
      <c r="CY34" s="21">
        <f t="shared" si="65"/>
        <v>0.47541515261627909</v>
      </c>
      <c r="CZ34" s="21">
        <f t="shared" si="65"/>
        <v>0.57940227194492255</v>
      </c>
      <c r="DA34" s="21">
        <f t="shared" si="65"/>
        <v>0.50930051449039415</v>
      </c>
      <c r="DB34" s="21">
        <f t="shared" si="65"/>
        <v>0.39354681862585483</v>
      </c>
      <c r="DC34" s="21">
        <f t="shared" si="65"/>
        <v>0.3681009852537564</v>
      </c>
      <c r="DD34" s="21">
        <f t="shared" si="65"/>
        <v>0.45219670369413578</v>
      </c>
      <c r="DE34" s="21">
        <f t="shared" si="65"/>
        <v>0.36945866223514751</v>
      </c>
      <c r="DF34" s="21">
        <f t="shared" si="65"/>
        <v>0.55559122494032931</v>
      </c>
      <c r="DG34" s="21">
        <f t="shared" si="65"/>
        <v>0.57198795180722894</v>
      </c>
      <c r="DH34" s="21">
        <f t="shared" si="65"/>
        <v>0.43637799275921418</v>
      </c>
      <c r="DI34" s="21">
        <f>DI50/DI$26</f>
        <v>0.37455974526678149</v>
      </c>
      <c r="DJ34" s="21">
        <f t="shared" si="65"/>
        <v>0.29661728395061726</v>
      </c>
      <c r="DK34" s="21">
        <f t="shared" si="65"/>
        <v>0.28210280114332376</v>
      </c>
      <c r="DL34" s="21">
        <f t="shared" si="65"/>
        <v>0.27623623179146434</v>
      </c>
      <c r="DM34" s="21">
        <f t="shared" si="65"/>
        <v>0.24698563953488373</v>
      </c>
      <c r="DN34" s="21">
        <f t="shared" si="65"/>
        <v>0.25086779164303269</v>
      </c>
      <c r="DO34" s="21">
        <f t="shared" si="66"/>
        <v>0.29626513725490194</v>
      </c>
      <c r="DP34" s="21">
        <f t="shared" si="66"/>
        <v>0.23057454115367076</v>
      </c>
      <c r="DQ34" s="21">
        <f t="shared" si="66"/>
        <v>0.13315137362637361</v>
      </c>
      <c r="DR34" s="21">
        <f t="shared" si="66"/>
        <v>0.25748246791443852</v>
      </c>
      <c r="DS34" s="21">
        <f t="shared" si="66"/>
        <v>0.23258941176470591</v>
      </c>
      <c r="DT34" s="21">
        <f>Batches!O2283</f>
        <v>8.0861466477138128E-2</v>
      </c>
      <c r="DU34" s="21">
        <f>Batches!O2307</f>
        <v>6.3391083323594735E-2</v>
      </c>
      <c r="DV34" s="21">
        <f>Batches!O2331</f>
        <v>2.0555136986301369E-2</v>
      </c>
      <c r="DW34" s="21">
        <f>Batches!O2355</f>
        <v>2.0410326086956518E-2</v>
      </c>
      <c r="DX34" s="21">
        <f>Batches!O2379</f>
        <v>0.26991195652173916</v>
      </c>
      <c r="DY34" s="21">
        <v>0</v>
      </c>
      <c r="DZ34" s="21">
        <f>Batches!O2427</f>
        <v>5.0337794273594895E-2</v>
      </c>
      <c r="EA34" s="21">
        <f>Batches!O2451</f>
        <v>9.4644641698340606E-3</v>
      </c>
      <c r="EB34" s="21">
        <f>Batches!O2475</f>
        <v>0.13459162505044389</v>
      </c>
      <c r="EC34" s="21">
        <f>Batches!O2499</f>
        <v>0.21151125757575759</v>
      </c>
      <c r="ED34" s="21">
        <f>Batches!O2523</f>
        <v>0.40078284722222224</v>
      </c>
      <c r="EE34" s="21">
        <f>Batches!O2547</f>
        <v>0.22782159722222226</v>
      </c>
      <c r="EF34" s="21">
        <f>Batches!O2571</f>
        <v>0.1491376422764227</v>
      </c>
      <c r="EG34" s="21">
        <f>Batches!O2595</f>
        <v>0.38603544715447147</v>
      </c>
      <c r="EH34" s="21">
        <f>Batches!O2619</f>
        <v>0.25305013486370154</v>
      </c>
      <c r="EI34" s="21">
        <f>Batches!O2643</f>
        <v>0.17816883375084497</v>
      </c>
      <c r="EJ34" s="21">
        <f>Batches!O2667</f>
        <v>0.31869539999999996</v>
      </c>
    </row>
    <row r="35" spans="1:140" x14ac:dyDescent="0.25">
      <c r="A35" s="807"/>
      <c r="B35" s="30" t="s">
        <v>2</v>
      </c>
      <c r="C35" s="21">
        <f t="shared" ref="C35:BN35" si="70">C51/C$26</f>
        <v>0.26682284189338945</v>
      </c>
      <c r="D35" s="21">
        <f t="shared" si="70"/>
        <v>0.19155005795592572</v>
      </c>
      <c r="E35" s="21">
        <f t="shared" si="70"/>
        <v>0.22912692775974031</v>
      </c>
      <c r="F35" s="21">
        <f t="shared" si="70"/>
        <v>0.20592659793313961</v>
      </c>
      <c r="G35" s="21">
        <f t="shared" si="70"/>
        <v>0.30064014084507046</v>
      </c>
      <c r="H35" s="21">
        <f t="shared" si="70"/>
        <v>0.11366733511586456</v>
      </c>
      <c r="I35" s="21">
        <f t="shared" si="70"/>
        <v>0.29328767251725174</v>
      </c>
      <c r="J35" s="21">
        <f t="shared" si="70"/>
        <v>0.23502889610389613</v>
      </c>
      <c r="K35" s="21">
        <f t="shared" si="70"/>
        <v>0.1233403683496901</v>
      </c>
      <c r="L35" s="21">
        <f t="shared" si="70"/>
        <v>0.29066448863636374</v>
      </c>
      <c r="M35" s="21">
        <f t="shared" si="70"/>
        <v>0.26210875912408754</v>
      </c>
      <c r="N35" s="21">
        <f t="shared" si="70"/>
        <v>0.21247584210154652</v>
      </c>
      <c r="O35" s="21">
        <f t="shared" si="70"/>
        <v>0.39881702755838966</v>
      </c>
      <c r="P35" s="21">
        <f t="shared" si="70"/>
        <v>0.25554396602532375</v>
      </c>
      <c r="Q35" s="21">
        <f t="shared" si="70"/>
        <v>0.33386271900643161</v>
      </c>
      <c r="R35" s="21">
        <f t="shared" si="70"/>
        <v>0.3187947959787108</v>
      </c>
      <c r="S35" s="21">
        <f t="shared" si="70"/>
        <v>0.27319216762910947</v>
      </c>
      <c r="T35" s="21">
        <f t="shared" si="70"/>
        <v>0.22089478337754198</v>
      </c>
      <c r="U35" s="21">
        <f t="shared" si="70"/>
        <v>0.46669478779945217</v>
      </c>
      <c r="V35" s="21">
        <f t="shared" si="70"/>
        <v>0.29228474478377015</v>
      </c>
      <c r="W35" s="21">
        <f t="shared" si="70"/>
        <v>0.39120163579032408</v>
      </c>
      <c r="X35" s="21">
        <f t="shared" si="70"/>
        <v>0.46012953229991349</v>
      </c>
      <c r="Y35" s="21">
        <f t="shared" si="70"/>
        <v>0.50515120015568549</v>
      </c>
      <c r="Z35" s="21">
        <f t="shared" si="70"/>
        <v>0.40548010335917317</v>
      </c>
      <c r="AA35" s="21">
        <f t="shared" si="70"/>
        <v>0.48379881936245572</v>
      </c>
      <c r="AB35" s="21">
        <f t="shared" si="70"/>
        <v>0.39218326479356586</v>
      </c>
      <c r="AC35" s="21">
        <f t="shared" si="70"/>
        <v>0.38294996232770467</v>
      </c>
      <c r="AD35" s="21">
        <f t="shared" si="70"/>
        <v>0.3766401512973363</v>
      </c>
      <c r="AE35" s="21">
        <f t="shared" si="70"/>
        <v>0.35703433071046736</v>
      </c>
      <c r="AF35" s="21">
        <f t="shared" si="70"/>
        <v>0.40418235922997819</v>
      </c>
      <c r="AG35" s="21">
        <f t="shared" si="70"/>
        <v>0.55871036393960949</v>
      </c>
      <c r="AH35" s="21">
        <f t="shared" si="70"/>
        <v>0.43359869930881029</v>
      </c>
      <c r="AI35" s="21">
        <f t="shared" si="70"/>
        <v>0.42124671970656563</v>
      </c>
      <c r="AJ35" s="21">
        <f t="shared" si="70"/>
        <v>0.35481548944099583</v>
      </c>
      <c r="AK35" s="21">
        <f t="shared" si="70"/>
        <v>0.43610347075925654</v>
      </c>
      <c r="AL35" s="21">
        <f t="shared" si="70"/>
        <v>0.45330298191298685</v>
      </c>
      <c r="AM35" s="21">
        <f t="shared" si="70"/>
        <v>0.37424354887218053</v>
      </c>
      <c r="AN35" s="21">
        <f t="shared" si="70"/>
        <v>0.43357506235669574</v>
      </c>
      <c r="AO35" s="21">
        <f t="shared" si="70"/>
        <v>0.45262057178371662</v>
      </c>
      <c r="AP35" s="21">
        <f t="shared" si="70"/>
        <v>0.44619834017939475</v>
      </c>
      <c r="AQ35" s="21">
        <f t="shared" si="70"/>
        <v>0.44451148471339597</v>
      </c>
      <c r="AR35" s="21">
        <f t="shared" si="70"/>
        <v>0.35453117127628547</v>
      </c>
      <c r="AS35" s="21">
        <f t="shared" si="70"/>
        <v>0.48220357080343079</v>
      </c>
      <c r="AT35" s="21">
        <f t="shared" si="70"/>
        <v>0.48934475510250208</v>
      </c>
      <c r="AU35" s="21">
        <f t="shared" si="70"/>
        <v>0.48686106702939613</v>
      </c>
      <c r="AV35" s="21">
        <f t="shared" si="70"/>
        <v>0.35582685568676242</v>
      </c>
      <c r="AW35" s="21">
        <f t="shared" si="70"/>
        <v>0.43106073564821124</v>
      </c>
      <c r="AX35" s="21">
        <f t="shared" si="70"/>
        <v>0.39378698804624734</v>
      </c>
      <c r="AY35" s="21">
        <f t="shared" si="70"/>
        <v>0.35830721337459581</v>
      </c>
      <c r="AZ35" s="21">
        <f t="shared" si="70"/>
        <v>0.38978189151038517</v>
      </c>
      <c r="BA35" s="21">
        <f t="shared" si="70"/>
        <v>0.34630237946063469</v>
      </c>
      <c r="BB35" s="21">
        <f t="shared" si="70"/>
        <v>0.26928927742404346</v>
      </c>
      <c r="BC35" s="21">
        <f t="shared" si="70"/>
        <v>0.19358024691358028</v>
      </c>
      <c r="BD35" s="21">
        <f t="shared" si="70"/>
        <v>0.23139784946236558</v>
      </c>
      <c r="BE35" s="21">
        <f t="shared" si="70"/>
        <v>0.2456788038879556</v>
      </c>
      <c r="BF35" s="21">
        <f t="shared" si="70"/>
        <v>9.9408098167029099E-2</v>
      </c>
      <c r="BG35" s="21">
        <f t="shared" si="70"/>
        <v>0.20346100365852376</v>
      </c>
      <c r="BH35" s="21">
        <f t="shared" si="70"/>
        <v>0.20780298883747159</v>
      </c>
      <c r="BI35" s="21">
        <f t="shared" si="70"/>
        <v>0.19444026811079373</v>
      </c>
      <c r="BJ35" s="21">
        <f t="shared" si="70"/>
        <v>0.23488172296104504</v>
      </c>
      <c r="BK35" s="21">
        <f t="shared" si="70"/>
        <v>0.17111225146751213</v>
      </c>
      <c r="BL35" s="21">
        <f t="shared" si="70"/>
        <v>0.32829513181778652</v>
      </c>
      <c r="BM35" s="21">
        <f t="shared" si="70"/>
        <v>0.11519271780723178</v>
      </c>
      <c r="BN35" s="21">
        <f t="shared" si="70"/>
        <v>0.16745146871008942</v>
      </c>
      <c r="BO35" s="21">
        <f t="shared" si="69"/>
        <v>0.1893374358974359</v>
      </c>
      <c r="BP35" s="21">
        <f t="shared" si="69"/>
        <v>8.6627100000000012E-2</v>
      </c>
      <c r="BQ35" s="21">
        <f t="shared" si="69"/>
        <v>6.1868266666666671E-2</v>
      </c>
      <c r="BR35" s="21">
        <f t="shared" si="69"/>
        <v>0</v>
      </c>
      <c r="BS35" s="21">
        <f t="shared" si="69"/>
        <v>0</v>
      </c>
      <c r="BT35" s="21">
        <f t="shared" si="69"/>
        <v>0</v>
      </c>
      <c r="BU35" s="21">
        <f t="shared" si="69"/>
        <v>0</v>
      </c>
      <c r="BV35" s="21">
        <f t="shared" si="69"/>
        <v>0</v>
      </c>
      <c r="BW35" s="21">
        <f t="shared" si="69"/>
        <v>0</v>
      </c>
      <c r="BX35" s="21">
        <f t="shared" si="69"/>
        <v>0</v>
      </c>
      <c r="BY35" s="21">
        <f t="shared" si="69"/>
        <v>0</v>
      </c>
      <c r="BZ35" s="21">
        <f t="shared" si="69"/>
        <v>6.476888888888889E-2</v>
      </c>
      <c r="CA35" s="21">
        <f t="shared" si="69"/>
        <v>0.12883277884615388</v>
      </c>
      <c r="CB35" s="21">
        <f t="shared" si="69"/>
        <v>0</v>
      </c>
      <c r="CC35" s="21">
        <f t="shared" si="69"/>
        <v>0</v>
      </c>
      <c r="CD35" s="21">
        <f t="shared" si="69"/>
        <v>0</v>
      </c>
      <c r="CE35" s="21">
        <f t="shared" si="69"/>
        <v>0.19365423272727275</v>
      </c>
      <c r="CF35" s="21">
        <f t="shared" si="69"/>
        <v>0.27332205907172996</v>
      </c>
      <c r="CG35" s="21">
        <f t="shared" si="69"/>
        <v>0.27393116332819722</v>
      </c>
      <c r="CH35" s="21">
        <f t="shared" si="69"/>
        <v>0.3271598828001267</v>
      </c>
      <c r="CI35" s="21">
        <f t="shared" si="69"/>
        <v>0.49933041666666667</v>
      </c>
      <c r="CJ35" s="21">
        <f t="shared" si="69"/>
        <v>0.28857298547495513</v>
      </c>
      <c r="CK35" s="21">
        <f t="shared" si="69"/>
        <v>0.38650786339409093</v>
      </c>
      <c r="CL35" s="21">
        <f t="shared" si="69"/>
        <v>0.321645965222082</v>
      </c>
      <c r="CM35" s="21">
        <f t="shared" si="69"/>
        <v>0.40682121907835511</v>
      </c>
      <c r="CN35" s="21">
        <f t="shared" si="69"/>
        <v>0.43361872963414827</v>
      </c>
      <c r="CO35" s="21">
        <f t="shared" si="69"/>
        <v>0.43554260556105689</v>
      </c>
      <c r="CP35" s="21">
        <f t="shared" si="69"/>
        <v>0.57928802473007479</v>
      </c>
      <c r="CQ35" s="21">
        <f t="shared" si="65"/>
        <v>0.45721101715686274</v>
      </c>
      <c r="CR35" s="21">
        <f t="shared" si="65"/>
        <v>0.58910069243156182</v>
      </c>
      <c r="CS35" s="21">
        <f t="shared" si="65"/>
        <v>0.54076286059414858</v>
      </c>
      <c r="CT35" s="21">
        <f t="shared" si="65"/>
        <v>0.58470340874667182</v>
      </c>
      <c r="CU35" s="21">
        <f t="shared" si="65"/>
        <v>0.34473021898514372</v>
      </c>
      <c r="CV35" s="21">
        <f t="shared" si="65"/>
        <v>0.33128425617594676</v>
      </c>
      <c r="CW35" s="21">
        <f t="shared" si="65"/>
        <v>0.34515636363636359</v>
      </c>
      <c r="CX35" s="21">
        <f t="shared" si="65"/>
        <v>0.31440989010989007</v>
      </c>
      <c r="CY35" s="21">
        <f t="shared" si="65"/>
        <v>0.41810056814417279</v>
      </c>
      <c r="CZ35" s="21">
        <f t="shared" si="65"/>
        <v>0.54816612736660919</v>
      </c>
      <c r="DA35" s="21">
        <f t="shared" si="65"/>
        <v>0.44518180243273725</v>
      </c>
      <c r="DB35" s="21">
        <f t="shared" si="65"/>
        <v>0.33433950779190097</v>
      </c>
      <c r="DC35" s="21">
        <f t="shared" si="65"/>
        <v>0.41158725403544688</v>
      </c>
      <c r="DD35" s="21">
        <f t="shared" si="65"/>
        <v>0.42084604494962535</v>
      </c>
      <c r="DE35" s="21">
        <f t="shared" si="65"/>
        <v>0.40189250103863738</v>
      </c>
      <c r="DF35" s="21">
        <f t="shared" si="65"/>
        <v>0.50672055684581174</v>
      </c>
      <c r="DG35" s="21">
        <f t="shared" si="65"/>
        <v>0.51900903614457816</v>
      </c>
      <c r="DH35" s="21">
        <f t="shared" si="65"/>
        <v>0.43492566463080806</v>
      </c>
      <c r="DI35" s="21">
        <f t="shared" si="65"/>
        <v>0.47618375374725014</v>
      </c>
      <c r="DJ35" s="21">
        <f t="shared" si="65"/>
        <v>0.40554521933889398</v>
      </c>
      <c r="DK35" s="21">
        <f t="shared" si="65"/>
        <v>0.27929689371793859</v>
      </c>
      <c r="DL35" s="21">
        <f t="shared" si="65"/>
        <v>0.27400231273287934</v>
      </c>
      <c r="DM35" s="21">
        <f t="shared" si="65"/>
        <v>0.26308191600138842</v>
      </c>
      <c r="DN35" s="21">
        <f t="shared" si="65"/>
        <v>0.25683155555555554</v>
      </c>
      <c r="DO35" s="21">
        <f t="shared" si="66"/>
        <v>0.31659811764705875</v>
      </c>
      <c r="DP35" s="21">
        <f t="shared" si="66"/>
        <v>0.22922793144139994</v>
      </c>
      <c r="DQ35" s="21">
        <f t="shared" si="66"/>
        <v>0.16330909090909088</v>
      </c>
      <c r="DR35" s="21">
        <f t="shared" si="66"/>
        <v>0.27517738235294115</v>
      </c>
      <c r="DS35" s="21">
        <f t="shared" si="66"/>
        <v>0.21599941176470591</v>
      </c>
      <c r="DT35" s="21">
        <f>DT51/DT$26</f>
        <v>8.3850534648227906E-2</v>
      </c>
      <c r="DU35" s="21">
        <f>DU51/DU$26</f>
        <v>6.5149408987585242E-2</v>
      </c>
      <c r="DV35" s="21">
        <f>DV51/DV$26</f>
        <v>4.7660316780821915E-2</v>
      </c>
      <c r="DW35" s="21">
        <f>DW51/DW$26</f>
        <v>2.2222826086956519E-2</v>
      </c>
      <c r="DX35" s="21">
        <f t="shared" ref="DX35:EJ35" si="71">DX51/DX$26</f>
        <v>0.23553346467391298</v>
      </c>
      <c r="DY35" s="21">
        <f t="shared" si="71"/>
        <v>1.6749241658240647E-3</v>
      </c>
      <c r="DZ35" s="21">
        <f t="shared" si="71"/>
        <v>4.5248606839872745E-2</v>
      </c>
      <c r="EA35" s="21">
        <f t="shared" si="71"/>
        <v>7.2467695925816922E-3</v>
      </c>
      <c r="EB35" s="21">
        <f t="shared" si="71"/>
        <v>0.10416244777509313</v>
      </c>
      <c r="EC35" s="21">
        <f t="shared" si="71"/>
        <v>0.21241164898989898</v>
      </c>
      <c r="ED35" s="21">
        <f t="shared" si="71"/>
        <v>0.31408912563131319</v>
      </c>
      <c r="EE35" s="21">
        <f>EE51/EE$26</f>
        <v>0.24957588104032011</v>
      </c>
      <c r="EF35" s="21">
        <f t="shared" si="71"/>
        <v>0.20210686178861789</v>
      </c>
      <c r="EG35" s="21">
        <f t="shared" si="71"/>
        <v>0.28279983739837394</v>
      </c>
      <c r="EH35" s="21">
        <f t="shared" si="71"/>
        <v>0.27466366714490675</v>
      </c>
      <c r="EI35" s="21">
        <f t="shared" si="71"/>
        <v>0.18997685792675653</v>
      </c>
      <c r="EJ35" s="21">
        <f t="shared" si="71"/>
        <v>0</v>
      </c>
    </row>
    <row r="36" spans="1:140" x14ac:dyDescent="0.25">
      <c r="A36" s="8"/>
      <c r="B36" s="7"/>
      <c r="C36" s="7"/>
      <c r="D36" s="7"/>
      <c r="E36" s="7"/>
      <c r="F36" s="7"/>
      <c r="G36" s="7"/>
      <c r="H36" s="7"/>
      <c r="I36" s="7"/>
      <c r="J36" s="7"/>
      <c r="K36" s="7"/>
      <c r="L36" s="38"/>
      <c r="M36" s="38"/>
      <c r="N36" s="38"/>
      <c r="O36" s="38"/>
      <c r="P36" s="38"/>
      <c r="Q36" s="38"/>
      <c r="R36" s="38"/>
      <c r="S36" s="38"/>
      <c r="T36" s="38"/>
      <c r="U36" s="38"/>
      <c r="V36" s="38"/>
      <c r="W36" s="38"/>
      <c r="X36" s="38"/>
      <c r="Y36" s="38"/>
      <c r="Z36" s="38"/>
      <c r="AA36" s="38"/>
      <c r="AB36" s="38"/>
      <c r="AC36" s="38"/>
      <c r="AD36" s="17"/>
      <c r="AE36" s="17"/>
      <c r="AF36" s="26"/>
      <c r="AG36" s="17"/>
      <c r="AH36" s="17"/>
      <c r="AI36" s="17"/>
      <c r="AJ36" s="17"/>
      <c r="AK36" s="26"/>
      <c r="AL36" s="22"/>
      <c r="AM36" s="22"/>
      <c r="AN36" s="22"/>
      <c r="AO36" s="22"/>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R36"/>
      <c r="DS36"/>
      <c r="DT36"/>
    </row>
    <row r="37" spans="1:140" x14ac:dyDescent="0.25">
      <c r="A37" s="807" t="s">
        <v>5</v>
      </c>
      <c r="B37" s="30" t="s">
        <v>4</v>
      </c>
      <c r="C37" s="522">
        <f>'Batch 2018'!F18</f>
        <v>18.401554959785521</v>
      </c>
      <c r="D37" s="522">
        <f>'Batch 2018'!F40</f>
        <v>19.309230769230769</v>
      </c>
      <c r="E37" s="522">
        <f>'Batch 2018'!F62</f>
        <v>3.4125000000000001</v>
      </c>
      <c r="F37" s="522">
        <f>'Batch 2018'!F84</f>
        <v>9.911854922279792</v>
      </c>
      <c r="G37" s="522">
        <f>'Batch 2018'!F106</f>
        <v>9.6918181818181814</v>
      </c>
      <c r="H37" s="522">
        <f>'Batch 2018'!F128</f>
        <v>3.5809709480122325</v>
      </c>
      <c r="I37" s="522">
        <f>'Batch 2018'!F150</f>
        <v>6.6692762063227962</v>
      </c>
      <c r="J37" s="522">
        <f>'Batch 2018'!F172</f>
        <v>6.6194169329073489</v>
      </c>
      <c r="K37" s="522">
        <f>'Batch 2018'!F194</f>
        <v>4.3748632812500006</v>
      </c>
      <c r="L37" s="26">
        <f>'Batch 2018'!F216</f>
        <v>7.1815044247787618</v>
      </c>
      <c r="M37" s="26">
        <f>'Batch 2018'!F238</f>
        <v>14.440041493775933</v>
      </c>
      <c r="N37" s="26">
        <f>'Batch 2018'!F260</f>
        <v>10.129133858267716</v>
      </c>
      <c r="O37" s="26">
        <f>'Batch 2018'!F282</f>
        <v>8.8081885856079403</v>
      </c>
      <c r="P37" s="26">
        <f>'Batch 2018'!F304</f>
        <v>8.985294117647058</v>
      </c>
      <c r="Q37" s="26">
        <f>'Batch 2018'!F326</f>
        <v>9.1632812500000007</v>
      </c>
      <c r="R37" s="26">
        <f>'Batch 2018'!F348</f>
        <v>9.2354838709677409</v>
      </c>
      <c r="S37" s="26">
        <f>'Batch 2018'!F370</f>
        <v>8.8202531645569628</v>
      </c>
      <c r="T37" s="26">
        <f>'Batch 2018'!F392</f>
        <v>10.90641627543036</v>
      </c>
      <c r="U37" s="26">
        <f>'Batch 2018'!F414</f>
        <v>15.25939393939394</v>
      </c>
      <c r="V37" s="26">
        <f>'Batch 2018'!F436</f>
        <v>14.724260355029585</v>
      </c>
      <c r="W37" s="26">
        <f>'Batch 2018'!F458</f>
        <v>16.170682019486271</v>
      </c>
      <c r="X37" s="26">
        <f>'Batch 2018'!F480</f>
        <v>23.139822222222222</v>
      </c>
      <c r="Y37" s="26">
        <f>'Batch 2018'!F502</f>
        <v>21.930496453900709</v>
      </c>
      <c r="Z37" s="26">
        <f>'Batch 2018'!F524</f>
        <v>15.144424460431654</v>
      </c>
      <c r="AA37" s="26">
        <f>'Batch 2018'!F546</f>
        <v>14.691838565022424</v>
      </c>
      <c r="AB37" s="26">
        <f>'Batch 2018'!F568</f>
        <v>14.045478489903424</v>
      </c>
      <c r="AC37" s="26">
        <f>'Batch 2018'!F590</f>
        <v>14.952252252252251</v>
      </c>
      <c r="AD37" s="26">
        <v>8.4499999999999993</v>
      </c>
      <c r="AE37" s="26">
        <v>16.04</v>
      </c>
      <c r="AF37" s="26">
        <v>18.46</v>
      </c>
      <c r="AG37" s="26">
        <v>21.82</v>
      </c>
      <c r="AH37" s="26">
        <v>16.190000000000001</v>
      </c>
      <c r="AI37" s="26">
        <v>14.48</v>
      </c>
      <c r="AJ37" s="26">
        <v>16.09</v>
      </c>
      <c r="AK37" s="26">
        <v>13.45</v>
      </c>
      <c r="AL37" s="22">
        <v>14.8</v>
      </c>
      <c r="AM37" s="22">
        <v>12.39</v>
      </c>
      <c r="AN37" s="22">
        <f>Batches!F238</f>
        <v>17.266869565217391</v>
      </c>
      <c r="AO37" s="22">
        <f>Batches!F260</f>
        <v>21.678827868852458</v>
      </c>
      <c r="AP37" s="38">
        <f>Batches!F282</f>
        <v>24.56424088210348</v>
      </c>
      <c r="AQ37" s="38">
        <f>Batches!F304</f>
        <v>23.00819772528434</v>
      </c>
      <c r="AR37" s="38">
        <f>Batches!F328</f>
        <v>18.910609375</v>
      </c>
      <c r="AS37" s="38">
        <f>Batches!F352</f>
        <v>20.476640625000002</v>
      </c>
      <c r="AT37" s="38">
        <f>Batches!F376</f>
        <v>18.172575640031035</v>
      </c>
      <c r="AU37" s="38">
        <f>Batches!F401</f>
        <v>16.209481539670069</v>
      </c>
      <c r="AV37" s="38">
        <f>Batches!F426</f>
        <v>18.294871993793642</v>
      </c>
      <c r="AW37" s="38">
        <f>Batches!F451</f>
        <v>18.281375000000001</v>
      </c>
      <c r="AX37" s="38">
        <f>Batches!F476</f>
        <v>16.922786885245902</v>
      </c>
      <c r="AY37" s="38">
        <f>Batches!F501</f>
        <v>14.542832278481013</v>
      </c>
      <c r="AZ37" s="38">
        <f>Batches!F526</f>
        <v>12.401454545454545</v>
      </c>
      <c r="BA37" s="38">
        <f>Batches!F550</f>
        <v>13.910342465753427</v>
      </c>
      <c r="BB37" s="38">
        <f>Batches!F574</f>
        <v>12.858949880668259</v>
      </c>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33">
        <f>Batches!H1297</f>
        <v>7.3310236966824647</v>
      </c>
      <c r="CF37" s="33">
        <f>Batches!H1321</f>
        <v>18.627345826235093</v>
      </c>
      <c r="CG37" s="33">
        <f>Batches!H1345</f>
        <v>17.792736895161291</v>
      </c>
      <c r="CH37" s="140"/>
      <c r="CI37" s="33">
        <f>Batches!H1393</f>
        <v>17.941530434782607</v>
      </c>
      <c r="CJ37" s="33">
        <f>Batches!H1417</f>
        <v>17.914444740346205</v>
      </c>
      <c r="CK37" s="33">
        <f>Batches!H1441</f>
        <v>17.653651452282158</v>
      </c>
      <c r="CL37" s="33">
        <f>Batches!H1464</f>
        <v>21.039814229249011</v>
      </c>
      <c r="CM37" s="33">
        <f>Batches!H1488</f>
        <v>21.021900584795318</v>
      </c>
      <c r="CN37" s="33">
        <f>Batches!H1512</f>
        <v>22.428628308400459</v>
      </c>
      <c r="CO37" s="33">
        <f>Batches!H1536</f>
        <v>18.000506493506492</v>
      </c>
      <c r="CP37" s="33">
        <f>Batches!H1560</f>
        <v>23.69370992366412</v>
      </c>
      <c r="CQ37" s="33">
        <f>Batches!H1584</f>
        <v>17.754249227600411</v>
      </c>
      <c r="CR37" s="33">
        <f>Batches!H1608</f>
        <v>16.762681025641029</v>
      </c>
      <c r="CS37" s="33">
        <f>Batches!H1632</f>
        <v>19.451146186440678</v>
      </c>
      <c r="CT37" s="33">
        <f>Batches!H1656</f>
        <v>17.306044188280499</v>
      </c>
      <c r="CU37" s="33">
        <f>Batches!H1680</f>
        <v>16.846727569331158</v>
      </c>
      <c r="CV37" s="33">
        <f>Batches!H1704</f>
        <v>13.819357904946656</v>
      </c>
      <c r="CW37" s="33">
        <f>Batches!H1728</f>
        <v>15.122490049751242</v>
      </c>
      <c r="CX37" s="33">
        <f>Batches!H1752</f>
        <v>16.737151079136691</v>
      </c>
      <c r="CY37" s="33">
        <f>Batches!H1776</f>
        <v>21.69752976704055</v>
      </c>
      <c r="CZ37" s="33">
        <f>Batches!H1800</f>
        <v>19.968826758147511</v>
      </c>
      <c r="DA37" s="33">
        <f>Batches!H1824</f>
        <v>17.425727810650887</v>
      </c>
      <c r="DB37" s="33">
        <f>Batches!H1848</f>
        <v>17.132868719611022</v>
      </c>
      <c r="DC37" s="33">
        <f>Batches!H1872</f>
        <v>17.499614564831258</v>
      </c>
      <c r="DD37" s="33">
        <f>Batches!H1896</f>
        <v>17.187333333333331</v>
      </c>
      <c r="DE37" s="33">
        <f>Batches!H1920</f>
        <v>19.370846808510638</v>
      </c>
      <c r="DF37" s="33">
        <f>Batches!H1944</f>
        <v>15.57624942791762</v>
      </c>
      <c r="DG37" s="33">
        <f>Batches!H1968</f>
        <v>13.853913043478261</v>
      </c>
      <c r="DH37" s="33">
        <f>Batches!H1992</f>
        <v>14.337502024291499</v>
      </c>
      <c r="DI37" s="33">
        <f>Batches!H2016</f>
        <v>18.955154897494303</v>
      </c>
      <c r="DJ37" s="33">
        <f>Batches!H2040</f>
        <v>15.187253164556964</v>
      </c>
      <c r="DK37" s="33">
        <f>Batches!H2064</f>
        <v>10.281888412017167</v>
      </c>
      <c r="DL37" s="33">
        <f>Batches!H2088</f>
        <v>12.691696132596684</v>
      </c>
      <c r="DM37" s="33">
        <f>Batches!H2112</f>
        <v>12.414832298136647</v>
      </c>
      <c r="DN37" s="33">
        <f>Batches!H2136</f>
        <v>11.394418604651161</v>
      </c>
      <c r="DO37" s="33">
        <f>Batches!H2160</f>
        <v>14.966478437754272</v>
      </c>
      <c r="DP37" s="33">
        <f>Batches!H2184</f>
        <v>13.066762996941897</v>
      </c>
      <c r="DQ37" s="33">
        <f>Batches!H2208</f>
        <v>12.034741146711635</v>
      </c>
      <c r="DR37" s="33">
        <f>Batches!H2232</f>
        <v>12.008557020946471</v>
      </c>
      <c r="DS37" s="33">
        <f>Batches!H2256</f>
        <v>12.452564141035257</v>
      </c>
      <c r="DT37" s="33">
        <f>Batches!H2280</f>
        <v>6.9140000000000006</v>
      </c>
      <c r="DU37" s="33">
        <f>Batches!H2304</f>
        <v>6.7007993589743595</v>
      </c>
      <c r="DV37" s="33">
        <f>Batches!H2328</f>
        <v>6.8547319013524275</v>
      </c>
      <c r="DW37" s="547">
        <f>Batches!H2352</f>
        <v>1.8786016194331985</v>
      </c>
      <c r="DX37" s="547">
        <f>Batches!H2376</f>
        <v>11.593250427350426</v>
      </c>
      <c r="DY37" s="547">
        <f>Batches!H2400</f>
        <v>3.0116867469879511</v>
      </c>
      <c r="DZ37" s="547">
        <f>Batches!H2424</f>
        <v>2.0277634146341463</v>
      </c>
      <c r="EA37" s="547">
        <f>Batches!H2448</f>
        <v>1.7215969289827255</v>
      </c>
      <c r="EB37" s="547">
        <f>Batches!H2472</f>
        <v>7.668550909090909</v>
      </c>
      <c r="EC37" s="547">
        <f>Batches!H2496</f>
        <v>8.8473630331753554</v>
      </c>
      <c r="ED37" s="547">
        <f>Batches!H2520</f>
        <v>11.193760323159786</v>
      </c>
      <c r="EE37" s="547">
        <f>Batches!H2544</f>
        <v>12.806725146198829</v>
      </c>
      <c r="EF37" s="547">
        <f>Batches!H2568</f>
        <v>10.62450582959641</v>
      </c>
      <c r="EG37" s="547">
        <f>Batches!H2592</f>
        <v>11.266726825266613</v>
      </c>
      <c r="EH37" s="547">
        <f>Batches!H2616</f>
        <v>16.639921389396712</v>
      </c>
      <c r="EI37" s="547">
        <f>Batches!H2640</f>
        <v>12.772722602739726</v>
      </c>
    </row>
    <row r="38" spans="1:140" x14ac:dyDescent="0.25">
      <c r="A38" s="807"/>
      <c r="B38" s="30" t="s">
        <v>1</v>
      </c>
      <c r="C38" s="522">
        <f>'Batch 2018'!L18</f>
        <v>16.437016129032262</v>
      </c>
      <c r="D38" s="522">
        <f>'Batch 2018'!L40</f>
        <v>18.000797872340428</v>
      </c>
      <c r="E38" s="522">
        <f>'Batch 2018'!L62</f>
        <v>9.8327522935779808</v>
      </c>
      <c r="F38" s="522">
        <f>'Batch 2018'!L84</f>
        <v>9.3955958549222807</v>
      </c>
      <c r="G38" s="522">
        <f>'Batch 2018'!L106</f>
        <v>11.325901309164152</v>
      </c>
      <c r="H38" s="522">
        <f>'Batch 2018'!L128</f>
        <v>3.2771764705882354</v>
      </c>
      <c r="I38" s="522">
        <f>'Batch 2018'!L150</f>
        <v>7.8797516556291392</v>
      </c>
      <c r="J38" s="522">
        <f>'Batch 2018'!L172</f>
        <v>4.6175040518638584</v>
      </c>
      <c r="K38" s="522">
        <f>'Batch 2018'!L194</f>
        <v>4.5493853658536585</v>
      </c>
      <c r="L38" s="26">
        <f>'Batch 2018'!L216</f>
        <v>9.5872148541114051</v>
      </c>
      <c r="M38" s="26">
        <f>'Batch 2018'!L238</f>
        <v>2.1779545454545457</v>
      </c>
      <c r="N38" s="26">
        <f>'Batch 2018'!L260</f>
        <v>12.199606299212599</v>
      </c>
      <c r="O38" s="26">
        <f>'Batch 2018'!L282</f>
        <v>11.040168539325844</v>
      </c>
      <c r="P38" s="26">
        <f>'Batch 2018'!L304</f>
        <v>9.4594300518134702</v>
      </c>
      <c r="Q38" s="26">
        <f>'Batch 2018'!L326</f>
        <v>8.3130914512922462</v>
      </c>
      <c r="R38" s="26">
        <f>'Batch 2018'!L348</f>
        <v>14.832631578947369</v>
      </c>
      <c r="S38" s="26">
        <f>'Batch 2018'!L370</f>
        <v>13.008041144901611</v>
      </c>
      <c r="T38" s="26">
        <f>'Batch 2018'!L392</f>
        <v>11.961353265145554</v>
      </c>
      <c r="U38" s="26">
        <f>'Batch 2018'!L414</f>
        <v>21.534828164291703</v>
      </c>
      <c r="V38" s="26">
        <f>'Batch 2018'!L436</f>
        <v>18.687177914110428</v>
      </c>
      <c r="W38" s="26">
        <f>'Batch 2018'!L458</f>
        <v>19.153660797034295</v>
      </c>
      <c r="X38" s="26">
        <f>'Batch 2018'!L480</f>
        <v>16.126312056737586</v>
      </c>
      <c r="Y38" s="26">
        <f>'Batch 2018'!L502</f>
        <v>22.786414507772022</v>
      </c>
      <c r="Z38" s="26">
        <f>'Batch 2018'!L524</f>
        <v>16.920835555555556</v>
      </c>
      <c r="AA38" s="26">
        <f>'Batch 2018'!L546</f>
        <v>19.230202020202025</v>
      </c>
      <c r="AB38" s="26">
        <f>'Batch 2018'!L568</f>
        <v>15.683616666666667</v>
      </c>
      <c r="AC38" s="26">
        <f>'Batch 2018'!L590</f>
        <v>18.993579654510555</v>
      </c>
      <c r="AD38" s="26">
        <v>15.77</v>
      </c>
      <c r="AE38" s="26">
        <v>19.940000000000001</v>
      </c>
      <c r="AF38" s="26">
        <v>21.85</v>
      </c>
      <c r="AG38" s="26">
        <v>15.07</v>
      </c>
      <c r="AH38" s="26">
        <v>24.88</v>
      </c>
      <c r="AI38" s="26">
        <v>15.903</v>
      </c>
      <c r="AJ38" s="26">
        <v>20.356999999999999</v>
      </c>
      <c r="AK38" s="26">
        <v>16.097999999999999</v>
      </c>
      <c r="AL38" s="22">
        <v>16.164999999999999</v>
      </c>
      <c r="AM38" s="22">
        <v>23.32</v>
      </c>
      <c r="AN38" s="22">
        <f>Batches!O238</f>
        <v>20.090747863247866</v>
      </c>
      <c r="AO38" s="22">
        <f>Batches!O260</f>
        <v>26.02082034454471</v>
      </c>
      <c r="AP38" s="38">
        <f>Batches!O282</f>
        <v>26.52146037399822</v>
      </c>
      <c r="AQ38" s="38">
        <f>Batches!O304</f>
        <v>26.985548780487804</v>
      </c>
      <c r="AR38" s="38">
        <f>Batches!O328</f>
        <v>17.473845628415301</v>
      </c>
      <c r="AS38" s="38">
        <f>Batches!O352</f>
        <v>23.646091370558374</v>
      </c>
      <c r="AT38" s="38">
        <f>Batches!O376</f>
        <v>24.767934782608695</v>
      </c>
      <c r="AU38" s="38">
        <f>Batches!O401</f>
        <v>21.327124901806755</v>
      </c>
      <c r="AV38" s="38">
        <f>Batches!O426</f>
        <v>22.492356589147285</v>
      </c>
      <c r="AW38" s="38">
        <f>Batches!O451</f>
        <v>19.81528005974608</v>
      </c>
      <c r="AX38" s="38">
        <f>Batches!O476</f>
        <v>18.820122699386502</v>
      </c>
      <c r="AY38" s="38">
        <f>Batches!O501</f>
        <v>15.53283793876027</v>
      </c>
      <c r="AZ38" s="38">
        <f>Batches!O526</f>
        <v>18.315741017964072</v>
      </c>
      <c r="BA38" s="38">
        <f>Batches!O550</f>
        <v>16.506951999999998</v>
      </c>
      <c r="BB38" s="38">
        <f>Batches!O574</f>
        <v>16.881046874999999</v>
      </c>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33">
        <f>Batches!O1297</f>
        <v>11.659383301707781</v>
      </c>
      <c r="CF38" s="33">
        <f>Batches!O1321</f>
        <v>21.392252611585945</v>
      </c>
      <c r="CG38" s="33">
        <f>Batches!O1345</f>
        <v>19.195620117187502</v>
      </c>
      <c r="CH38" s="140"/>
      <c r="CI38" s="33">
        <f>Batches!O1393</f>
        <v>24.272144801980197</v>
      </c>
      <c r="CJ38" s="33">
        <f>Batches!O1417</f>
        <v>17.723655126498002</v>
      </c>
      <c r="CK38" s="33">
        <f>Batches!O1441</f>
        <v>20.666681159420293</v>
      </c>
      <c r="CL38" s="33">
        <f>Batches!O1464</f>
        <v>25.206139534883722</v>
      </c>
      <c r="CM38" s="33">
        <f>Batches!O1488</f>
        <v>19.832332367149757</v>
      </c>
      <c r="CN38" s="33">
        <f>Batches!O1512</f>
        <v>26.786521337946944</v>
      </c>
      <c r="CO38" s="33">
        <f>Batches!O1536</f>
        <v>20.053343511450379</v>
      </c>
      <c r="CP38" s="33">
        <f>Batches!O1560</f>
        <v>22.889064622124867</v>
      </c>
      <c r="CQ38" s="33">
        <f>Batches!O1584</f>
        <v>23.796672131147542</v>
      </c>
      <c r="CR38" s="33">
        <f>Batches!O1608</f>
        <v>21.660502066115704</v>
      </c>
      <c r="CS38" s="33">
        <f>Batches!O1632</f>
        <v>21.54969279661017</v>
      </c>
      <c r="CT38" s="33">
        <f>Batches!O1656</f>
        <v>19.18659255725191</v>
      </c>
      <c r="CU38" s="33">
        <f>Batches!O1680</f>
        <v>19.060349633251835</v>
      </c>
      <c r="CV38" s="33">
        <f>Batches!O1704</f>
        <v>18.894403083700439</v>
      </c>
      <c r="CW38" s="33">
        <f>Batches!O1728</f>
        <v>15.392714628297362</v>
      </c>
      <c r="CX38" s="33">
        <f>Batches!O1752</f>
        <v>20.144579710144928</v>
      </c>
      <c r="CY38" s="33">
        <f>Batches!O1776</f>
        <v>23.472724463519313</v>
      </c>
      <c r="CZ38" s="33">
        <f>Batches!O1800</f>
        <v>24.439857632933105</v>
      </c>
      <c r="DA38" s="33">
        <f>Batches!O1824</f>
        <v>19.974270400000002</v>
      </c>
      <c r="DB38" s="33">
        <f>Batches!O1848</f>
        <v>19.200424929178471</v>
      </c>
      <c r="DC38" s="33">
        <f>Batches!O1872</f>
        <v>17.522313274336284</v>
      </c>
      <c r="DD38" s="33">
        <f>Batches!O1896</f>
        <v>18.500617957746481</v>
      </c>
      <c r="DE38" s="33">
        <f>Batches!O1920</f>
        <v>18.579029411764704</v>
      </c>
      <c r="DF38" s="33">
        <f>Batches!O1944</f>
        <v>22.390209513023784</v>
      </c>
      <c r="DG38" s="33">
        <f>Batches!O1968</f>
        <v>15.66443813387424</v>
      </c>
      <c r="DH38" s="33">
        <f>Batches!O1992</f>
        <v>17.107181451612902</v>
      </c>
      <c r="DI38" s="33">
        <f>Batches!O2016</f>
        <v>19.706945330296129</v>
      </c>
      <c r="DJ38" s="33">
        <f>Batches!O2040</f>
        <v>17.577709609292501</v>
      </c>
      <c r="DK38" s="33">
        <f>Batches!O2064</f>
        <v>14.116216505894965</v>
      </c>
      <c r="DL38" s="33">
        <f>Batches!O2088</f>
        <v>13.235341579448145</v>
      </c>
      <c r="DM38" s="33">
        <f>Batches!O2112</f>
        <v>18.483273693534098</v>
      </c>
      <c r="DN38" s="33">
        <f>Batches!O2136</f>
        <v>10.341362282878411</v>
      </c>
      <c r="DO38" s="33">
        <f>Batches!O2160</f>
        <v>16.24735399673736</v>
      </c>
      <c r="DP38" s="33">
        <f>Batches!O2184</f>
        <v>14.414285714285715</v>
      </c>
      <c r="DQ38" s="33">
        <f>Batches!O2208</f>
        <v>10.179605839416059</v>
      </c>
      <c r="DR38" s="33">
        <f>Batches!O2232</f>
        <v>12.321504672897197</v>
      </c>
      <c r="DS38" s="33">
        <f>Batches!O2256</f>
        <v>10.89423459539718</v>
      </c>
      <c r="DT38" s="33">
        <f>Batches!O2280</f>
        <v>5.7753815789473686</v>
      </c>
      <c r="DU38" s="33">
        <f>Batches!O2304</f>
        <v>5.8112977528089891</v>
      </c>
      <c r="DV38" s="33">
        <f>Batches!O2328</f>
        <v>6.4479948875255619</v>
      </c>
      <c r="DW38" s="547">
        <f>Batches!O2352</f>
        <v>1.8161984189723324</v>
      </c>
      <c r="DX38" s="547">
        <f>Batches!O2376</f>
        <v>16.505124229074891</v>
      </c>
      <c r="DY38">
        <v>0</v>
      </c>
      <c r="DZ38" s="547">
        <f>Batches!O2424</f>
        <v>3.9634533657745337</v>
      </c>
      <c r="EA38" s="547">
        <f>Batches!O2448</f>
        <v>3.3794545454545455</v>
      </c>
      <c r="EB38" s="547">
        <f>Batches!O2472</f>
        <v>10.162590106007068</v>
      </c>
      <c r="EC38" s="547">
        <f>Batches!O2496</f>
        <v>11.71844384057971</v>
      </c>
      <c r="ED38" s="547">
        <f>Batches!O2520</f>
        <v>13.96693846153846</v>
      </c>
      <c r="EE38" s="547">
        <f>Batches!O2544</f>
        <v>14.342994062765055</v>
      </c>
      <c r="EF38" s="547">
        <f>Batches!O2568</f>
        <v>11.458993810786914</v>
      </c>
      <c r="EG38" s="547">
        <f>Batches!O2592</f>
        <v>17.569475437135718</v>
      </c>
      <c r="EH38" s="547">
        <f>Batches!O2616</f>
        <v>15.260257589696414</v>
      </c>
      <c r="EI38" s="547">
        <f>Batches!O2640</f>
        <v>14.628717948717949</v>
      </c>
    </row>
    <row r="39" spans="1:140" x14ac:dyDescent="0.25">
      <c r="A39" s="807"/>
      <c r="B39" s="30" t="s">
        <v>2</v>
      </c>
      <c r="C39" s="26">
        <f t="shared" ref="C39:K39" si="72">AVERAGE(C37,C38)</f>
        <v>17.419285544408893</v>
      </c>
      <c r="D39" s="26">
        <f t="shared" si="72"/>
        <v>18.655014320785597</v>
      </c>
      <c r="E39" s="26">
        <f t="shared" si="72"/>
        <v>6.6226261467889902</v>
      </c>
      <c r="F39" s="26">
        <f t="shared" si="72"/>
        <v>9.6537253886010355</v>
      </c>
      <c r="G39" s="26">
        <f t="shared" si="72"/>
        <v>10.508859745491167</v>
      </c>
      <c r="H39" s="26">
        <f t="shared" si="72"/>
        <v>3.4290737093002339</v>
      </c>
      <c r="I39" s="26">
        <f t="shared" si="72"/>
        <v>7.2745139309759672</v>
      </c>
      <c r="J39" s="26">
        <f t="shared" si="72"/>
        <v>5.6184604923856032</v>
      </c>
      <c r="K39" s="26">
        <f t="shared" si="72"/>
        <v>4.46212432355183</v>
      </c>
      <c r="L39" s="26">
        <f t="shared" ref="L39:V39" si="73">AVERAGE(L37,L38)</f>
        <v>8.3843596394450834</v>
      </c>
      <c r="M39" s="26">
        <f t="shared" si="73"/>
        <v>8.30899801961524</v>
      </c>
      <c r="N39" s="26">
        <f t="shared" si="73"/>
        <v>11.164370078740157</v>
      </c>
      <c r="O39" s="26">
        <f t="shared" si="73"/>
        <v>9.9241785624668921</v>
      </c>
      <c r="P39" s="26">
        <f t="shared" si="73"/>
        <v>9.2223620847302641</v>
      </c>
      <c r="Q39" s="26">
        <f t="shared" si="73"/>
        <v>8.7381863506461244</v>
      </c>
      <c r="R39" s="26">
        <f t="shared" si="73"/>
        <v>12.034057724957556</v>
      </c>
      <c r="S39" s="26">
        <f t="shared" si="73"/>
        <v>10.914147154729287</v>
      </c>
      <c r="T39" s="26">
        <f t="shared" si="73"/>
        <v>11.433884770287957</v>
      </c>
      <c r="U39" s="26">
        <f t="shared" si="73"/>
        <v>18.39711105184282</v>
      </c>
      <c r="V39" s="26">
        <f t="shared" si="73"/>
        <v>16.705719134570007</v>
      </c>
      <c r="W39" s="26">
        <f t="shared" ref="W39:AC39" si="74">AVERAGE(W37,W38)</f>
        <v>17.662171408260285</v>
      </c>
      <c r="X39" s="26">
        <f t="shared" si="74"/>
        <v>19.633067139479905</v>
      </c>
      <c r="Y39" s="26">
        <f t="shared" si="74"/>
        <v>22.358455480836366</v>
      </c>
      <c r="Z39" s="26">
        <f t="shared" si="74"/>
        <v>16.032630007993603</v>
      </c>
      <c r="AA39" s="26">
        <f t="shared" si="74"/>
        <v>16.961020292612226</v>
      </c>
      <c r="AB39" s="26">
        <f t="shared" si="74"/>
        <v>14.864547578285045</v>
      </c>
      <c r="AC39" s="26">
        <f t="shared" si="74"/>
        <v>16.972915953381403</v>
      </c>
      <c r="AD39" s="26">
        <f t="shared" ref="AD39:AM39" si="75">AVERAGE(AD37,AD38)</f>
        <v>12.11</v>
      </c>
      <c r="AE39" s="26">
        <f t="shared" si="75"/>
        <v>17.990000000000002</v>
      </c>
      <c r="AF39" s="26">
        <f t="shared" si="75"/>
        <v>20.155000000000001</v>
      </c>
      <c r="AG39" s="26">
        <f t="shared" si="75"/>
        <v>18.445</v>
      </c>
      <c r="AH39" s="26">
        <f t="shared" si="75"/>
        <v>20.535</v>
      </c>
      <c r="AI39" s="26">
        <f t="shared" si="75"/>
        <v>15.191500000000001</v>
      </c>
      <c r="AJ39" s="26">
        <f t="shared" si="75"/>
        <v>18.223500000000001</v>
      </c>
      <c r="AK39" s="26">
        <f t="shared" si="75"/>
        <v>14.773999999999999</v>
      </c>
      <c r="AL39" s="22">
        <f t="shared" si="75"/>
        <v>15.4825</v>
      </c>
      <c r="AM39" s="22">
        <f t="shared" si="75"/>
        <v>17.855</v>
      </c>
      <c r="AN39" s="22">
        <f t="shared" ref="AN39:BB39" si="76">AVERAGE(AN37,AN38)</f>
        <v>18.67880871423263</v>
      </c>
      <c r="AO39" s="22">
        <f t="shared" si="76"/>
        <v>23.849824106698584</v>
      </c>
      <c r="AP39" s="22">
        <f t="shared" si="76"/>
        <v>25.54285062805085</v>
      </c>
      <c r="AQ39" s="22">
        <f t="shared" si="76"/>
        <v>24.996873252886072</v>
      </c>
      <c r="AR39" s="22">
        <f t="shared" si="76"/>
        <v>18.192227501707649</v>
      </c>
      <c r="AS39" s="22">
        <f t="shared" si="76"/>
        <v>22.061365997779188</v>
      </c>
      <c r="AT39" s="22">
        <f t="shared" si="76"/>
        <v>21.470255211319866</v>
      </c>
      <c r="AU39" s="22">
        <f t="shared" si="76"/>
        <v>18.76830322073841</v>
      </c>
      <c r="AV39" s="22">
        <f t="shared" si="76"/>
        <v>20.393614291470463</v>
      </c>
      <c r="AW39" s="22">
        <f t="shared" si="76"/>
        <v>19.048327529873042</v>
      </c>
      <c r="AX39" s="22">
        <f t="shared" si="76"/>
        <v>17.8714547923162</v>
      </c>
      <c r="AY39" s="22">
        <f t="shared" si="76"/>
        <v>15.037835108620641</v>
      </c>
      <c r="AZ39" s="22">
        <f t="shared" si="76"/>
        <v>15.358597781709308</v>
      </c>
      <c r="BA39" s="22">
        <f t="shared" si="76"/>
        <v>15.208647232876713</v>
      </c>
      <c r="BB39" s="22">
        <f t="shared" si="76"/>
        <v>14.869998377834129</v>
      </c>
      <c r="BC39" s="22">
        <f>Batches!K598</f>
        <v>10.115276836158193</v>
      </c>
      <c r="BD39" s="22">
        <f>Batches!K623</f>
        <v>8.5157570621468928</v>
      </c>
      <c r="BE39" s="22">
        <f>Batches!K649</f>
        <v>10.230717514124294</v>
      </c>
      <c r="BF39" s="22">
        <f>Batches!K675</f>
        <v>6.651463276836159</v>
      </c>
      <c r="BG39" s="22">
        <f>Batches!K700</f>
        <v>8.8740621468926566</v>
      </c>
      <c r="BH39" s="22">
        <f>Batches!K726</f>
        <v>6.8676394849785405</v>
      </c>
      <c r="BI39" s="22">
        <f>Batches!K752</f>
        <v>8.5408704188481668</v>
      </c>
      <c r="BJ39" s="22">
        <f>Batches!K778</f>
        <v>7.896299821534801</v>
      </c>
      <c r="BK39" s="22">
        <f>Batches!K801</f>
        <v>9.8458658064516129</v>
      </c>
      <c r="BL39" s="22">
        <f>Batches!K828</f>
        <v>8.6569691912708588</v>
      </c>
      <c r="BM39" s="22">
        <f>Batches!K854</f>
        <v>5.7629425124201559</v>
      </c>
      <c r="BN39" s="22">
        <f>Batches!K880</f>
        <v>8.0429901269393511</v>
      </c>
      <c r="BO39" s="22">
        <f>Batches!K905</f>
        <v>13.16682</v>
      </c>
      <c r="BP39" s="109">
        <f>Batches!K830</f>
        <v>0.19808768859031897</v>
      </c>
      <c r="BQ39" s="109">
        <f>Batches!K955</f>
        <v>5.4160627674750348</v>
      </c>
      <c r="BR39" s="109">
        <f>Batches!K980</f>
        <v>2.6728033356497569</v>
      </c>
      <c r="BS39" s="109">
        <f>Batches!K1005</f>
        <v>8.0577196261682253</v>
      </c>
      <c r="BT39" s="109">
        <f>Batches!K1030</f>
        <v>4.7230811638591117</v>
      </c>
      <c r="BU39" s="109">
        <f>Batches!K1055</f>
        <v>1.6461818181818182</v>
      </c>
      <c r="BV39" s="109">
        <f>Batches!K1080</f>
        <v>0.3386046511627907</v>
      </c>
      <c r="BW39" s="109">
        <f>Batches!K1105</f>
        <v>4.2427893500391543</v>
      </c>
      <c r="BX39" s="109">
        <f>Batches!K1129</f>
        <v>0</v>
      </c>
      <c r="BY39" s="109">
        <f>Batches!K1153</f>
        <v>0</v>
      </c>
      <c r="BZ39" s="109">
        <f>Batches!K1179</f>
        <v>7.5841813045711359E-2</v>
      </c>
      <c r="CA39" s="109">
        <f>Batches!K1201</f>
        <v>9.3956090225563909</v>
      </c>
      <c r="CB39" s="109">
        <f>Batches!K1225</f>
        <v>0</v>
      </c>
      <c r="CC39" s="109">
        <f>Batches!K1249</f>
        <v>2.4191388888888889</v>
      </c>
      <c r="CD39" s="109">
        <f>Batches!K1273</f>
        <v>5.0116824196597349</v>
      </c>
      <c r="CE39" s="22">
        <f t="shared" ref="CE39:CP39" si="77">AVERAGE(CE37,CE38)</f>
        <v>9.4952034991951226</v>
      </c>
      <c r="CF39" s="22">
        <f t="shared" si="77"/>
        <v>20.009799218910519</v>
      </c>
      <c r="CG39" s="22">
        <f>AVERAGE(CG37,CG38)</f>
        <v>18.494178506174396</v>
      </c>
      <c r="CH39" s="22">
        <f>Batches!K1369</f>
        <v>21.890143754909662</v>
      </c>
      <c r="CI39" s="22">
        <f t="shared" si="77"/>
        <v>21.106837618381402</v>
      </c>
      <c r="CJ39" s="22">
        <f t="shared" si="77"/>
        <v>17.819049933422104</v>
      </c>
      <c r="CK39" s="22">
        <f t="shared" si="77"/>
        <v>19.160166305851227</v>
      </c>
      <c r="CL39" s="22">
        <f t="shared" si="77"/>
        <v>23.122976882066368</v>
      </c>
      <c r="CM39" s="22">
        <f t="shared" si="77"/>
        <v>20.427116475972539</v>
      </c>
      <c r="CN39" s="22">
        <f t="shared" si="77"/>
        <v>24.607574823173699</v>
      </c>
      <c r="CO39" s="22">
        <f t="shared" si="77"/>
        <v>19.026925002478436</v>
      </c>
      <c r="CP39" s="22">
        <f t="shared" si="77"/>
        <v>23.291387272894493</v>
      </c>
      <c r="CQ39" s="22">
        <f t="shared" ref="CQ39:DQ39" si="78">AVERAGE(CQ37,CQ38)</f>
        <v>20.775460679373978</v>
      </c>
      <c r="CR39" s="22">
        <f t="shared" si="78"/>
        <v>19.211591545878367</v>
      </c>
      <c r="CS39" s="22">
        <f t="shared" si="78"/>
        <v>20.500419491525424</v>
      </c>
      <c r="CT39" s="22">
        <f t="shared" si="78"/>
        <v>18.246318372766204</v>
      </c>
      <c r="CU39" s="22">
        <f t="shared" si="78"/>
        <v>17.953538601291498</v>
      </c>
      <c r="CV39" s="22">
        <f t="shared" si="78"/>
        <v>16.356880494323548</v>
      </c>
      <c r="CW39" s="22">
        <f t="shared" si="78"/>
        <v>15.257602339024302</v>
      </c>
      <c r="CX39" s="22">
        <f t="shared" si="78"/>
        <v>18.440865394640809</v>
      </c>
      <c r="CY39" s="22">
        <f t="shared" si="78"/>
        <v>22.585127115279931</v>
      </c>
      <c r="CZ39" s="22">
        <f t="shared" si="78"/>
        <v>22.204342195540306</v>
      </c>
      <c r="DA39" s="22">
        <f t="shared" si="78"/>
        <v>18.699999105325446</v>
      </c>
      <c r="DB39" s="22">
        <f t="shared" si="78"/>
        <v>18.166646824394746</v>
      </c>
      <c r="DC39" s="22">
        <f t="shared" si="78"/>
        <v>17.510963919583773</v>
      </c>
      <c r="DD39" s="22">
        <f t="shared" si="78"/>
        <v>17.843975645539906</v>
      </c>
      <c r="DE39" s="22">
        <f t="shared" si="78"/>
        <v>18.974938110137671</v>
      </c>
      <c r="DF39" s="22">
        <f t="shared" si="78"/>
        <v>18.983229470470704</v>
      </c>
      <c r="DG39" s="22">
        <f t="shared" si="78"/>
        <v>14.75917558867625</v>
      </c>
      <c r="DH39" s="22">
        <f t="shared" si="78"/>
        <v>15.722341737952201</v>
      </c>
      <c r="DI39" s="22">
        <f t="shared" si="78"/>
        <v>19.331050113895216</v>
      </c>
      <c r="DJ39" s="22">
        <f t="shared" si="78"/>
        <v>16.382481386924731</v>
      </c>
      <c r="DK39" s="22">
        <f t="shared" si="78"/>
        <v>12.199052458956066</v>
      </c>
      <c r="DL39" s="22">
        <f t="shared" si="78"/>
        <v>12.963518856022414</v>
      </c>
      <c r="DM39" s="22">
        <f t="shared" si="78"/>
        <v>15.449052995835373</v>
      </c>
      <c r="DN39" s="22">
        <f t="shared" si="78"/>
        <v>10.867890443764786</v>
      </c>
      <c r="DO39" s="22">
        <f t="shared" si="78"/>
        <v>15.606916217245816</v>
      </c>
      <c r="DP39" s="22">
        <f t="shared" si="78"/>
        <v>13.740524355613806</v>
      </c>
      <c r="DQ39" s="33">
        <f t="shared" si="78"/>
        <v>11.107173493063847</v>
      </c>
      <c r="DR39" s="33">
        <f>AVERAGE(DR37,DR38)</f>
        <v>12.165030846921834</v>
      </c>
      <c r="DS39" s="33">
        <f t="shared" ref="DS39:EI39" si="79">AVERAGE(DS37,DS38)</f>
        <v>11.673399368216218</v>
      </c>
      <c r="DT39" s="33">
        <f>AVERAGE(DT37,DT38)</f>
        <v>6.3446907894736846</v>
      </c>
      <c r="DU39" s="33">
        <f t="shared" si="79"/>
        <v>6.2560485558916739</v>
      </c>
      <c r="DV39" s="33">
        <f t="shared" si="79"/>
        <v>6.6513633944389952</v>
      </c>
      <c r="DW39" s="22">
        <f t="shared" si="79"/>
        <v>1.8474000192027655</v>
      </c>
      <c r="DX39" s="547">
        <f t="shared" si="79"/>
        <v>14.049187328212659</v>
      </c>
      <c r="DY39" s="547">
        <f t="shared" si="79"/>
        <v>1.5058433734939756</v>
      </c>
      <c r="DZ39" s="547">
        <f t="shared" si="79"/>
        <v>2.9956083902043398</v>
      </c>
      <c r="EA39" s="547">
        <f t="shared" si="79"/>
        <v>2.5505257372186354</v>
      </c>
      <c r="EB39" s="547">
        <f t="shared" si="79"/>
        <v>8.9155705075489884</v>
      </c>
      <c r="EC39" s="547">
        <f t="shared" si="79"/>
        <v>10.282903436877532</v>
      </c>
      <c r="ED39" s="547">
        <f t="shared" si="79"/>
        <v>12.580349392349124</v>
      </c>
      <c r="EE39" s="547">
        <f t="shared" si="79"/>
        <v>13.574859604481942</v>
      </c>
      <c r="EF39" s="547">
        <f t="shared" si="79"/>
        <v>11.041749820191662</v>
      </c>
      <c r="EG39" s="547">
        <f t="shared" si="79"/>
        <v>14.418101131201166</v>
      </c>
      <c r="EH39" s="547">
        <f t="shared" si="79"/>
        <v>15.950089489546563</v>
      </c>
      <c r="EI39" s="547">
        <f t="shared" si="79"/>
        <v>13.700720275728838</v>
      </c>
    </row>
    <row r="40" spans="1:140" x14ac:dyDescent="0.25">
      <c r="A40" s="29"/>
      <c r="B40" s="8"/>
      <c r="C40" s="8"/>
      <c r="D40" s="8"/>
      <c r="E40" s="8"/>
      <c r="F40" s="8"/>
      <c r="G40" s="8"/>
      <c r="H40" s="8"/>
      <c r="I40" s="8"/>
      <c r="J40" s="8"/>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2"/>
      <c r="AM40" s="22"/>
      <c r="AN40" s="22"/>
      <c r="AO40" s="22"/>
      <c r="AP40" s="38"/>
      <c r="AQ40" s="38"/>
      <c r="AR40" s="38"/>
      <c r="AS40" s="38"/>
      <c r="AT40" s="38"/>
      <c r="AU40" s="38"/>
      <c r="AV40" s="38"/>
      <c r="AW40" s="38"/>
      <c r="AX40" s="38"/>
      <c r="AY40" s="38"/>
      <c r="AZ40" s="38"/>
      <c r="BA40" s="38"/>
      <c r="BB40" s="38"/>
      <c r="BC40" s="38"/>
      <c r="BD40" s="38"/>
      <c r="BE40" s="38"/>
      <c r="BF40" s="38"/>
      <c r="BG40" s="38"/>
      <c r="BH40" s="38"/>
      <c r="BI40" s="38"/>
      <c r="BJ40" s="38"/>
      <c r="BK40" s="38"/>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H40" s="109"/>
      <c r="DI40" s="109"/>
      <c r="DJ40" s="109"/>
      <c r="DK40" s="109"/>
      <c r="DL40" s="109"/>
      <c r="DM40" s="109"/>
      <c r="DN40" s="109"/>
      <c r="DO40" s="109"/>
      <c r="DP40" s="109"/>
      <c r="DR40"/>
      <c r="DS40"/>
      <c r="DT40"/>
      <c r="DV40" s="33"/>
      <c r="DX40" s="547"/>
      <c r="EE40" s="547"/>
      <c r="EF40" s="547"/>
      <c r="EG40" s="547"/>
    </row>
    <row r="41" spans="1:140" x14ac:dyDescent="0.25">
      <c r="A41" s="806" t="s">
        <v>6</v>
      </c>
      <c r="B41" s="30" t="s">
        <v>4</v>
      </c>
      <c r="C41" s="522">
        <f>'Batch 2018'!F19</f>
        <v>19.023529411764706</v>
      </c>
      <c r="D41" s="522">
        <f>'Batch 2018'!F41</f>
        <v>23.642080000000004</v>
      </c>
      <c r="E41" s="522">
        <f>'Batch 2018'!F63</f>
        <v>4.1676250000000001</v>
      </c>
      <c r="F41" s="522">
        <f>'Batch 2018'!F85</f>
        <v>9.3573333333333331</v>
      </c>
      <c r="G41" s="522">
        <f>'Batch 2018'!F107</f>
        <v>11.266640000000001</v>
      </c>
      <c r="H41" s="522">
        <f>'Batch 2018'!F129</f>
        <v>3.6214062500000006</v>
      </c>
      <c r="I41" s="522">
        <f>'Batch 2018'!F151</f>
        <v>9.8529605263157887</v>
      </c>
      <c r="J41" s="522">
        <f>'Batch 2018'!F173</f>
        <v>7.9287999999999998</v>
      </c>
      <c r="K41" s="522">
        <f>'Batch 2018'!F195</f>
        <v>3.07125</v>
      </c>
      <c r="L41" s="26">
        <f>'Batch 2018'!F217</f>
        <v>12.0076</v>
      </c>
      <c r="M41" s="26">
        <f>'Batch 2018'!F239</f>
        <v>18.502880000000001</v>
      </c>
      <c r="N41" s="26">
        <f>'Batch 2018'!F261</f>
        <v>10.044319999999999</v>
      </c>
      <c r="O41" s="26">
        <f>'Batch 2018'!F283</f>
        <v>12.954117647058823</v>
      </c>
      <c r="P41" s="26">
        <f>'Batch 2018'!F305</f>
        <v>11.945131578947368</v>
      </c>
      <c r="Q41" s="26">
        <f>'Batch 2018'!F327</f>
        <v>14.765624999999998</v>
      </c>
      <c r="R41" s="26">
        <f>'Batch 2018'!F349</f>
        <v>12.131324503311259</v>
      </c>
      <c r="S41" s="26">
        <f>'Batch 2018'!F371</f>
        <v>10.668552631578946</v>
      </c>
      <c r="T41" s="26">
        <f>'Batch 2018'!F393</f>
        <v>7.5368211920529804</v>
      </c>
      <c r="U41" s="26">
        <f>'Batch 2018'!F415</f>
        <v>16.2518125</v>
      </c>
      <c r="V41" s="26">
        <f>'Batch 2018'!F437</f>
        <v>12.230465116279071</v>
      </c>
      <c r="W41" s="26">
        <f>'Batch 2018'!F459</f>
        <v>14.0756</v>
      </c>
      <c r="X41" s="26">
        <f>'Batch 2018'!F481</f>
        <v>26.703756345177666</v>
      </c>
      <c r="Y41" s="26">
        <f>'Batch 2018'!F503</f>
        <v>22.433926380368096</v>
      </c>
      <c r="Z41" s="26">
        <f>'Batch 2018'!F525</f>
        <v>17.008750000000003</v>
      </c>
      <c r="AA41" s="26">
        <f>'Batch 2018'!F547</f>
        <v>16.533999999999999</v>
      </c>
      <c r="AB41" s="26">
        <f>'Batch 2018'!F569</f>
        <v>15.327213930348259</v>
      </c>
      <c r="AC41" s="26">
        <f>'Batch 2018'!F591</f>
        <v>13.101550000000001</v>
      </c>
      <c r="AD41" s="26">
        <v>14.51</v>
      </c>
      <c r="AE41" s="26">
        <v>14.69</v>
      </c>
      <c r="AF41" s="26">
        <v>16.98</v>
      </c>
      <c r="AG41" s="26">
        <v>24.61</v>
      </c>
      <c r="AH41" s="26">
        <v>17.34</v>
      </c>
      <c r="AI41" s="26">
        <v>17.12</v>
      </c>
      <c r="AJ41" s="26">
        <v>13.89</v>
      </c>
      <c r="AK41" s="26">
        <v>18.850000000000001</v>
      </c>
      <c r="AL41" s="22">
        <v>15.62</v>
      </c>
      <c r="AM41" s="22">
        <v>11.85</v>
      </c>
      <c r="AN41" s="22">
        <f>Batches!F239</f>
        <v>16.279320987654323</v>
      </c>
      <c r="AO41" s="22">
        <f>Batches!F261</f>
        <v>18.581315789473681</v>
      </c>
      <c r="AP41" s="38">
        <f>Batches!F283</f>
        <v>21.337105263157895</v>
      </c>
      <c r="AQ41" s="38">
        <f>Batches!F305</f>
        <v>18.352484076433122</v>
      </c>
      <c r="AR41" s="38">
        <f>Batches!F329</f>
        <v>16.027218543046356</v>
      </c>
      <c r="AS41" s="38">
        <f>Batches!F353</f>
        <v>19.712000000000003</v>
      </c>
      <c r="AT41" s="38">
        <f>Batches!F377</f>
        <v>22.452384105960267</v>
      </c>
      <c r="AU41" s="38">
        <f>Batches!F402</f>
        <v>22.879266666666666</v>
      </c>
      <c r="AV41" s="38">
        <f>Batches!F427</f>
        <v>15.094039735099338</v>
      </c>
      <c r="AW41" s="38">
        <f>Batches!F452</f>
        <v>19.867019867549669</v>
      </c>
      <c r="AX41" s="38">
        <f>Batches!F477</f>
        <v>13.240459770114944</v>
      </c>
      <c r="AY41" s="38">
        <f>Batches!F502</f>
        <v>13.956800000000001</v>
      </c>
      <c r="AZ41" s="38">
        <f>Batches!F527</f>
        <v>18.628866666666671</v>
      </c>
      <c r="BA41" s="38">
        <f>Batches!F551</f>
        <v>16.061629629629628</v>
      </c>
      <c r="BB41" s="38">
        <f>Batches!F575</f>
        <v>9.9131125827814568</v>
      </c>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c r="CB41" s="140"/>
      <c r="CC41" s="140"/>
      <c r="CD41" s="140"/>
      <c r="CE41" s="33">
        <f>Batches!H1298</f>
        <v>10.3866</v>
      </c>
      <c r="CF41" s="33">
        <f>Batches!H1322</f>
        <v>18.790610169491526</v>
      </c>
      <c r="CG41" s="33">
        <f>Batches!H1346</f>
        <v>16.245694915254237</v>
      </c>
      <c r="CH41" s="140"/>
      <c r="CI41" s="33">
        <f>Batches!H1394</f>
        <v>23.549680000000002</v>
      </c>
      <c r="CJ41" s="33">
        <f>Batches!H1418</f>
        <v>19.864098765432097</v>
      </c>
      <c r="CK41" s="33">
        <f>Batches!H1442</f>
        <v>17.807533333333335</v>
      </c>
      <c r="CL41" s="33">
        <f>Batches!H1465</f>
        <v>13.623109289617487</v>
      </c>
      <c r="CM41" s="33">
        <f>Batches!H1489</f>
        <v>12.395790575916232</v>
      </c>
      <c r="CN41" s="33">
        <f>Batches!H1513</f>
        <v>22.797167785234901</v>
      </c>
      <c r="CO41" s="33">
        <f>Batches!H1537</f>
        <v>21.786268156424583</v>
      </c>
      <c r="CP41" s="33">
        <f>Batches!H1561</f>
        <v>22.7073</v>
      </c>
      <c r="CQ41" s="33">
        <f>Batches!H1585</f>
        <v>17.371200000000002</v>
      </c>
      <c r="CR41" s="33">
        <f>Batches!H1609</f>
        <v>25.142039999999998</v>
      </c>
      <c r="CS41" s="33">
        <f>Batches!H1633</f>
        <v>22.063580000000002</v>
      </c>
      <c r="CT41" s="33">
        <f>Batches!H1657</f>
        <v>17.357340000000001</v>
      </c>
      <c r="CU41" s="33">
        <f>Batches!H1681</f>
        <v>12.960224719101124</v>
      </c>
      <c r="CV41" s="33">
        <f>Batches!H1705</f>
        <v>12.188880000000001</v>
      </c>
      <c r="CW41" s="33">
        <f>Batches!H1729</f>
        <v>25.644111111111108</v>
      </c>
      <c r="CX41" s="33">
        <f>Batches!H1753</f>
        <v>13.240220858895707</v>
      </c>
      <c r="CY41" s="33">
        <f>Batches!H1777</f>
        <v>17.846400000000003</v>
      </c>
      <c r="CZ41" s="33">
        <f>Batches!H1801</f>
        <v>22.17248</v>
      </c>
      <c r="DA41" s="33">
        <f>Batches!H1825</f>
        <v>15.947597087378641</v>
      </c>
      <c r="DB41" s="33">
        <f>Batches!H1849</f>
        <v>12.087850746268657</v>
      </c>
      <c r="DC41" s="33">
        <f>Batches!H1873</f>
        <v>20.646560000000001</v>
      </c>
      <c r="DD41" s="33">
        <f>Batches!H1897</f>
        <v>15.825480000000001</v>
      </c>
      <c r="DE41" s="33">
        <f>Batches!H1921</f>
        <v>17.936187499999999</v>
      </c>
      <c r="DF41" s="33">
        <f>Batches!H1945</f>
        <v>20.562039473684209</v>
      </c>
      <c r="DG41" s="33">
        <f>Batches!H1969</f>
        <v>19.855989999999998</v>
      </c>
      <c r="DH41" s="33">
        <f>Batches!H1993</f>
        <v>18.31116513761468</v>
      </c>
      <c r="DI41" s="33">
        <f>Batches!H2017</f>
        <v>27.047263157894733</v>
      </c>
      <c r="DJ41" s="33">
        <f>Batches!H2041</f>
        <v>22.823826666666669</v>
      </c>
      <c r="DK41" s="33">
        <f>Batches!H2065</f>
        <v>12.932960526315789</v>
      </c>
      <c r="DL41" s="33">
        <f>Batches!H2089</f>
        <v>12.420955555555556</v>
      </c>
      <c r="DM41" s="33">
        <f>Batches!H2113</f>
        <v>13.535990099009902</v>
      </c>
      <c r="DN41" s="33">
        <f>Batches!H2137</f>
        <v>11.754322834645668</v>
      </c>
      <c r="DO41" s="33">
        <f>Batches!H2161</f>
        <v>16.008813333333332</v>
      </c>
      <c r="DP41" s="33">
        <f>Batches!H2185</f>
        <v>9.9430099999999992</v>
      </c>
      <c r="DQ41" s="33">
        <f>Batches!H2209</f>
        <v>9.036226519337017</v>
      </c>
      <c r="DR41" s="33">
        <f>Batches!H2233</f>
        <v>14.184555</v>
      </c>
      <c r="DS41" s="33">
        <f>Batches!H2257</f>
        <v>9.3223900000000004</v>
      </c>
      <c r="DT41" s="33">
        <f>Batches!H2281</f>
        <v>5.1282385000000001</v>
      </c>
      <c r="DU41" s="33">
        <f>Batches!H2305</f>
        <v>3.3688577999999998</v>
      </c>
      <c r="DV41" s="33">
        <f>Batches!H2329</f>
        <v>3.7905799086757987</v>
      </c>
      <c r="DW41" s="547">
        <f>Batches!H2353</f>
        <v>1.17425</v>
      </c>
      <c r="DX41" s="547">
        <f>Batches!H2377</f>
        <v>10.535909999999999</v>
      </c>
      <c r="DY41" s="547">
        <f>Batches!H2401</f>
        <v>0.42777777777777781</v>
      </c>
      <c r="DZ41" s="547">
        <f>Batches!H2425</f>
        <v>2.0370350000000004</v>
      </c>
      <c r="EA41" s="547">
        <f>Batches!H2449</f>
        <v>0.25025000000000003</v>
      </c>
      <c r="EB41" s="547">
        <f>Batches!H2473</f>
        <v>3.5322531645569617</v>
      </c>
      <c r="EC41" s="547">
        <f>Batches!H2497</f>
        <v>8.8170133333333336</v>
      </c>
      <c r="ED41" s="547">
        <f>Batches!H2521</f>
        <v>9.3991333333333333</v>
      </c>
      <c r="EE41" s="547">
        <f>Batches!H2545</f>
        <v>11.71931491712707</v>
      </c>
      <c r="EF41" s="547">
        <f>Batches!H2569</f>
        <v>12.651613333333334</v>
      </c>
      <c r="EG41" s="547">
        <f>Batches!H2593</f>
        <v>8.3365333333333336</v>
      </c>
      <c r="EH41" s="547">
        <f>Batches!H2617</f>
        <v>16.022673333333337</v>
      </c>
      <c r="EI41" s="547">
        <f>Batches!H2641</f>
        <v>10.175806666666666</v>
      </c>
    </row>
    <row r="42" spans="1:140" x14ac:dyDescent="0.25">
      <c r="A42" s="807"/>
      <c r="B42" s="30" t="s">
        <v>1</v>
      </c>
      <c r="C42" s="522">
        <f>'Batch 2018'!L19</f>
        <v>16.28575163398693</v>
      </c>
      <c r="D42" s="522">
        <f>'Batch 2018'!L41</f>
        <v>19.299280000000003</v>
      </c>
      <c r="E42" s="522">
        <f>'Batch 2018'!L63</f>
        <v>12.714625</v>
      </c>
      <c r="F42" s="522">
        <f>'Batch 2018'!L85</f>
        <v>9.1528301886792445</v>
      </c>
      <c r="G42" s="522">
        <f>'Batch 2018'!L107</f>
        <v>14.64232</v>
      </c>
      <c r="H42" s="522">
        <f>'Batch 2018'!L129</f>
        <v>4.9655905511811023</v>
      </c>
      <c r="I42" s="522">
        <f>'Batch 2018'!L151</f>
        <v>13.599933774834437</v>
      </c>
      <c r="J42" s="522">
        <f>'Batch 2018'!L173</f>
        <v>10.040800000000003</v>
      </c>
      <c r="K42" s="522">
        <f>'Batch 2018'!L195</f>
        <v>8.067499999999999</v>
      </c>
      <c r="L42" s="26">
        <f>'Batch 2018'!L217</f>
        <v>12.130800000000001</v>
      </c>
      <c r="M42" s="26">
        <f>'Batch 2018'!L239</f>
        <v>4.7607999999999997</v>
      </c>
      <c r="N42" s="26">
        <f>'Batch 2018'!L261</f>
        <v>11.730399999999999</v>
      </c>
      <c r="O42" s="26">
        <f>'Batch 2018'!L283</f>
        <v>16.816800000000001</v>
      </c>
      <c r="P42" s="26">
        <f>'Batch 2018'!L305</f>
        <v>11.88073825503356</v>
      </c>
      <c r="Q42" s="26">
        <f>'Batch 2018'!L327</f>
        <v>9.8004430379746825</v>
      </c>
      <c r="R42" s="26">
        <f>'Batch 2018'!L349</f>
        <v>15.339607843137255</v>
      </c>
      <c r="S42" s="26">
        <f>'Batch 2018'!L371</f>
        <v>11.92</v>
      </c>
      <c r="T42" s="26">
        <f>'Batch 2018'!L393</f>
        <v>8.8743884892086324</v>
      </c>
      <c r="U42" s="26">
        <f>'Batch 2018'!L415</f>
        <v>21.859171974522297</v>
      </c>
      <c r="V42" s="26">
        <f>'Batch 2018'!L437</f>
        <v>11.104438202247191</v>
      </c>
      <c r="W42" s="26">
        <f>'Batch 2018'!L459</f>
        <v>18.158800000000003</v>
      </c>
      <c r="X42" s="26">
        <f>'Batch 2018'!L481</f>
        <v>18.34344827586207</v>
      </c>
      <c r="Y42" s="26">
        <f>'Batch 2018'!L503</f>
        <v>22.014347826086954</v>
      </c>
      <c r="Z42" s="26">
        <f>'Batch 2018'!L525</f>
        <v>12.987787610619469</v>
      </c>
      <c r="AA42" s="26">
        <f>'Batch 2018'!L547</f>
        <v>19.075913043478263</v>
      </c>
      <c r="AB42" s="26">
        <f>'Batch 2018'!L569</f>
        <v>13.262388059701491</v>
      </c>
      <c r="AC42" s="26">
        <f>'Batch 2018'!L591</f>
        <v>17.140199999999997</v>
      </c>
      <c r="AD42" s="26">
        <v>14.86</v>
      </c>
      <c r="AE42" s="26">
        <v>18.41</v>
      </c>
      <c r="AF42" s="26">
        <v>15.23</v>
      </c>
      <c r="AG42" s="26">
        <v>15.2</v>
      </c>
      <c r="AH42" s="26">
        <v>21.92</v>
      </c>
      <c r="AI42" s="26">
        <v>18.885000000000002</v>
      </c>
      <c r="AJ42" s="26">
        <v>15.563000000000001</v>
      </c>
      <c r="AK42" s="26">
        <v>13.411</v>
      </c>
      <c r="AL42" s="22">
        <v>17.375</v>
      </c>
      <c r="AM42" s="22">
        <v>19.106000000000002</v>
      </c>
      <c r="AN42" s="22">
        <f>Batches!O239</f>
        <v>19.017591463414632</v>
      </c>
      <c r="AO42" s="22">
        <f>Batches!O261</f>
        <v>22.613684210526316</v>
      </c>
      <c r="AP42" s="38">
        <f>Batches!O283</f>
        <v>22.448066666666669</v>
      </c>
      <c r="AQ42" s="38">
        <f>Batches!O305</f>
        <v>24.341935483870969</v>
      </c>
      <c r="AR42" s="38">
        <f>Batches!O329</f>
        <v>15.420533333333335</v>
      </c>
      <c r="AS42" s="38">
        <f>Batches!O353</f>
        <v>23.300200000000004</v>
      </c>
      <c r="AT42" s="38">
        <f>Batches!O377</f>
        <v>23.564039735099335</v>
      </c>
      <c r="AU42" s="38">
        <f>Batches!O402</f>
        <v>23.60306666666667</v>
      </c>
      <c r="AV42" s="38">
        <f>Batches!O427</f>
        <v>17.658666666666669</v>
      </c>
      <c r="AW42" s="38">
        <f>Batches!O452</f>
        <v>19.754999999999999</v>
      </c>
      <c r="AX42" s="38">
        <f>Batches!O477</f>
        <v>20.085625</v>
      </c>
      <c r="AY42" s="38">
        <f>Batches!O502</f>
        <v>17.37</v>
      </c>
      <c r="AZ42" s="38">
        <f>Batches!O527</f>
        <v>14.938000000000001</v>
      </c>
      <c r="BA42" s="38">
        <f>Batches!O551</f>
        <v>17.092155688622753</v>
      </c>
      <c r="BB42" s="38">
        <f>Batches!O575</f>
        <v>15.618513513513514</v>
      </c>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c r="CB42" s="140"/>
      <c r="CC42" s="140"/>
      <c r="CD42" s="140"/>
      <c r="CE42" s="33">
        <f>Batches!O1298</f>
        <v>13.622700000000002</v>
      </c>
      <c r="CF42" s="33">
        <f>Batches!O1322</f>
        <v>15.388999999999999</v>
      </c>
      <c r="CG42" s="33">
        <f>Batches!O1346</f>
        <v>16.723355932203393</v>
      </c>
      <c r="CH42" s="140"/>
      <c r="CI42" s="33">
        <f>Batches!O1394</f>
        <v>21.23968</v>
      </c>
      <c r="CJ42" s="33">
        <f>Batches!O1418</f>
        <v>18.50695</v>
      </c>
      <c r="CK42" s="33">
        <f>Batches!O1442</f>
        <v>23.546934782608695</v>
      </c>
      <c r="CL42" s="33">
        <f>Batches!O1465</f>
        <v>19.18439461883408</v>
      </c>
      <c r="CM42" s="33">
        <f>Batches!O1489</f>
        <v>22.480723404255318</v>
      </c>
      <c r="CN42" s="33">
        <f>Batches!O1513</f>
        <v>13.409763888888889</v>
      </c>
      <c r="CO42" s="33">
        <f>Batches!O1537</f>
        <v>15.169855555555557</v>
      </c>
      <c r="CP42" s="33">
        <f>Batches!O1561</f>
        <v>26.338620000000002</v>
      </c>
      <c r="CQ42" s="33">
        <f>Batches!O1585</f>
        <v>22.769669999999998</v>
      </c>
      <c r="CR42" s="33">
        <f>Batches!O1609</f>
        <v>27.436640000000001</v>
      </c>
      <c r="CS42" s="33">
        <f>Batches!O1633</f>
        <v>26.350772277227726</v>
      </c>
      <c r="CT42" s="33">
        <f>Batches!O1657</f>
        <v>31.319372549019604</v>
      </c>
      <c r="CU42" s="33">
        <f>Batches!O1681</f>
        <v>21.783169491525424</v>
      </c>
      <c r="CV42" s="33">
        <f>Batches!O1705</f>
        <v>20.836908045977012</v>
      </c>
      <c r="CW42" s="33">
        <f>Batches!O1729</f>
        <v>11.268444444444444</v>
      </c>
      <c r="CX42" s="33">
        <f>Batches!O1753</f>
        <v>22.718327160493828</v>
      </c>
      <c r="CY42" s="33">
        <f>Batches!O1777</f>
        <v>23.537937499999998</v>
      </c>
      <c r="CZ42" s="33">
        <f>Batches!O1801</f>
        <v>24.852080000000001</v>
      </c>
      <c r="DA42" s="33">
        <f>Batches!O1825</f>
        <v>21.210419999999999</v>
      </c>
      <c r="DB42" s="33">
        <f>Batches!O1849</f>
        <v>17.27187</v>
      </c>
      <c r="DC42" s="33">
        <f>Batches!O1873</f>
        <v>16.700640000000003</v>
      </c>
      <c r="DD42" s="33">
        <f>Batches!O1897</f>
        <v>18.373079999999998</v>
      </c>
      <c r="DE42" s="33">
        <f>Batches!O1921</f>
        <v>15.257375</v>
      </c>
      <c r="DF42" s="33">
        <f>Batches!O1945</f>
        <v>24.969137254901966</v>
      </c>
      <c r="DG42" s="33">
        <f>Batches!O1969</f>
        <v>24.3705</v>
      </c>
      <c r="DH42" s="33">
        <f>Batches!O1993</f>
        <v>18.431599999999996</v>
      </c>
      <c r="DI42" s="33">
        <f>Batches!O2017</f>
        <v>17.573864000000004</v>
      </c>
      <c r="DJ42" s="33">
        <f>Batches!O2041</f>
        <v>12.939802469135802</v>
      </c>
      <c r="DK42" s="33">
        <f>Batches!O2065</f>
        <v>13.193693333333334</v>
      </c>
      <c r="DL42" s="33">
        <f>Batches!O2089</f>
        <v>12.626307692307691</v>
      </c>
      <c r="DM42" s="33">
        <f>Batches!O2113</f>
        <v>11.981969999999999</v>
      </c>
      <c r="DN42" s="33">
        <f>Batches!O2137</f>
        <v>11.228853658536584</v>
      </c>
      <c r="DO42" s="33">
        <f>Batches!O2161</f>
        <v>14.076626666666668</v>
      </c>
      <c r="DP42" s="33">
        <f>Batches!O2185</f>
        <v>10.061710784313725</v>
      </c>
      <c r="DQ42" s="33">
        <f>Batches!O2209</f>
        <v>6.2137307692307697</v>
      </c>
      <c r="DR42" s="33">
        <f>Batches!O2233</f>
        <v>12.470535</v>
      </c>
      <c r="DS42" s="33">
        <f>Batches!O2257</f>
        <v>10.873555</v>
      </c>
      <c r="DT42" s="33">
        <f>Batches!O2281</f>
        <v>4.7743830845771136</v>
      </c>
      <c r="DU42" s="33">
        <f>Batches!O2305</f>
        <v>3.192211055276382</v>
      </c>
      <c r="DV42" s="33">
        <f>Batches!O2329</f>
        <v>1.0421369863013699</v>
      </c>
      <c r="DW42" s="547">
        <f>Batches!O2353</f>
        <v>0.99714999999999987</v>
      </c>
      <c r="DX42" s="547">
        <f>Batches!O2377</f>
        <v>14.1372</v>
      </c>
      <c r="DY42">
        <v>0</v>
      </c>
      <c r="DZ42" s="547">
        <f>Batches!O2425</f>
        <v>2.5533199999999998</v>
      </c>
      <c r="EA42" s="547">
        <f>Batches!O2449</f>
        <v>0.47199850746268657</v>
      </c>
      <c r="EB42" s="547">
        <f>Batches!O2473</f>
        <v>6.4365148305084743</v>
      </c>
      <c r="EC42" s="547">
        <f>Batches!O2497</f>
        <v>8.7425800000000002</v>
      </c>
      <c r="ED42" s="547">
        <f>Batches!O2521</f>
        <v>16.565908333333333</v>
      </c>
      <c r="EE42" s="547">
        <f>Batches!O2545</f>
        <v>9.8444500000000001</v>
      </c>
      <c r="EF42" s="547">
        <f>Batches!O2569</f>
        <v>7.3971333333333336</v>
      </c>
      <c r="EG42" s="547">
        <f>Batches!O2593</f>
        <v>17.922263333333337</v>
      </c>
      <c r="EH42" s="547">
        <f>Batches!O2617</f>
        <v>13.684953333333333</v>
      </c>
      <c r="EI42" s="547">
        <f>Batches!O2641</f>
        <v>8.9848733333333328</v>
      </c>
    </row>
    <row r="43" spans="1:140" x14ac:dyDescent="0.25">
      <c r="A43" s="807"/>
      <c r="B43" s="30" t="s">
        <v>2</v>
      </c>
      <c r="C43" s="26">
        <f t="shared" ref="C43:K43" si="80">AVERAGE(C41,C42)</f>
        <v>17.654640522875816</v>
      </c>
      <c r="D43" s="26">
        <f t="shared" si="80"/>
        <v>21.470680000000002</v>
      </c>
      <c r="E43" s="26">
        <f t="shared" si="80"/>
        <v>8.4411249999999995</v>
      </c>
      <c r="F43" s="26">
        <f t="shared" si="80"/>
        <v>9.2550817610062879</v>
      </c>
      <c r="G43" s="26">
        <f t="shared" si="80"/>
        <v>12.95448</v>
      </c>
      <c r="H43" s="26">
        <f t="shared" si="80"/>
        <v>4.2934984005905514</v>
      </c>
      <c r="I43" s="26">
        <f t="shared" si="80"/>
        <v>11.726447150575112</v>
      </c>
      <c r="J43" s="26">
        <f t="shared" si="80"/>
        <v>8.9848000000000017</v>
      </c>
      <c r="K43" s="26">
        <f t="shared" si="80"/>
        <v>5.5693749999999991</v>
      </c>
      <c r="L43" s="26">
        <f t="shared" ref="L43:V43" si="81">AVERAGE(L41,L42)</f>
        <v>12.0692</v>
      </c>
      <c r="M43" s="26">
        <f t="shared" si="81"/>
        <v>11.63184</v>
      </c>
      <c r="N43" s="26">
        <f t="shared" si="81"/>
        <v>10.887359999999999</v>
      </c>
      <c r="O43" s="26">
        <f t="shared" si="81"/>
        <v>14.885458823529412</v>
      </c>
      <c r="P43" s="26">
        <f t="shared" si="81"/>
        <v>11.912934916990464</v>
      </c>
      <c r="Q43" s="26">
        <f t="shared" si="81"/>
        <v>12.28303401898734</v>
      </c>
      <c r="R43" s="26">
        <f t="shared" si="81"/>
        <v>13.735466173224257</v>
      </c>
      <c r="S43" s="26">
        <f t="shared" si="81"/>
        <v>11.294276315789473</v>
      </c>
      <c r="T43" s="26">
        <f t="shared" si="81"/>
        <v>8.2056048406308069</v>
      </c>
      <c r="U43" s="26">
        <f t="shared" si="81"/>
        <v>19.055492237261149</v>
      </c>
      <c r="V43" s="26">
        <f t="shared" si="81"/>
        <v>11.667451659263131</v>
      </c>
      <c r="W43" s="26">
        <f t="shared" ref="W43:AC43" si="82">AVERAGE(W41,W42)</f>
        <v>16.1172</v>
      </c>
      <c r="X43" s="26">
        <f t="shared" si="82"/>
        <v>22.52360231051987</v>
      </c>
      <c r="Y43" s="26">
        <f t="shared" si="82"/>
        <v>22.224137103227527</v>
      </c>
      <c r="Z43" s="26">
        <f t="shared" si="82"/>
        <v>14.998268805309735</v>
      </c>
      <c r="AA43" s="26">
        <f t="shared" si="82"/>
        <v>17.804956521739129</v>
      </c>
      <c r="AB43" s="26">
        <f t="shared" si="82"/>
        <v>14.294800995024875</v>
      </c>
      <c r="AC43" s="26">
        <f t="shared" si="82"/>
        <v>15.120874999999998</v>
      </c>
      <c r="AD43" s="26">
        <f t="shared" ref="AD43:AM43" si="83">AVERAGE(AD41,AD42)</f>
        <v>14.684999999999999</v>
      </c>
      <c r="AE43" s="26">
        <f t="shared" si="83"/>
        <v>16.55</v>
      </c>
      <c r="AF43" s="26">
        <f t="shared" si="83"/>
        <v>16.105</v>
      </c>
      <c r="AG43" s="26">
        <f t="shared" si="83"/>
        <v>19.905000000000001</v>
      </c>
      <c r="AH43" s="26">
        <f t="shared" si="83"/>
        <v>19.630000000000003</v>
      </c>
      <c r="AI43" s="26">
        <f t="shared" si="83"/>
        <v>18.002500000000001</v>
      </c>
      <c r="AJ43" s="26">
        <f t="shared" si="83"/>
        <v>14.726500000000001</v>
      </c>
      <c r="AK43" s="26">
        <f t="shared" si="83"/>
        <v>16.130500000000001</v>
      </c>
      <c r="AL43" s="22">
        <f t="shared" si="83"/>
        <v>16.497499999999999</v>
      </c>
      <c r="AM43" s="22">
        <f t="shared" si="83"/>
        <v>15.478000000000002</v>
      </c>
      <c r="AN43" s="22">
        <f t="shared" ref="AN43:BB43" si="84">AVERAGE(AN41,AN42)</f>
        <v>17.648456225534478</v>
      </c>
      <c r="AO43" s="22">
        <f t="shared" si="84"/>
        <v>20.597499999999997</v>
      </c>
      <c r="AP43" s="22">
        <f t="shared" si="84"/>
        <v>21.892585964912282</v>
      </c>
      <c r="AQ43" s="22">
        <f t="shared" si="84"/>
        <v>21.347209780152046</v>
      </c>
      <c r="AR43" s="22">
        <f t="shared" si="84"/>
        <v>15.723875938189845</v>
      </c>
      <c r="AS43" s="22">
        <f t="shared" si="84"/>
        <v>21.506100000000004</v>
      </c>
      <c r="AT43" s="22">
        <f t="shared" si="84"/>
        <v>23.008211920529803</v>
      </c>
      <c r="AU43" s="22">
        <f t="shared" si="84"/>
        <v>23.241166666666668</v>
      </c>
      <c r="AV43" s="22">
        <f t="shared" si="84"/>
        <v>16.376353200883003</v>
      </c>
      <c r="AW43" s="22">
        <f t="shared" si="84"/>
        <v>19.811009933774834</v>
      </c>
      <c r="AX43" s="22">
        <f t="shared" si="84"/>
        <v>16.663042385057473</v>
      </c>
      <c r="AY43" s="22">
        <f t="shared" si="84"/>
        <v>15.663400000000001</v>
      </c>
      <c r="AZ43" s="22">
        <f t="shared" si="84"/>
        <v>16.783433333333335</v>
      </c>
      <c r="BA43" s="22">
        <f t="shared" si="84"/>
        <v>16.576892659126191</v>
      </c>
      <c r="BB43" s="22">
        <f t="shared" si="84"/>
        <v>12.765813048147486</v>
      </c>
      <c r="BC43" s="22">
        <f>Batches!K599</f>
        <v>8.3006000000000011</v>
      </c>
      <c r="BD43" s="22">
        <f>Batches!K624</f>
        <v>8.2851999999999997</v>
      </c>
      <c r="BE43" s="22">
        <f>Batches!K650</f>
        <v>10.328266666666668</v>
      </c>
      <c r="BF43" s="22">
        <f>Batches!K676</f>
        <v>4.1631333333333327</v>
      </c>
      <c r="BG43" s="22">
        <f>Batches!K701</f>
        <v>8.5264666666666677</v>
      </c>
      <c r="BH43" s="22">
        <f>Batches!K727</f>
        <v>9.3888666666666669</v>
      </c>
      <c r="BI43" s="22">
        <f>Batches!K753</f>
        <v>9.0475000000000012</v>
      </c>
      <c r="BJ43" s="22">
        <f>Batches!K779</f>
        <v>10.0716</v>
      </c>
      <c r="BK43" s="22">
        <f>Batches!K802</f>
        <v>8.0987682119205289</v>
      </c>
      <c r="BL43" s="22">
        <f>Batches!K829</f>
        <v>15.113636363636363</v>
      </c>
      <c r="BM43" s="22">
        <f>Batches!K855</f>
        <v>6.9428333333333336</v>
      </c>
      <c r="BN43" s="22">
        <f>Batches!K881</f>
        <v>10.940416666666666</v>
      </c>
      <c r="BO43" s="22">
        <f>Batches!K906</f>
        <v>12.468866666666665</v>
      </c>
      <c r="BP43" s="22">
        <f>Batches!K831</f>
        <v>0.32829513181778663</v>
      </c>
      <c r="BQ43" s="22">
        <f>Batches!K956</f>
        <v>3.1929333333333334</v>
      </c>
      <c r="BR43" s="22">
        <f>Batches!K981</f>
        <v>0</v>
      </c>
      <c r="BS43" s="22">
        <f>Batches!K1006</f>
        <v>0</v>
      </c>
      <c r="BT43" s="22">
        <f>Batches!K1031</f>
        <v>0</v>
      </c>
      <c r="BU43" s="22">
        <f>Batches!K1056</f>
        <v>0</v>
      </c>
      <c r="BV43" s="22">
        <f>Batches!K1081</f>
        <v>0</v>
      </c>
      <c r="BW43" s="22">
        <f>Batches!K1106</f>
        <v>0</v>
      </c>
      <c r="BX43" s="22">
        <f>Batches!K1130</f>
        <v>0</v>
      </c>
      <c r="BY43" s="22">
        <f>Batches!K1154</f>
        <v>0</v>
      </c>
      <c r="BZ43" s="22">
        <f>Batches!K1180</f>
        <v>7.8091919191919212E-2</v>
      </c>
      <c r="CA43" s="22">
        <f>Batches!K1202</f>
        <v>5.523454326923078</v>
      </c>
      <c r="CB43" s="22">
        <f>Batches!K1226</f>
        <v>0</v>
      </c>
      <c r="CC43" s="22">
        <f>Batches!K1250</f>
        <v>0</v>
      </c>
      <c r="CD43" s="22">
        <f>Batches!K1274</f>
        <v>0</v>
      </c>
      <c r="CE43" s="22">
        <f t="shared" ref="CE43:EI43" si="85">AVERAGE(CE41,CE42)</f>
        <v>12.004650000000002</v>
      </c>
      <c r="CF43" s="22">
        <f>AVERAGE(CF41,CF42)</f>
        <v>17.089805084745763</v>
      </c>
      <c r="CG43" s="22">
        <f t="shared" si="85"/>
        <v>16.484525423728815</v>
      </c>
      <c r="CH43" s="22">
        <f>Batches!K1370</f>
        <v>16.198170731707318</v>
      </c>
      <c r="CI43" s="22">
        <f t="shared" si="85"/>
        <v>22.394680000000001</v>
      </c>
      <c r="CJ43" s="22">
        <f t="shared" si="85"/>
        <v>19.185524382716046</v>
      </c>
      <c r="CK43" s="22">
        <f t="shared" si="85"/>
        <v>20.677234057971013</v>
      </c>
      <c r="CL43" s="22">
        <f t="shared" si="85"/>
        <v>16.403751954225783</v>
      </c>
      <c r="CM43" s="22">
        <f t="shared" si="85"/>
        <v>17.438256990085776</v>
      </c>
      <c r="CN43" s="22">
        <f t="shared" si="85"/>
        <v>18.103465837061897</v>
      </c>
      <c r="CO43" s="22">
        <f t="shared" si="85"/>
        <v>18.47806185599007</v>
      </c>
      <c r="CP43" s="22">
        <f t="shared" si="85"/>
        <v>24.522960000000001</v>
      </c>
      <c r="CQ43" s="22">
        <f t="shared" si="85"/>
        <v>20.070435</v>
      </c>
      <c r="CR43" s="22">
        <f t="shared" si="85"/>
        <v>26.289339999999999</v>
      </c>
      <c r="CS43" s="22">
        <f t="shared" si="85"/>
        <v>24.207176138613864</v>
      </c>
      <c r="CT43" s="22">
        <f t="shared" si="85"/>
        <v>24.338356274509803</v>
      </c>
      <c r="CU43" s="22">
        <f t="shared" si="85"/>
        <v>17.371697105313274</v>
      </c>
      <c r="CV43" s="22">
        <f t="shared" si="85"/>
        <v>16.512894022988505</v>
      </c>
      <c r="CW43" s="22">
        <f t="shared" si="85"/>
        <v>18.456277777777778</v>
      </c>
      <c r="CX43" s="22">
        <f t="shared" si="85"/>
        <v>17.97927400969477</v>
      </c>
      <c r="CY43" s="22">
        <f t="shared" si="85"/>
        <v>20.69216875</v>
      </c>
      <c r="CZ43" s="22">
        <f t="shared" si="85"/>
        <v>23.512280000000001</v>
      </c>
      <c r="DA43" s="22">
        <f t="shared" si="85"/>
        <v>18.579008543689319</v>
      </c>
      <c r="DB43" s="22">
        <f t="shared" si="85"/>
        <v>14.679860373134328</v>
      </c>
      <c r="DC43" s="22">
        <f t="shared" si="85"/>
        <v>18.6736</v>
      </c>
      <c r="DD43" s="22">
        <f t="shared" si="85"/>
        <v>17.09928</v>
      </c>
      <c r="DE43" s="22">
        <f t="shared" si="85"/>
        <v>16.596781249999999</v>
      </c>
      <c r="DF43" s="22">
        <f t="shared" si="85"/>
        <v>22.765588364293087</v>
      </c>
      <c r="DG43" s="22">
        <f t="shared" si="85"/>
        <v>22.113244999999999</v>
      </c>
      <c r="DH43" s="22">
        <f t="shared" si="85"/>
        <v>18.371382568807338</v>
      </c>
      <c r="DI43" s="22">
        <f t="shared" si="85"/>
        <v>22.310563578947367</v>
      </c>
      <c r="DJ43" s="22">
        <f t="shared" si="85"/>
        <v>17.881814567901237</v>
      </c>
      <c r="DK43" s="22">
        <f t="shared" si="85"/>
        <v>13.063326929824562</v>
      </c>
      <c r="DL43" s="22">
        <f t="shared" si="85"/>
        <v>12.523631623931625</v>
      </c>
      <c r="DM43" s="22">
        <f t="shared" si="85"/>
        <v>12.758980049504951</v>
      </c>
      <c r="DN43" s="22">
        <f t="shared" si="85"/>
        <v>11.491588246591126</v>
      </c>
      <c r="DO43" s="22">
        <f t="shared" si="85"/>
        <v>15.042719999999999</v>
      </c>
      <c r="DP43" s="22">
        <f t="shared" si="85"/>
        <v>10.002360392156863</v>
      </c>
      <c r="DQ43" s="33">
        <f t="shared" si="85"/>
        <v>7.6249786442838934</v>
      </c>
      <c r="DR43" s="33">
        <f t="shared" si="85"/>
        <v>13.327545000000001</v>
      </c>
      <c r="DS43" s="33">
        <f t="shared" si="85"/>
        <v>10.097972500000001</v>
      </c>
      <c r="DT43" s="33">
        <f t="shared" si="85"/>
        <v>4.9513107922885569</v>
      </c>
      <c r="DU43" s="33">
        <f t="shared" si="85"/>
        <v>3.2805344276381909</v>
      </c>
      <c r="DV43" s="33">
        <f t="shared" si="85"/>
        <v>2.4163584474885842</v>
      </c>
      <c r="DW43" s="33">
        <f t="shared" si="85"/>
        <v>1.0856999999999999</v>
      </c>
      <c r="DX43" s="547">
        <f t="shared" si="85"/>
        <v>12.336555000000001</v>
      </c>
      <c r="DY43" s="547">
        <f t="shared" si="85"/>
        <v>0.21388888888888891</v>
      </c>
      <c r="DZ43" s="547">
        <f t="shared" si="85"/>
        <v>2.2951775000000003</v>
      </c>
      <c r="EA43" s="547">
        <f t="shared" si="85"/>
        <v>0.36112425373134327</v>
      </c>
      <c r="EB43" s="547">
        <f t="shared" si="85"/>
        <v>4.984383997532718</v>
      </c>
      <c r="EC43" s="547">
        <f t="shared" si="85"/>
        <v>8.779796666666666</v>
      </c>
      <c r="ED43" s="547">
        <f t="shared" si="85"/>
        <v>12.982520833333332</v>
      </c>
      <c r="EE43" s="547">
        <f t="shared" si="85"/>
        <v>10.781882458563535</v>
      </c>
      <c r="EF43" s="547">
        <f t="shared" si="85"/>
        <v>10.024373333333333</v>
      </c>
      <c r="EG43" s="547">
        <f t="shared" si="85"/>
        <v>13.129398333333334</v>
      </c>
      <c r="EH43" s="547">
        <f t="shared" si="85"/>
        <v>14.853813333333335</v>
      </c>
      <c r="EI43" s="547">
        <f t="shared" si="85"/>
        <v>9.5803399999999996</v>
      </c>
    </row>
    <row r="44" spans="1:140" x14ac:dyDescent="0.25">
      <c r="A44" s="8"/>
      <c r="B44" s="7"/>
      <c r="C44" s="7"/>
      <c r="D44" s="7"/>
      <c r="E44" s="7"/>
      <c r="F44" s="7"/>
      <c r="G44" s="7"/>
      <c r="H44" s="7"/>
      <c r="I44" s="7"/>
      <c r="J44" s="7"/>
      <c r="K44" s="7"/>
      <c r="L44" s="38"/>
      <c r="M44" s="38"/>
      <c r="N44" s="38"/>
      <c r="O44" s="38"/>
      <c r="P44" s="38"/>
      <c r="Q44" s="38"/>
      <c r="R44" s="38"/>
      <c r="S44" s="38"/>
      <c r="T44" s="38"/>
      <c r="U44" s="38"/>
      <c r="V44" s="38"/>
      <c r="W44" s="38"/>
      <c r="X44" s="38"/>
      <c r="Y44" s="38"/>
      <c r="Z44" s="38"/>
      <c r="AA44" s="38"/>
      <c r="AB44" s="38"/>
      <c r="AC44" s="38"/>
      <c r="AD44" s="17"/>
      <c r="AE44" s="17"/>
      <c r="AF44" s="26"/>
      <c r="AG44" s="17"/>
      <c r="AH44" s="17"/>
      <c r="AI44" s="17"/>
      <c r="AJ44" s="17"/>
      <c r="AK44" s="26"/>
      <c r="AL44" s="22"/>
      <c r="AM44" s="22"/>
      <c r="AN44" s="22"/>
      <c r="AO44" s="22"/>
      <c r="AP44" s="38"/>
      <c r="AQ44" s="38"/>
      <c r="AR44" s="38"/>
      <c r="AS44" s="38"/>
      <c r="AT44" s="38"/>
      <c r="AU44" s="38"/>
      <c r="AV44" s="38"/>
      <c r="AW44" s="38"/>
      <c r="AX44" s="38"/>
      <c r="AY44" s="38"/>
      <c r="AZ44" s="38"/>
      <c r="BA44" s="38"/>
      <c r="BB44" s="38"/>
      <c r="BC44" s="38"/>
      <c r="BD44" s="38"/>
      <c r="BE44" s="38"/>
      <c r="BF44" s="38"/>
      <c r="BG44" s="38"/>
      <c r="BH44" s="38"/>
      <c r="BI44" s="38"/>
      <c r="BJ44" s="38"/>
      <c r="BK44" s="38"/>
      <c r="BL44" s="109"/>
      <c r="BM44" s="109"/>
      <c r="BN44" s="109"/>
      <c r="BO44" s="109"/>
      <c r="BP44" s="109"/>
      <c r="BQ44" s="109"/>
      <c r="BR44" s="109"/>
      <c r="BS44" s="109"/>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R44"/>
      <c r="DS44"/>
      <c r="DT44"/>
      <c r="DX44" s="547"/>
      <c r="ED44" s="547"/>
      <c r="EE44" s="547"/>
      <c r="EF44" s="547"/>
      <c r="EG44" s="547"/>
    </row>
    <row r="45" spans="1:140" x14ac:dyDescent="0.25">
      <c r="A45" s="807" t="s">
        <v>7</v>
      </c>
      <c r="B45" s="30" t="s">
        <v>4</v>
      </c>
      <c r="C45" s="522">
        <f>'Batch 2018'!F16</f>
        <v>2.3898123324396785</v>
      </c>
      <c r="D45" s="522">
        <f>'Batch 2018'!F38</f>
        <v>2.5076923076923081</v>
      </c>
      <c r="E45" s="522">
        <f>'Batch 2018'!F60</f>
        <v>0.44318181818181818</v>
      </c>
      <c r="F45" s="522">
        <f>'Batch 2018'!F82</f>
        <v>1.2872538860103626</v>
      </c>
      <c r="G45" s="522">
        <f>'Batch 2018'!F104</f>
        <v>1.3845454545454547</v>
      </c>
      <c r="H45" s="522">
        <f>'Batch 2018'!F126</f>
        <v>0.46506116207951065</v>
      </c>
      <c r="I45" s="522">
        <f>'Batch 2018'!F148</f>
        <v>0.86613976705490847</v>
      </c>
      <c r="J45" s="522">
        <f>'Batch 2018'!F170</f>
        <v>0.85966453674121412</v>
      </c>
      <c r="K45" s="522">
        <f>'Batch 2018'!F192</f>
        <v>0.56816406249999996</v>
      </c>
      <c r="L45" s="38">
        <f>'Batch 2018'!F214</f>
        <v>1.0259292035398229</v>
      </c>
      <c r="M45" s="38">
        <f>'Batch 2018'!F236</f>
        <v>2.0628630705394189</v>
      </c>
      <c r="N45" s="38">
        <f>'Batch 2018'!F258</f>
        <v>1.4470191226096738</v>
      </c>
      <c r="O45" s="38">
        <f>'Batch 2018'!F280</f>
        <v>1.2583126550868486</v>
      </c>
      <c r="P45" s="38">
        <f>'Batch 2018'!F302</f>
        <v>1.2836134453781511</v>
      </c>
      <c r="Q45" s="38">
        <f>'Batch 2018'!F324</f>
        <v>1.3090401785714285</v>
      </c>
      <c r="R45" s="38">
        <f>'Batch 2018'!F346</f>
        <v>1.3193548387096774</v>
      </c>
      <c r="S45" s="38">
        <f>'Batch 2018'!F368</f>
        <v>1.2600361663652804</v>
      </c>
      <c r="T45" s="38">
        <f>'Batch 2018'!F390</f>
        <v>1.558059467918623</v>
      </c>
      <c r="U45" s="38">
        <f>'Batch 2018'!F412</f>
        <v>2.1799134199134196</v>
      </c>
      <c r="V45" s="38">
        <f>'Batch 2018'!F434</f>
        <v>2.1034657650042266</v>
      </c>
      <c r="W45" s="38">
        <f>'Batch 2018'!F456</f>
        <v>2.3100974313551816</v>
      </c>
      <c r="X45" s="38">
        <f>'Batch 2018'!F478</f>
        <v>3.3056888888888887</v>
      </c>
      <c r="Y45" s="38">
        <f>'Batch 2018'!F500</f>
        <v>3.1329280648429583</v>
      </c>
      <c r="Z45" s="38">
        <f>'Batch 2018'!F522</f>
        <v>2.1634892086330937</v>
      </c>
      <c r="AA45" s="38">
        <f>'Batch 2018'!F544</f>
        <v>2.0988340807174888</v>
      </c>
      <c r="AB45" s="38">
        <f>'Batch 2018'!F566</f>
        <v>2.0064969271290609</v>
      </c>
      <c r="AC45" s="38">
        <f>'Batch 2018'!F588</f>
        <v>2.1360360360360362</v>
      </c>
      <c r="AD45" s="17">
        <f>Batches!F16</f>
        <v>1.0971477960242004</v>
      </c>
      <c r="AE45" s="17">
        <f>Batches!F38</f>
        <v>2.0831013916500996</v>
      </c>
      <c r="AF45" s="26">
        <f>Batches!F60</f>
        <v>2.3973425196850395</v>
      </c>
      <c r="AG45" s="17">
        <f>Batches!F82</f>
        <v>2.8335477941176466</v>
      </c>
      <c r="AH45" s="17">
        <f>Batches!F104</f>
        <v>2.1031779661016952</v>
      </c>
      <c r="AI45" s="17">
        <f>Batches!F126</f>
        <v>1.880857740585774</v>
      </c>
      <c r="AJ45" s="17">
        <f>Batches!F148</f>
        <v>2.0899383983572895</v>
      </c>
      <c r="AK45" s="26">
        <f>Batches!F170</f>
        <v>1.7465410958904108</v>
      </c>
      <c r="AL45" s="22">
        <f>Batches!F192</f>
        <v>1.9225454545454546</v>
      </c>
      <c r="AM45" s="22">
        <f>Batches!F214</f>
        <v>1.6095676172953082</v>
      </c>
      <c r="AN45" s="22">
        <f>Batches!F236</f>
        <v>2.2424505928853753</v>
      </c>
      <c r="AO45" s="22">
        <v>2.96</v>
      </c>
      <c r="AP45" s="38">
        <f>Batches!F280</f>
        <v>3.3757421543681083</v>
      </c>
      <c r="AQ45" s="38">
        <f>Batches!F302</f>
        <v>3.1702537182852142</v>
      </c>
      <c r="AR45" s="38">
        <f>Batches!F326</f>
        <v>2.579140625</v>
      </c>
      <c r="AS45" s="38">
        <f>Batches!F350</f>
        <v>2.8025781250000001</v>
      </c>
      <c r="AT45" s="38">
        <f>Batches!F374</f>
        <v>2.5066718386346007</v>
      </c>
      <c r="AU45" s="38">
        <f>Batches!F399</f>
        <v>2.2243519245875882</v>
      </c>
      <c r="AV45" s="38">
        <f>Batches!F424</f>
        <v>2.504034134988363</v>
      </c>
      <c r="AW45" s="38">
        <f>Batches!F449</f>
        <v>2.5074218749999999</v>
      </c>
      <c r="AX45" s="38">
        <f>Batches!F474</f>
        <v>2.3286453839516827</v>
      </c>
      <c r="AY45" s="38">
        <f>Batches!F499</f>
        <v>1.9897943037974684</v>
      </c>
      <c r="AZ45" s="38">
        <f>Batches!F524</f>
        <v>1.6966666666666668</v>
      </c>
      <c r="BA45" s="38">
        <f>Batches!F548</f>
        <v>1.9045376712328768</v>
      </c>
      <c r="BB45" s="38">
        <f>Batches!F572</f>
        <v>1.7617342879872711</v>
      </c>
      <c r="BC45" s="140"/>
      <c r="BD45" s="140"/>
      <c r="BE45" s="140"/>
      <c r="BF45" s="140"/>
      <c r="BG45" s="140"/>
      <c r="BH45" s="140"/>
      <c r="BI45" s="140"/>
      <c r="BJ45" s="140"/>
      <c r="BK45" s="140"/>
      <c r="BL45" s="140"/>
      <c r="BM45" s="140"/>
      <c r="BN45" s="140"/>
      <c r="BO45" s="140"/>
      <c r="BP45" s="140"/>
      <c r="BQ45" s="140"/>
      <c r="BR45" s="140"/>
      <c r="BS45" s="140"/>
      <c r="BT45" s="140"/>
      <c r="BU45" s="140"/>
      <c r="BV45" s="140"/>
      <c r="BW45" s="140"/>
      <c r="BX45" s="140"/>
      <c r="BY45" s="140"/>
      <c r="BZ45" s="140"/>
      <c r="CA45" s="140"/>
      <c r="CB45" s="140"/>
      <c r="CC45" s="140"/>
      <c r="CD45" s="140"/>
      <c r="CE45" s="22">
        <f>Batches!H1295</f>
        <v>1.009175355450237</v>
      </c>
      <c r="CF45" s="22">
        <f>Batches!H1319</f>
        <v>2.5629982964224869</v>
      </c>
      <c r="CG45" s="22">
        <f>Batches!H1343</f>
        <v>2.4646875000000001</v>
      </c>
      <c r="CH45" s="140"/>
      <c r="CI45" s="22">
        <f>Batches!H1391</f>
        <v>2.4656024844720497</v>
      </c>
      <c r="CJ45" s="22">
        <f>Batches!H1415</f>
        <v>2.4605459387483357</v>
      </c>
      <c r="CK45" s="22">
        <f>Batches!H1439</f>
        <v>2.3946680497925312</v>
      </c>
      <c r="CL45" s="22">
        <f>Batches!H1462</f>
        <v>2.8949249011857705</v>
      </c>
      <c r="CM45" s="22">
        <f>Batches!H1486</f>
        <v>2.8612670565302141</v>
      </c>
      <c r="CN45" s="22">
        <f>Batches!H1510</f>
        <v>3.0724741081703111</v>
      </c>
      <c r="CO45" s="22">
        <f>Batches!H1534</f>
        <v>2.4493320964749534</v>
      </c>
      <c r="CP45" s="22">
        <f>Batches!H1558</f>
        <v>3.2440785169029445</v>
      </c>
      <c r="CQ45" s="22">
        <f>Batches!H1582</f>
        <v>2.4073532440782697</v>
      </c>
      <c r="CR45" s="22">
        <f>Batches!H1606</f>
        <v>2.275753846153846</v>
      </c>
      <c r="CS45" s="22">
        <f>Batches!H1630</f>
        <v>2.6620762711864407</v>
      </c>
      <c r="CT45" s="22">
        <f>Batches!H1654</f>
        <v>2.3345629202689722</v>
      </c>
      <c r="CU45" s="22">
        <f>Batches!H1678</f>
        <v>2.279836867862969</v>
      </c>
      <c r="CV45" s="22">
        <f>Batches!H1702</f>
        <v>1.8777594568380214</v>
      </c>
      <c r="CW45" s="22">
        <f>Batches!H1726</f>
        <v>2.077226368159204</v>
      </c>
      <c r="CX45" s="22">
        <f>Batches!H1750</f>
        <v>2.2862281603288799</v>
      </c>
      <c r="CY45" s="22">
        <f>Batches!H1774</f>
        <v>2.9515703192407248</v>
      </c>
      <c r="CZ45" s="22">
        <f>Batches!H1798</f>
        <v>2.7343739279588335</v>
      </c>
      <c r="DA45" s="22">
        <f>Batches!H1822</f>
        <v>2.3851986475063396</v>
      </c>
      <c r="DB45" s="22">
        <f>Batches!H1846</f>
        <v>2.3451458670988652</v>
      </c>
      <c r="DC45" s="22">
        <f>Batches!H1870</f>
        <v>2.3831349911190052</v>
      </c>
      <c r="DD45" s="22">
        <f>Batches!H1894</f>
        <v>2.3304232804232803</v>
      </c>
      <c r="DE45" s="22">
        <f>Batches!H1918</f>
        <v>2.6473404255319153</v>
      </c>
      <c r="DF45" s="22">
        <f>Batches!H1942</f>
        <v>2.1285011441647597</v>
      </c>
      <c r="DG45" s="22">
        <f>Batches!H1966</f>
        <v>1.9138321536905964</v>
      </c>
      <c r="DH45" s="22">
        <f>Batches!H1990</f>
        <v>1.9569736842105263</v>
      </c>
      <c r="DI45" s="22">
        <f>Batches!H2014</f>
        <v>2.576605922551253</v>
      </c>
      <c r="DJ45" s="22">
        <f>Batches!H2038</f>
        <v>2.0513713080168778</v>
      </c>
      <c r="DK45" s="22">
        <f>Batches!H2062</f>
        <v>1.3790128755364806</v>
      </c>
      <c r="DL45" s="22">
        <f>Batches!H2086</f>
        <v>1.7266574585635357</v>
      </c>
      <c r="DM45" s="22">
        <f>Batches!H2110</f>
        <v>1.6630878438331858</v>
      </c>
      <c r="DN45" s="22">
        <f>Batches!H2134</f>
        <v>1.5509468438538205</v>
      </c>
      <c r="DO45" s="22">
        <f>Batches!H2158</f>
        <v>2.034174125305126</v>
      </c>
      <c r="DP45" s="22">
        <f>Batches!H2182</f>
        <v>1.7741513761467891</v>
      </c>
      <c r="DQ45" s="22">
        <f>Batches!H2206</f>
        <v>1.6282040472175379</v>
      </c>
      <c r="DR45" s="22">
        <f>Batches!H2230</f>
        <v>1.6194259115593486</v>
      </c>
      <c r="DS45" s="22">
        <f>Batches!H2254</f>
        <v>1.6828957239309827</v>
      </c>
      <c r="DT45" s="22">
        <f>Batches!H2278</f>
        <v>0.93611640211640212</v>
      </c>
      <c r="DU45" s="22">
        <f>Batches!H2302</f>
        <v>0.89550705128205121</v>
      </c>
      <c r="DV45" s="547">
        <f>Batches!H2326</f>
        <v>0.9131503579952267</v>
      </c>
      <c r="DW45" s="547">
        <f>Batches!H2350</f>
        <v>0.24616194331983809</v>
      </c>
      <c r="DX45" s="547">
        <f>Batches!H2374</f>
        <v>1.559247863247863</v>
      </c>
      <c r="DY45" s="547">
        <f>Batches!H2398</f>
        <v>0.40593803786574867</v>
      </c>
      <c r="DZ45" s="547">
        <f>Batches!H2422</f>
        <v>0.27100813008130081</v>
      </c>
      <c r="EA45" s="547">
        <f>Batches!H2446</f>
        <v>0.22702495201535508</v>
      </c>
      <c r="EB45" s="41">
        <f>Batches!H2470</f>
        <v>1.029190909090909</v>
      </c>
      <c r="EC45" s="41">
        <f>Batches!H2494</f>
        <v>1.1755829383886256</v>
      </c>
      <c r="ED45" s="547">
        <f>Batches!H2518</f>
        <v>1.5123608617594255</v>
      </c>
      <c r="EE45" s="547">
        <f>Batches!H2542</f>
        <v>1.7308966861598443</v>
      </c>
      <c r="EF45" s="547">
        <f>Batches!H2566</f>
        <v>1.4402511210762332</v>
      </c>
      <c r="EG45" s="547">
        <f>Batches!H2590</f>
        <v>1.5343068088597209</v>
      </c>
      <c r="EH45" s="573">
        <f>Batches!H2614</f>
        <v>2.2432815356489941</v>
      </c>
      <c r="EI45" s="573">
        <f>Batches!H2638</f>
        <v>1.7331506849315068</v>
      </c>
    </row>
    <row r="46" spans="1:140" x14ac:dyDescent="0.25">
      <c r="A46" s="807"/>
      <c r="B46" s="30" t="s">
        <v>1</v>
      </c>
      <c r="C46" s="522">
        <f>'Batch 2018'!L16</f>
        <v>2.1346774193548388</v>
      </c>
      <c r="D46" s="522">
        <f>'Batch 2018'!L38</f>
        <v>2.3377659574468086</v>
      </c>
      <c r="E46" s="522">
        <f>'Batch 2018'!L60</f>
        <v>1.2769808173477899</v>
      </c>
      <c r="F46" s="522">
        <f>'Batch 2018'!L82</f>
        <v>1.2202072538860105</v>
      </c>
      <c r="G46" s="522">
        <f>'Batch 2018'!L104</f>
        <v>1.4708962739174218</v>
      </c>
      <c r="H46" s="522">
        <f>'Batch 2018'!L126</f>
        <v>0.42560733384262794</v>
      </c>
      <c r="I46" s="522">
        <f>'Batch 2018'!L148</f>
        <v>1.0233443708609271</v>
      </c>
      <c r="J46" s="522">
        <f>'Batch 2018'!L170</f>
        <v>0.59967585089141018</v>
      </c>
      <c r="K46" s="522">
        <f>'Batch 2018'!L192</f>
        <v>0.5908292682926829</v>
      </c>
      <c r="L46" s="38">
        <f>'Batch 2018'!L214</f>
        <v>1.2450928381962865</v>
      </c>
      <c r="M46" s="38">
        <f>'Batch 2018'!L236</f>
        <v>0.28285123966942149</v>
      </c>
      <c r="N46" s="38">
        <f>'Batch 2018'!L258</f>
        <v>1.5843644544431945</v>
      </c>
      <c r="O46" s="38">
        <f>'Batch 2018'!L280</f>
        <v>1.4337881219903692</v>
      </c>
      <c r="P46" s="38">
        <f>'Batch 2018'!L302</f>
        <v>1.2284974093264247</v>
      </c>
      <c r="Q46" s="38">
        <f>'Batch 2018'!L324</f>
        <v>1.0796222664015904</v>
      </c>
      <c r="R46" s="38">
        <f>'Batch 2018'!L346</f>
        <v>1.9263157894736842</v>
      </c>
      <c r="S46" s="38">
        <f>'Batch 2018'!L368</f>
        <v>1.6893559928443651</v>
      </c>
      <c r="T46" s="38">
        <f>'Batch 2018'!L390</f>
        <v>1.5534225019669552</v>
      </c>
      <c r="U46" s="38">
        <f>'Batch 2018'!L412</f>
        <v>2.7967309304274934</v>
      </c>
      <c r="V46" s="38">
        <f>'Batch 2018'!L434</f>
        <v>2.4269062226117439</v>
      </c>
      <c r="W46" s="38">
        <f>'Batch 2018'!L456</f>
        <v>2.4874884151992589</v>
      </c>
      <c r="X46" s="38">
        <f>'Batch 2018'!L478</f>
        <v>2.0943262411347519</v>
      </c>
      <c r="Y46" s="38">
        <f>'Batch 2018'!L500</f>
        <v>2.9592746113989641</v>
      </c>
      <c r="Z46" s="38">
        <f>'Batch 2018'!L522</f>
        <v>2.1975111111111114</v>
      </c>
      <c r="AA46" s="38">
        <f>'Batch 2018'!L544</f>
        <v>2.4974288337924704</v>
      </c>
      <c r="AB46" s="38">
        <f>'Batch 2018'!L566</f>
        <v>2.0368333333333331</v>
      </c>
      <c r="AC46" s="38">
        <f>'Batch 2018'!L588</f>
        <v>2.466698656429942</v>
      </c>
      <c r="AD46" s="17">
        <f>Batches!O16</f>
        <v>2.0485113835376536</v>
      </c>
      <c r="AE46" s="17">
        <f>Batches!O38</f>
        <v>2.5896207584830342</v>
      </c>
      <c r="AF46" s="26">
        <f>Batches!O60</f>
        <v>2.8375234521575985</v>
      </c>
      <c r="AG46" s="17">
        <f>Batches!O82</f>
        <v>1.9577530176415969</v>
      </c>
      <c r="AH46" s="17">
        <f>Batches!O104</f>
        <v>3.2312718786464405</v>
      </c>
      <c r="AI46" s="17">
        <f>Batches!O126</f>
        <v>2.0653144016227181</v>
      </c>
      <c r="AJ46" s="17">
        <f>Batches!O148</f>
        <v>2.6437159533073933</v>
      </c>
      <c r="AK46" s="26">
        <f>Batches!O170</f>
        <v>2.0906586826347304</v>
      </c>
      <c r="AL46" s="22">
        <f>Batches!O192</f>
        <v>2.0993474714518761</v>
      </c>
      <c r="AM46" s="22">
        <f>Batches!O214</f>
        <v>3.028532360984503</v>
      </c>
      <c r="AN46" s="22">
        <f>Batches!O236</f>
        <v>2.6091880341880338</v>
      </c>
      <c r="AO46" s="22">
        <v>3.4</v>
      </c>
      <c r="AP46" s="38">
        <f>Batches!O280</f>
        <v>3.4443455031166521</v>
      </c>
      <c r="AQ46" s="38">
        <f>Batches!O302</f>
        <v>3.5046167247386757</v>
      </c>
      <c r="AR46" s="38">
        <f>Batches!O326</f>
        <v>2.2693306010928964</v>
      </c>
      <c r="AS46" s="38">
        <f>Batches!O350</f>
        <v>3.0709209572153737</v>
      </c>
      <c r="AT46" s="38">
        <f>Batches!O374</f>
        <v>3.2166149068322984</v>
      </c>
      <c r="AU46" s="38">
        <f>Batches!O399</f>
        <v>2.7697564807541242</v>
      </c>
      <c r="AV46" s="38">
        <f>Batches!O424</f>
        <v>2.9210852713178297</v>
      </c>
      <c r="AW46" s="38">
        <f>Batches!O449</f>
        <v>2.5734129947722182</v>
      </c>
      <c r="AX46" s="38">
        <f>Batches!O474</f>
        <v>2.4441717791411044</v>
      </c>
      <c r="AY46" s="38">
        <f>Batches!O499</f>
        <v>2.0172516803584766</v>
      </c>
      <c r="AZ46" s="38">
        <f>Batches!O524</f>
        <v>2.3786676646706586</v>
      </c>
      <c r="BA46" s="38">
        <f>Batches!O548</f>
        <v>2.1437599999999999</v>
      </c>
      <c r="BB46" s="38">
        <f>Batches!O572</f>
        <v>2.19234375</v>
      </c>
      <c r="BC46" s="140"/>
      <c r="BD46" s="140"/>
      <c r="BE46" s="140"/>
      <c r="BF46" s="140"/>
      <c r="BG46" s="140"/>
      <c r="BH46" s="140"/>
      <c r="BI46" s="140"/>
      <c r="BJ46" s="140"/>
      <c r="BK46" s="140"/>
      <c r="BL46" s="140"/>
      <c r="BM46" s="140"/>
      <c r="BN46" s="140"/>
      <c r="BO46" s="140"/>
      <c r="BP46" s="140"/>
      <c r="BQ46" s="140"/>
      <c r="BR46" s="140"/>
      <c r="BS46" s="140"/>
      <c r="BT46" s="140"/>
      <c r="BU46" s="140"/>
      <c r="BV46" s="140"/>
      <c r="BW46" s="140"/>
      <c r="BX46" s="140"/>
      <c r="BY46" s="140"/>
      <c r="BZ46" s="140"/>
      <c r="CA46" s="140"/>
      <c r="CB46" s="140"/>
      <c r="CC46" s="140"/>
      <c r="CD46" s="140"/>
      <c r="CE46" s="22">
        <f>Batches!O1295</f>
        <v>1.6159962049335865</v>
      </c>
      <c r="CF46" s="22">
        <f>Batches!O1319</f>
        <v>2.9425546058879397</v>
      </c>
      <c r="CG46" s="22">
        <f>Batches!O1343</f>
        <v>2.6528125</v>
      </c>
      <c r="CH46" s="140"/>
      <c r="CI46" s="22">
        <f>Batches!O1391</f>
        <v>3.354529702970297</v>
      </c>
      <c r="CJ46" s="22">
        <f>Batches!O1415</f>
        <v>2.4207323568575232</v>
      </c>
      <c r="CK46" s="22">
        <f>Batches!O1439</f>
        <v>2.8166252587991716</v>
      </c>
      <c r="CL46" s="22">
        <f>Batches!O1462</f>
        <v>3.4457142857142857</v>
      </c>
      <c r="CM46" s="22">
        <f>Batches!O1486</f>
        <v>2.7015362318840581</v>
      </c>
      <c r="CN46" s="22">
        <f>Batches!O1510</f>
        <v>3.6813379469434828</v>
      </c>
      <c r="CO46" s="22">
        <f>Batches!O1534</f>
        <v>2.7266984732824429</v>
      </c>
      <c r="CP46" s="22">
        <f>Batches!O1558</f>
        <v>3.1035268346111722</v>
      </c>
      <c r="CQ46" s="22">
        <f>Batches!O1582</f>
        <v>3.2430737704918036</v>
      </c>
      <c r="CR46" s="22">
        <f>Batches!O1606</f>
        <v>2.9614049586776861</v>
      </c>
      <c r="CS46" s="22">
        <f>Batches!O1630</f>
        <v>2.9394597457627119</v>
      </c>
      <c r="CT46" s="22">
        <f>Batches!O1654</f>
        <v>2.6099045801526719</v>
      </c>
      <c r="CU46" s="22">
        <f>Batches!O1678</f>
        <v>2.5925672371638142</v>
      </c>
      <c r="CV46" s="22">
        <f>Batches!O1702</f>
        <v>2.5872246696035242</v>
      </c>
      <c r="CW46" s="22">
        <f>Batches!O1726</f>
        <v>2.1036570743405276</v>
      </c>
      <c r="CX46" s="22">
        <f>Batches!O1750</f>
        <v>2.7969979296066252</v>
      </c>
      <c r="CY46" s="22">
        <f>Batches!O1774</f>
        <v>3.2110729613733904</v>
      </c>
      <c r="CZ46" s="22">
        <f>Batches!O1798</f>
        <v>3.3762006861063463</v>
      </c>
      <c r="DA46" s="22">
        <f>Batches!O1822</f>
        <v>2.7407439999999998</v>
      </c>
      <c r="DB46" s="22">
        <f>Batches!O1846</f>
        <v>2.631983002832861</v>
      </c>
      <c r="DC46" s="22">
        <f>Batches!O1870</f>
        <v>2.3874424778761063</v>
      </c>
      <c r="DD46" s="22">
        <f>Batches!O1894</f>
        <v>2.5342869718309857</v>
      </c>
      <c r="DE46" s="22">
        <f>Batches!O1918</f>
        <v>2.5369642857142858</v>
      </c>
      <c r="DF46" s="22">
        <f>Batches!O1942</f>
        <v>3.0980747451868633</v>
      </c>
      <c r="DG46" s="22">
        <f>Batches!O1966</f>
        <v>2.1480730223123734</v>
      </c>
      <c r="DH46" s="22">
        <f>Batches!O1990</f>
        <v>2.3229838709677422</v>
      </c>
      <c r="DI46" s="22">
        <f>Batches!O2014</f>
        <v>2.6766742596810933</v>
      </c>
      <c r="DJ46" s="22">
        <f>Batches!O2038</f>
        <v>2.3934107708553327</v>
      </c>
      <c r="DK46" s="22">
        <f>Batches!O2062</f>
        <v>1.9238156484458735</v>
      </c>
      <c r="DL46" s="22">
        <f>Batches!O2086</f>
        <v>1.7815984776403426</v>
      </c>
      <c r="DM46" s="22">
        <f>Batches!O2110</f>
        <v>2.5221257750221433</v>
      </c>
      <c r="DN46" s="22">
        <f>Batches!O2134</f>
        <v>1.3972787427626134</v>
      </c>
      <c r="DO46" s="22">
        <f>Batches!O2158</f>
        <v>2.1956525285481243</v>
      </c>
      <c r="DP46" s="22">
        <f>Batches!O2182</f>
        <v>1.9459863945578231</v>
      </c>
      <c r="DQ46" s="22">
        <f>Batches!O2206</f>
        <v>1.3612408759124086</v>
      </c>
      <c r="DR46" s="22">
        <f>Batches!O2230</f>
        <v>1.6421651090342679</v>
      </c>
      <c r="DS46" s="22">
        <f>Batches!O2254</f>
        <v>1.441432813659985</v>
      </c>
      <c r="DT46" s="22">
        <f>Batches!O2278</f>
        <v>0.77291353383458639</v>
      </c>
      <c r="DU46" s="22">
        <f>Batches!O2302</f>
        <v>0.77145264847512041</v>
      </c>
      <c r="DV46" s="547">
        <f>Batches!O2326</f>
        <v>0.85732106339468306</v>
      </c>
      <c r="DW46" s="547">
        <f>Batches!O2350</f>
        <v>0.23734387351778657</v>
      </c>
      <c r="DX46" s="547">
        <f>Batches!O2374</f>
        <v>2.2407753303964757</v>
      </c>
      <c r="DY46">
        <v>0</v>
      </c>
      <c r="DZ46" s="547">
        <f>Batches!O2422</f>
        <v>0.53379562043795614</v>
      </c>
      <c r="EA46" s="547">
        <f>Batches!O2446</f>
        <v>0.45626623376623382</v>
      </c>
      <c r="EB46" s="41">
        <f>Batches!O2470</f>
        <v>1.3839222614840989</v>
      </c>
      <c r="EC46" s="41">
        <f>Batches!O2494</f>
        <v>1.5879438405797102</v>
      </c>
      <c r="ED46" s="547">
        <f>Batches!O2518</f>
        <v>1.8932579185520364</v>
      </c>
      <c r="EE46" s="547">
        <f>Batches!O2542</f>
        <v>1.9410517387616626</v>
      </c>
      <c r="EF46" s="547">
        <f>Batches!O2566</f>
        <v>1.5474182139699382</v>
      </c>
      <c r="EG46" s="547">
        <f>Batches!O2590</f>
        <v>2.384129891756869</v>
      </c>
      <c r="EH46" s="573">
        <f>Batches!O2614</f>
        <v>2.0275988960441582</v>
      </c>
      <c r="EI46" s="573">
        <f>Batches!O2638</f>
        <v>1.9815750915750916</v>
      </c>
    </row>
    <row r="47" spans="1:140" s="560" customFormat="1" x14ac:dyDescent="0.25">
      <c r="A47" s="807"/>
      <c r="B47" s="554" t="s">
        <v>2</v>
      </c>
      <c r="C47" s="555">
        <f t="shared" ref="C47:K47" si="86">(C45*C14+C46*C15)/C16</f>
        <v>2.2624161073825504</v>
      </c>
      <c r="D47" s="555">
        <f t="shared" si="86"/>
        <v>2.4223508459483529</v>
      </c>
      <c r="E47" s="555">
        <f t="shared" si="86"/>
        <v>0.88651884700665196</v>
      </c>
      <c r="F47" s="555">
        <f t="shared" si="86"/>
        <v>1.2537305699481864</v>
      </c>
      <c r="G47" s="555">
        <f t="shared" si="86"/>
        <v>1.4277861825516895</v>
      </c>
      <c r="H47" s="555">
        <f t="shared" si="86"/>
        <v>0.44532670997325186</v>
      </c>
      <c r="I47" s="555">
        <f t="shared" si="86"/>
        <v>0.94493775933609969</v>
      </c>
      <c r="J47" s="555">
        <f t="shared" si="86"/>
        <v>0.73061142397425594</v>
      </c>
      <c r="K47" s="555">
        <f t="shared" si="86"/>
        <v>0.57950219619326504</v>
      </c>
      <c r="L47" s="555">
        <f t="shared" ref="L47:V47" si="87">(L45*L14+L46*L15)/L16</f>
        <v>1.1355594869526757</v>
      </c>
      <c r="M47" s="555">
        <f t="shared" si="87"/>
        <v>1.171014492753623</v>
      </c>
      <c r="N47" s="555">
        <f t="shared" si="87"/>
        <v>1.5156917885264343</v>
      </c>
      <c r="O47" s="555">
        <f t="shared" si="87"/>
        <v>1.3473727087576375</v>
      </c>
      <c r="P47" s="555">
        <f t="shared" si="87"/>
        <v>1.255868544600939</v>
      </c>
      <c r="Q47" s="555">
        <f t="shared" si="87"/>
        <v>1.1876971608832807</v>
      </c>
      <c r="R47" s="555">
        <f t="shared" si="87"/>
        <v>1.6187499999999999</v>
      </c>
      <c r="S47" s="555">
        <f t="shared" si="87"/>
        <v>1.4758543165467626</v>
      </c>
      <c r="T47" s="555">
        <f t="shared" si="87"/>
        <v>1.5557473519027072</v>
      </c>
      <c r="U47" s="555">
        <f t="shared" si="87"/>
        <v>2.4933134582623508</v>
      </c>
      <c r="V47" s="555">
        <f t="shared" si="87"/>
        <v>2.262263339070568</v>
      </c>
      <c r="W47" s="555">
        <f t="shared" ref="W47:AC47" si="88">(W45*W14+W46*W15)/W16</f>
        <v>2.3967844202898552</v>
      </c>
      <c r="X47" s="555">
        <f t="shared" si="88"/>
        <v>2.7857432775240993</v>
      </c>
      <c r="Y47" s="555">
        <f t="shared" si="88"/>
        <v>3.0470799180327868</v>
      </c>
      <c r="Z47" s="555">
        <f t="shared" si="88"/>
        <v>2.1805990165400089</v>
      </c>
      <c r="AA47" s="555">
        <f t="shared" si="88"/>
        <v>2.2957803992740469</v>
      </c>
      <c r="AB47" s="555">
        <f t="shared" si="88"/>
        <v>2.0220607097050025</v>
      </c>
      <c r="AC47" s="555">
        <f t="shared" si="88"/>
        <v>2.2961431226765794</v>
      </c>
      <c r="AD47" s="555">
        <f t="shared" ref="AD47:AM47" si="89">(AD45*AD14+AD46*AD15)/AD16</f>
        <v>1.5697259678120923</v>
      </c>
      <c r="AE47" s="555">
        <f t="shared" si="89"/>
        <v>2.3358565737051795</v>
      </c>
      <c r="AF47" s="555">
        <f t="shared" si="89"/>
        <v>2.622718539865514</v>
      </c>
      <c r="AG47" s="555">
        <f t="shared" si="89"/>
        <v>2.3978752886836028</v>
      </c>
      <c r="AH47" s="555">
        <f t="shared" si="89"/>
        <v>2.6399777901166015</v>
      </c>
      <c r="AI47" s="555">
        <f t="shared" si="89"/>
        <v>1.9745108135942326</v>
      </c>
      <c r="AJ47" s="555">
        <f t="shared" si="89"/>
        <v>2.3742957042957045</v>
      </c>
      <c r="AK47" s="555">
        <f t="shared" si="89"/>
        <v>1.9186735130509198</v>
      </c>
      <c r="AL47" s="555">
        <f t="shared" si="89"/>
        <v>2.0095624247290242</v>
      </c>
      <c r="AM47" s="555">
        <f t="shared" si="89"/>
        <v>2.3222985347985348</v>
      </c>
      <c r="AN47" s="555">
        <f t="shared" ref="AN47:BB47" si="90">(AN45*AN14+AN46*AN15)/AN16</f>
        <v>2.4353690520794302</v>
      </c>
      <c r="AO47" s="555">
        <f t="shared" si="90"/>
        <v>3.1799097990979908</v>
      </c>
      <c r="AP47" s="555">
        <f t="shared" si="90"/>
        <v>3.4092093831450914</v>
      </c>
      <c r="AQ47" s="555">
        <f t="shared" si="90"/>
        <v>3.3378000872981231</v>
      </c>
      <c r="AR47" s="555">
        <f t="shared" si="90"/>
        <v>2.4138483965014577</v>
      </c>
      <c r="AS47" s="555">
        <f t="shared" si="90"/>
        <v>2.9417450169236559</v>
      </c>
      <c r="AT47" s="555">
        <f t="shared" si="90"/>
        <v>2.8615056266977108</v>
      </c>
      <c r="AU47" s="555">
        <f t="shared" si="90"/>
        <v>2.4970542026708564</v>
      </c>
      <c r="AV47" s="555">
        <f t="shared" si="90"/>
        <v>2.7126405583559516</v>
      </c>
      <c r="AW47" s="555">
        <f t="shared" si="90"/>
        <v>2.5411607483772434</v>
      </c>
      <c r="AX47" s="555">
        <f t="shared" si="90"/>
        <v>2.3859565217391308</v>
      </c>
      <c r="AY47" s="555">
        <f t="shared" si="90"/>
        <v>2.0039185555128696</v>
      </c>
      <c r="AZ47" s="555">
        <f t="shared" si="90"/>
        <v>2.0397213855421685</v>
      </c>
      <c r="BA47" s="555">
        <f t="shared" si="90"/>
        <v>2.0282051282051281</v>
      </c>
      <c r="BB47" s="555">
        <f t="shared" si="90"/>
        <v>1.9789909341742211</v>
      </c>
      <c r="BC47" s="555">
        <f>Batches!K596</f>
        <v>1.3701694915254239</v>
      </c>
      <c r="BD47" s="555">
        <f>Batches!K621</f>
        <v>1.1505084745762713</v>
      </c>
      <c r="BE47" s="555">
        <f>Batches!K647</f>
        <v>1.4036723163841809</v>
      </c>
      <c r="BF47" s="556">
        <f>Batches!K673</f>
        <v>0.90276836158192086</v>
      </c>
      <c r="BG47" s="555">
        <f>Batches!K698</f>
        <v>1.2126553672316385</v>
      </c>
      <c r="BH47" s="556">
        <f>Batches!K724</f>
        <v>0.9302881667688534</v>
      </c>
      <c r="BI47" s="555">
        <f>Batches!K750</f>
        <v>1.1493455497382201</v>
      </c>
      <c r="BJ47" s="555">
        <f>Batches!K776</f>
        <v>1.0669839381320643</v>
      </c>
      <c r="BK47" s="555">
        <f>Batches!K799</f>
        <v>1.2786838709677419</v>
      </c>
      <c r="BL47" s="555">
        <f>Batches!K826</f>
        <v>1.1843260590500642</v>
      </c>
      <c r="BM47" s="556">
        <f>Batches!K852</f>
        <v>0.77296664300922646</v>
      </c>
      <c r="BN47" s="158">
        <f>Batches!K878</f>
        <v>1.0851763046544429</v>
      </c>
      <c r="BO47" s="159">
        <f>Batches!K903</f>
        <v>1.7645285714285714</v>
      </c>
      <c r="BP47" s="557">
        <f>Batches!K928</f>
        <v>0.35407731582786289</v>
      </c>
      <c r="BQ47" s="557">
        <f>Batches!K953</f>
        <v>0.72673323823109837</v>
      </c>
      <c r="BR47" s="558">
        <f>Batches!K978</f>
        <v>0.36155663655316195</v>
      </c>
      <c r="BS47" s="165">
        <f>Batches!K1003</f>
        <v>1.0885981308411217</v>
      </c>
      <c r="BT47" s="557">
        <f>Batches!K1028</f>
        <v>0.63606431852986212</v>
      </c>
      <c r="BU47" s="557">
        <f>Batches!K1053</f>
        <v>0.2187012987012987</v>
      </c>
      <c r="BV47" s="557">
        <f>Batches!K1078</f>
        <v>4.5147286821705428E-2</v>
      </c>
      <c r="BW47" s="557">
        <f>Batches!K1103</f>
        <v>0.57341425215348463</v>
      </c>
      <c r="BX47" s="557">
        <f>Batches!K1127</f>
        <v>0</v>
      </c>
      <c r="BY47" s="557">
        <f>Batches!K1151</f>
        <v>0</v>
      </c>
      <c r="BZ47" s="557">
        <f>Batches!K1175</f>
        <v>0.39980508474576271</v>
      </c>
      <c r="CA47" s="557">
        <f>Batches!K1199</f>
        <v>1.3048442534908702</v>
      </c>
      <c r="CB47" s="557">
        <f>Batches!K1223</f>
        <v>0</v>
      </c>
      <c r="CC47" s="557">
        <f>Batches!K1247</f>
        <v>0.3334206349206349</v>
      </c>
      <c r="CD47" s="557">
        <f>Batches!K1271</f>
        <v>0.70096408317580339</v>
      </c>
      <c r="CE47" s="555">
        <f>(CE45*CE14+CE46*CE15)/CE16</f>
        <v>1.3124419155998106</v>
      </c>
      <c r="CF47" s="555">
        <f>(CF45*CF14+CF46*CF15)/CF16</f>
        <v>2.7424651998203862</v>
      </c>
      <c r="CG47" s="555">
        <f t="shared" ref="CG47:EI47" si="91">(CG45*CG14+CG46*CG15)/CG16</f>
        <v>2.560243055555556</v>
      </c>
      <c r="CH47" s="555">
        <f t="shared" si="91"/>
        <v>0</v>
      </c>
      <c r="CI47" s="555">
        <f t="shared" si="91"/>
        <v>2.9108927464352141</v>
      </c>
      <c r="CJ47" s="555">
        <f t="shared" si="91"/>
        <v>2.4406391478029295</v>
      </c>
      <c r="CK47" s="555">
        <f t="shared" si="91"/>
        <v>2.6058652849740933</v>
      </c>
      <c r="CL47" s="555">
        <f t="shared" si="91"/>
        <v>3.1635155933576344</v>
      </c>
      <c r="CM47" s="555">
        <f t="shared" si="91"/>
        <v>2.7810528869480833</v>
      </c>
      <c r="CN47" s="555">
        <f t="shared" si="91"/>
        <v>3.376555299539171</v>
      </c>
      <c r="CO47" s="555">
        <f t="shared" si="91"/>
        <v>2.5860583254938847</v>
      </c>
      <c r="CP47" s="555">
        <f t="shared" si="91"/>
        <v>3.1739562841530056</v>
      </c>
      <c r="CQ47" s="555">
        <f t="shared" si="91"/>
        <v>2.8262865947611715</v>
      </c>
      <c r="CR47" s="555">
        <f t="shared" si="91"/>
        <v>2.6173443129181679</v>
      </c>
      <c r="CS47" s="555">
        <f t="shared" si="91"/>
        <v>2.8007680084745763</v>
      </c>
      <c r="CT47" s="555">
        <f t="shared" si="91"/>
        <v>2.472695069411202</v>
      </c>
      <c r="CU47" s="555">
        <f t="shared" si="91"/>
        <v>2.4586023759608664</v>
      </c>
      <c r="CV47" s="555">
        <f t="shared" si="91"/>
        <v>2.2099896854048477</v>
      </c>
      <c r="CW47" s="555">
        <f t="shared" si="91"/>
        <v>2.0906837606837607</v>
      </c>
      <c r="CX47" s="555">
        <f t="shared" si="91"/>
        <v>2.5406910778751932</v>
      </c>
      <c r="CY47" s="555">
        <f t="shared" si="91"/>
        <v>3.0816566265060237</v>
      </c>
      <c r="CZ47" s="555">
        <f t="shared" si="91"/>
        <v>3.0552873070325899</v>
      </c>
      <c r="DA47" s="555">
        <f t="shared" si="91"/>
        <v>2.5678668310727493</v>
      </c>
      <c r="DB47" s="555">
        <f t="shared" si="91"/>
        <v>2.4776188399476671</v>
      </c>
      <c r="DC47" s="555">
        <f t="shared" si="91"/>
        <v>2.3852925531914893</v>
      </c>
      <c r="DD47" s="555">
        <f t="shared" si="91"/>
        <v>2.4324449339207046</v>
      </c>
      <c r="DE47" s="555">
        <f t="shared" si="91"/>
        <v>2.5918023255813956</v>
      </c>
      <c r="DF47" s="555">
        <f t="shared" si="91"/>
        <v>2.6157712009106429</v>
      </c>
      <c r="DG47" s="555">
        <f t="shared" si="91"/>
        <v>2.0307746835443035</v>
      </c>
      <c r="DH47" s="555">
        <f t="shared" si="91"/>
        <v>2.1403484848484848</v>
      </c>
      <c r="DI47" s="555">
        <f t="shared" si="91"/>
        <v>2.6266400911161734</v>
      </c>
      <c r="DJ47" s="555">
        <f t="shared" si="91"/>
        <v>2.2223007915567283</v>
      </c>
      <c r="DK47" s="555">
        <f t="shared" si="91"/>
        <v>1.6515603217158177</v>
      </c>
      <c r="DL47" s="555">
        <f t="shared" si="91"/>
        <v>1.7536780533458118</v>
      </c>
      <c r="DM47" s="555">
        <f t="shared" si="91"/>
        <v>2.0929875886524822</v>
      </c>
      <c r="DN47" s="555">
        <f t="shared" si="91"/>
        <v>1.4739535847492746</v>
      </c>
      <c r="DO47" s="555">
        <f t="shared" si="91"/>
        <v>2.1148146639511203</v>
      </c>
      <c r="DP47" s="555">
        <f t="shared" si="91"/>
        <v>1.8605587229190423</v>
      </c>
      <c r="DQ47" s="559">
        <f t="shared" si="91"/>
        <v>1.5088484848484847</v>
      </c>
      <c r="DR47" s="559">
        <f t="shared" si="91"/>
        <v>1.6307734162456278</v>
      </c>
      <c r="DS47" s="559">
        <f t="shared" si="91"/>
        <v>1.5615335820895522</v>
      </c>
      <c r="DT47" s="559">
        <f t="shared" si="91"/>
        <v>0.84968143354902925</v>
      </c>
      <c r="DU47" s="559">
        <f t="shared" si="91"/>
        <v>0.83352959101844426</v>
      </c>
      <c r="DV47" s="559">
        <f t="shared" si="91"/>
        <v>0.88872035794183446</v>
      </c>
      <c r="DW47" s="559">
        <f t="shared" si="91"/>
        <v>0.2417</v>
      </c>
      <c r="DX47" s="559">
        <f t="shared" si="91"/>
        <v>1.8948373101952276</v>
      </c>
      <c r="DY47" s="559">
        <f t="shared" si="91"/>
        <v>8.0964641263302425E-2</v>
      </c>
      <c r="DZ47" s="559">
        <f t="shared" si="91"/>
        <v>0.40256191636215999</v>
      </c>
      <c r="EA47" s="559">
        <f t="shared" si="91"/>
        <v>0.36375290472501937</v>
      </c>
      <c r="EB47" s="559">
        <f t="shared" si="91"/>
        <v>1.2090994623655915</v>
      </c>
      <c r="EC47" s="559">
        <f>(EC45*EC14+EC46*EC15)/EC16</f>
        <v>1.3864427975914775</v>
      </c>
      <c r="ED47" s="559">
        <f t="shared" si="91"/>
        <v>1.7020369535826949</v>
      </c>
      <c r="EE47" s="573">
        <f t="shared" si="91"/>
        <v>1.8432653061224493</v>
      </c>
      <c r="EF47" s="573">
        <f t="shared" si="91"/>
        <v>1.4942163846838825</v>
      </c>
      <c r="EG47" s="573">
        <f t="shared" si="91"/>
        <v>1.9560578512396694</v>
      </c>
      <c r="EH47" s="573">
        <f t="shared" si="91"/>
        <v>2.13578633654287</v>
      </c>
      <c r="EI47" s="573">
        <f t="shared" si="91"/>
        <v>1.8531858407079644</v>
      </c>
    </row>
    <row r="48" spans="1:140" x14ac:dyDescent="0.25">
      <c r="A48" s="29"/>
      <c r="B48" s="8"/>
      <c r="C48" s="8"/>
      <c r="D48" s="8"/>
      <c r="E48" s="8"/>
      <c r="F48" s="8"/>
      <c r="G48" s="8"/>
      <c r="H48" s="8"/>
      <c r="I48" s="8"/>
      <c r="J48" s="8"/>
      <c r="K48" s="8"/>
      <c r="L48" s="38"/>
      <c r="M48" s="38"/>
      <c r="N48" s="38"/>
      <c r="O48" s="38"/>
      <c r="P48" s="38"/>
      <c r="Q48" s="38"/>
      <c r="R48" s="38"/>
      <c r="S48" s="38"/>
      <c r="T48" s="38"/>
      <c r="U48" s="38"/>
      <c r="V48" s="38"/>
      <c r="W48" s="38"/>
      <c r="X48" s="38"/>
      <c r="Y48" s="38"/>
      <c r="Z48" s="38"/>
      <c r="AA48" s="38"/>
      <c r="AB48" s="38"/>
      <c r="AC48" s="38"/>
      <c r="AD48" s="17"/>
      <c r="AE48" s="17"/>
      <c r="AF48" s="26"/>
      <c r="AG48" s="17"/>
      <c r="AH48" s="17"/>
      <c r="AI48" s="17"/>
      <c r="AJ48" s="17"/>
      <c r="AK48" s="26"/>
      <c r="AL48" s="22"/>
      <c r="AM48" s="22"/>
      <c r="AN48" s="22"/>
      <c r="AO48" s="22"/>
      <c r="AP48" s="38"/>
      <c r="AQ48" s="38"/>
      <c r="AR48" s="38"/>
      <c r="AS48" s="38"/>
      <c r="AT48" s="38"/>
      <c r="AU48" s="38"/>
      <c r="AV48" s="38"/>
      <c r="AW48" s="38"/>
      <c r="AX48" s="38"/>
      <c r="AY48" s="38"/>
      <c r="AZ48" s="38"/>
      <c r="BA48" s="38"/>
      <c r="BB48" s="38"/>
      <c r="BC48" s="38"/>
      <c r="BD48" s="38"/>
      <c r="BE48" s="38"/>
      <c r="BF48" s="38"/>
      <c r="BG48" s="38"/>
      <c r="BH48" s="38"/>
      <c r="BI48" s="38"/>
      <c r="BJ48" s="38"/>
      <c r="BK48" s="38"/>
      <c r="BL48" s="109"/>
      <c r="BM48" s="109"/>
      <c r="BR48" s="4"/>
      <c r="BS48" s="4"/>
      <c r="BT48" s="162"/>
      <c r="BU48" s="162"/>
      <c r="BV48" s="162"/>
      <c r="BW48" s="162"/>
      <c r="BX48" s="162"/>
      <c r="BY48" s="162"/>
      <c r="BZ48" s="162"/>
      <c r="CA48" s="162"/>
      <c r="CB48" s="162"/>
      <c r="CC48" s="162"/>
      <c r="CD48" s="162"/>
      <c r="CE48" s="162"/>
      <c r="CF48" s="162"/>
      <c r="CG48" s="162"/>
      <c r="CH48" s="162"/>
      <c r="CI48" s="162"/>
      <c r="CJ48" s="162"/>
      <c r="CK48" s="162"/>
      <c r="CL48" s="162"/>
      <c r="CM48" s="162"/>
      <c r="CN48" s="162"/>
      <c r="CO48" s="162"/>
      <c r="CP48" s="162"/>
      <c r="CQ48" s="162"/>
      <c r="CR48" s="162"/>
      <c r="CS48" s="162"/>
      <c r="CT48" s="162"/>
      <c r="CU48" s="162"/>
      <c r="CV48" s="162"/>
      <c r="CW48" s="162"/>
      <c r="CX48" s="162"/>
      <c r="CY48" s="162"/>
      <c r="CZ48" s="162"/>
      <c r="DA48" s="162"/>
      <c r="DB48" s="162"/>
      <c r="DC48" s="162"/>
      <c r="DD48" s="162"/>
      <c r="DE48" s="162"/>
      <c r="DF48" s="162"/>
      <c r="DG48" s="162"/>
      <c r="DH48" s="162"/>
      <c r="DI48" s="162"/>
      <c r="DJ48" s="162"/>
      <c r="DK48" s="162"/>
      <c r="DL48" s="162"/>
      <c r="DM48" s="162"/>
      <c r="DN48" s="162"/>
      <c r="DO48" s="162"/>
      <c r="DP48" s="162"/>
      <c r="DR48"/>
      <c r="DS48"/>
      <c r="DT48"/>
      <c r="ED48" s="547"/>
      <c r="EE48" s="547"/>
      <c r="EF48" s="547"/>
      <c r="EG48" s="547"/>
    </row>
    <row r="49" spans="1:146" x14ac:dyDescent="0.25">
      <c r="A49" s="806" t="s">
        <v>8</v>
      </c>
      <c r="B49" s="30" t="s">
        <v>4</v>
      </c>
      <c r="C49" s="522">
        <f>'Batch 2018'!F17</f>
        <v>2.4705882352941178</v>
      </c>
      <c r="D49" s="522">
        <f>'Batch 2018'!F39</f>
        <v>0.33964601769911507</v>
      </c>
      <c r="E49" s="522">
        <f>'Batch 2018'!F61</f>
        <v>0.54125000000000001</v>
      </c>
      <c r="F49" s="522">
        <f>'Batch 2018'!F83</f>
        <v>1.2152380952380952</v>
      </c>
      <c r="G49" s="522">
        <f>'Batch 2018'!F105</f>
        <v>1.4632000000000001</v>
      </c>
      <c r="H49" s="522">
        <f>'Batch 2018'!F127</f>
        <v>0.47031250000000002</v>
      </c>
      <c r="I49" s="522">
        <f>'Batch 2018'!F149</f>
        <v>1.2796052631578947</v>
      </c>
      <c r="J49" s="522">
        <f>'Batch 2018'!F171</f>
        <v>1.0297142857142858</v>
      </c>
      <c r="K49" s="522">
        <f>'Batch 2018'!F193</f>
        <v>0.39886363636363636</v>
      </c>
      <c r="L49" s="38">
        <f>'Batch 2018'!F215</f>
        <v>1.5594285714285716</v>
      </c>
      <c r="M49" s="38">
        <f>'Batch 2018'!F237</f>
        <v>2.4029714285714285</v>
      </c>
      <c r="N49" s="38">
        <f>'Batch 2018'!F259</f>
        <v>1.3044571428571428</v>
      </c>
      <c r="O49" s="38">
        <f>'Batch 2018'!F281</f>
        <v>1.6823529411764706</v>
      </c>
      <c r="P49" s="38">
        <f>'Batch 2018'!F303</f>
        <v>1.5513157894736842</v>
      </c>
      <c r="Q49" s="38">
        <f>'Batch 2018'!F325</f>
        <v>1.9176136363636362</v>
      </c>
      <c r="R49" s="38">
        <f>'Batch 2018'!F347</f>
        <v>1.5754966887417219</v>
      </c>
      <c r="S49" s="38">
        <f>'Batch 2018'!F369</f>
        <v>1.3855263157894737</v>
      </c>
      <c r="T49" s="38">
        <f>'Batch 2018'!F391</f>
        <v>0.97880794701986751</v>
      </c>
      <c r="U49" s="38">
        <f>'Batch 2018'!F413</f>
        <v>2.1106250000000002</v>
      </c>
      <c r="V49" s="38">
        <f>'Batch 2018'!F435</f>
        <v>1.5883720930232559</v>
      </c>
      <c r="W49" s="38">
        <f>'Batch 2018'!F457</f>
        <v>1.8279999999999998</v>
      </c>
      <c r="X49" s="38">
        <f>'Batch 2018'!F479</f>
        <v>3.4680203045685278</v>
      </c>
      <c r="Y49" s="38">
        <f>'Batch 2018'!F501</f>
        <v>2.9134969325153368</v>
      </c>
      <c r="Z49" s="38">
        <f>'Batch 2018'!F523</f>
        <v>2.2089285714285714</v>
      </c>
      <c r="AA49" s="38">
        <f>'Batch 2018'!F545</f>
        <v>2.1472727272727274</v>
      </c>
      <c r="AB49" s="38">
        <f>'Batch 2018'!F567</f>
        <v>1.990547263681592</v>
      </c>
      <c r="AC49" s="38">
        <f>'Batch 2018'!F589</f>
        <v>1.7015000000000002</v>
      </c>
      <c r="AD49" s="17">
        <f>Batches!F17</f>
        <v>1.8846590909090908</v>
      </c>
      <c r="AE49" s="17">
        <f>Batches!F39</f>
        <v>1.907142857142857</v>
      </c>
      <c r="AF49" s="26">
        <f>Batches!F61</f>
        <v>2.2055999999999996</v>
      </c>
      <c r="AG49" s="17">
        <f>Batches!F83</f>
        <v>3.1965714285714286</v>
      </c>
      <c r="AH49" s="17">
        <f>Batches!F105</f>
        <v>2.251445086705202</v>
      </c>
      <c r="AI49" s="17">
        <f>Batches!F127</f>
        <v>2.2238636363636362</v>
      </c>
      <c r="AJ49" s="17">
        <f>Batches!F149</f>
        <v>1.8036000000000001</v>
      </c>
      <c r="AK49" s="26">
        <f>Batches!F171</f>
        <v>2.4474074074074075</v>
      </c>
      <c r="AL49" s="22">
        <f>Batches!F193</f>
        <v>2.0291975308641974</v>
      </c>
      <c r="AM49" s="22">
        <f>Batches!F215</f>
        <v>1.5388157894736845</v>
      </c>
      <c r="AN49" s="22">
        <f>Batches!F237</f>
        <v>2.1141975308641974</v>
      </c>
      <c r="AO49" s="22">
        <v>2.41</v>
      </c>
      <c r="AP49" s="38">
        <f>Batches!F281</f>
        <v>2.7710526315789474</v>
      </c>
      <c r="AQ49" s="38">
        <f>Batches!F303</f>
        <v>2.38343949044586</v>
      </c>
      <c r="AR49" s="38">
        <f>Batches!F327</f>
        <v>2.0814569536423839</v>
      </c>
      <c r="AS49" s="38">
        <f>Batches!F351</f>
        <v>2.5600000000000005</v>
      </c>
      <c r="AT49" s="38">
        <f>Batches!F375</f>
        <v>2.9158940397350994</v>
      </c>
      <c r="AU49" s="38">
        <f>Batches!F400</f>
        <v>2.9713333333333329</v>
      </c>
      <c r="AV49" s="38">
        <f>Batches!F425</f>
        <v>1.9602649006622515</v>
      </c>
      <c r="AW49" s="38">
        <f>Batches!F450</f>
        <v>2.580132450331126</v>
      </c>
      <c r="AX49" s="38">
        <f>Batches!F475</f>
        <v>1.7195402298850577</v>
      </c>
      <c r="AY49" s="38">
        <f>Batches!F500</f>
        <v>1.8125714285714287</v>
      </c>
      <c r="AZ49" s="38">
        <f>Batches!F525</f>
        <v>2.4193333333333338</v>
      </c>
      <c r="BA49" s="38">
        <f>Batches!F549</f>
        <v>2.0859259259259257</v>
      </c>
      <c r="BB49" s="38">
        <f>Batches!F573</f>
        <v>1.2874172185430464</v>
      </c>
      <c r="BC49" s="140"/>
      <c r="BD49" s="140"/>
      <c r="BE49" s="140"/>
      <c r="BF49" s="140"/>
      <c r="BG49" s="140"/>
      <c r="BH49" s="140"/>
      <c r="BI49" s="140"/>
      <c r="BJ49" s="140"/>
      <c r="BK49" s="140"/>
      <c r="BL49" s="140"/>
      <c r="BM49" s="140"/>
      <c r="BN49" s="140"/>
      <c r="BO49" s="140"/>
      <c r="BP49" s="140"/>
      <c r="BQ49" s="140"/>
      <c r="BR49" s="140"/>
      <c r="BS49" s="140"/>
      <c r="BT49" s="140"/>
      <c r="BU49" s="140"/>
      <c r="BV49" s="140"/>
      <c r="BW49" s="140"/>
      <c r="BX49" s="140"/>
      <c r="BY49" s="140"/>
      <c r="BZ49" s="140"/>
      <c r="CA49" s="140"/>
      <c r="CB49" s="140"/>
      <c r="CC49" s="140"/>
      <c r="CD49" s="140"/>
      <c r="CE49" s="33">
        <f>Batches!H1296</f>
        <v>1.3489090909090908</v>
      </c>
      <c r="CF49" s="33">
        <f>Batches!H1320</f>
        <v>2.4403389830508475</v>
      </c>
      <c r="CG49" s="33">
        <f>Batches!H1344</f>
        <v>2.1098305084745763</v>
      </c>
      <c r="CH49" s="140"/>
      <c r="CI49" s="22">
        <f>Batches!H1392</f>
        <v>3.0583999999999998</v>
      </c>
      <c r="CJ49" s="22">
        <f>Batches!H1416</f>
        <v>2.5797530864197533</v>
      </c>
      <c r="CK49" s="22">
        <f>Batches!H1440</f>
        <v>2.3126666666666669</v>
      </c>
      <c r="CL49" s="22">
        <f>Batches!H1463</f>
        <v>1.7692349726775956</v>
      </c>
      <c r="CM49" s="22">
        <f>Batches!H1487</f>
        <v>1.6098429319371728</v>
      </c>
      <c r="CN49" s="22">
        <f>Batches!H1511</f>
        <v>2.9606711409395974</v>
      </c>
      <c r="CO49" s="22">
        <f>Batches!H1535</f>
        <v>2.8293854748603353</v>
      </c>
      <c r="CP49" s="22">
        <f>Batches!H1559</f>
        <v>2.9489999999999998</v>
      </c>
      <c r="CQ49" s="22">
        <f>Batches!H1583</f>
        <v>2.2560000000000002</v>
      </c>
      <c r="CR49" s="22">
        <f>Batches!H1607</f>
        <v>3.2651999999999997</v>
      </c>
      <c r="CS49" s="22">
        <f>Batches!H1631</f>
        <v>2.8653999999999997</v>
      </c>
      <c r="CT49" s="22">
        <f>Batches!H1655</f>
        <v>2.2542</v>
      </c>
      <c r="CU49" s="22">
        <f>Batches!H1679</f>
        <v>1.6831460674157304</v>
      </c>
      <c r="CV49" s="22">
        <f>Batches!H1703</f>
        <v>1.5829714285714287</v>
      </c>
      <c r="CW49" s="22">
        <f>Batches!H1727</f>
        <v>3.3304040404040403</v>
      </c>
      <c r="CX49" s="22">
        <f>Batches!H1751</f>
        <v>1.7195092024539878</v>
      </c>
      <c r="CY49" s="22">
        <f>Batches!H1775</f>
        <v>2.3177142857142856</v>
      </c>
      <c r="CZ49" s="22">
        <f>Batches!H1799</f>
        <v>2.879542857142857</v>
      </c>
      <c r="DA49" s="22">
        <f>Batches!H1823</f>
        <v>2.0711165048543689</v>
      </c>
      <c r="DB49" s="22">
        <f>Batches!H1847</f>
        <v>1.5698507462686568</v>
      </c>
      <c r="DC49" s="22">
        <f>Batches!H1871</f>
        <v>2.681371428571429</v>
      </c>
      <c r="DD49" s="22">
        <f>Batches!H1895</f>
        <v>2.0552571428571431</v>
      </c>
      <c r="DE49" s="22">
        <f>Batches!H1919</f>
        <v>2.3293749999999998</v>
      </c>
      <c r="DF49" s="22">
        <f>Batches!H1943</f>
        <v>2.670394736842105</v>
      </c>
      <c r="DG49" s="22">
        <f>Batches!H1967</f>
        <v>2.5786999999999995</v>
      </c>
      <c r="DH49" s="22">
        <f>Batches!H1991</f>
        <v>2.3780733944954129</v>
      </c>
      <c r="DI49" s="22">
        <f>Batches!H2015</f>
        <v>3.5126315789473681</v>
      </c>
      <c r="DJ49" s="22">
        <f>Batches!H2039</f>
        <v>2.9641333333333333</v>
      </c>
      <c r="DK49" s="22">
        <f>Batches!H2063</f>
        <v>1.6796052631578946</v>
      </c>
      <c r="DL49" s="22">
        <f>Batches!H2087</f>
        <v>1.6131111111111112</v>
      </c>
      <c r="DM49" s="22">
        <f>Batches!H2111</f>
        <v>1.7579207920792079</v>
      </c>
      <c r="DN49" s="22">
        <f>Batches!H2135</f>
        <v>1.5265354330708663</v>
      </c>
      <c r="DO49" s="22">
        <f>Batches!H2159</f>
        <v>2.0790666666666668</v>
      </c>
      <c r="DP49" s="22">
        <f>Batches!H2183</f>
        <v>1.2912999999999999</v>
      </c>
      <c r="DQ49" s="22">
        <f>Batches!H2207</f>
        <v>1.1735359116022099</v>
      </c>
      <c r="DR49" s="22">
        <f>Batches!H2231</f>
        <v>1.8421499999999997</v>
      </c>
      <c r="DS49" s="22">
        <f>Batches!H2255</f>
        <v>1.2107000000000001</v>
      </c>
      <c r="DT49" s="22">
        <f>Batches!H2279</f>
        <v>0.66600499999999996</v>
      </c>
      <c r="DU49" s="22">
        <f>Batches!H2303</f>
        <v>0.43751400000000007</v>
      </c>
      <c r="DV49" s="22">
        <f>Batches!H2327</f>
        <v>0.49228310502283101</v>
      </c>
      <c r="DW49" s="22">
        <f>Batches!H2351</f>
        <v>0.15250000000000002</v>
      </c>
      <c r="DX49" s="22">
        <f>Batches!H2375</f>
        <v>1.3683000000000001</v>
      </c>
      <c r="DY49" s="22">
        <f>Batches!H2399</f>
        <v>5.5555555555555552E-2</v>
      </c>
      <c r="DZ49" s="22">
        <f>Batches!H2423</f>
        <v>0.26455000000000001</v>
      </c>
      <c r="EA49" s="22">
        <f>Batches!H2447</f>
        <v>3.2500000000000001E-2</v>
      </c>
      <c r="EB49" s="22">
        <f>Batches!H2471</f>
        <v>0.45873417721518983</v>
      </c>
      <c r="EC49" s="151">
        <f>Batches!H2495</f>
        <v>1.1450666666666667</v>
      </c>
      <c r="ED49" s="547">
        <f>Batches!H2519</f>
        <v>1.2206666666666668</v>
      </c>
      <c r="EE49" s="547">
        <f>Batches!H2543</f>
        <v>1.5219889502762429</v>
      </c>
      <c r="EF49" s="547">
        <f>Batches!H2567</f>
        <v>1.6430666666666667</v>
      </c>
      <c r="EG49" s="547">
        <f>Batches!H2591</f>
        <v>1.0826666666666669</v>
      </c>
      <c r="EH49" s="574">
        <f>Batches!H2615</f>
        <v>2.0808666666666666</v>
      </c>
      <c r="EI49" s="574">
        <f>Batches!H2639</f>
        <v>1.3215333333333332</v>
      </c>
    </row>
    <row r="50" spans="1:146" x14ac:dyDescent="0.25">
      <c r="A50" s="807"/>
      <c r="B50" s="30" t="s">
        <v>1</v>
      </c>
      <c r="C50" s="522">
        <f>'Batch 2018'!L17</f>
        <v>2.1150326797385621</v>
      </c>
      <c r="D50" s="522">
        <f>'Batch 2018'!L39</f>
        <v>2.5064000000000002</v>
      </c>
      <c r="E50" s="522">
        <f>'Batch 2018'!L61</f>
        <v>1.6512500000000001</v>
      </c>
      <c r="F50" s="522">
        <f>'Batch 2018'!L83</f>
        <v>1.188679245283019</v>
      </c>
      <c r="G50" s="522">
        <f>'Batch 2018'!L105</f>
        <v>1.9016</v>
      </c>
      <c r="H50" s="522">
        <f>'Batch 2018'!L127</f>
        <v>0.64488188976377958</v>
      </c>
      <c r="I50" s="522">
        <f>'Batch 2018'!L149</f>
        <v>1.766225165562914</v>
      </c>
      <c r="J50" s="522">
        <f>'Batch 2018'!L171</f>
        <v>1.304</v>
      </c>
      <c r="K50" s="522">
        <f>'Batch 2018'!L193</f>
        <v>1.0477272727272728</v>
      </c>
      <c r="L50" s="38">
        <f>'Batch 2018'!L215</f>
        <v>1.5754285714285716</v>
      </c>
      <c r="M50" s="38">
        <f>'Batch 2018'!L237</f>
        <v>0.61828571428571433</v>
      </c>
      <c r="N50" s="38">
        <f>'Batch 2018'!L259</f>
        <v>1.5234285714285716</v>
      </c>
      <c r="O50" s="38">
        <f>'Batch 2018'!L281</f>
        <v>2.1840000000000002</v>
      </c>
      <c r="P50" s="38">
        <f>'Batch 2018'!L303</f>
        <v>1.5429530201342283</v>
      </c>
      <c r="Q50" s="38">
        <f>'Batch 2018'!L325</f>
        <v>1.2727848101265822</v>
      </c>
      <c r="R50" s="38">
        <f>'Batch 2018'!L347</f>
        <v>1.9921568627450981</v>
      </c>
      <c r="S50" s="38">
        <f>'Batch 2018'!L369</f>
        <v>1.5480519480519481</v>
      </c>
      <c r="T50" s="38">
        <f>'Batch 2018'!L391</f>
        <v>1.1525179856115106</v>
      </c>
      <c r="U50" s="38">
        <f>'Batch 2018'!L413</f>
        <v>2.8388535031847137</v>
      </c>
      <c r="V50" s="38">
        <f>'Batch 2018'!L435</f>
        <v>1.4421348314606741</v>
      </c>
      <c r="W50" s="38">
        <f>'Batch 2018'!L457</f>
        <v>2.3582857142857141</v>
      </c>
      <c r="X50" s="38">
        <f>'Batch 2018'!L479</f>
        <v>2.3822660098522168</v>
      </c>
      <c r="Y50" s="38">
        <f>'Batch 2018'!L501</f>
        <v>2.859006211180124</v>
      </c>
      <c r="Z50" s="38">
        <f>'Batch 2018'!L523</f>
        <v>1.6867256637168142</v>
      </c>
      <c r="AA50" s="38">
        <f>'Batch 2018'!L545</f>
        <v>2.477391304347826</v>
      </c>
      <c r="AB50" s="38">
        <f>'Batch 2018'!L567</f>
        <v>1.7223880597014924</v>
      </c>
      <c r="AC50" s="38">
        <f>'Batch 2018'!L589</f>
        <v>2.226</v>
      </c>
      <c r="AD50" s="17">
        <f>Batches!O17</f>
        <v>1.9304597701149424</v>
      </c>
      <c r="AE50" s="17">
        <f>Batches!O39</f>
        <v>2.3915032679738566</v>
      </c>
      <c r="AF50" s="26">
        <f>Batches!O61</f>
        <v>1.9782857142857142</v>
      </c>
      <c r="AG50" s="17">
        <f>Batches!O83</f>
        <v>1.9737142857142858</v>
      </c>
      <c r="AH50" s="17">
        <f>Batches!O105</f>
        <v>2.8463276836158191</v>
      </c>
      <c r="AI50" s="17">
        <f>Batches!O127</f>
        <v>2.4525714285714284</v>
      </c>
      <c r="AJ50" s="17">
        <f>Batches!O149</f>
        <v>2.0211999999999999</v>
      </c>
      <c r="AK50" s="26">
        <f>Batches!O171</f>
        <v>1.741625</v>
      </c>
      <c r="AL50" s="22">
        <f>Batches!O193</f>
        <v>2.2564596273291926</v>
      </c>
      <c r="AM50" s="22">
        <f>Batches!O215</f>
        <v>2.4813513513513517</v>
      </c>
      <c r="AN50" s="22">
        <f>Batches!O237</f>
        <v>2.4698170731707316</v>
      </c>
      <c r="AO50" s="22">
        <v>2.9</v>
      </c>
      <c r="AP50" s="38">
        <f>Batches!O281</f>
        <v>2.9153333333333338</v>
      </c>
      <c r="AQ50" s="38">
        <f>Batches!O303</f>
        <v>3.161290322580645</v>
      </c>
      <c r="AR50" s="38">
        <f>Batches!O327</f>
        <v>2.0026666666666668</v>
      </c>
      <c r="AS50" s="38">
        <f>Batches!O351</f>
        <v>3.0260000000000002</v>
      </c>
      <c r="AT50" s="38">
        <f>Batches!O375</f>
        <v>3.0602649006622515</v>
      </c>
      <c r="AU50" s="38">
        <f>Batches!O400</f>
        <v>3.0653333333333332</v>
      </c>
      <c r="AV50" s="38">
        <f>Batches!O425</f>
        <v>2.2933333333333334</v>
      </c>
      <c r="AW50" s="38">
        <f>Batches!O450</f>
        <v>2.5655844155844156</v>
      </c>
      <c r="AX50" s="38">
        <f>Batches!O475</f>
        <v>2.6085227272727276</v>
      </c>
      <c r="AY50" s="38">
        <f>Batches!O500</f>
        <v>2.255844155844156</v>
      </c>
      <c r="AZ50" s="38">
        <f>Batches!O525</f>
        <v>1.94</v>
      </c>
      <c r="BA50" s="38">
        <f>Batches!O549</f>
        <v>2.2197604790419163</v>
      </c>
      <c r="BB50" s="38">
        <f>Batches!O573</f>
        <v>2.0283783783783784</v>
      </c>
      <c r="BC50" s="140"/>
      <c r="BD50" s="140"/>
      <c r="BE50" s="140"/>
      <c r="BF50" s="140"/>
      <c r="BG50" s="140"/>
      <c r="BH50" s="140"/>
      <c r="BI50" s="140"/>
      <c r="BJ50" s="140"/>
      <c r="BK50" s="140"/>
      <c r="BL50" s="140"/>
      <c r="BM50" s="140"/>
      <c r="BN50" s="140"/>
      <c r="BO50" s="140"/>
      <c r="BP50" s="140"/>
      <c r="BQ50" s="140"/>
      <c r="BR50" s="140"/>
      <c r="BS50" s="140"/>
      <c r="BT50" s="140"/>
      <c r="BU50" s="140"/>
      <c r="BV50" s="140"/>
      <c r="BW50" s="140"/>
      <c r="BX50" s="140"/>
      <c r="BY50" s="140"/>
      <c r="BZ50" s="140"/>
      <c r="CA50" s="140"/>
      <c r="CB50" s="140"/>
      <c r="CC50" s="140"/>
      <c r="CD50" s="140"/>
      <c r="CE50" s="33">
        <f>Batches!O1296</f>
        <v>1.769181818181818</v>
      </c>
      <c r="CF50" s="33">
        <f>Batches!O1320</f>
        <v>1.9985714285714287</v>
      </c>
      <c r="CG50" s="33">
        <f>Batches!O1344</f>
        <v>2.1718644067796609</v>
      </c>
      <c r="CH50" s="140"/>
      <c r="CI50" s="22">
        <f>Batches!O1392</f>
        <v>2.7584</v>
      </c>
      <c r="CJ50" s="22">
        <f>Batches!O1416</f>
        <v>2.4035000000000002</v>
      </c>
      <c r="CK50" s="22">
        <f>Batches!O1440</f>
        <v>3.0580434782608692</v>
      </c>
      <c r="CL50" s="22">
        <f>Batches!O1463</f>
        <v>2.4914798206278026</v>
      </c>
      <c r="CM50" s="22">
        <f>Batches!O1487</f>
        <v>2.9195744680851066</v>
      </c>
      <c r="CN50" s="22">
        <f>Batches!O1511</f>
        <v>1.7415277777777776</v>
      </c>
      <c r="CO50" s="22">
        <f>Batches!O1535</f>
        <v>1.9701111111111109</v>
      </c>
      <c r="CP50" s="22">
        <f>Batches!O1559</f>
        <v>3.4205999999999999</v>
      </c>
      <c r="CQ50" s="22">
        <f>Batches!O1583</f>
        <v>2.9571000000000001</v>
      </c>
      <c r="CR50" s="22">
        <f>Batches!O1607</f>
        <v>3.5631999999999997</v>
      </c>
      <c r="CS50" s="22">
        <f>Batches!O1631</f>
        <v>3.4221782178217821</v>
      </c>
      <c r="CT50" s="22">
        <f>Batches!O1655</f>
        <v>4.0674509803921568</v>
      </c>
      <c r="CU50" s="22">
        <f>Batches!O1679</f>
        <v>2.8289830508474578</v>
      </c>
      <c r="CV50" s="22">
        <f>Batches!O1703</f>
        <v>2.7060919540229884</v>
      </c>
      <c r="CW50" s="22">
        <f>Batches!O1727</f>
        <v>1.4634343434343433</v>
      </c>
      <c r="CX50" s="22">
        <f>Batches!O1751</f>
        <v>2.950432098765432</v>
      </c>
      <c r="CY50" s="22">
        <f>Batches!O1775</f>
        <v>3.0568750000000002</v>
      </c>
      <c r="CZ50" s="22">
        <f>Batches!O1799</f>
        <v>3.2275428571428568</v>
      </c>
      <c r="DA50" s="22">
        <f>Batches!O1823</f>
        <v>2.7545999999999999</v>
      </c>
      <c r="DB50" s="22">
        <f>Batches!O1847</f>
        <v>2.2431000000000001</v>
      </c>
      <c r="DC50" s="22">
        <f>Batches!O1871</f>
        <v>2.1689142857142856</v>
      </c>
      <c r="DD50" s="22">
        <f>Batches!O1895</f>
        <v>2.3861142857142856</v>
      </c>
      <c r="DE50" s="22">
        <f>Batches!O1919</f>
        <v>1.9814772727272729</v>
      </c>
      <c r="DF50" s="22">
        <f>Batches!O1943</f>
        <v>3.2427450980392161</v>
      </c>
      <c r="DG50" s="22">
        <f>Batches!O1967</f>
        <v>3.165</v>
      </c>
      <c r="DH50" s="22">
        <f>Batches!O1991</f>
        <v>2.3937142857142857</v>
      </c>
      <c r="DI50" s="22">
        <f>Batches!O2015</f>
        <v>2.2823200000000003</v>
      </c>
      <c r="DJ50" s="22">
        <f>Batches!O2039</f>
        <v>1.6804938271604937</v>
      </c>
      <c r="DK50" s="22">
        <f>Batches!O2063</f>
        <v>1.7134666666666667</v>
      </c>
      <c r="DL50" s="22">
        <f>Batches!O2087</f>
        <v>1.6397802197802198</v>
      </c>
      <c r="DM50" s="22">
        <f>Batches!O2111</f>
        <v>1.5561</v>
      </c>
      <c r="DN50" s="22">
        <f>Batches!O2135</f>
        <v>1.4582926829268292</v>
      </c>
      <c r="DO50" s="22">
        <f>Batches!O2159</f>
        <v>1.8281333333333332</v>
      </c>
      <c r="DP50" s="22">
        <f>Batches!O2183</f>
        <v>1.3067156862745097</v>
      </c>
      <c r="DQ50" s="22">
        <f>Batches!O2207</f>
        <v>0.80697802197802204</v>
      </c>
      <c r="DR50" s="22">
        <f>Batches!O2231</f>
        <v>1.61955</v>
      </c>
      <c r="DS50" s="22">
        <f>Batches!O2255</f>
        <v>1.41215</v>
      </c>
      <c r="DT50" s="22">
        <f>Batches!O2279</f>
        <v>0.62004975124378103</v>
      </c>
      <c r="DU50" s="22">
        <f>Batches!O2303</f>
        <v>0.414572864321608</v>
      </c>
      <c r="DV50" s="22">
        <f>Batches!O2327</f>
        <v>0.13534246575342468</v>
      </c>
      <c r="DW50" s="22">
        <f>Batches!O2351</f>
        <v>0.1295</v>
      </c>
      <c r="DX50" s="22">
        <f>Batches!O2375</f>
        <v>1.8360000000000001</v>
      </c>
      <c r="DY50">
        <v>0</v>
      </c>
      <c r="DZ50" s="22">
        <f>Batches!O2423</f>
        <v>0.33160000000000006</v>
      </c>
      <c r="EA50" s="547">
        <f>Batches!O2447</f>
        <v>6.1298507462686565E-2</v>
      </c>
      <c r="EB50" s="22">
        <f>Batches!O2471</f>
        <v>0.8359110169491526</v>
      </c>
      <c r="EC50" s="151">
        <f>Batches!O2495</f>
        <v>1.1353999999999997</v>
      </c>
      <c r="ED50" s="547">
        <f>Batches!O2519</f>
        <v>2.151416666666667</v>
      </c>
      <c r="EE50" s="547">
        <f>Batches!O2543</f>
        <v>1.2785000000000002</v>
      </c>
      <c r="EF50" s="547">
        <f>Batches!O2567</f>
        <v>0.96066666666666678</v>
      </c>
      <c r="EG50" s="547">
        <f>Batches!O2591</f>
        <v>2.3275666666666668</v>
      </c>
      <c r="EH50" s="574">
        <f>Batches!O2615</f>
        <v>1.7772666666666666</v>
      </c>
      <c r="EI50" s="574">
        <f>Batches!O2639</f>
        <v>1.1668666666666667</v>
      </c>
    </row>
    <row r="51" spans="1:146" x14ac:dyDescent="0.25">
      <c r="A51" s="807"/>
      <c r="B51" s="30" t="s">
        <v>2</v>
      </c>
      <c r="C51" s="38">
        <f t="shared" ref="C51:K51" si="92">(C49*C18+C50*C19)/C20</f>
        <v>2.2928104575163402</v>
      </c>
      <c r="D51" s="38">
        <f t="shared" si="92"/>
        <v>1.4230230088495575</v>
      </c>
      <c r="E51" s="38">
        <f t="shared" si="92"/>
        <v>1.0962500000000002</v>
      </c>
      <c r="F51" s="38">
        <f t="shared" si="92"/>
        <v>1.2018957345971566</v>
      </c>
      <c r="G51" s="38">
        <f t="shared" si="92"/>
        <v>1.6824000000000001</v>
      </c>
      <c r="H51" s="38">
        <f t="shared" si="92"/>
        <v>0.55725490196078442</v>
      </c>
      <c r="I51" s="38">
        <f t="shared" si="92"/>
        <v>1.5221122112211221</v>
      </c>
      <c r="J51" s="38">
        <f t="shared" si="92"/>
        <v>1.166857142857143</v>
      </c>
      <c r="K51" s="38">
        <f t="shared" si="92"/>
        <v>0.72329545454545463</v>
      </c>
      <c r="L51" s="38">
        <f t="shared" ref="L51:V51" si="93">(L49*L18+L50*L19)/L20</f>
        <v>1.5674285714285718</v>
      </c>
      <c r="M51" s="38">
        <f t="shared" si="93"/>
        <v>1.5106285714285714</v>
      </c>
      <c r="N51" s="38">
        <f t="shared" si="93"/>
        <v>1.4139428571428572</v>
      </c>
      <c r="O51" s="38">
        <f t="shared" si="93"/>
        <v>1.9368115942028987</v>
      </c>
      <c r="P51" s="38">
        <f t="shared" si="93"/>
        <v>1.5471760797342193</v>
      </c>
      <c r="Q51" s="38">
        <f t="shared" si="93"/>
        <v>1.6125748502994013</v>
      </c>
      <c r="R51" s="38">
        <f t="shared" si="93"/>
        <v>1.7851973684210527</v>
      </c>
      <c r="S51" s="38">
        <f t="shared" si="93"/>
        <v>1.4673202614379084</v>
      </c>
      <c r="T51" s="38">
        <f t="shared" si="93"/>
        <v>1.0620689655172413</v>
      </c>
      <c r="U51" s="38">
        <f t="shared" si="93"/>
        <v>2.471293375394322</v>
      </c>
      <c r="V51" s="38">
        <f t="shared" si="93"/>
        <v>1.514</v>
      </c>
      <c r="W51" s="38">
        <f t="shared" ref="W51:AC51" si="94">(W49*W18+W50*W19)/W20</f>
        <v>2.093142857142857</v>
      </c>
      <c r="X51" s="38">
        <f t="shared" si="94"/>
        <v>2.9169999999999998</v>
      </c>
      <c r="Y51" s="38">
        <f t="shared" si="94"/>
        <v>2.8864197530864191</v>
      </c>
      <c r="Z51" s="38">
        <f t="shared" si="94"/>
        <v>1.9466666666666668</v>
      </c>
      <c r="AA51" s="38">
        <f t="shared" si="94"/>
        <v>2.3160000000000003</v>
      </c>
      <c r="AB51" s="38">
        <f t="shared" si="94"/>
        <v>1.8564676616915421</v>
      </c>
      <c r="AC51" s="38">
        <f t="shared" si="94"/>
        <v>1.9637500000000001</v>
      </c>
      <c r="AD51" s="17">
        <f t="shared" ref="AD51:AM51" si="95">(AD49*AD18+AD50*AD19)/AD20</f>
        <v>1.9074285714285713</v>
      </c>
      <c r="AE51" s="17">
        <f t="shared" si="95"/>
        <v>2.119484240687679</v>
      </c>
      <c r="AF51" s="17">
        <f t="shared" si="95"/>
        <v>2.0919428571428567</v>
      </c>
      <c r="AG51" s="17">
        <f t="shared" si="95"/>
        <v>2.585142857142857</v>
      </c>
      <c r="AH51" s="17">
        <f t="shared" si="95"/>
        <v>2.552285714285714</v>
      </c>
      <c r="AI51" s="17">
        <f t="shared" si="95"/>
        <v>2.3378917378917374</v>
      </c>
      <c r="AJ51" s="17">
        <f t="shared" si="95"/>
        <v>1.9124000000000001</v>
      </c>
      <c r="AK51" s="17">
        <f t="shared" si="95"/>
        <v>2.0967080745341615</v>
      </c>
      <c r="AL51" s="17">
        <f t="shared" si="95"/>
        <v>2.1424767801857585</v>
      </c>
      <c r="AM51" s="17">
        <f t="shared" si="95"/>
        <v>2.0038000000000005</v>
      </c>
      <c r="AN51" s="38">
        <f t="shared" ref="AN51:BB51" si="96">(AN49*AN18+AN50*AN19)/AN20</f>
        <v>2.2930981595092024</v>
      </c>
      <c r="AO51" s="38">
        <f t="shared" si="96"/>
        <v>2.6550000000000002</v>
      </c>
      <c r="AP51" s="38">
        <f t="shared" si="96"/>
        <v>2.8427152317880795</v>
      </c>
      <c r="AQ51" s="38">
        <f t="shared" si="96"/>
        <v>2.7698717948717948</v>
      </c>
      <c r="AR51" s="38">
        <f t="shared" si="96"/>
        <v>2.0421926910299004</v>
      </c>
      <c r="AS51" s="38">
        <f t="shared" si="96"/>
        <v>2.7930000000000001</v>
      </c>
      <c r="AT51" s="38">
        <f t="shared" si="96"/>
        <v>2.9880794701986755</v>
      </c>
      <c r="AU51" s="38">
        <f t="shared" si="96"/>
        <v>3.0183333333333335</v>
      </c>
      <c r="AV51" s="38">
        <f t="shared" si="96"/>
        <v>2.1262458471760799</v>
      </c>
      <c r="AW51" s="38">
        <f t="shared" si="96"/>
        <v>2.5727868852459017</v>
      </c>
      <c r="AX51" s="38">
        <f t="shared" si="96"/>
        <v>2.1665714285714293</v>
      </c>
      <c r="AY51" s="38">
        <f t="shared" si="96"/>
        <v>2.0200607902735568</v>
      </c>
      <c r="AZ51" s="38">
        <f t="shared" si="96"/>
        <v>2.1796666666666669</v>
      </c>
      <c r="BA51" s="38">
        <f t="shared" si="96"/>
        <v>2.1599337748344367</v>
      </c>
      <c r="BB51" s="38">
        <f t="shared" si="96"/>
        <v>1.6541806020066891</v>
      </c>
      <c r="BC51" s="38">
        <f>Batches!K597</f>
        <v>1.0780000000000001</v>
      </c>
      <c r="BD51" s="38">
        <f>Batches!K622</f>
        <v>1.0760000000000001</v>
      </c>
      <c r="BE51" s="38">
        <f>Batches!K648</f>
        <v>1.3413333333333335</v>
      </c>
      <c r="BF51" s="38">
        <f>Batches!K674</f>
        <v>0.54066666666666663</v>
      </c>
      <c r="BG51" s="38">
        <f>Batches!K699</f>
        <v>1.1073333333333335</v>
      </c>
      <c r="BH51" s="38">
        <f>Batches!K725</f>
        <v>1.2193333333333334</v>
      </c>
      <c r="BI51" s="38">
        <f>Batches!K751</f>
        <v>1.175</v>
      </c>
      <c r="BJ51" s="38">
        <f>Batches!K777</f>
        <v>1.3080000000000001</v>
      </c>
      <c r="BK51" s="38">
        <f>Batches!K800</f>
        <v>1.0517880794701986</v>
      </c>
      <c r="BL51" s="151">
        <f>Batches!K827</f>
        <v>1.9628099173553717</v>
      </c>
      <c r="BM51" s="152">
        <f>Batches!K853</f>
        <v>0.90166666666666673</v>
      </c>
      <c r="BN51" s="158">
        <f>Batches!K879</f>
        <v>1.4208333333333334</v>
      </c>
      <c r="BO51" s="159">
        <f>Batches!K904</f>
        <v>1.6193333333333333</v>
      </c>
      <c r="BP51" s="16">
        <f>Batches!K929</f>
        <v>0.58100000000000007</v>
      </c>
      <c r="BQ51" s="16">
        <f>Batches!K954</f>
        <v>0.41466666666666668</v>
      </c>
      <c r="BR51" s="34">
        <f>Batches!K979</f>
        <v>0</v>
      </c>
      <c r="BS51" s="34">
        <f>Batches!K1004</f>
        <v>0</v>
      </c>
      <c r="BT51" s="166">
        <f>Batches!K1029</f>
        <v>0</v>
      </c>
      <c r="BU51" s="165">
        <f>Batches!K1054</f>
        <v>0</v>
      </c>
      <c r="BV51" s="165">
        <f>Batches!K1079</f>
        <v>0</v>
      </c>
      <c r="BW51" s="165">
        <f>Batches!K1104</f>
        <v>0</v>
      </c>
      <c r="BX51" s="165">
        <f>Batches!K1128</f>
        <v>0</v>
      </c>
      <c r="BY51" s="165">
        <f>Batches!K1152</f>
        <v>0</v>
      </c>
      <c r="BZ51" s="165">
        <f>Batches!K1176</f>
        <v>0.41166666666666668</v>
      </c>
      <c r="CA51" s="165">
        <f>Batches!K1200</f>
        <v>0.71733173076923085</v>
      </c>
      <c r="CB51" s="165">
        <f>Batches!X802</f>
        <v>0</v>
      </c>
      <c r="CC51" s="165">
        <f>Batches!Y802</f>
        <v>0</v>
      </c>
      <c r="CD51" s="165">
        <v>0</v>
      </c>
      <c r="CE51" s="38">
        <f>(CE49*CE18+CE50*CE19)/CE20</f>
        <v>1.5590454545454546</v>
      </c>
      <c r="CF51" s="38">
        <f t="shared" ref="CF51:EI51" si="97">(CF49*CF18+CF50*CF19)/CF20</f>
        <v>2.2185232067510547</v>
      </c>
      <c r="CG51" s="38">
        <f t="shared" si="97"/>
        <v>2.1408474576271188</v>
      </c>
      <c r="CH51" s="38">
        <f>Batches!K1368</f>
        <v>2.1036585365853657</v>
      </c>
      <c r="CI51" s="38">
        <f t="shared" si="97"/>
        <v>2.9083999999999999</v>
      </c>
      <c r="CJ51" s="38">
        <f t="shared" si="97"/>
        <v>2.4921739130434784</v>
      </c>
      <c r="CK51" s="38">
        <f t="shared" si="97"/>
        <v>2.6894505494505494</v>
      </c>
      <c r="CL51" s="38">
        <f t="shared" si="97"/>
        <v>2.165935960591133</v>
      </c>
      <c r="CM51" s="38">
        <f t="shared" si="97"/>
        <v>2.2595250659630608</v>
      </c>
      <c r="CN51" s="38">
        <f t="shared" si="97"/>
        <v>2.3615017064846415</v>
      </c>
      <c r="CO51" s="38">
        <f t="shared" si="97"/>
        <v>2.3985515320334261</v>
      </c>
      <c r="CP51" s="38">
        <f t="shared" si="97"/>
        <v>3.1848000000000001</v>
      </c>
      <c r="CQ51" s="38">
        <f t="shared" si="97"/>
        <v>2.6065499999999999</v>
      </c>
      <c r="CR51" s="38">
        <f t="shared" si="97"/>
        <v>3.4141999999999997</v>
      </c>
      <c r="CS51" s="38">
        <f t="shared" si="97"/>
        <v>3.1451741293532334</v>
      </c>
      <c r="CT51" s="38">
        <f t="shared" si="97"/>
        <v>3.1698019801980197</v>
      </c>
      <c r="CU51" s="38">
        <f t="shared" si="97"/>
        <v>2.2544507042253521</v>
      </c>
      <c r="CV51" s="38">
        <f t="shared" si="97"/>
        <v>2.1429226361031519</v>
      </c>
      <c r="CW51" s="38">
        <f t="shared" si="97"/>
        <v>2.3969191919191917</v>
      </c>
      <c r="CX51" s="38">
        <f t="shared" si="97"/>
        <v>2.333076923076923</v>
      </c>
      <c r="CY51" s="38">
        <f t="shared" si="97"/>
        <v>2.6883475783475781</v>
      </c>
      <c r="CZ51" s="38">
        <f t="shared" si="97"/>
        <v>3.0535428571428564</v>
      </c>
      <c r="DA51" s="38">
        <f t="shared" si="97"/>
        <v>2.4078078817733988</v>
      </c>
      <c r="DB51" s="38">
        <f t="shared" si="97"/>
        <v>1.9056359102244391</v>
      </c>
      <c r="DC51" s="38">
        <f t="shared" si="97"/>
        <v>2.4251428571428573</v>
      </c>
      <c r="DD51" s="38">
        <f t="shared" si="97"/>
        <v>2.2206857142857142</v>
      </c>
      <c r="DE51" s="38">
        <f t="shared" si="97"/>
        <v>2.1554261363636367</v>
      </c>
      <c r="DF51" s="38">
        <f t="shared" si="97"/>
        <v>2.9575081967213115</v>
      </c>
      <c r="DG51" s="38">
        <f>(DG49*DG18+DG50*DG19)/DG20</f>
        <v>2.8718499999999993</v>
      </c>
      <c r="DH51" s="38">
        <f t="shared" si="97"/>
        <v>2.3857476635514017</v>
      </c>
      <c r="DI51" s="38">
        <f t="shared" si="97"/>
        <v>2.9015496688741722</v>
      </c>
      <c r="DJ51" s="38">
        <f t="shared" si="97"/>
        <v>2.2976282051282046</v>
      </c>
      <c r="DK51" s="38">
        <f t="shared" si="97"/>
        <v>1.6964238410596024</v>
      </c>
      <c r="DL51" s="38">
        <f t="shared" si="97"/>
        <v>1.6265193370165745</v>
      </c>
      <c r="DM51" s="38">
        <f t="shared" si="97"/>
        <v>1.6575124378109454</v>
      </c>
      <c r="DN51" s="38">
        <f t="shared" si="97"/>
        <v>1.4929600000000001</v>
      </c>
      <c r="DO51" s="38">
        <f t="shared" si="97"/>
        <v>1.9535999999999998</v>
      </c>
      <c r="DP51" s="38">
        <f t="shared" si="97"/>
        <v>1.2990841584158415</v>
      </c>
      <c r="DQ51" s="22">
        <f t="shared" si="97"/>
        <v>0.98975206611570243</v>
      </c>
      <c r="DR51" s="22">
        <f t="shared" si="97"/>
        <v>1.7308499999999998</v>
      </c>
      <c r="DS51" s="22">
        <f t="shared" si="97"/>
        <v>1.3114250000000001</v>
      </c>
      <c r="DT51" s="22">
        <f t="shared" si="97"/>
        <v>0.64297007481296753</v>
      </c>
      <c r="DU51" s="22">
        <f t="shared" si="97"/>
        <v>0.42607218045112777</v>
      </c>
      <c r="DV51" s="22">
        <f t="shared" si="97"/>
        <v>0.31381278538812785</v>
      </c>
      <c r="DW51" s="22">
        <f t="shared" si="97"/>
        <v>0.14100000000000001</v>
      </c>
      <c r="DX51" s="22">
        <f t="shared" si="97"/>
        <v>1.60215</v>
      </c>
      <c r="DY51" s="22">
        <f t="shared" si="97"/>
        <v>0.01</v>
      </c>
      <c r="DZ51" s="22">
        <f t="shared" si="97"/>
        <v>0.29807500000000003</v>
      </c>
      <c r="EA51" s="22">
        <f t="shared" si="97"/>
        <v>4.6935162094763089E-2</v>
      </c>
      <c r="EB51" s="22">
        <f t="shared" si="97"/>
        <v>0.64692389006342499</v>
      </c>
      <c r="EC51" s="22">
        <f t="shared" si="97"/>
        <v>1.1402333333333332</v>
      </c>
      <c r="ED51" s="22">
        <f t="shared" si="97"/>
        <v>1.6860416666666669</v>
      </c>
      <c r="EE51" s="574">
        <f t="shared" si="97"/>
        <v>1.4005817174515236</v>
      </c>
      <c r="EF51" s="574">
        <f t="shared" si="97"/>
        <v>1.3018666666666669</v>
      </c>
      <c r="EG51" s="574">
        <f t="shared" si="97"/>
        <v>1.7051166666666668</v>
      </c>
      <c r="EH51" s="574">
        <f t="shared" si="97"/>
        <v>1.9290666666666667</v>
      </c>
      <c r="EI51" s="574">
        <f t="shared" si="97"/>
        <v>1.2442</v>
      </c>
    </row>
    <row r="52" spans="1:146" x14ac:dyDescent="0.25">
      <c r="A52" s="8"/>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17"/>
      <c r="AE52" s="17"/>
      <c r="AF52" s="26"/>
      <c r="AG52" s="17"/>
      <c r="AH52" s="17"/>
      <c r="AI52" s="17"/>
      <c r="AJ52" s="17"/>
      <c r="AK52" s="26"/>
      <c r="AL52" s="22"/>
      <c r="AM52" s="22"/>
      <c r="AN52" s="22"/>
      <c r="AO52" s="22"/>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R52"/>
      <c r="DS52"/>
      <c r="DT52"/>
      <c r="ED52" s="547"/>
      <c r="EE52" s="547"/>
      <c r="EF52" s="547"/>
      <c r="EG52" s="547"/>
    </row>
    <row r="53" spans="1:146" x14ac:dyDescent="0.25">
      <c r="C53" s="795" t="s">
        <v>211</v>
      </c>
      <c r="D53" s="795"/>
      <c r="E53" s="795"/>
      <c r="F53" s="795"/>
      <c r="G53" s="795"/>
      <c r="H53" s="795"/>
      <c r="I53" s="795"/>
      <c r="J53" s="795"/>
      <c r="K53" s="795"/>
      <c r="L53" s="795"/>
      <c r="M53" s="795"/>
      <c r="N53" s="795"/>
      <c r="O53" s="795"/>
      <c r="P53" s="795"/>
      <c r="Q53" s="795"/>
      <c r="R53" s="795"/>
      <c r="S53" s="795"/>
      <c r="T53" s="795"/>
      <c r="U53" s="795"/>
      <c r="V53" s="795"/>
      <c r="W53" s="795"/>
      <c r="X53" s="795"/>
      <c r="Y53" s="795"/>
      <c r="Z53" s="795"/>
      <c r="AA53" s="795"/>
      <c r="AB53" s="795"/>
      <c r="AC53" s="795"/>
      <c r="AD53" s="796" t="s">
        <v>212</v>
      </c>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c r="BC53" s="796"/>
      <c r="BD53" s="797" t="s">
        <v>523</v>
      </c>
      <c r="BE53" s="797"/>
      <c r="BF53" s="797"/>
      <c r="BG53" s="797"/>
      <c r="BH53" s="797"/>
      <c r="BI53" s="797"/>
      <c r="BJ53" s="797"/>
      <c r="BK53" s="797"/>
      <c r="BL53" s="797"/>
      <c r="BM53" s="797"/>
      <c r="BN53" s="797"/>
      <c r="BO53" s="797"/>
      <c r="BP53" s="797"/>
      <c r="BQ53" s="797"/>
      <c r="BR53" s="797"/>
      <c r="BS53" s="797"/>
      <c r="BT53" s="797"/>
      <c r="BU53" s="797"/>
      <c r="BV53" s="797"/>
      <c r="BW53" s="797"/>
      <c r="BX53" s="797"/>
      <c r="BY53" s="797"/>
      <c r="BZ53" s="797"/>
      <c r="CA53" s="797"/>
      <c r="CB53" s="797"/>
      <c r="CC53" s="797"/>
      <c r="CD53" s="798"/>
      <c r="CE53" s="798"/>
      <c r="CF53" s="798"/>
      <c r="CG53" s="798"/>
      <c r="CH53" s="798"/>
      <c r="CI53" s="798"/>
      <c r="CJ53" s="798"/>
      <c r="CK53" s="798"/>
      <c r="CL53" s="798"/>
      <c r="CM53" s="798"/>
      <c r="CN53" s="798"/>
      <c r="CO53" s="798"/>
      <c r="CP53" s="798"/>
      <c r="CQ53" s="799">
        <v>2021</v>
      </c>
      <c r="CR53" s="799"/>
      <c r="CS53" s="799"/>
      <c r="CT53" s="799"/>
      <c r="CU53" s="799"/>
      <c r="CV53" s="799"/>
      <c r="CW53" s="799"/>
      <c r="CX53" s="799"/>
      <c r="CY53" s="799"/>
      <c r="CZ53" s="491"/>
      <c r="DA53" s="491"/>
      <c r="DB53" s="491"/>
      <c r="DC53" s="491"/>
      <c r="DD53" s="491"/>
      <c r="DE53" s="491"/>
      <c r="DF53" s="491"/>
      <c r="DG53" s="491"/>
      <c r="DH53" s="491"/>
      <c r="DI53" s="491"/>
      <c r="DJ53" s="491"/>
      <c r="DK53" s="491"/>
      <c r="DL53" s="491"/>
      <c r="DM53" s="491"/>
      <c r="DN53" s="491"/>
      <c r="DO53" s="525"/>
      <c r="DP53" s="525"/>
      <c r="DQ53" s="565"/>
      <c r="DR53" s="565"/>
      <c r="DS53" s="565"/>
      <c r="DT53" s="565"/>
      <c r="DU53" s="565"/>
      <c r="DV53" s="565"/>
      <c r="DW53" s="565"/>
      <c r="DX53" s="565"/>
      <c r="DY53" s="565"/>
      <c r="DZ53" s="565"/>
      <c r="EA53" s="565"/>
      <c r="EB53" s="565"/>
      <c r="EC53" s="565"/>
      <c r="ED53" s="565"/>
      <c r="EE53" s="575"/>
      <c r="EF53" s="575"/>
      <c r="EG53" s="575"/>
      <c r="EH53" s="565"/>
      <c r="EI53" s="565"/>
      <c r="EJ53" s="565"/>
      <c r="EK53" s="565"/>
      <c r="EL53" s="565"/>
      <c r="EM53" s="565"/>
      <c r="EN53" s="565"/>
      <c r="EO53" s="565"/>
      <c r="EP53" s="565"/>
    </row>
    <row r="54" spans="1:146" x14ac:dyDescent="0.25">
      <c r="A54" s="489"/>
      <c r="B54" s="3"/>
      <c r="C54" s="509"/>
      <c r="D54" s="509"/>
      <c r="E54" s="509"/>
      <c r="F54" s="509"/>
      <c r="G54" s="509"/>
      <c r="H54" s="509"/>
      <c r="I54" s="509"/>
      <c r="J54" s="509"/>
      <c r="K54" s="509"/>
      <c r="L54" s="509"/>
      <c r="M54" s="509"/>
      <c r="N54" s="509"/>
      <c r="O54" s="509"/>
      <c r="P54" s="509"/>
      <c r="Q54" s="509"/>
      <c r="R54" s="509"/>
      <c r="S54" s="509"/>
      <c r="T54" s="509"/>
      <c r="U54" s="509"/>
      <c r="V54" s="509"/>
      <c r="W54" s="509"/>
      <c r="X54" s="509"/>
      <c r="Y54" s="509"/>
      <c r="Z54" s="509"/>
      <c r="AA54" s="509"/>
      <c r="AB54" s="509"/>
      <c r="AC54" s="509"/>
      <c r="AD54" s="568"/>
      <c r="AE54" s="504"/>
      <c r="AF54" s="504"/>
      <c r="AG54" s="504"/>
      <c r="AH54" s="504"/>
      <c r="AI54" s="504"/>
      <c r="AJ54" s="504"/>
      <c r="AK54" s="504"/>
      <c r="AL54" s="504"/>
      <c r="AM54" s="504"/>
      <c r="AN54" s="504"/>
      <c r="AO54" s="504"/>
      <c r="AP54" s="504"/>
      <c r="AQ54" s="504"/>
      <c r="AR54" s="504"/>
      <c r="AS54" s="504"/>
      <c r="AT54" s="504"/>
      <c r="AU54" s="504"/>
      <c r="AV54" s="504"/>
      <c r="AW54" s="504"/>
      <c r="AX54" s="504"/>
      <c r="AY54" s="504"/>
      <c r="AZ54" s="504"/>
      <c r="BA54" s="504"/>
      <c r="BB54" s="504"/>
      <c r="BC54" s="504"/>
      <c r="BD54" s="567"/>
      <c r="BE54" s="495"/>
      <c r="BF54" s="495"/>
      <c r="BG54" s="495"/>
      <c r="BH54" s="495"/>
      <c r="BI54" s="495"/>
      <c r="BJ54" s="495"/>
      <c r="BK54" s="495"/>
      <c r="BL54" s="496"/>
      <c r="BM54" s="496"/>
      <c r="BN54" s="495"/>
      <c r="BO54" s="495"/>
      <c r="BP54" s="495"/>
      <c r="BQ54" s="495"/>
      <c r="BR54" s="495"/>
      <c r="BS54" s="495"/>
      <c r="BT54" s="495"/>
      <c r="BU54" s="495"/>
      <c r="BV54" s="495"/>
      <c r="BW54" s="495"/>
      <c r="BX54" s="495"/>
      <c r="BY54" s="495"/>
      <c r="BZ54" s="495"/>
      <c r="CA54" s="495"/>
      <c r="CB54" s="495"/>
      <c r="CC54" s="495"/>
      <c r="CD54" s="495"/>
      <c r="CE54" s="495"/>
      <c r="CF54" s="495"/>
      <c r="CG54" s="495"/>
      <c r="CH54" s="495"/>
      <c r="CI54" s="495"/>
      <c r="CJ54" s="495"/>
      <c r="CK54" s="495"/>
      <c r="CL54" s="495"/>
      <c r="CM54" s="495"/>
      <c r="CN54" s="495"/>
      <c r="CO54" s="495"/>
      <c r="CP54" s="495"/>
      <c r="CQ54" s="566"/>
      <c r="CR54" s="499"/>
      <c r="CS54" s="499"/>
      <c r="CT54" s="499"/>
      <c r="CU54" s="499"/>
      <c r="CV54" s="499"/>
      <c r="CW54" s="499"/>
      <c r="CX54" s="499"/>
      <c r="CY54" s="499"/>
      <c r="CZ54" s="499"/>
      <c r="DA54" s="499"/>
      <c r="DB54" s="499"/>
      <c r="DC54" s="499"/>
      <c r="DD54" s="499"/>
      <c r="DE54" s="499"/>
      <c r="DF54" s="499"/>
      <c r="DG54" s="499"/>
      <c r="DH54" s="499"/>
      <c r="DI54" s="499"/>
      <c r="DJ54" s="499"/>
      <c r="DK54" s="112"/>
      <c r="DL54" s="112"/>
      <c r="DM54" s="112"/>
      <c r="DN54" s="112"/>
      <c r="DO54" s="112"/>
      <c r="DP54" s="112"/>
      <c r="DQ54" s="579"/>
      <c r="DR54" s="34"/>
      <c r="DS54" s="34"/>
      <c r="DT54" s="34"/>
      <c r="DU54" s="34"/>
      <c r="DV54" s="34"/>
      <c r="DW54" s="34"/>
      <c r="DX54" s="34"/>
      <c r="DY54" s="34"/>
      <c r="DZ54" s="34"/>
      <c r="EA54" s="34"/>
      <c r="EB54" s="34"/>
      <c r="EC54" s="34"/>
      <c r="ED54" s="34"/>
      <c r="EE54" s="576"/>
      <c r="EF54" s="576"/>
      <c r="EG54" s="576"/>
    </row>
    <row r="55" spans="1:146" s="38" customFormat="1" x14ac:dyDescent="0.25">
      <c r="A55" s="516" t="s">
        <v>595</v>
      </c>
      <c r="B55" s="3" t="s">
        <v>328</v>
      </c>
      <c r="C55" s="512">
        <f t="shared" ref="C55:K55" si="98">C6</f>
        <v>10.625</v>
      </c>
      <c r="D55" s="512">
        <f t="shared" si="98"/>
        <v>12</v>
      </c>
      <c r="E55" s="512">
        <f t="shared" si="98"/>
        <v>14</v>
      </c>
      <c r="F55" s="512">
        <f t="shared" si="98"/>
        <v>14.2</v>
      </c>
      <c r="G55" s="512">
        <f t="shared" si="98"/>
        <v>14.2</v>
      </c>
      <c r="H55" s="512">
        <f t="shared" si="98"/>
        <v>16</v>
      </c>
      <c r="I55" s="512">
        <f t="shared" si="98"/>
        <v>16</v>
      </c>
      <c r="J55" s="512">
        <f t="shared" si="98"/>
        <v>16</v>
      </c>
      <c r="K55" s="512">
        <f t="shared" si="98"/>
        <v>16</v>
      </c>
      <c r="L55" s="512">
        <f>L6</f>
        <v>16</v>
      </c>
      <c r="M55" s="512">
        <f t="shared" ref="M55:BX55" si="99">M6</f>
        <v>16</v>
      </c>
      <c r="N55" s="512">
        <f t="shared" si="99"/>
        <v>17</v>
      </c>
      <c r="O55" s="512">
        <f t="shared" si="99"/>
        <v>17.007999999999999</v>
      </c>
      <c r="P55" s="512">
        <f t="shared" si="99"/>
        <v>18.547999999999998</v>
      </c>
      <c r="Q55" s="512">
        <f t="shared" si="99"/>
        <v>12</v>
      </c>
      <c r="R55" s="512">
        <f t="shared" si="99"/>
        <v>15</v>
      </c>
      <c r="S55" s="512">
        <f t="shared" si="99"/>
        <v>15.324999999999999</v>
      </c>
      <c r="T55" s="512">
        <f t="shared" si="99"/>
        <v>17.5</v>
      </c>
      <c r="U55" s="512">
        <f t="shared" si="99"/>
        <v>15.68</v>
      </c>
      <c r="V55" s="512">
        <f t="shared" si="99"/>
        <v>15.39</v>
      </c>
      <c r="W55" s="512">
        <f t="shared" si="99"/>
        <v>16.489999999999998</v>
      </c>
      <c r="X55" s="512">
        <f t="shared" si="99"/>
        <v>15.031000000000001</v>
      </c>
      <c r="Y55" s="512">
        <f t="shared" si="99"/>
        <v>15.3</v>
      </c>
      <c r="Z55" s="512">
        <f t="shared" si="99"/>
        <v>15</v>
      </c>
      <c r="AA55" s="512">
        <f t="shared" si="99"/>
        <v>15</v>
      </c>
      <c r="AB55" s="512">
        <f t="shared" si="99"/>
        <v>15</v>
      </c>
      <c r="AC55" s="512">
        <f t="shared" si="99"/>
        <v>15.042</v>
      </c>
      <c r="AD55" s="505">
        <f t="shared" si="99"/>
        <v>15.42</v>
      </c>
      <c r="AE55" s="505">
        <f t="shared" si="99"/>
        <v>15.9</v>
      </c>
      <c r="AF55" s="505">
        <f t="shared" si="99"/>
        <v>15.54</v>
      </c>
      <c r="AG55" s="505">
        <f t="shared" si="99"/>
        <v>15.629</v>
      </c>
      <c r="AH55" s="505">
        <f t="shared" si="99"/>
        <v>17.11</v>
      </c>
      <c r="AI55" s="505">
        <f t="shared" si="99"/>
        <v>15.15</v>
      </c>
      <c r="AJ55" s="505">
        <f t="shared" si="99"/>
        <v>15.131</v>
      </c>
      <c r="AK55" s="505">
        <f t="shared" si="99"/>
        <v>18.8</v>
      </c>
      <c r="AL55" s="505">
        <f t="shared" si="99"/>
        <v>17.5</v>
      </c>
      <c r="AM55" s="505">
        <f t="shared" si="99"/>
        <v>17.5</v>
      </c>
      <c r="AN55" s="505">
        <f t="shared" si="99"/>
        <v>20</v>
      </c>
      <c r="AO55" s="505">
        <f t="shared" si="99"/>
        <v>19.962</v>
      </c>
      <c r="AP55" s="505">
        <f t="shared" si="99"/>
        <v>20.085000000000001</v>
      </c>
      <c r="AQ55" s="505">
        <f t="shared" si="99"/>
        <v>20.023</v>
      </c>
      <c r="AR55" s="505">
        <f t="shared" si="99"/>
        <v>20.995000000000001</v>
      </c>
      <c r="AS55" s="505">
        <f t="shared" si="99"/>
        <v>19.7</v>
      </c>
      <c r="AT55" s="505">
        <f t="shared" si="99"/>
        <v>20</v>
      </c>
      <c r="AU55" s="505">
        <f t="shared" si="99"/>
        <v>20.05</v>
      </c>
      <c r="AV55" s="505">
        <f t="shared" si="99"/>
        <v>20.010999999999999</v>
      </c>
      <c r="AW55" s="505">
        <f t="shared" si="99"/>
        <v>20.141999999999999</v>
      </c>
      <c r="AX55" s="505">
        <f t="shared" si="99"/>
        <v>18</v>
      </c>
      <c r="AY55" s="505">
        <f t="shared" si="99"/>
        <v>19</v>
      </c>
      <c r="AZ55" s="505">
        <f t="shared" si="99"/>
        <v>19</v>
      </c>
      <c r="BA55" s="505">
        <f t="shared" si="99"/>
        <v>19.5</v>
      </c>
      <c r="BB55" s="505">
        <f t="shared" si="99"/>
        <v>20.024000000000001</v>
      </c>
      <c r="BC55" s="505">
        <f t="shared" si="99"/>
        <v>12.15</v>
      </c>
      <c r="BD55" s="498">
        <f t="shared" si="99"/>
        <v>11.6</v>
      </c>
      <c r="BE55" s="498">
        <f t="shared" si="99"/>
        <v>12.048999999999999</v>
      </c>
      <c r="BF55" s="498">
        <f t="shared" si="99"/>
        <v>12.003</v>
      </c>
      <c r="BG55" s="498">
        <f t="shared" si="99"/>
        <v>12.010999999999999</v>
      </c>
      <c r="BH55" s="498">
        <f t="shared" si="99"/>
        <v>12.012</v>
      </c>
      <c r="BI55" s="498">
        <f t="shared" si="99"/>
        <v>11.696999999999999</v>
      </c>
      <c r="BJ55" s="498">
        <f t="shared" si="99"/>
        <v>11.72</v>
      </c>
      <c r="BK55" s="498">
        <f t="shared" si="99"/>
        <v>12.018000000000001</v>
      </c>
      <c r="BL55" s="498">
        <f t="shared" si="99"/>
        <v>12.548</v>
      </c>
      <c r="BM55" s="498">
        <f t="shared" si="99"/>
        <v>13</v>
      </c>
      <c r="BN55" s="498">
        <f t="shared" si="99"/>
        <v>14</v>
      </c>
      <c r="BO55" s="498">
        <f t="shared" si="99"/>
        <v>13</v>
      </c>
      <c r="BP55" s="498">
        <f t="shared" ref="BP55:BW55" si="100">BP6</f>
        <v>10</v>
      </c>
      <c r="BQ55" s="498">
        <f t="shared" si="100"/>
        <v>10</v>
      </c>
      <c r="BR55" s="498">
        <f t="shared" si="100"/>
        <v>10</v>
      </c>
      <c r="BS55" s="498">
        <f t="shared" si="100"/>
        <v>10</v>
      </c>
      <c r="BT55" s="498">
        <f t="shared" si="100"/>
        <v>7.5</v>
      </c>
      <c r="BU55" s="498">
        <f t="shared" si="100"/>
        <v>7.5</v>
      </c>
      <c r="BV55" s="498">
        <f t="shared" si="100"/>
        <v>7.2</v>
      </c>
      <c r="BW55" s="498">
        <f t="shared" si="100"/>
        <v>7.2</v>
      </c>
      <c r="BX55" s="498">
        <f t="shared" si="99"/>
        <v>7.2</v>
      </c>
      <c r="BY55" s="498">
        <f t="shared" ref="BY55:DH55" si="101">BY6</f>
        <v>7.5</v>
      </c>
      <c r="BZ55" s="498">
        <f t="shared" si="101"/>
        <v>7.5</v>
      </c>
      <c r="CA55" s="498">
        <f t="shared" si="101"/>
        <v>7.5</v>
      </c>
      <c r="CB55" s="498">
        <f t="shared" si="101"/>
        <v>7.5</v>
      </c>
      <c r="CC55" s="498">
        <f t="shared" si="101"/>
        <v>8.75</v>
      </c>
      <c r="CD55" s="498">
        <f t="shared" si="101"/>
        <v>8.75</v>
      </c>
      <c r="CE55" s="498">
        <f t="shared" si="101"/>
        <v>18.75</v>
      </c>
      <c r="CF55" s="498">
        <f t="shared" si="101"/>
        <v>20</v>
      </c>
      <c r="CG55" s="498">
        <f t="shared" si="101"/>
        <v>20</v>
      </c>
      <c r="CH55" s="498">
        <f t="shared" si="101"/>
        <v>10.5</v>
      </c>
      <c r="CI55" s="498">
        <f t="shared" si="101"/>
        <v>12</v>
      </c>
      <c r="CJ55" s="498">
        <f t="shared" si="101"/>
        <v>16.7</v>
      </c>
      <c r="CK55" s="498">
        <f t="shared" si="101"/>
        <v>16.7</v>
      </c>
      <c r="CL55" s="498">
        <f t="shared" si="101"/>
        <v>22</v>
      </c>
      <c r="CM55" s="498">
        <f t="shared" si="101"/>
        <v>15.4</v>
      </c>
      <c r="CN55" s="498">
        <f t="shared" si="101"/>
        <v>13</v>
      </c>
      <c r="CO55" s="498">
        <f t="shared" si="101"/>
        <v>16.100000000000001</v>
      </c>
      <c r="CP55" s="498">
        <f t="shared" si="101"/>
        <v>13.13</v>
      </c>
      <c r="CQ55" s="502">
        <f t="shared" si="101"/>
        <v>13.6</v>
      </c>
      <c r="CR55" s="502">
        <f t="shared" si="101"/>
        <v>13.8</v>
      </c>
      <c r="CS55" s="502">
        <f t="shared" si="101"/>
        <v>13.5</v>
      </c>
      <c r="CT55" s="502">
        <f t="shared" si="101"/>
        <v>13.5</v>
      </c>
      <c r="CU55" s="502">
        <f t="shared" si="101"/>
        <v>14.6</v>
      </c>
      <c r="CV55" s="502">
        <f t="shared" si="101"/>
        <v>18.5</v>
      </c>
      <c r="CW55" s="502">
        <f t="shared" si="101"/>
        <v>15</v>
      </c>
      <c r="CX55" s="502">
        <f t="shared" si="101"/>
        <v>21</v>
      </c>
      <c r="CY55" s="502">
        <f t="shared" si="101"/>
        <v>21.5</v>
      </c>
      <c r="CZ55" s="502">
        <f t="shared" si="101"/>
        <v>18</v>
      </c>
      <c r="DA55" s="502">
        <f t="shared" si="101"/>
        <v>18.5</v>
      </c>
      <c r="DB55" s="502">
        <f t="shared" si="101"/>
        <v>18.5</v>
      </c>
      <c r="DC55" s="502">
        <f t="shared" si="101"/>
        <v>18.5</v>
      </c>
      <c r="DD55" s="502">
        <f t="shared" si="101"/>
        <v>17.5</v>
      </c>
      <c r="DE55" s="502">
        <f t="shared" si="101"/>
        <v>14.5</v>
      </c>
      <c r="DF55" s="502">
        <f t="shared" si="101"/>
        <v>14.5</v>
      </c>
      <c r="DG55" s="502">
        <f t="shared" si="101"/>
        <v>14.5</v>
      </c>
      <c r="DH55" s="502">
        <f t="shared" si="101"/>
        <v>14.5</v>
      </c>
      <c r="DI55" s="502">
        <f>DI6</f>
        <v>14</v>
      </c>
      <c r="DJ55" s="502">
        <f>DJ6</f>
        <v>14</v>
      </c>
      <c r="DK55" s="502">
        <f>DK6</f>
        <v>15.5</v>
      </c>
      <c r="DL55" s="502">
        <f t="shared" ref="DL55:EH55" si="102">DL6</f>
        <v>16</v>
      </c>
      <c r="DM55" s="502">
        <f t="shared" si="102"/>
        <v>18</v>
      </c>
      <c r="DN55" s="502">
        <f t="shared" si="102"/>
        <v>18</v>
      </c>
      <c r="DO55" s="502">
        <f t="shared" si="102"/>
        <v>20</v>
      </c>
      <c r="DP55" s="502">
        <f t="shared" si="102"/>
        <v>20</v>
      </c>
      <c r="DQ55" s="502">
        <f t="shared" si="102"/>
        <v>19</v>
      </c>
      <c r="DR55" s="502">
        <f t="shared" si="102"/>
        <v>22</v>
      </c>
      <c r="DS55" s="502">
        <f t="shared" si="102"/>
        <v>22</v>
      </c>
      <c r="DT55" s="502">
        <f t="shared" si="102"/>
        <v>22</v>
      </c>
      <c r="DU55" s="502">
        <f t="shared" si="102"/>
        <v>22</v>
      </c>
      <c r="DV55" s="502">
        <f t="shared" si="102"/>
        <v>22</v>
      </c>
      <c r="DW55" s="502">
        <f t="shared" si="102"/>
        <v>23</v>
      </c>
      <c r="DX55" s="502">
        <f t="shared" si="102"/>
        <v>23</v>
      </c>
      <c r="DY55" s="502">
        <f t="shared" si="102"/>
        <v>23</v>
      </c>
      <c r="DZ55" s="502">
        <f t="shared" si="102"/>
        <v>23</v>
      </c>
      <c r="EA55" s="502">
        <f t="shared" si="102"/>
        <v>23</v>
      </c>
      <c r="EB55" s="502">
        <f t="shared" si="102"/>
        <v>20</v>
      </c>
      <c r="EC55" s="502">
        <f t="shared" si="102"/>
        <v>15</v>
      </c>
      <c r="ED55" s="502">
        <f t="shared" si="102"/>
        <v>15</v>
      </c>
      <c r="EE55" s="577">
        <f t="shared" si="102"/>
        <v>18</v>
      </c>
      <c r="EF55" s="577">
        <f t="shared" si="102"/>
        <v>20.5</v>
      </c>
      <c r="EG55" s="577">
        <f t="shared" si="102"/>
        <v>20.5</v>
      </c>
      <c r="EH55" s="502">
        <f t="shared" si="102"/>
        <v>20.5</v>
      </c>
      <c r="EI55" s="502">
        <f>EI6</f>
        <v>20.2</v>
      </c>
      <c r="EJ55" s="502">
        <f>EJ6</f>
        <v>20</v>
      </c>
      <c r="EK55" s="502">
        <f>EK6</f>
        <v>16</v>
      </c>
      <c r="EL55" s="502">
        <f t="shared" ref="EL55:EM55" si="103">EL6</f>
        <v>16</v>
      </c>
      <c r="EM55" s="502">
        <f t="shared" si="103"/>
        <v>16</v>
      </c>
    </row>
    <row r="56" spans="1:146" x14ac:dyDescent="0.25">
      <c r="A56" s="490" t="s">
        <v>597</v>
      </c>
      <c r="B56" s="3" t="s">
        <v>328</v>
      </c>
      <c r="C56" s="509">
        <f t="shared" ref="C56:K56" si="104">C27</f>
        <v>98.917647058823533</v>
      </c>
      <c r="D56" s="509">
        <f t="shared" si="104"/>
        <v>114.41666666666667</v>
      </c>
      <c r="E56" s="509">
        <f t="shared" si="104"/>
        <v>183.92857142857142</v>
      </c>
      <c r="F56" s="509">
        <f t="shared" si="104"/>
        <v>150.77464788732397</v>
      </c>
      <c r="G56" s="509">
        <f t="shared" si="104"/>
        <v>157.25352112676057</v>
      </c>
      <c r="H56" s="509">
        <f t="shared" si="104"/>
        <v>179.5</v>
      </c>
      <c r="I56" s="509">
        <f t="shared" si="104"/>
        <v>169.5625</v>
      </c>
      <c r="J56" s="509">
        <f t="shared" si="104"/>
        <v>177.25</v>
      </c>
      <c r="K56" s="509">
        <f t="shared" si="104"/>
        <v>150.0625</v>
      </c>
      <c r="L56" s="509">
        <f>L27</f>
        <v>163.1875</v>
      </c>
      <c r="M56" s="509">
        <f t="shared" ref="M56:BX56" si="105">M27</f>
        <v>142.625</v>
      </c>
      <c r="N56" s="509">
        <f t="shared" si="105"/>
        <v>125.17647058823529</v>
      </c>
      <c r="O56" s="509">
        <f t="shared" si="105"/>
        <v>164.62841015992475</v>
      </c>
      <c r="P56" s="509">
        <f t="shared" si="105"/>
        <v>119.5816260513263</v>
      </c>
      <c r="Q56" s="509">
        <f t="shared" si="105"/>
        <v>186.33333333333334</v>
      </c>
      <c r="R56" s="509">
        <f t="shared" si="105"/>
        <v>158.93333333333334</v>
      </c>
      <c r="S56" s="509">
        <f t="shared" si="105"/>
        <v>165.08972267536706</v>
      </c>
      <c r="T56" s="509">
        <f t="shared" si="105"/>
        <v>162.22857142857143</v>
      </c>
      <c r="U56" s="509">
        <f t="shared" si="105"/>
        <v>169.96173469387756</v>
      </c>
      <c r="V56" s="509">
        <f t="shared" si="105"/>
        <v>173.74918778427551</v>
      </c>
      <c r="W56" s="509">
        <f t="shared" si="105"/>
        <v>155.12431776834447</v>
      </c>
      <c r="X56" s="509">
        <f t="shared" si="105"/>
        <v>157.7406692834808</v>
      </c>
      <c r="Y56" s="509">
        <f t="shared" si="105"/>
        <v>148.75816993464051</v>
      </c>
      <c r="Z56" s="509">
        <f t="shared" si="105"/>
        <v>179.13333333333333</v>
      </c>
      <c r="AA56" s="509">
        <f t="shared" si="105"/>
        <v>176.93333333333334</v>
      </c>
      <c r="AB56" s="509">
        <f t="shared" si="105"/>
        <v>182.73333333333332</v>
      </c>
      <c r="AC56" s="509">
        <f t="shared" si="105"/>
        <v>169.65829012099456</v>
      </c>
      <c r="AD56" s="504">
        <f t="shared" si="105"/>
        <v>171.7898832684825</v>
      </c>
      <c r="AE56" s="504">
        <f t="shared" si="105"/>
        <v>148.23899371069183</v>
      </c>
      <c r="AF56" s="504">
        <f t="shared" si="105"/>
        <v>156.49935649935651</v>
      </c>
      <c r="AG56" s="504">
        <f t="shared" si="105"/>
        <v>160.9188047859748</v>
      </c>
      <c r="AH56" s="504">
        <f t="shared" si="105"/>
        <v>125.71595558153128</v>
      </c>
      <c r="AI56" s="504">
        <f t="shared" si="105"/>
        <v>151.35313531353134</v>
      </c>
      <c r="AJ56" s="504">
        <f t="shared" si="105"/>
        <v>152.13799484502016</v>
      </c>
      <c r="AK56" s="504">
        <f t="shared" si="105"/>
        <v>141.43617021276594</v>
      </c>
      <c r="AL56" s="504">
        <f t="shared" si="105"/>
        <v>160.80000000000001</v>
      </c>
      <c r="AM56" s="504">
        <f t="shared" si="105"/>
        <v>141.94285714285715</v>
      </c>
      <c r="AN56" s="504">
        <f t="shared" si="105"/>
        <v>149.75</v>
      </c>
      <c r="AO56" s="504">
        <f t="shared" si="105"/>
        <v>137.41108105400261</v>
      </c>
      <c r="AP56" s="504">
        <f t="shared" si="105"/>
        <v>129.6489917849141</v>
      </c>
      <c r="AQ56" s="504">
        <f t="shared" si="105"/>
        <v>130.00049942566048</v>
      </c>
      <c r="AR56" s="504">
        <f t="shared" si="105"/>
        <v>145.03453203143604</v>
      </c>
      <c r="AS56" s="504">
        <f t="shared" si="105"/>
        <v>150.20304568527919</v>
      </c>
      <c r="AT56" s="504">
        <f t="shared" si="105"/>
        <v>143.94999999999999</v>
      </c>
      <c r="AU56" s="504">
        <f t="shared" si="105"/>
        <v>141.94513715710724</v>
      </c>
      <c r="AV56" s="504">
        <f t="shared" si="105"/>
        <v>143.92084353605517</v>
      </c>
      <c r="AW56" s="504">
        <f t="shared" si="105"/>
        <v>145.16929798431138</v>
      </c>
      <c r="AX56" s="504">
        <f t="shared" si="105"/>
        <v>147.22222222222223</v>
      </c>
      <c r="AY56" s="504">
        <f t="shared" si="105"/>
        <v>154.31578947368422</v>
      </c>
      <c r="AZ56" s="504">
        <f t="shared" si="105"/>
        <v>155.57894736842104</v>
      </c>
      <c r="BA56" s="504">
        <f t="shared" si="105"/>
        <v>139.48717948717947</v>
      </c>
      <c r="BB56" s="504">
        <f t="shared" si="105"/>
        <v>141.63004394726329</v>
      </c>
      <c r="BC56" s="504">
        <f t="shared" si="105"/>
        <v>158.02469135802468</v>
      </c>
      <c r="BD56" s="495">
        <f t="shared" si="105"/>
        <v>165.51724137931035</v>
      </c>
      <c r="BE56" s="495">
        <f t="shared" si="105"/>
        <v>159.34932359531913</v>
      </c>
      <c r="BF56" s="495">
        <f t="shared" si="105"/>
        <v>159.96000999750063</v>
      </c>
      <c r="BG56" s="495">
        <f t="shared" si="105"/>
        <v>159.8534676546499</v>
      </c>
      <c r="BH56" s="495">
        <f t="shared" si="105"/>
        <v>148.26839826839827</v>
      </c>
      <c r="BI56" s="495">
        <f t="shared" si="105"/>
        <v>143.96853894160898</v>
      </c>
      <c r="BJ56" s="495">
        <f t="shared" si="105"/>
        <v>156.22866894197952</v>
      </c>
      <c r="BK56" s="495">
        <f t="shared" si="105"/>
        <v>141.53769345981027</v>
      </c>
      <c r="BL56" s="495">
        <f t="shared" si="105"/>
        <v>133.8061842524705</v>
      </c>
      <c r="BM56" s="495">
        <f t="shared" si="105"/>
        <v>117.61538461538461</v>
      </c>
      <c r="BN56" s="495">
        <f t="shared" si="105"/>
        <v>109.85714285714286</v>
      </c>
      <c r="BO56" s="495">
        <f t="shared" si="105"/>
        <v>116.92307692307692</v>
      </c>
      <c r="BP56" s="495">
        <f t="shared" si="105"/>
        <v>149.1</v>
      </c>
      <c r="BQ56" s="495">
        <f t="shared" si="105"/>
        <v>149.19999999999999</v>
      </c>
      <c r="BR56" s="495">
        <f t="shared" si="105"/>
        <v>143.9</v>
      </c>
      <c r="BS56" s="495">
        <f t="shared" si="105"/>
        <v>139.1</v>
      </c>
      <c r="BT56" s="495">
        <f t="shared" si="105"/>
        <v>174.13333333333333</v>
      </c>
      <c r="BU56" s="495">
        <f t="shared" si="105"/>
        <v>184.8</v>
      </c>
      <c r="BV56" s="495">
        <f t="shared" si="105"/>
        <v>179.16666666666666</v>
      </c>
      <c r="BW56" s="495">
        <f t="shared" si="105"/>
        <v>177.36111111111111</v>
      </c>
      <c r="BX56" s="495">
        <f t="shared" si="105"/>
        <v>152.36111111111111</v>
      </c>
      <c r="BY56" s="495">
        <f t="shared" ref="BY56:DH56" si="106">BY27</f>
        <v>110.13333333333334</v>
      </c>
      <c r="BZ56" s="495">
        <f t="shared" si="106"/>
        <v>157.33333333333334</v>
      </c>
      <c r="CA56" s="495">
        <f t="shared" si="106"/>
        <v>179.6</v>
      </c>
      <c r="CB56" s="495">
        <f t="shared" si="106"/>
        <v>146.80000000000001</v>
      </c>
      <c r="CC56" s="495">
        <f t="shared" si="106"/>
        <v>144</v>
      </c>
      <c r="CD56" s="495">
        <f t="shared" si="106"/>
        <v>120.91428571428571</v>
      </c>
      <c r="CE56" s="495">
        <f t="shared" si="106"/>
        <v>124.21333333333334</v>
      </c>
      <c r="CF56" s="495">
        <f t="shared" si="106"/>
        <v>123.2</v>
      </c>
      <c r="CG56" s="495">
        <f t="shared" si="106"/>
        <v>112.6</v>
      </c>
      <c r="CH56" s="495">
        <f t="shared" si="106"/>
        <v>136.85714285714286</v>
      </c>
      <c r="CI56" s="495">
        <f t="shared" si="106"/>
        <v>151.08333333333334</v>
      </c>
      <c r="CJ56" s="495">
        <f t="shared" si="106"/>
        <v>99.580838323353291</v>
      </c>
      <c r="CK56" s="495">
        <f t="shared" si="106"/>
        <v>126.46706586826348</v>
      </c>
      <c r="CL56" s="495">
        <f t="shared" si="106"/>
        <v>130.68181818181819</v>
      </c>
      <c r="CM56" s="495">
        <f t="shared" si="106"/>
        <v>158.44155844155844</v>
      </c>
      <c r="CN56" s="495">
        <f t="shared" si="106"/>
        <v>156.07692307692307</v>
      </c>
      <c r="CO56" s="495">
        <f t="shared" si="106"/>
        <v>154.3478260869565</v>
      </c>
      <c r="CP56" s="495">
        <f t="shared" si="106"/>
        <v>154.60776846915459</v>
      </c>
      <c r="CQ56" s="499">
        <f t="shared" si="106"/>
        <v>157.86764705882354</v>
      </c>
      <c r="CR56" s="499">
        <f t="shared" si="106"/>
        <v>155.28985507246375</v>
      </c>
      <c r="CS56" s="499">
        <f t="shared" si="106"/>
        <v>154.74074074074073</v>
      </c>
      <c r="CT56" s="499">
        <f t="shared" si="106"/>
        <v>169.7037037037037</v>
      </c>
      <c r="CU56" s="499">
        <f t="shared" si="106"/>
        <v>122.32876712328768</v>
      </c>
      <c r="CV56" s="499">
        <f t="shared" si="106"/>
        <v>123.67567567567568</v>
      </c>
      <c r="CW56" s="499">
        <f t="shared" si="106"/>
        <v>122.4</v>
      </c>
      <c r="CX56" s="499">
        <f t="shared" si="106"/>
        <v>107.80952380952381</v>
      </c>
      <c r="CY56" s="499">
        <f t="shared" si="106"/>
        <v>124.41860465116279</v>
      </c>
      <c r="CZ56" s="499">
        <f t="shared" si="106"/>
        <v>149</v>
      </c>
      <c r="DA56" s="499">
        <f t="shared" si="106"/>
        <v>153.45945945945945</v>
      </c>
      <c r="DB56" s="499">
        <f t="shared" si="106"/>
        <v>145.62162162162161</v>
      </c>
      <c r="DC56" s="499">
        <f t="shared" si="106"/>
        <v>140.86486486486487</v>
      </c>
      <c r="DD56" s="499">
        <f t="shared" si="106"/>
        <v>149.71428571428572</v>
      </c>
      <c r="DE56" s="499">
        <f t="shared" si="106"/>
        <v>154.75862068965517</v>
      </c>
      <c r="DF56" s="499">
        <f t="shared" si="106"/>
        <v>142.20689655172413</v>
      </c>
      <c r="DG56" s="499">
        <f t="shared" si="106"/>
        <v>150</v>
      </c>
      <c r="DH56" s="499">
        <f t="shared" si="106"/>
        <v>151.31034482758622</v>
      </c>
      <c r="DI56" s="499">
        <f t="shared" ref="DI56:EH56" si="107">DI27</f>
        <v>136.21428571428572</v>
      </c>
      <c r="DJ56" s="499">
        <f t="shared" si="107"/>
        <v>146.5</v>
      </c>
      <c r="DK56" s="499">
        <f t="shared" si="107"/>
        <v>130.06451612903226</v>
      </c>
      <c r="DL56" s="499">
        <f t="shared" si="107"/>
        <v>144.875</v>
      </c>
      <c r="DM56" s="499">
        <f t="shared" si="107"/>
        <v>136.5</v>
      </c>
      <c r="DN56" s="499">
        <f t="shared" si="107"/>
        <v>147.94444444444446</v>
      </c>
      <c r="DO56" s="499">
        <f t="shared" si="107"/>
        <v>137.75</v>
      </c>
      <c r="DP56" s="499">
        <f t="shared" si="107"/>
        <v>151.75</v>
      </c>
      <c r="DQ56" s="499">
        <f t="shared" si="107"/>
        <v>132</v>
      </c>
      <c r="DR56" s="499">
        <f t="shared" si="107"/>
        <v>135.13636363636363</v>
      </c>
      <c r="DS56" s="499">
        <f t="shared" si="107"/>
        <v>140</v>
      </c>
      <c r="DT56" s="499">
        <f t="shared" si="107"/>
        <v>109.54545454545455</v>
      </c>
      <c r="DU56" s="499">
        <f t="shared" si="107"/>
        <v>131.5</v>
      </c>
      <c r="DV56" s="499">
        <f t="shared" si="107"/>
        <v>121.5</v>
      </c>
      <c r="DW56" s="499">
        <f t="shared" si="107"/>
        <v>126.08695652173913</v>
      </c>
      <c r="DX56" s="499">
        <f t="shared" si="107"/>
        <v>117.60869565217391</v>
      </c>
      <c r="DY56" s="499">
        <f t="shared" si="107"/>
        <v>144.04347826086956</v>
      </c>
      <c r="DZ56" s="499">
        <f t="shared" si="107"/>
        <v>124.47826086956522</v>
      </c>
      <c r="EA56" s="499">
        <f t="shared" si="107"/>
        <v>129.69565217391303</v>
      </c>
      <c r="EB56" s="499">
        <f t="shared" si="107"/>
        <v>135.25</v>
      </c>
      <c r="EC56" s="499">
        <f t="shared" si="107"/>
        <v>163.93333333333334</v>
      </c>
      <c r="ED56" s="499">
        <f t="shared" si="107"/>
        <v>163.93333333333334</v>
      </c>
      <c r="EE56" s="578">
        <f t="shared" si="107"/>
        <v>142.55555555555554</v>
      </c>
      <c r="EF56" s="578">
        <f t="shared" si="107"/>
        <v>124.19512195121951</v>
      </c>
      <c r="EG56" s="578">
        <f t="shared" si="107"/>
        <v>132.6829268292683</v>
      </c>
      <c r="EH56" s="499">
        <f t="shared" si="107"/>
        <v>121.02439024390245</v>
      </c>
      <c r="EI56" s="499">
        <f>EI27</f>
        <v>126.73267326732673</v>
      </c>
      <c r="EJ56" s="499">
        <f>EJ27</f>
        <v>136.35</v>
      </c>
      <c r="EK56" s="499">
        <f>EK27</f>
        <v>134.6875</v>
      </c>
      <c r="EL56" s="499">
        <f t="shared" ref="EL56:EM56" si="108">EL27</f>
        <v>147.5</v>
      </c>
      <c r="EM56" s="499">
        <f t="shared" si="108"/>
        <v>136.875</v>
      </c>
    </row>
    <row r="57" spans="1:146" x14ac:dyDescent="0.25">
      <c r="A57" s="490" t="s">
        <v>598</v>
      </c>
      <c r="B57" s="3" t="s">
        <v>328</v>
      </c>
      <c r="C57" s="512">
        <f t="shared" ref="C57:K57" si="109">C58/C56</f>
        <v>2.2712654614652714</v>
      </c>
      <c r="D57" s="512">
        <f t="shared" si="109"/>
        <v>2.2403902055443479</v>
      </c>
      <c r="E57" s="512">
        <f t="shared" si="109"/>
        <v>0.91258252427184472</v>
      </c>
      <c r="F57" s="512">
        <f t="shared" si="109"/>
        <v>1.2486221391872954</v>
      </c>
      <c r="G57" s="512">
        <f t="shared" si="109"/>
        <v>1.4562919838781909</v>
      </c>
      <c r="H57" s="512">
        <f t="shared" si="109"/>
        <v>0.45526462395543177</v>
      </c>
      <c r="I57" s="512">
        <f t="shared" si="109"/>
        <v>1.0093991890895688</v>
      </c>
      <c r="J57" s="512">
        <f t="shared" si="109"/>
        <v>0.7844499294781383</v>
      </c>
      <c r="K57" s="512">
        <f t="shared" si="109"/>
        <v>0.6005830903790087</v>
      </c>
      <c r="L57" s="512">
        <f>L58/L56</f>
        <v>1.1934507851397933</v>
      </c>
      <c r="M57" s="512">
        <f t="shared" ref="M57:BX57" si="110">M58/M56</f>
        <v>1.2231025416301489</v>
      </c>
      <c r="N57" s="512">
        <f t="shared" si="110"/>
        <v>1.4989567669172934</v>
      </c>
      <c r="O57" s="512">
        <f t="shared" si="110"/>
        <v>1.42</v>
      </c>
      <c r="P57" s="512">
        <f t="shared" si="110"/>
        <v>1.2954012623985571</v>
      </c>
      <c r="Q57" s="512">
        <f t="shared" si="110"/>
        <v>1.2511627906976743</v>
      </c>
      <c r="R57" s="512">
        <f t="shared" si="110"/>
        <v>1.6399748322147649</v>
      </c>
      <c r="S57" s="512">
        <f t="shared" si="110"/>
        <v>1.4748221343873518</v>
      </c>
      <c r="T57" s="512">
        <f t="shared" si="110"/>
        <v>1.5053187742162735</v>
      </c>
      <c r="U57" s="512">
        <f t="shared" si="110"/>
        <v>2.4906941838649157</v>
      </c>
      <c r="V57" s="512">
        <f t="shared" si="110"/>
        <v>2.16432311144353</v>
      </c>
      <c r="W57" s="512">
        <f t="shared" si="110"/>
        <v>2.355238467552776</v>
      </c>
      <c r="X57" s="512">
        <f t="shared" si="110"/>
        <v>2.8078869675242517</v>
      </c>
      <c r="Y57" s="512">
        <f t="shared" si="110"/>
        <v>3.0242091388400705</v>
      </c>
      <c r="Z57" s="512">
        <f t="shared" si="110"/>
        <v>2.1414216598436919</v>
      </c>
      <c r="AA57" s="512">
        <f t="shared" si="110"/>
        <v>2.2992087415222304</v>
      </c>
      <c r="AB57" s="512">
        <f t="shared" si="110"/>
        <v>1.9977745348412996</v>
      </c>
      <c r="AC57" s="512">
        <f t="shared" si="110"/>
        <v>2.2440438871473347</v>
      </c>
      <c r="AD57" s="505">
        <f t="shared" si="110"/>
        <v>1.6143450358625895</v>
      </c>
      <c r="AE57" s="505">
        <f t="shared" si="110"/>
        <v>2.303818413237166</v>
      </c>
      <c r="AF57" s="505">
        <f t="shared" si="110"/>
        <v>2.5463322368421055</v>
      </c>
      <c r="AG57" s="505">
        <f t="shared" si="110"/>
        <v>2.4239363817097415</v>
      </c>
      <c r="AH57" s="505">
        <f t="shared" si="110"/>
        <v>2.6257089725708966</v>
      </c>
      <c r="AI57" s="505">
        <f t="shared" si="110"/>
        <v>2.030135194068905</v>
      </c>
      <c r="AJ57" s="505">
        <f t="shared" si="110"/>
        <v>2.314100781928758</v>
      </c>
      <c r="AK57" s="505">
        <f t="shared" si="110"/>
        <v>1.9402331703647988</v>
      </c>
      <c r="AL57" s="505">
        <f t="shared" si="110"/>
        <v>2.024818763326226</v>
      </c>
      <c r="AM57" s="505">
        <f t="shared" si="110"/>
        <v>2.2838325281803544</v>
      </c>
      <c r="AN57" s="505">
        <f t="shared" si="110"/>
        <v>2.4198831385642734</v>
      </c>
      <c r="AO57" s="505">
        <f t="shared" si="110"/>
        <v>3.1217353262850893</v>
      </c>
      <c r="AP57" s="505">
        <f t="shared" si="110"/>
        <v>3.3435099846390171</v>
      </c>
      <c r="AQ57" s="505">
        <f t="shared" si="110"/>
        <v>3.2697272378025364</v>
      </c>
      <c r="AR57" s="505">
        <f t="shared" si="110"/>
        <v>2.3771100164203611</v>
      </c>
      <c r="AS57" s="505">
        <f t="shared" si="110"/>
        <v>2.926664413653262</v>
      </c>
      <c r="AT57" s="505">
        <f t="shared" si="110"/>
        <v>2.8747829107328937</v>
      </c>
      <c r="AU57" s="505">
        <f t="shared" si="110"/>
        <v>2.5520028109627546</v>
      </c>
      <c r="AV57" s="505">
        <f t="shared" si="110"/>
        <v>2.6513541666666667</v>
      </c>
      <c r="AW57" s="505">
        <f t="shared" si="110"/>
        <v>2.5444596443228455</v>
      </c>
      <c r="AX57" s="505">
        <f t="shared" si="110"/>
        <v>2.3569811320754721</v>
      </c>
      <c r="AY57" s="505">
        <f t="shared" si="110"/>
        <v>2.0057298772169165</v>
      </c>
      <c r="AZ57" s="505">
        <f t="shared" si="110"/>
        <v>2.0539242219215157</v>
      </c>
      <c r="BA57" s="505">
        <f t="shared" si="110"/>
        <v>2.0428308823529413</v>
      </c>
      <c r="BB57" s="505">
        <f t="shared" si="110"/>
        <v>1.9447461212976016</v>
      </c>
      <c r="BC57" s="505">
        <f t="shared" si="110"/>
        <v>1.3473437500000001</v>
      </c>
      <c r="BD57" s="498">
        <f t="shared" si="110"/>
        <v>1.1446875000000001</v>
      </c>
      <c r="BE57" s="498">
        <f t="shared" si="110"/>
        <v>1.3988020833333332</v>
      </c>
      <c r="BF57" s="498">
        <f t="shared" si="110"/>
        <v>0.87447916666666636</v>
      </c>
      <c r="BG57" s="498">
        <f t="shared" si="110"/>
        <v>1.2044270833333335</v>
      </c>
      <c r="BH57" s="498">
        <f t="shared" si="110"/>
        <v>0.95463222908478385</v>
      </c>
      <c r="BI57" s="498">
        <f t="shared" si="110"/>
        <v>1.1517220902612826</v>
      </c>
      <c r="BJ57" s="498">
        <f t="shared" si="110"/>
        <v>1.0867285636264337</v>
      </c>
      <c r="BK57" s="498">
        <f t="shared" si="110"/>
        <v>1.2585420340975897</v>
      </c>
      <c r="BL57" s="498">
        <f t="shared" si="110"/>
        <v>1.2404288266825492</v>
      </c>
      <c r="BM57" s="498">
        <f t="shared" si="110"/>
        <v>0.78306736429038604</v>
      </c>
      <c r="BN57" s="498">
        <f t="shared" si="110"/>
        <v>1.1113654096228869</v>
      </c>
      <c r="BO57" s="498">
        <f t="shared" si="110"/>
        <v>1.7530657894736845</v>
      </c>
      <c r="BP57" s="498">
        <f t="shared" si="110"/>
        <v>0.37234071093226029</v>
      </c>
      <c r="BQ57" s="498">
        <f t="shared" si="110"/>
        <v>0.70790884718498648</v>
      </c>
      <c r="BR57" s="498">
        <f t="shared" si="110"/>
        <v>0.36155663655316195</v>
      </c>
      <c r="BS57" s="498">
        <f t="shared" si="110"/>
        <v>1.0885981308411219</v>
      </c>
      <c r="BT57" s="498">
        <f t="shared" si="110"/>
        <v>0.63606431852986212</v>
      </c>
      <c r="BU57" s="498">
        <f t="shared" si="110"/>
        <v>0.2187012987012987</v>
      </c>
      <c r="BV57" s="498">
        <f t="shared" si="110"/>
        <v>4.5147286821705428E-2</v>
      </c>
      <c r="BW57" s="498">
        <f t="shared" si="110"/>
        <v>0.57341425215348463</v>
      </c>
      <c r="BX57" s="498">
        <f t="shared" si="110"/>
        <v>0</v>
      </c>
      <c r="BY57" s="498">
        <f t="shared" ref="BY57:DH57" si="111">BY58/BY56</f>
        <v>0</v>
      </c>
      <c r="BZ57" s="498">
        <f t="shared" si="111"/>
        <v>0.39980508474576265</v>
      </c>
      <c r="CA57" s="498">
        <f t="shared" si="111"/>
        <v>1.1234001484780995</v>
      </c>
      <c r="CB57" s="498">
        <f t="shared" si="111"/>
        <v>0</v>
      </c>
      <c r="CC57" s="498">
        <f t="shared" si="111"/>
        <v>0.3334206349206349</v>
      </c>
      <c r="CD57" s="498">
        <f t="shared" si="111"/>
        <v>0.7009640831758035</v>
      </c>
      <c r="CE57" s="498">
        <f t="shared" si="111"/>
        <v>1.3357363675397167</v>
      </c>
      <c r="CF57" s="498">
        <f t="shared" si="111"/>
        <v>2.6920698051948051</v>
      </c>
      <c r="CG57" s="498">
        <f t="shared" si="111"/>
        <v>2.5162921847246897</v>
      </c>
      <c r="CH57" s="498">
        <f t="shared" si="111"/>
        <v>0.24008350730688932</v>
      </c>
      <c r="CI57" s="498">
        <f t="shared" si="111"/>
        <v>2.910617760617761</v>
      </c>
      <c r="CJ57" s="498">
        <f t="shared" si="111"/>
        <v>2.4456283824413712</v>
      </c>
      <c r="CK57" s="498">
        <f t="shared" si="111"/>
        <v>2.6130681818181816</v>
      </c>
      <c r="CL57" s="498">
        <f t="shared" si="111"/>
        <v>3.02264</v>
      </c>
      <c r="CM57" s="498">
        <f t="shared" si="111"/>
        <v>2.7000450819672128</v>
      </c>
      <c r="CN57" s="498">
        <f t="shared" si="111"/>
        <v>3.2299753573188767</v>
      </c>
      <c r="CO57" s="498">
        <f t="shared" si="111"/>
        <v>2.5589698189134804</v>
      </c>
      <c r="CP57" s="498">
        <f t="shared" si="111"/>
        <v>3.1750246305418721</v>
      </c>
      <c r="CQ57" s="502">
        <f t="shared" si="111"/>
        <v>2.8058174196553334</v>
      </c>
      <c r="CR57" s="502">
        <f t="shared" si="111"/>
        <v>2.6917125524965004</v>
      </c>
      <c r="CS57" s="502">
        <f t="shared" si="111"/>
        <v>2.8339061752034471</v>
      </c>
      <c r="CT57" s="502">
        <f t="shared" si="111"/>
        <v>2.534159755565256</v>
      </c>
      <c r="CU57" s="502">
        <f t="shared" si="111"/>
        <v>2.4180235162374024</v>
      </c>
      <c r="CV57" s="502">
        <f t="shared" si="111"/>
        <v>2.1997596153846155</v>
      </c>
      <c r="CW57" s="502">
        <f t="shared" si="111"/>
        <v>2.1237091503267975</v>
      </c>
      <c r="CX57" s="502">
        <f t="shared" si="111"/>
        <v>2.5108878091872788</v>
      </c>
      <c r="CY57" s="502">
        <f t="shared" si="111"/>
        <v>3.0300485981308403</v>
      </c>
      <c r="CZ57" s="502">
        <f t="shared" si="111"/>
        <v>3.055059656972408</v>
      </c>
      <c r="DA57" s="502">
        <f t="shared" si="111"/>
        <v>2.5449771046143006</v>
      </c>
      <c r="DB57" s="502">
        <f t="shared" si="111"/>
        <v>2.3924795842613218</v>
      </c>
      <c r="DC57" s="502">
        <f t="shared" si="111"/>
        <v>2.3906446661550267</v>
      </c>
      <c r="DD57" s="502">
        <f t="shared" si="111"/>
        <v>2.4041564885496176</v>
      </c>
      <c r="DE57" s="502">
        <f t="shared" si="111"/>
        <v>2.5233511586452768</v>
      </c>
      <c r="DF57" s="502">
        <f t="shared" si="111"/>
        <v>2.6663191076624635</v>
      </c>
      <c r="DG57" s="502">
        <f t="shared" si="111"/>
        <v>2.1081149425287355</v>
      </c>
      <c r="DH57" s="502">
        <f t="shared" si="111"/>
        <v>2.1642844120328166</v>
      </c>
      <c r="DI57" s="502">
        <f t="shared" ref="DI57:EH57" si="112">DI58/DI56</f>
        <v>2.6484079706345045</v>
      </c>
      <c r="DJ57" s="502">
        <f t="shared" si="112"/>
        <v>2.2280302291565093</v>
      </c>
      <c r="DK57" s="502">
        <f>DK58/DK56</f>
        <v>1.6549206349206347</v>
      </c>
      <c r="DL57" s="502">
        <f t="shared" si="112"/>
        <v>1.7437489214840378</v>
      </c>
      <c r="DM57" s="502">
        <f t="shared" si="112"/>
        <v>2.0573626373626372</v>
      </c>
      <c r="DN57" s="502">
        <f t="shared" si="112"/>
        <v>1.4757378895981972</v>
      </c>
      <c r="DO57" s="502">
        <f t="shared" si="112"/>
        <v>2.0972595281306714</v>
      </c>
      <c r="DP57" s="502">
        <f t="shared" si="112"/>
        <v>1.7858187808896211</v>
      </c>
      <c r="DQ57" s="502">
        <f t="shared" si="112"/>
        <v>1.4337161084529504</v>
      </c>
      <c r="DR57" s="502">
        <f t="shared" si="112"/>
        <v>1.6442381432896067</v>
      </c>
      <c r="DS57" s="502">
        <f t="shared" si="112"/>
        <v>1.5290519480519478</v>
      </c>
      <c r="DT57" s="502">
        <f t="shared" si="112"/>
        <v>0.81528672199170116</v>
      </c>
      <c r="DU57" s="502">
        <f t="shared" si="112"/>
        <v>0.77733342550985141</v>
      </c>
      <c r="DV57" s="502">
        <f t="shared" si="112"/>
        <v>0.79451552562663663</v>
      </c>
      <c r="DW57" s="502">
        <f t="shared" si="112"/>
        <v>0.22781034482758619</v>
      </c>
      <c r="DX57" s="502">
        <f t="shared" si="112"/>
        <v>1.8515563770794823</v>
      </c>
      <c r="DY57" s="502">
        <f t="shared" si="112"/>
        <v>7.2396619378207058E-2</v>
      </c>
      <c r="DZ57" s="502">
        <f t="shared" si="112"/>
        <v>0.38796367446734198</v>
      </c>
      <c r="EA57" s="502">
        <f t="shared" si="112"/>
        <v>0.32116359369761993</v>
      </c>
      <c r="EB57" s="502">
        <f t="shared" si="112"/>
        <v>1.1107966728280962</v>
      </c>
      <c r="EC57" s="502">
        <f t="shared" si="112"/>
        <v>1.3564050427002845</v>
      </c>
      <c r="ED57" s="502">
        <f t="shared" si="112"/>
        <v>1.7004758031720213</v>
      </c>
      <c r="EE57" s="577">
        <f t="shared" si="112"/>
        <v>1.7809859703819175</v>
      </c>
      <c r="EF57" s="502">
        <f t="shared" si="112"/>
        <v>1.471551453260016</v>
      </c>
      <c r="EG57" s="502">
        <f t="shared" si="112"/>
        <v>1.9283805147058821</v>
      </c>
      <c r="EH57" s="502">
        <f t="shared" si="112"/>
        <v>2.1107900040306324</v>
      </c>
      <c r="EI57" s="502">
        <f>EI58/EI56</f>
        <v>1.7818203125000001</v>
      </c>
      <c r="EJ57" s="502">
        <f>EJ58/EJ56</f>
        <v>0</v>
      </c>
      <c r="EK57" s="502">
        <f>EK58/EK56</f>
        <v>0</v>
      </c>
      <c r="EL57" s="502">
        <f t="shared" ref="EL57:EM57" si="113">EL58/EL56</f>
        <v>0</v>
      </c>
      <c r="EM57" s="502">
        <f t="shared" si="113"/>
        <v>0</v>
      </c>
    </row>
    <row r="58" spans="1:146" x14ac:dyDescent="0.25">
      <c r="A58" s="489" t="s">
        <v>596</v>
      </c>
      <c r="B58" s="3" t="s">
        <v>328</v>
      </c>
      <c r="C58" s="509">
        <f t="shared" ref="C58:K58" si="114">(C60+C61)/C55</f>
        <v>224.66823529411769</v>
      </c>
      <c r="D58" s="509">
        <f t="shared" si="114"/>
        <v>256.33797935103246</v>
      </c>
      <c r="E58" s="509">
        <f t="shared" si="114"/>
        <v>167.85</v>
      </c>
      <c r="F58" s="509">
        <f t="shared" si="114"/>
        <v>188.26056338028167</v>
      </c>
      <c r="G58" s="509">
        <f t="shared" si="114"/>
        <v>229.00704225352115</v>
      </c>
      <c r="H58" s="509">
        <f t="shared" si="114"/>
        <v>81.72</v>
      </c>
      <c r="I58" s="509">
        <f t="shared" si="114"/>
        <v>171.15625</v>
      </c>
      <c r="J58" s="509">
        <f t="shared" si="114"/>
        <v>139.04375000000002</v>
      </c>
      <c r="K58" s="509">
        <f t="shared" si="114"/>
        <v>90.125</v>
      </c>
      <c r="L58" s="509">
        <f t="shared" ref="L58:AQ58" si="115">(L60+L61)/L55</f>
        <v>194.75625000000002</v>
      </c>
      <c r="M58" s="509">
        <f t="shared" si="115"/>
        <v>174.44499999999999</v>
      </c>
      <c r="N58" s="509">
        <f t="shared" si="115"/>
        <v>187.63411764705884</v>
      </c>
      <c r="O58" s="509">
        <f t="shared" si="115"/>
        <v>233.77234242709315</v>
      </c>
      <c r="P58" s="509">
        <f t="shared" si="115"/>
        <v>154.90618934656027</v>
      </c>
      <c r="Q58" s="509">
        <f t="shared" si="115"/>
        <v>233.13333333333333</v>
      </c>
      <c r="R58" s="509">
        <f t="shared" si="115"/>
        <v>260.64666666666665</v>
      </c>
      <c r="S58" s="509">
        <f t="shared" si="115"/>
        <v>243.47797716150083</v>
      </c>
      <c r="T58" s="509">
        <f t="shared" si="115"/>
        <v>244.20571428571429</v>
      </c>
      <c r="U58" s="509">
        <f t="shared" si="115"/>
        <v>423.32270408163271</v>
      </c>
      <c r="V58" s="509">
        <f t="shared" si="115"/>
        <v>376.04938271604937</v>
      </c>
      <c r="W58" s="509">
        <f t="shared" si="115"/>
        <v>365.35476046088547</v>
      </c>
      <c r="X58" s="509">
        <f t="shared" si="115"/>
        <v>442.91796952963875</v>
      </c>
      <c r="Y58" s="509">
        <f t="shared" si="115"/>
        <v>449.87581699346401</v>
      </c>
      <c r="Z58" s="509">
        <f t="shared" si="115"/>
        <v>383.6</v>
      </c>
      <c r="AA58" s="509">
        <f t="shared" si="115"/>
        <v>406.80666666666662</v>
      </c>
      <c r="AB58" s="509">
        <f t="shared" si="115"/>
        <v>365.06000000000012</v>
      </c>
      <c r="AC58" s="509">
        <f t="shared" si="115"/>
        <v>380.72064884988691</v>
      </c>
      <c r="AD58" s="504">
        <f t="shared" si="115"/>
        <v>277.32814526588845</v>
      </c>
      <c r="AE58" s="504">
        <f t="shared" si="115"/>
        <v>341.51572327044028</v>
      </c>
      <c r="AF58" s="504">
        <f t="shared" si="115"/>
        <v>398.49935649935657</v>
      </c>
      <c r="AG58" s="504">
        <f t="shared" si="115"/>
        <v>390.05694542197199</v>
      </c>
      <c r="AH58" s="504">
        <f t="shared" si="115"/>
        <v>330.09351256575098</v>
      </c>
      <c r="AI58" s="504">
        <f t="shared" si="115"/>
        <v>307.26732673267321</v>
      </c>
      <c r="AJ58" s="504">
        <f t="shared" si="115"/>
        <v>352.06265283193449</v>
      </c>
      <c r="AK58" s="504">
        <f t="shared" si="115"/>
        <v>274.41914893617019</v>
      </c>
      <c r="AL58" s="504">
        <f t="shared" si="115"/>
        <v>325.59085714285715</v>
      </c>
      <c r="AM58" s="504">
        <f t="shared" si="115"/>
        <v>324.17371428571431</v>
      </c>
      <c r="AN58" s="504">
        <f t="shared" si="115"/>
        <v>362.37749999999994</v>
      </c>
      <c r="AO58" s="504">
        <f t="shared" si="115"/>
        <v>428.96102594930369</v>
      </c>
      <c r="AP58" s="504">
        <f t="shared" si="115"/>
        <v>433.48269853124219</v>
      </c>
      <c r="AQ58" s="504">
        <f t="shared" si="115"/>
        <v>425.06617390001503</v>
      </c>
      <c r="AR58" s="504">
        <f t="shared" ref="AR58:BX58" si="116">(AR60+AR61)/AR55</f>
        <v>344.76303881876635</v>
      </c>
      <c r="AS58" s="504">
        <f t="shared" si="116"/>
        <v>439.59390862944173</v>
      </c>
      <c r="AT58" s="504">
        <f t="shared" si="116"/>
        <v>413.82499999999999</v>
      </c>
      <c r="AU58" s="504">
        <f t="shared" si="116"/>
        <v>362.24438902743145</v>
      </c>
      <c r="AV58" s="504">
        <f t="shared" si="116"/>
        <v>381.58512817950128</v>
      </c>
      <c r="AW58" s="504">
        <f t="shared" si="116"/>
        <v>369.37742031575812</v>
      </c>
      <c r="AX58" s="504">
        <f t="shared" si="116"/>
        <v>347.00000000000006</v>
      </c>
      <c r="AY58" s="504">
        <f t="shared" si="116"/>
        <v>309.51578947368421</v>
      </c>
      <c r="AZ58" s="504">
        <f t="shared" si="116"/>
        <v>319.54736842105262</v>
      </c>
      <c r="BA58" s="504">
        <f t="shared" si="116"/>
        <v>284.94871794871796</v>
      </c>
      <c r="BB58" s="504">
        <f t="shared" si="116"/>
        <v>275.43447862564915</v>
      </c>
      <c r="BC58" s="504">
        <f t="shared" si="116"/>
        <v>212.91358024691357</v>
      </c>
      <c r="BD58" s="495">
        <f t="shared" si="116"/>
        <v>189.46551724137933</v>
      </c>
      <c r="BE58" s="495">
        <f t="shared" si="116"/>
        <v>222.89816582288987</v>
      </c>
      <c r="BF58" s="495">
        <f t="shared" si="116"/>
        <v>139.88169624260598</v>
      </c>
      <c r="BG58" s="495">
        <f t="shared" si="116"/>
        <v>192.53184580800934</v>
      </c>
      <c r="BH58" s="495">
        <f t="shared" si="116"/>
        <v>141.54179154179155</v>
      </c>
      <c r="BI58" s="495">
        <f t="shared" si="116"/>
        <v>165.81174660169276</v>
      </c>
      <c r="BJ58" s="495">
        <f t="shared" si="116"/>
        <v>169.77815699658703</v>
      </c>
      <c r="BK58" s="495">
        <f t="shared" si="116"/>
        <v>178.13113662839075</v>
      </c>
      <c r="BL58" s="495">
        <f t="shared" si="116"/>
        <v>165.97704813516097</v>
      </c>
      <c r="BM58" s="495">
        <f t="shared" si="116"/>
        <v>92.100769230769245</v>
      </c>
      <c r="BN58" s="495">
        <f t="shared" si="116"/>
        <v>122.09142857142857</v>
      </c>
      <c r="BO58" s="495">
        <f t="shared" si="116"/>
        <v>204.97384615384618</v>
      </c>
      <c r="BP58" s="495">
        <f t="shared" ref="BP58:BW58" si="117">(BP60+BP61)/BP55</f>
        <v>55.516000000000005</v>
      </c>
      <c r="BQ58" s="495">
        <f t="shared" si="117"/>
        <v>105.61999999999998</v>
      </c>
      <c r="BR58" s="495">
        <f t="shared" si="117"/>
        <v>52.028000000000006</v>
      </c>
      <c r="BS58" s="495">
        <f t="shared" si="117"/>
        <v>151.42400000000004</v>
      </c>
      <c r="BT58" s="495">
        <f t="shared" si="117"/>
        <v>110.75999999999999</v>
      </c>
      <c r="BU58" s="495">
        <f t="shared" si="117"/>
        <v>40.416000000000004</v>
      </c>
      <c r="BV58" s="495">
        <f t="shared" si="117"/>
        <v>8.0888888888888886</v>
      </c>
      <c r="BW58" s="495">
        <f t="shared" si="117"/>
        <v>101.70138888888887</v>
      </c>
      <c r="BX58" s="495">
        <f t="shared" si="116"/>
        <v>0</v>
      </c>
      <c r="BY58" s="495">
        <f t="shared" ref="BY58:DH58" si="118">(BY60+BY61)/BY55</f>
        <v>0</v>
      </c>
      <c r="BZ58" s="495">
        <f t="shared" si="118"/>
        <v>62.902666666666661</v>
      </c>
      <c r="CA58" s="495">
        <f t="shared" si="118"/>
        <v>201.76266666666669</v>
      </c>
      <c r="CB58" s="495">
        <f t="shared" si="118"/>
        <v>0</v>
      </c>
      <c r="CC58" s="495">
        <f t="shared" si="118"/>
        <v>48.012571428571427</v>
      </c>
      <c r="CD58" s="495">
        <f t="shared" si="118"/>
        <v>84.756571428571434</v>
      </c>
      <c r="CE58" s="495">
        <f t="shared" si="118"/>
        <v>165.91626666666667</v>
      </c>
      <c r="CF58" s="495">
        <f t="shared" si="118"/>
        <v>331.66300000000001</v>
      </c>
      <c r="CG58" s="495">
        <f t="shared" si="118"/>
        <v>283.33450000000005</v>
      </c>
      <c r="CH58" s="495">
        <f t="shared" si="118"/>
        <v>32.857142857142854</v>
      </c>
      <c r="CI58" s="495">
        <f t="shared" si="118"/>
        <v>439.74583333333339</v>
      </c>
      <c r="CJ58" s="495">
        <f t="shared" si="118"/>
        <v>243.53772455089822</v>
      </c>
      <c r="CK58" s="495">
        <f t="shared" si="118"/>
        <v>330.46706586826343</v>
      </c>
      <c r="CL58" s="495">
        <f t="shared" si="118"/>
        <v>395.00409090909091</v>
      </c>
      <c r="CM58" s="495">
        <f t="shared" si="118"/>
        <v>427.79935064935063</v>
      </c>
      <c r="CN58" s="495">
        <f t="shared" si="118"/>
        <v>504.12461538461542</v>
      </c>
      <c r="CO58" s="495">
        <f t="shared" si="118"/>
        <v>394.97142857142848</v>
      </c>
      <c r="CP58" s="495">
        <f t="shared" si="118"/>
        <v>490.88347296268086</v>
      </c>
      <c r="CQ58" s="499">
        <f t="shared" si="118"/>
        <v>442.94779411764711</v>
      </c>
      <c r="CR58" s="499">
        <f t="shared" si="118"/>
        <v>417.99565217391302</v>
      </c>
      <c r="CS58" s="499">
        <f t="shared" si="118"/>
        <v>438.52074074074079</v>
      </c>
      <c r="CT58" s="499">
        <f t="shared" si="118"/>
        <v>430.05629629629635</v>
      </c>
      <c r="CU58" s="499">
        <f t="shared" si="118"/>
        <v>295.7938356164384</v>
      </c>
      <c r="CV58" s="499">
        <f t="shared" si="118"/>
        <v>272.05675675675678</v>
      </c>
      <c r="CW58" s="499">
        <f t="shared" si="118"/>
        <v>259.94200000000001</v>
      </c>
      <c r="CX58" s="499">
        <f t="shared" si="118"/>
        <v>270.69761904761901</v>
      </c>
      <c r="CY58" s="499">
        <f t="shared" si="118"/>
        <v>376.99441860465106</v>
      </c>
      <c r="CZ58" s="499">
        <f t="shared" si="118"/>
        <v>455.2038888888888</v>
      </c>
      <c r="DA58" s="499">
        <f t="shared" si="118"/>
        <v>390.55081081081073</v>
      </c>
      <c r="DB58" s="499">
        <f t="shared" si="118"/>
        <v>348.39675675675676</v>
      </c>
      <c r="DC58" s="499">
        <f t="shared" si="118"/>
        <v>336.75783783783783</v>
      </c>
      <c r="DD58" s="499">
        <f t="shared" si="118"/>
        <v>359.93657142857137</v>
      </c>
      <c r="DE58" s="499">
        <f t="shared" si="118"/>
        <v>390.51034482758627</v>
      </c>
      <c r="DF58" s="499">
        <f t="shared" si="118"/>
        <v>379.16896551724136</v>
      </c>
      <c r="DG58" s="499">
        <f t="shared" si="118"/>
        <v>316.21724137931034</v>
      </c>
      <c r="DH58" s="499">
        <f t="shared" si="118"/>
        <v>327.4786206896552</v>
      </c>
      <c r="DI58" s="499">
        <f t="shared" ref="DI58:EH58" si="119">(DI60+DI61)/DI55</f>
        <v>360.75100000000003</v>
      </c>
      <c r="DJ58" s="499">
        <f t="shared" si="119"/>
        <v>326.40642857142859</v>
      </c>
      <c r="DK58" s="499">
        <f t="shared" si="119"/>
        <v>215.2464516129032</v>
      </c>
      <c r="DL58" s="499">
        <f t="shared" si="119"/>
        <v>252.62562499999999</v>
      </c>
      <c r="DM58" s="499">
        <f t="shared" si="119"/>
        <v>280.83</v>
      </c>
      <c r="DN58" s="499">
        <f t="shared" si="119"/>
        <v>218.32722222222219</v>
      </c>
      <c r="DO58" s="499">
        <f t="shared" si="119"/>
        <v>288.89749999999998</v>
      </c>
      <c r="DP58" s="499">
        <f t="shared" si="119"/>
        <v>270.99799999999999</v>
      </c>
      <c r="DQ58" s="499">
        <f t="shared" si="119"/>
        <v>189.25052631578944</v>
      </c>
      <c r="DR58" s="499">
        <f t="shared" si="119"/>
        <v>222.19636363636366</v>
      </c>
      <c r="DS58" s="499">
        <f t="shared" si="119"/>
        <v>214.06727272727269</v>
      </c>
      <c r="DT58" s="499">
        <f t="shared" si="119"/>
        <v>89.310954545454535</v>
      </c>
      <c r="DU58" s="499">
        <f t="shared" si="119"/>
        <v>102.21934545454546</v>
      </c>
      <c r="DV58" s="499">
        <f t="shared" si="119"/>
        <v>96.533636363636347</v>
      </c>
      <c r="DW58" s="499">
        <f t="shared" si="119"/>
        <v>28.723913043478259</v>
      </c>
      <c r="DX58" s="499">
        <f t="shared" si="119"/>
        <v>217.75913043478258</v>
      </c>
      <c r="DY58" s="499">
        <f t="shared" si="119"/>
        <v>10.428260869565216</v>
      </c>
      <c r="DZ58" s="499">
        <f t="shared" si="119"/>
        <v>48.293043478260877</v>
      </c>
      <c r="EA58" s="499">
        <f t="shared" si="119"/>
        <v>41.65352173913044</v>
      </c>
      <c r="EB58" s="499">
        <f t="shared" si="119"/>
        <v>150.23525000000001</v>
      </c>
      <c r="EC58" s="499">
        <f t="shared" si="119"/>
        <v>222.35999999999999</v>
      </c>
      <c r="ED58" s="499">
        <f t="shared" si="119"/>
        <v>278.7646666666667</v>
      </c>
      <c r="EE58" s="499">
        <f t="shared" si="119"/>
        <v>253.88944444444445</v>
      </c>
      <c r="EF58" s="499">
        <f t="shared" si="119"/>
        <v>182.75951219512197</v>
      </c>
      <c r="EG58" s="499">
        <f t="shared" si="119"/>
        <v>255.8631707317073</v>
      </c>
      <c r="EH58" s="499">
        <f t="shared" si="119"/>
        <v>255.45707317073169</v>
      </c>
      <c r="EI58" s="499">
        <f>(EI60+EI61)/EI55</f>
        <v>225.81485148514852</v>
      </c>
      <c r="EJ58" s="499">
        <f>(EJ60+EJ61)/EJ55</f>
        <v>0</v>
      </c>
      <c r="EK58" s="499">
        <f>(EK60+EK61)/EK55</f>
        <v>0</v>
      </c>
      <c r="EL58" s="499">
        <f t="shared" ref="EL58:EM58" si="120">(EL60+EL61)/EL55</f>
        <v>0</v>
      </c>
      <c r="EM58" s="499">
        <f t="shared" si="120"/>
        <v>0</v>
      </c>
    </row>
    <row r="59" spans="1:146" x14ac:dyDescent="0.25">
      <c r="A59" s="490"/>
      <c r="B59" s="486"/>
      <c r="C59" s="509"/>
      <c r="D59" s="509"/>
      <c r="E59" s="509"/>
      <c r="F59" s="509"/>
      <c r="G59" s="509"/>
      <c r="H59" s="509"/>
      <c r="I59" s="509"/>
      <c r="J59" s="509"/>
      <c r="K59" s="509"/>
      <c r="L59" s="509"/>
      <c r="M59" s="509"/>
      <c r="N59" s="509"/>
      <c r="O59" s="509"/>
      <c r="P59" s="509"/>
      <c r="Q59" s="509"/>
      <c r="R59" s="509"/>
      <c r="S59" s="509"/>
      <c r="T59" s="509"/>
      <c r="U59" s="509"/>
      <c r="V59" s="509"/>
      <c r="W59" s="509"/>
      <c r="X59" s="509"/>
      <c r="Y59" s="509"/>
      <c r="Z59" s="509"/>
      <c r="AA59" s="509"/>
      <c r="AB59" s="509"/>
      <c r="AC59" s="509"/>
      <c r="AD59" s="504"/>
      <c r="AE59" s="504"/>
      <c r="AF59" s="504"/>
      <c r="AG59" s="504"/>
      <c r="AH59" s="504"/>
      <c r="AI59" s="504"/>
      <c r="AJ59" s="504"/>
      <c r="AK59" s="504"/>
      <c r="AL59" s="504"/>
      <c r="AM59" s="504"/>
      <c r="AN59" s="504"/>
      <c r="AO59" s="504"/>
      <c r="AP59" s="504"/>
      <c r="AQ59" s="504"/>
      <c r="AR59" s="504"/>
      <c r="AS59" s="504"/>
      <c r="AT59" s="504"/>
      <c r="AU59" s="504"/>
      <c r="AV59" s="504"/>
      <c r="AW59" s="504"/>
      <c r="AX59" s="504"/>
      <c r="AY59" s="504"/>
      <c r="AZ59" s="504"/>
      <c r="BA59" s="504"/>
      <c r="BB59" s="504"/>
      <c r="BC59" s="504"/>
      <c r="BD59" s="495"/>
      <c r="BE59" s="495"/>
      <c r="BF59" s="495"/>
      <c r="BG59" s="495"/>
      <c r="BH59" s="495"/>
      <c r="BI59" s="495"/>
      <c r="BJ59" s="495"/>
      <c r="BK59" s="495"/>
      <c r="BL59" s="495"/>
      <c r="BM59" s="495"/>
      <c r="BN59" s="495"/>
      <c r="BO59" s="495"/>
      <c r="BP59" s="495"/>
      <c r="BQ59" s="495"/>
      <c r="BR59" s="495"/>
      <c r="BS59" s="495"/>
      <c r="BT59" s="495"/>
      <c r="BU59" s="495"/>
      <c r="BV59" s="495"/>
      <c r="BW59" s="495"/>
      <c r="BX59" s="495"/>
      <c r="BY59" s="495"/>
      <c r="BZ59" s="495"/>
      <c r="CA59" s="495"/>
      <c r="CB59" s="495"/>
      <c r="CC59" s="495"/>
      <c r="CD59" s="495"/>
      <c r="CE59" s="495"/>
      <c r="CF59" s="495"/>
      <c r="CG59" s="495"/>
      <c r="CH59" s="495"/>
      <c r="CI59" s="495"/>
      <c r="CJ59" s="495"/>
      <c r="CK59" s="495"/>
      <c r="CL59" s="495"/>
      <c r="CM59" s="495"/>
      <c r="CN59" s="495"/>
      <c r="CO59" s="495"/>
      <c r="CP59" s="495"/>
      <c r="CQ59" s="499"/>
      <c r="CR59" s="499"/>
      <c r="CS59" s="499"/>
      <c r="CT59" s="499"/>
      <c r="CU59" s="499"/>
      <c r="CV59" s="499"/>
      <c r="CW59" s="499"/>
      <c r="CX59" s="499"/>
      <c r="CY59" s="499"/>
      <c r="CZ59" s="499"/>
      <c r="DA59" s="499"/>
      <c r="DB59" s="499"/>
      <c r="DC59" s="499"/>
      <c r="DD59" s="499"/>
      <c r="DE59" s="499"/>
      <c r="DF59" s="499"/>
      <c r="DG59" s="499"/>
      <c r="DH59" s="499"/>
      <c r="DI59" s="499"/>
      <c r="DJ59" s="499"/>
      <c r="DK59" s="34"/>
      <c r="DL59" s="34"/>
      <c r="DM59" s="34"/>
      <c r="DN59" s="34"/>
      <c r="DO59" s="34"/>
      <c r="DP59" s="34"/>
      <c r="DR59"/>
      <c r="DS59"/>
      <c r="DT59"/>
      <c r="EE59" s="547"/>
      <c r="EF59" s="547"/>
      <c r="EG59" s="547"/>
    </row>
    <row r="60" spans="1:146" x14ac:dyDescent="0.25">
      <c r="A60" s="30" t="s">
        <v>327</v>
      </c>
      <c r="B60" s="3" t="s">
        <v>328</v>
      </c>
      <c r="C60" s="509">
        <f t="shared" ref="C60:K60" si="121">C47*C16</f>
        <v>1685.5</v>
      </c>
      <c r="D60" s="509">
        <f t="shared" si="121"/>
        <v>2720.3</v>
      </c>
      <c r="E60" s="509">
        <f t="shared" si="121"/>
        <v>1999.1000000000001</v>
      </c>
      <c r="F60" s="509">
        <f t="shared" si="121"/>
        <v>2419.6999999999998</v>
      </c>
      <c r="G60" s="509">
        <f t="shared" si="121"/>
        <v>2831.3</v>
      </c>
      <c r="H60" s="509">
        <f t="shared" si="121"/>
        <v>1165.42</v>
      </c>
      <c r="I60" s="509">
        <f t="shared" si="121"/>
        <v>2277.3000000000002</v>
      </c>
      <c r="J60" s="509">
        <f t="shared" si="121"/>
        <v>1816.3000000000002</v>
      </c>
      <c r="K60" s="509">
        <f t="shared" si="121"/>
        <v>1187.4000000000001</v>
      </c>
      <c r="L60" s="509">
        <f t="shared" ref="L60:BB60" si="122">L47*L16</f>
        <v>2567.5</v>
      </c>
      <c r="M60" s="509">
        <f t="shared" si="122"/>
        <v>2262.3999999999996</v>
      </c>
      <c r="N60" s="509">
        <f t="shared" si="122"/>
        <v>2694.9</v>
      </c>
      <c r="O60" s="509">
        <f t="shared" si="122"/>
        <v>3307.8</v>
      </c>
      <c r="P60" s="509">
        <f t="shared" si="122"/>
        <v>2407.5</v>
      </c>
      <c r="Q60" s="509">
        <f t="shared" si="122"/>
        <v>2259</v>
      </c>
      <c r="R60" s="509">
        <f t="shared" si="122"/>
        <v>3367</v>
      </c>
      <c r="S60" s="509">
        <f t="shared" si="122"/>
        <v>3282.3</v>
      </c>
      <c r="T60" s="509">
        <f t="shared" si="122"/>
        <v>3965.6000000000008</v>
      </c>
      <c r="U60" s="509">
        <f t="shared" si="122"/>
        <v>5854.3</v>
      </c>
      <c r="V60" s="509">
        <f t="shared" si="122"/>
        <v>5257.5</v>
      </c>
      <c r="W60" s="509">
        <f t="shared" si="122"/>
        <v>5292.1</v>
      </c>
      <c r="X60" s="509">
        <f t="shared" si="122"/>
        <v>5490.7</v>
      </c>
      <c r="Y60" s="509">
        <f t="shared" si="122"/>
        <v>5947.9</v>
      </c>
      <c r="Z60" s="509">
        <f t="shared" si="122"/>
        <v>4878</v>
      </c>
      <c r="AA60" s="509">
        <f t="shared" si="122"/>
        <v>5059.8999999999996</v>
      </c>
      <c r="AB60" s="509">
        <f t="shared" si="122"/>
        <v>4729.6000000000013</v>
      </c>
      <c r="AC60" s="509">
        <f t="shared" si="122"/>
        <v>4941.2999999999993</v>
      </c>
      <c r="AD60" s="504">
        <f t="shared" si="122"/>
        <v>3608.8</v>
      </c>
      <c r="AE60" s="504">
        <f t="shared" si="122"/>
        <v>4690.4000000000005</v>
      </c>
      <c r="AF60" s="504">
        <f t="shared" si="122"/>
        <v>5460.5</v>
      </c>
      <c r="AG60" s="504">
        <f t="shared" si="122"/>
        <v>5191.3999999999996</v>
      </c>
      <c r="AH60" s="504">
        <f t="shared" si="122"/>
        <v>4754.5999999999995</v>
      </c>
      <c r="AI60" s="504">
        <f t="shared" si="122"/>
        <v>3834.5</v>
      </c>
      <c r="AJ60" s="504">
        <f t="shared" si="122"/>
        <v>4753.34</v>
      </c>
      <c r="AK60" s="504">
        <f t="shared" si="122"/>
        <v>4483.9399999999996</v>
      </c>
      <c r="AL60" s="504">
        <f t="shared" si="122"/>
        <v>5005.82</v>
      </c>
      <c r="AM60" s="504">
        <f t="shared" si="122"/>
        <v>5071.8999999999996</v>
      </c>
      <c r="AN60" s="504">
        <f t="shared" si="122"/>
        <v>6499.9999999999991</v>
      </c>
      <c r="AO60" s="504">
        <f t="shared" si="122"/>
        <v>7755.7999999999993</v>
      </c>
      <c r="AP60" s="504">
        <f t="shared" si="122"/>
        <v>7848</v>
      </c>
      <c r="AQ60" s="504">
        <f t="shared" si="122"/>
        <v>7646.9</v>
      </c>
      <c r="AR60" s="504">
        <f t="shared" si="122"/>
        <v>6623.5999999999995</v>
      </c>
      <c r="AS60" s="504">
        <f t="shared" si="122"/>
        <v>7822.1000000000013</v>
      </c>
      <c r="AT60" s="504">
        <f t="shared" si="122"/>
        <v>7374.1</v>
      </c>
      <c r="AU60" s="504">
        <f t="shared" si="122"/>
        <v>6357.5000000000009</v>
      </c>
      <c r="AV60" s="504">
        <f t="shared" si="122"/>
        <v>6995.9</v>
      </c>
      <c r="AW60" s="504">
        <f t="shared" si="122"/>
        <v>6655.3</v>
      </c>
      <c r="AX60" s="504">
        <f t="shared" si="122"/>
        <v>5487.7000000000007</v>
      </c>
      <c r="AY60" s="504">
        <f t="shared" si="122"/>
        <v>5216.2</v>
      </c>
      <c r="AZ60" s="504">
        <f t="shared" si="122"/>
        <v>5417.5</v>
      </c>
      <c r="BA60" s="504">
        <f t="shared" si="122"/>
        <v>4904.2</v>
      </c>
      <c r="BB60" s="504">
        <f t="shared" si="122"/>
        <v>5020.6999999999989</v>
      </c>
      <c r="BC60" s="504">
        <f>BC47*BC16</f>
        <v>2425.2000000000003</v>
      </c>
      <c r="BD60" s="495">
        <f t="shared" ref="BD60:BM60" si="123">BD47*BD16</f>
        <v>2036.4</v>
      </c>
      <c r="BE60" s="495">
        <f t="shared" si="123"/>
        <v>2484.5</v>
      </c>
      <c r="BF60" s="495">
        <f t="shared" si="123"/>
        <v>1597.8999999999999</v>
      </c>
      <c r="BG60" s="495">
        <f t="shared" si="123"/>
        <v>2146.4</v>
      </c>
      <c r="BH60" s="495">
        <f t="shared" si="123"/>
        <v>1517.3</v>
      </c>
      <c r="BI60" s="495">
        <f t="shared" si="123"/>
        <v>1756.2000000000003</v>
      </c>
      <c r="BJ60" s="495">
        <f t="shared" si="123"/>
        <v>1793.6000000000001</v>
      </c>
      <c r="BK60" s="495">
        <f t="shared" si="123"/>
        <v>1981.96</v>
      </c>
      <c r="BL60" s="496">
        <f t="shared" si="123"/>
        <v>1845.18</v>
      </c>
      <c r="BM60" s="496">
        <f t="shared" si="123"/>
        <v>1089.1100000000001</v>
      </c>
      <c r="BN60" s="495">
        <f t="shared" ref="BN60:BS60" si="124">BN47*BN16</f>
        <v>1538.78</v>
      </c>
      <c r="BO60" s="495">
        <f t="shared" si="124"/>
        <v>2470.34</v>
      </c>
      <c r="BP60" s="495">
        <f t="shared" si="124"/>
        <v>485.44000000000005</v>
      </c>
      <c r="BQ60" s="495">
        <f t="shared" si="124"/>
        <v>1018.8799999999999</v>
      </c>
      <c r="BR60" s="495">
        <f>BR47*BR16</f>
        <v>520.28000000000009</v>
      </c>
      <c r="BS60" s="495">
        <f t="shared" si="124"/>
        <v>1514.2400000000002</v>
      </c>
      <c r="BT60" s="495">
        <f t="shared" ref="BT60:BY60" si="125">BT47*BT16</f>
        <v>830.69999999999993</v>
      </c>
      <c r="BU60" s="495">
        <f t="shared" si="125"/>
        <v>303.12</v>
      </c>
      <c r="BV60" s="495">
        <f t="shared" si="125"/>
        <v>58.24</v>
      </c>
      <c r="BW60" s="495">
        <f t="shared" si="125"/>
        <v>732.24999999999989</v>
      </c>
      <c r="BX60" s="495">
        <f t="shared" si="125"/>
        <v>0</v>
      </c>
      <c r="BY60" s="495">
        <f t="shared" si="125"/>
        <v>0</v>
      </c>
      <c r="BZ60" s="495">
        <f t="shared" ref="BZ60:CJ60" si="126">BZ47*BZ16</f>
        <v>471.77</v>
      </c>
      <c r="CA60" s="495">
        <f t="shared" si="126"/>
        <v>1214.8100000000002</v>
      </c>
      <c r="CB60" s="495">
        <f t="shared" si="126"/>
        <v>0</v>
      </c>
      <c r="CC60" s="495">
        <f>CC47*CC16</f>
        <v>420.10999999999996</v>
      </c>
      <c r="CD60" s="495">
        <f t="shared" si="126"/>
        <v>741.62</v>
      </c>
      <c r="CE60" s="495">
        <f t="shared" si="126"/>
        <v>2767.9400000000005</v>
      </c>
      <c r="CF60" s="495">
        <f t="shared" si="126"/>
        <v>6107.47</v>
      </c>
      <c r="CG60" s="495">
        <f t="shared" si="126"/>
        <v>5161.4500000000007</v>
      </c>
      <c r="CH60" s="495">
        <f t="shared" si="126"/>
        <v>0</v>
      </c>
      <c r="CI60" s="495">
        <f t="shared" si="126"/>
        <v>4695.2700000000004</v>
      </c>
      <c r="CJ60" s="495">
        <f t="shared" si="126"/>
        <v>3665.84</v>
      </c>
      <c r="CK60" s="495">
        <f t="shared" ref="CK60:DH60" si="127">CK47*CK16</f>
        <v>5029.32</v>
      </c>
      <c r="CL60" s="495">
        <f t="shared" si="127"/>
        <v>7810.7199999999993</v>
      </c>
      <c r="CM60" s="495">
        <f t="shared" si="127"/>
        <v>5731.75</v>
      </c>
      <c r="CN60" s="495">
        <f t="shared" si="127"/>
        <v>5861.7000000000007</v>
      </c>
      <c r="CO60" s="495">
        <f t="shared" si="127"/>
        <v>5497.9599999999991</v>
      </c>
      <c r="CP60" s="495">
        <f t="shared" si="127"/>
        <v>5808.34</v>
      </c>
      <c r="CQ60" s="499">
        <f t="shared" si="127"/>
        <v>5502.7800000000007</v>
      </c>
      <c r="CR60" s="499">
        <f t="shared" si="127"/>
        <v>5085.5</v>
      </c>
      <c r="CS60" s="499">
        <f t="shared" si="127"/>
        <v>5287.85</v>
      </c>
      <c r="CT60" s="499">
        <f t="shared" si="127"/>
        <v>5165.4600000000009</v>
      </c>
      <c r="CU60" s="499">
        <f t="shared" si="127"/>
        <v>3518.2599999999998</v>
      </c>
      <c r="CV60" s="499">
        <f t="shared" si="127"/>
        <v>4285.17</v>
      </c>
      <c r="CW60" s="499">
        <f t="shared" si="127"/>
        <v>3424.54</v>
      </c>
      <c r="CX60" s="499">
        <f t="shared" si="127"/>
        <v>4926.3999999999996</v>
      </c>
      <c r="CY60" s="499">
        <f t="shared" si="127"/>
        <v>7161.7699999999986</v>
      </c>
      <c r="CZ60" s="499">
        <f t="shared" si="127"/>
        <v>7124.9299999999994</v>
      </c>
      <c r="DA60" s="499">
        <f t="shared" si="127"/>
        <v>6247.619999999999</v>
      </c>
      <c r="DB60" s="499">
        <f t="shared" si="127"/>
        <v>5681.18</v>
      </c>
      <c r="DC60" s="499">
        <f t="shared" si="127"/>
        <v>5381.2199999999993</v>
      </c>
      <c r="DD60" s="499">
        <f t="shared" si="127"/>
        <v>5521.65</v>
      </c>
      <c r="DE60" s="499">
        <f t="shared" si="127"/>
        <v>4903.6900000000005</v>
      </c>
      <c r="DF60" s="499">
        <f t="shared" si="127"/>
        <v>4595.91</v>
      </c>
      <c r="DG60" s="499">
        <f t="shared" si="127"/>
        <v>4010.7799999999993</v>
      </c>
      <c r="DH60" s="499">
        <f t="shared" si="127"/>
        <v>4237.8900000000003</v>
      </c>
      <c r="DI60" s="499">
        <f t="shared" ref="DI60:EH60" si="128">DI47*DI16</f>
        <v>4612.38</v>
      </c>
      <c r="DJ60" s="499">
        <f t="shared" si="128"/>
        <v>4211.26</v>
      </c>
      <c r="DK60" s="499">
        <f t="shared" si="128"/>
        <v>3080.16</v>
      </c>
      <c r="DL60" s="499">
        <f t="shared" si="128"/>
        <v>3747.6099999999997</v>
      </c>
      <c r="DM60" s="499">
        <f t="shared" si="128"/>
        <v>4721.78</v>
      </c>
      <c r="DN60" s="499">
        <f t="shared" si="128"/>
        <v>3556.6499999999996</v>
      </c>
      <c r="DO60" s="499">
        <f t="shared" si="128"/>
        <v>5191.87</v>
      </c>
      <c r="DP60" s="499">
        <f t="shared" si="128"/>
        <v>4895.13</v>
      </c>
      <c r="DQ60" s="499">
        <f t="shared" si="128"/>
        <v>3236.4799999999996</v>
      </c>
      <c r="DR60" s="499">
        <f t="shared" si="128"/>
        <v>4195.9800000000005</v>
      </c>
      <c r="DS60" s="499">
        <f t="shared" si="128"/>
        <v>4184.91</v>
      </c>
      <c r="DT60" s="499">
        <f t="shared" si="128"/>
        <v>1707.0099999999998</v>
      </c>
      <c r="DU60" s="499">
        <f t="shared" si="128"/>
        <v>2078.8227999999999</v>
      </c>
      <c r="DV60" s="499">
        <f t="shared" si="128"/>
        <v>1986.29</v>
      </c>
      <c r="DW60" s="499">
        <f t="shared" si="128"/>
        <v>604.25</v>
      </c>
      <c r="DX60" s="499">
        <f t="shared" si="128"/>
        <v>4367.5999999999995</v>
      </c>
      <c r="DY60" s="499">
        <f t="shared" si="128"/>
        <v>235.84999999999997</v>
      </c>
      <c r="DZ60" s="499">
        <f t="shared" si="128"/>
        <v>991.5100000000001</v>
      </c>
      <c r="EA60" s="499">
        <f t="shared" si="128"/>
        <v>939.21</v>
      </c>
      <c r="EB60" s="499">
        <f t="shared" si="128"/>
        <v>2698.71</v>
      </c>
      <c r="EC60" s="499">
        <f t="shared" si="128"/>
        <v>2993.33</v>
      </c>
      <c r="ED60" s="499">
        <f t="shared" si="128"/>
        <v>3776.82</v>
      </c>
      <c r="EE60" s="499">
        <f t="shared" si="128"/>
        <v>4064.4000000000005</v>
      </c>
      <c r="EF60" s="499">
        <f t="shared" si="128"/>
        <v>3356.01</v>
      </c>
      <c r="EG60" s="499">
        <f t="shared" si="128"/>
        <v>4733.66</v>
      </c>
      <c r="EH60" s="499">
        <f t="shared" si="128"/>
        <v>4658.1499999999996</v>
      </c>
      <c r="EI60" s="499">
        <f>EI47*EI16</f>
        <v>4188.2</v>
      </c>
      <c r="EJ60" s="499">
        <f>EJ47*EJ16</f>
        <v>0</v>
      </c>
      <c r="EK60" s="499">
        <f>EK47*EK16</f>
        <v>0</v>
      </c>
      <c r="EL60" s="499">
        <f t="shared" ref="EL60:EM60" si="129">EL47*EL16</f>
        <v>0</v>
      </c>
      <c r="EM60" s="499">
        <f t="shared" si="129"/>
        <v>0</v>
      </c>
    </row>
    <row r="61" spans="1:146" x14ac:dyDescent="0.25">
      <c r="A61" s="30" t="s">
        <v>592</v>
      </c>
      <c r="B61" s="3" t="s">
        <v>328</v>
      </c>
      <c r="C61" s="509">
        <f t="shared" ref="C61:K61" si="130">C51*C20</f>
        <v>701.60000000000014</v>
      </c>
      <c r="D61" s="509">
        <f t="shared" si="130"/>
        <v>355.75575221238938</v>
      </c>
      <c r="E61" s="509">
        <f t="shared" si="130"/>
        <v>350.80000000000007</v>
      </c>
      <c r="F61" s="509">
        <f t="shared" si="130"/>
        <v>253.60000000000005</v>
      </c>
      <c r="G61" s="509">
        <f t="shared" si="130"/>
        <v>420.6</v>
      </c>
      <c r="H61" s="509">
        <f t="shared" si="130"/>
        <v>142.10000000000002</v>
      </c>
      <c r="I61" s="509">
        <f t="shared" si="130"/>
        <v>461.2</v>
      </c>
      <c r="J61" s="509">
        <f t="shared" si="130"/>
        <v>408.40000000000009</v>
      </c>
      <c r="K61" s="509">
        <f t="shared" si="130"/>
        <v>254.60000000000002</v>
      </c>
      <c r="L61" s="509">
        <f t="shared" ref="L61:BB61" si="131">L51*L20</f>
        <v>548.60000000000014</v>
      </c>
      <c r="M61" s="509">
        <f t="shared" si="131"/>
        <v>528.72</v>
      </c>
      <c r="N61" s="509">
        <f t="shared" si="131"/>
        <v>494.88</v>
      </c>
      <c r="O61" s="509">
        <f>O51*O20</f>
        <v>668.2</v>
      </c>
      <c r="P61" s="509">
        <f t="shared" si="131"/>
        <v>465.70000000000005</v>
      </c>
      <c r="Q61" s="509">
        <f t="shared" si="131"/>
        <v>538.6</v>
      </c>
      <c r="R61" s="509">
        <f t="shared" si="131"/>
        <v>542.70000000000005</v>
      </c>
      <c r="S61" s="509">
        <f t="shared" si="131"/>
        <v>448.99999999999994</v>
      </c>
      <c r="T61" s="509">
        <f t="shared" si="131"/>
        <v>308</v>
      </c>
      <c r="U61" s="509">
        <f t="shared" si="131"/>
        <v>783.40000000000009</v>
      </c>
      <c r="V61" s="509">
        <f t="shared" si="131"/>
        <v>529.9</v>
      </c>
      <c r="W61" s="509">
        <f t="shared" si="131"/>
        <v>732.59999999999991</v>
      </c>
      <c r="X61" s="509">
        <f t="shared" si="131"/>
        <v>1166.8</v>
      </c>
      <c r="Y61" s="509">
        <f t="shared" si="131"/>
        <v>935.19999999999982</v>
      </c>
      <c r="Z61" s="509">
        <f t="shared" si="131"/>
        <v>876</v>
      </c>
      <c r="AA61" s="509">
        <f t="shared" si="131"/>
        <v>1042.2</v>
      </c>
      <c r="AB61" s="509">
        <f t="shared" si="131"/>
        <v>746.3</v>
      </c>
      <c r="AC61" s="509">
        <f t="shared" si="131"/>
        <v>785.5</v>
      </c>
      <c r="AD61" s="504">
        <f t="shared" si="131"/>
        <v>667.59999999999991</v>
      </c>
      <c r="AE61" s="504">
        <f t="shared" si="131"/>
        <v>739.69999999999993</v>
      </c>
      <c r="AF61" s="504">
        <f t="shared" si="131"/>
        <v>732.17999999999984</v>
      </c>
      <c r="AG61" s="504">
        <f t="shared" si="131"/>
        <v>904.8</v>
      </c>
      <c r="AH61" s="504">
        <f t="shared" si="131"/>
        <v>893.3</v>
      </c>
      <c r="AI61" s="504">
        <f t="shared" si="131"/>
        <v>820.5999999999998</v>
      </c>
      <c r="AJ61" s="504">
        <f t="shared" si="131"/>
        <v>573.72</v>
      </c>
      <c r="AK61" s="504">
        <f t="shared" si="131"/>
        <v>675.14</v>
      </c>
      <c r="AL61" s="504">
        <f t="shared" si="131"/>
        <v>692.02</v>
      </c>
      <c r="AM61" s="504">
        <f t="shared" si="131"/>
        <v>601.1400000000001</v>
      </c>
      <c r="AN61" s="504">
        <f t="shared" si="131"/>
        <v>747.55</v>
      </c>
      <c r="AO61" s="504">
        <f t="shared" si="131"/>
        <v>807.12000000000012</v>
      </c>
      <c r="AP61" s="504">
        <f t="shared" si="131"/>
        <v>858.5</v>
      </c>
      <c r="AQ61" s="504">
        <f t="shared" si="131"/>
        <v>864.19999999999993</v>
      </c>
      <c r="AR61" s="504">
        <f t="shared" si="131"/>
        <v>614.70000000000005</v>
      </c>
      <c r="AS61" s="504">
        <f t="shared" si="131"/>
        <v>837.90000000000009</v>
      </c>
      <c r="AT61" s="504">
        <f t="shared" si="131"/>
        <v>902.4</v>
      </c>
      <c r="AU61" s="504">
        <f t="shared" si="131"/>
        <v>905.50000000000011</v>
      </c>
      <c r="AV61" s="504">
        <f t="shared" si="131"/>
        <v>640</v>
      </c>
      <c r="AW61" s="504">
        <f t="shared" si="131"/>
        <v>784.7</v>
      </c>
      <c r="AX61" s="504">
        <f t="shared" si="131"/>
        <v>758.3000000000003</v>
      </c>
      <c r="AY61" s="504">
        <f t="shared" si="131"/>
        <v>664.60000000000014</v>
      </c>
      <c r="AZ61" s="504">
        <f t="shared" si="131"/>
        <v>653.90000000000009</v>
      </c>
      <c r="BA61" s="504">
        <f t="shared" si="131"/>
        <v>652.29999999999984</v>
      </c>
      <c r="BB61" s="504">
        <f t="shared" si="131"/>
        <v>494.60000000000008</v>
      </c>
      <c r="BC61" s="504">
        <f>BC51*BC20</f>
        <v>161.70000000000002</v>
      </c>
      <c r="BD61" s="495">
        <f t="shared" ref="BD61:BJ61" si="132">BD51*BD20</f>
        <v>161.4</v>
      </c>
      <c r="BE61" s="495">
        <f t="shared" si="132"/>
        <v>201.20000000000002</v>
      </c>
      <c r="BF61" s="495">
        <f t="shared" si="132"/>
        <v>81.099999999999994</v>
      </c>
      <c r="BG61" s="495">
        <f t="shared" si="132"/>
        <v>166.10000000000002</v>
      </c>
      <c r="BH61" s="495">
        <f t="shared" si="132"/>
        <v>182.9</v>
      </c>
      <c r="BI61" s="495">
        <f t="shared" si="132"/>
        <v>183.3</v>
      </c>
      <c r="BJ61" s="495">
        <f t="shared" si="132"/>
        <v>196.20000000000002</v>
      </c>
      <c r="BK61" s="495">
        <f>BK51*BK20</f>
        <v>158.82</v>
      </c>
      <c r="BL61" s="495">
        <f>BL51*BL20</f>
        <v>237.49999999999997</v>
      </c>
      <c r="BM61" s="495">
        <f>BM51*BM20</f>
        <v>108.2</v>
      </c>
      <c r="BN61" s="495">
        <f>BN51*BN20</f>
        <v>170.5</v>
      </c>
      <c r="BO61" s="495">
        <f>BO51*BO20</f>
        <v>194.32</v>
      </c>
      <c r="BP61" s="495">
        <f t="shared" ref="BP61:CJ61" si="133">BP51*BP20</f>
        <v>69.720000000000013</v>
      </c>
      <c r="BQ61" s="495">
        <f t="shared" si="133"/>
        <v>37.32</v>
      </c>
      <c r="BR61" s="495">
        <f t="shared" si="133"/>
        <v>0</v>
      </c>
      <c r="BS61" s="495">
        <f t="shared" si="133"/>
        <v>0</v>
      </c>
      <c r="BT61" s="495">
        <f t="shared" si="133"/>
        <v>0</v>
      </c>
      <c r="BU61" s="495">
        <f t="shared" si="133"/>
        <v>0</v>
      </c>
      <c r="BV61" s="495">
        <f t="shared" si="133"/>
        <v>0</v>
      </c>
      <c r="BW61" s="495">
        <f t="shared" si="133"/>
        <v>0</v>
      </c>
      <c r="BX61" s="495">
        <f t="shared" si="133"/>
        <v>0</v>
      </c>
      <c r="BY61" s="495">
        <f t="shared" si="133"/>
        <v>0</v>
      </c>
      <c r="BZ61" s="495">
        <f t="shared" si="133"/>
        <v>0</v>
      </c>
      <c r="CA61" s="495">
        <f t="shared" si="133"/>
        <v>298.41000000000003</v>
      </c>
      <c r="CB61" s="495">
        <f t="shared" si="133"/>
        <v>0</v>
      </c>
      <c r="CC61" s="495">
        <f t="shared" si="133"/>
        <v>0</v>
      </c>
      <c r="CD61" s="495">
        <f t="shared" si="133"/>
        <v>0</v>
      </c>
      <c r="CE61" s="495">
        <f t="shared" si="133"/>
        <v>342.99</v>
      </c>
      <c r="CF61" s="495">
        <f t="shared" si="133"/>
        <v>525.79</v>
      </c>
      <c r="CG61" s="495">
        <f t="shared" si="133"/>
        <v>505.24000000000007</v>
      </c>
      <c r="CH61" s="495">
        <f t="shared" si="133"/>
        <v>345</v>
      </c>
      <c r="CI61" s="495">
        <f t="shared" si="133"/>
        <v>581.67999999999995</v>
      </c>
      <c r="CJ61" s="495">
        <f t="shared" si="133"/>
        <v>401.24</v>
      </c>
      <c r="CK61" s="495">
        <f t="shared" ref="CK61:DH61" si="134">CK51*CK20</f>
        <v>489.48</v>
      </c>
      <c r="CL61" s="495">
        <f t="shared" si="134"/>
        <v>879.37</v>
      </c>
      <c r="CM61" s="495">
        <f t="shared" si="134"/>
        <v>856.36</v>
      </c>
      <c r="CN61" s="495">
        <f t="shared" si="134"/>
        <v>691.92</v>
      </c>
      <c r="CO61" s="495">
        <f t="shared" si="134"/>
        <v>861.07999999999993</v>
      </c>
      <c r="CP61" s="495">
        <f t="shared" si="134"/>
        <v>636.96</v>
      </c>
      <c r="CQ61" s="499">
        <f t="shared" si="134"/>
        <v>521.30999999999995</v>
      </c>
      <c r="CR61" s="499">
        <f t="shared" si="134"/>
        <v>682.83999999999992</v>
      </c>
      <c r="CS61" s="499">
        <f t="shared" si="134"/>
        <v>632.17999999999995</v>
      </c>
      <c r="CT61" s="499">
        <f t="shared" si="134"/>
        <v>640.29999999999995</v>
      </c>
      <c r="CU61" s="499">
        <f t="shared" si="134"/>
        <v>800.33</v>
      </c>
      <c r="CV61" s="499">
        <f t="shared" si="134"/>
        <v>747.88</v>
      </c>
      <c r="CW61" s="499">
        <f t="shared" si="134"/>
        <v>474.59</v>
      </c>
      <c r="CX61" s="499">
        <f t="shared" si="134"/>
        <v>758.25</v>
      </c>
      <c r="CY61" s="499">
        <f t="shared" si="134"/>
        <v>943.6099999999999</v>
      </c>
      <c r="CZ61" s="499">
        <f t="shared" si="134"/>
        <v>1068.7399999999998</v>
      </c>
      <c r="DA61" s="499">
        <f t="shared" si="134"/>
        <v>977.56999999999994</v>
      </c>
      <c r="DB61" s="499">
        <f t="shared" si="134"/>
        <v>764.16000000000008</v>
      </c>
      <c r="DC61" s="499">
        <f t="shared" si="134"/>
        <v>848.80000000000007</v>
      </c>
      <c r="DD61" s="499">
        <f t="shared" si="134"/>
        <v>777.24</v>
      </c>
      <c r="DE61" s="499">
        <f t="shared" si="134"/>
        <v>758.71000000000015</v>
      </c>
      <c r="DF61" s="499">
        <f t="shared" si="134"/>
        <v>902.04</v>
      </c>
      <c r="DG61" s="499">
        <f t="shared" si="134"/>
        <v>574.36999999999989</v>
      </c>
      <c r="DH61" s="499">
        <f t="shared" si="134"/>
        <v>510.54999999999995</v>
      </c>
      <c r="DI61" s="499">
        <f t="shared" ref="DI61:EH61" si="135">DI51*DI20</f>
        <v>438.13400000000001</v>
      </c>
      <c r="DJ61" s="499">
        <f t="shared" si="135"/>
        <v>358.42999999999995</v>
      </c>
      <c r="DK61" s="499">
        <f t="shared" si="135"/>
        <v>256.15999999999997</v>
      </c>
      <c r="DL61" s="499">
        <f t="shared" si="135"/>
        <v>294.39999999999998</v>
      </c>
      <c r="DM61" s="499">
        <f t="shared" si="135"/>
        <v>333.16</v>
      </c>
      <c r="DN61" s="499">
        <f t="shared" si="135"/>
        <v>373.24</v>
      </c>
      <c r="DO61" s="499">
        <f t="shared" si="135"/>
        <v>586.07999999999993</v>
      </c>
      <c r="DP61" s="499">
        <f t="shared" si="135"/>
        <v>524.82999999999993</v>
      </c>
      <c r="DQ61" s="499">
        <f t="shared" si="135"/>
        <v>359.28</v>
      </c>
      <c r="DR61" s="499">
        <f t="shared" si="135"/>
        <v>692.33999999999992</v>
      </c>
      <c r="DS61" s="499">
        <f t="shared" si="135"/>
        <v>524.57000000000005</v>
      </c>
      <c r="DT61" s="499">
        <f t="shared" si="135"/>
        <v>257.83099999999996</v>
      </c>
      <c r="DU61" s="499">
        <f t="shared" si="135"/>
        <v>170.00279999999998</v>
      </c>
      <c r="DV61" s="499">
        <f t="shared" si="135"/>
        <v>137.44999999999999</v>
      </c>
      <c r="DW61" s="499">
        <f t="shared" si="135"/>
        <v>56.400000000000006</v>
      </c>
      <c r="DX61" s="499">
        <f t="shared" si="135"/>
        <v>640.86</v>
      </c>
      <c r="DY61" s="499">
        <f t="shared" si="135"/>
        <v>4</v>
      </c>
      <c r="DZ61" s="499">
        <f t="shared" si="135"/>
        <v>119.23000000000002</v>
      </c>
      <c r="EA61" s="499">
        <f t="shared" si="135"/>
        <v>18.820999999999998</v>
      </c>
      <c r="EB61" s="499">
        <f t="shared" si="135"/>
        <v>305.995</v>
      </c>
      <c r="EC61" s="499">
        <f t="shared" si="135"/>
        <v>342.06999999999994</v>
      </c>
      <c r="ED61" s="499">
        <f t="shared" si="135"/>
        <v>404.65000000000003</v>
      </c>
      <c r="EE61" s="499">
        <f t="shared" si="135"/>
        <v>505.61</v>
      </c>
      <c r="EF61" s="499">
        <f t="shared" si="135"/>
        <v>390.56000000000006</v>
      </c>
      <c r="EG61" s="499">
        <f t="shared" si="135"/>
        <v>511.53500000000003</v>
      </c>
      <c r="EH61" s="499">
        <f t="shared" si="135"/>
        <v>578.72</v>
      </c>
      <c r="EI61" s="499">
        <f>EI51*EI20</f>
        <v>373.26</v>
      </c>
      <c r="EJ61" s="499">
        <f>EJ51*EJ20</f>
        <v>0</v>
      </c>
      <c r="EK61" s="499">
        <f>EK51*EK20</f>
        <v>0</v>
      </c>
      <c r="EL61" s="499">
        <f t="shared" ref="EL61:EM61" si="136">EL51*EL20</f>
        <v>0</v>
      </c>
      <c r="EM61" s="499">
        <f t="shared" si="136"/>
        <v>0</v>
      </c>
    </row>
    <row r="62" spans="1:146" x14ac:dyDescent="0.25">
      <c r="A62" s="489" t="s">
        <v>593</v>
      </c>
      <c r="B62" s="3" t="s">
        <v>328</v>
      </c>
      <c r="C62" s="509">
        <f t="shared" ref="C62:K62" si="137">C60+C61</f>
        <v>2387.1000000000004</v>
      </c>
      <c r="D62" s="509">
        <f t="shared" si="137"/>
        <v>3076.0557522123895</v>
      </c>
      <c r="E62" s="509">
        <f t="shared" si="137"/>
        <v>2349.9</v>
      </c>
      <c r="F62" s="509">
        <f t="shared" si="137"/>
        <v>2673.2999999999997</v>
      </c>
      <c r="G62" s="509">
        <f t="shared" si="137"/>
        <v>3251.9</v>
      </c>
      <c r="H62" s="509">
        <f t="shared" si="137"/>
        <v>1307.52</v>
      </c>
      <c r="I62" s="509">
        <f t="shared" si="137"/>
        <v>2738.5</v>
      </c>
      <c r="J62" s="509">
        <f t="shared" si="137"/>
        <v>2224.7000000000003</v>
      </c>
      <c r="K62" s="509">
        <f t="shared" si="137"/>
        <v>1442</v>
      </c>
      <c r="L62" s="509">
        <f>L60+L61</f>
        <v>3116.1000000000004</v>
      </c>
      <c r="M62" s="509">
        <f t="shared" ref="M62:BX62" si="138">M60+M61</f>
        <v>2791.12</v>
      </c>
      <c r="N62" s="509">
        <f t="shared" si="138"/>
        <v>3189.78</v>
      </c>
      <c r="O62" s="509">
        <f t="shared" si="138"/>
        <v>3976</v>
      </c>
      <c r="P62" s="509">
        <f t="shared" si="138"/>
        <v>2873.2</v>
      </c>
      <c r="Q62" s="509">
        <f t="shared" si="138"/>
        <v>2797.6</v>
      </c>
      <c r="R62" s="509">
        <f t="shared" si="138"/>
        <v>3909.7</v>
      </c>
      <c r="S62" s="509">
        <f t="shared" si="138"/>
        <v>3731.3</v>
      </c>
      <c r="T62" s="509">
        <f t="shared" si="138"/>
        <v>4273.6000000000004</v>
      </c>
      <c r="U62" s="509">
        <f t="shared" si="138"/>
        <v>6637.7000000000007</v>
      </c>
      <c r="V62" s="509">
        <f t="shared" si="138"/>
        <v>5787.4</v>
      </c>
      <c r="W62" s="509">
        <f t="shared" si="138"/>
        <v>6024.7000000000007</v>
      </c>
      <c r="X62" s="509">
        <f t="shared" si="138"/>
        <v>6657.5</v>
      </c>
      <c r="Y62" s="509">
        <f t="shared" si="138"/>
        <v>6883.0999999999995</v>
      </c>
      <c r="Z62" s="509">
        <f t="shared" si="138"/>
        <v>5754</v>
      </c>
      <c r="AA62" s="509">
        <f t="shared" si="138"/>
        <v>6102.0999999999995</v>
      </c>
      <c r="AB62" s="509">
        <f t="shared" si="138"/>
        <v>5475.9000000000015</v>
      </c>
      <c r="AC62" s="509">
        <f t="shared" si="138"/>
        <v>5726.7999999999993</v>
      </c>
      <c r="AD62" s="504">
        <f t="shared" si="138"/>
        <v>4276.3999999999996</v>
      </c>
      <c r="AE62" s="504">
        <f t="shared" si="138"/>
        <v>5430.1</v>
      </c>
      <c r="AF62" s="504">
        <f t="shared" si="138"/>
        <v>6192.68</v>
      </c>
      <c r="AG62" s="504">
        <f t="shared" si="138"/>
        <v>6096.2</v>
      </c>
      <c r="AH62" s="504">
        <f t="shared" si="138"/>
        <v>5647.9</v>
      </c>
      <c r="AI62" s="504">
        <f t="shared" si="138"/>
        <v>4655.0999999999995</v>
      </c>
      <c r="AJ62" s="504">
        <f t="shared" si="138"/>
        <v>5327.06</v>
      </c>
      <c r="AK62" s="504">
        <f t="shared" si="138"/>
        <v>5159.08</v>
      </c>
      <c r="AL62" s="504">
        <f t="shared" si="138"/>
        <v>5697.84</v>
      </c>
      <c r="AM62" s="504">
        <f t="shared" si="138"/>
        <v>5673.04</v>
      </c>
      <c r="AN62" s="504">
        <f t="shared" si="138"/>
        <v>7247.5499999999993</v>
      </c>
      <c r="AO62" s="504">
        <f t="shared" si="138"/>
        <v>8562.92</v>
      </c>
      <c r="AP62" s="504">
        <f t="shared" si="138"/>
        <v>8706.5</v>
      </c>
      <c r="AQ62" s="504">
        <f t="shared" si="138"/>
        <v>8511.1</v>
      </c>
      <c r="AR62" s="504">
        <f t="shared" si="138"/>
        <v>7238.2999999999993</v>
      </c>
      <c r="AS62" s="504">
        <f t="shared" si="138"/>
        <v>8660.0000000000018</v>
      </c>
      <c r="AT62" s="504">
        <f t="shared" si="138"/>
        <v>8276.5</v>
      </c>
      <c r="AU62" s="504">
        <f t="shared" si="138"/>
        <v>7263.0000000000009</v>
      </c>
      <c r="AV62" s="504">
        <f t="shared" si="138"/>
        <v>7635.9</v>
      </c>
      <c r="AW62" s="504">
        <f t="shared" si="138"/>
        <v>7440</v>
      </c>
      <c r="AX62" s="504">
        <f t="shared" si="138"/>
        <v>6246.0000000000009</v>
      </c>
      <c r="AY62" s="504">
        <f t="shared" si="138"/>
        <v>5880.8</v>
      </c>
      <c r="AZ62" s="504">
        <f t="shared" si="138"/>
        <v>6071.4</v>
      </c>
      <c r="BA62" s="504">
        <f t="shared" si="138"/>
        <v>5556.5</v>
      </c>
      <c r="BB62" s="504">
        <f t="shared" si="138"/>
        <v>5515.2999999999993</v>
      </c>
      <c r="BC62" s="504">
        <f t="shared" si="138"/>
        <v>2586.9</v>
      </c>
      <c r="BD62" s="495">
        <f t="shared" si="138"/>
        <v>2197.8000000000002</v>
      </c>
      <c r="BE62" s="495">
        <f t="shared" si="138"/>
        <v>2685.7</v>
      </c>
      <c r="BF62" s="495">
        <f t="shared" si="138"/>
        <v>1678.9999999999998</v>
      </c>
      <c r="BG62" s="495">
        <f t="shared" si="138"/>
        <v>2312.5</v>
      </c>
      <c r="BH62" s="495">
        <f t="shared" si="138"/>
        <v>1700.2</v>
      </c>
      <c r="BI62" s="495">
        <f t="shared" si="138"/>
        <v>1939.5000000000002</v>
      </c>
      <c r="BJ62" s="495">
        <f t="shared" si="138"/>
        <v>1989.8000000000002</v>
      </c>
      <c r="BK62" s="495">
        <f t="shared" si="138"/>
        <v>2140.7800000000002</v>
      </c>
      <c r="BL62" s="495">
        <f t="shared" si="138"/>
        <v>2082.6799999999998</v>
      </c>
      <c r="BM62" s="495">
        <f t="shared" si="138"/>
        <v>1197.3100000000002</v>
      </c>
      <c r="BN62" s="495">
        <f t="shared" si="138"/>
        <v>1709.28</v>
      </c>
      <c r="BO62" s="495">
        <f t="shared" si="138"/>
        <v>2664.6600000000003</v>
      </c>
      <c r="BP62" s="495">
        <f t="shared" si="138"/>
        <v>555.16000000000008</v>
      </c>
      <c r="BQ62" s="495">
        <f t="shared" si="138"/>
        <v>1056.1999999999998</v>
      </c>
      <c r="BR62" s="495">
        <f t="shared" si="138"/>
        <v>520.28000000000009</v>
      </c>
      <c r="BS62" s="495">
        <f t="shared" si="138"/>
        <v>1514.2400000000002</v>
      </c>
      <c r="BT62" s="495">
        <f t="shared" si="138"/>
        <v>830.69999999999993</v>
      </c>
      <c r="BU62" s="495">
        <f t="shared" si="138"/>
        <v>303.12</v>
      </c>
      <c r="BV62" s="495">
        <f t="shared" si="138"/>
        <v>58.24</v>
      </c>
      <c r="BW62" s="495">
        <f t="shared" si="138"/>
        <v>732.24999999999989</v>
      </c>
      <c r="BX62" s="495">
        <f t="shared" si="138"/>
        <v>0</v>
      </c>
      <c r="BY62" s="495">
        <f t="shared" ref="BY62:DH62" si="139">BY60+BY61</f>
        <v>0</v>
      </c>
      <c r="BZ62" s="495">
        <f t="shared" si="139"/>
        <v>471.77</v>
      </c>
      <c r="CA62" s="495">
        <f t="shared" si="139"/>
        <v>1513.2200000000003</v>
      </c>
      <c r="CB62" s="495">
        <f t="shared" si="139"/>
        <v>0</v>
      </c>
      <c r="CC62" s="495">
        <f t="shared" si="139"/>
        <v>420.10999999999996</v>
      </c>
      <c r="CD62" s="495">
        <f t="shared" si="139"/>
        <v>741.62</v>
      </c>
      <c r="CE62" s="495">
        <f t="shared" si="139"/>
        <v>3110.9300000000003</v>
      </c>
      <c r="CF62" s="495">
        <f t="shared" si="139"/>
        <v>6633.26</v>
      </c>
      <c r="CG62" s="495">
        <f t="shared" si="139"/>
        <v>5666.6900000000005</v>
      </c>
      <c r="CH62" s="495">
        <f t="shared" si="139"/>
        <v>345</v>
      </c>
      <c r="CI62" s="495">
        <f t="shared" si="139"/>
        <v>5276.9500000000007</v>
      </c>
      <c r="CJ62" s="495">
        <f t="shared" si="139"/>
        <v>4067.08</v>
      </c>
      <c r="CK62" s="495">
        <f t="shared" si="139"/>
        <v>5518.7999999999993</v>
      </c>
      <c r="CL62" s="495">
        <f t="shared" si="139"/>
        <v>8690.09</v>
      </c>
      <c r="CM62" s="495">
        <f t="shared" si="139"/>
        <v>6588.11</v>
      </c>
      <c r="CN62" s="495">
        <f t="shared" si="139"/>
        <v>6553.6200000000008</v>
      </c>
      <c r="CO62" s="495">
        <f t="shared" si="139"/>
        <v>6359.0399999999991</v>
      </c>
      <c r="CP62" s="495">
        <f t="shared" si="139"/>
        <v>6445.3</v>
      </c>
      <c r="CQ62" s="499">
        <f t="shared" si="139"/>
        <v>6024.09</v>
      </c>
      <c r="CR62" s="499">
        <f t="shared" si="139"/>
        <v>5768.34</v>
      </c>
      <c r="CS62" s="499">
        <f t="shared" si="139"/>
        <v>5920.0300000000007</v>
      </c>
      <c r="CT62" s="499">
        <f t="shared" si="139"/>
        <v>5805.7600000000011</v>
      </c>
      <c r="CU62" s="499">
        <f t="shared" si="139"/>
        <v>4318.59</v>
      </c>
      <c r="CV62" s="499">
        <f t="shared" si="139"/>
        <v>5033.05</v>
      </c>
      <c r="CW62" s="499">
        <f t="shared" si="139"/>
        <v>3899.13</v>
      </c>
      <c r="CX62" s="499">
        <f t="shared" si="139"/>
        <v>5684.65</v>
      </c>
      <c r="CY62" s="499">
        <f t="shared" si="139"/>
        <v>8105.3799999999983</v>
      </c>
      <c r="CZ62" s="499">
        <f t="shared" si="139"/>
        <v>8193.6699999999983</v>
      </c>
      <c r="DA62" s="499">
        <f t="shared" si="139"/>
        <v>7225.1899999999987</v>
      </c>
      <c r="DB62" s="499">
        <f t="shared" si="139"/>
        <v>6445.34</v>
      </c>
      <c r="DC62" s="499">
        <f t="shared" si="139"/>
        <v>6230.0199999999995</v>
      </c>
      <c r="DD62" s="499">
        <f t="shared" si="139"/>
        <v>6298.8899999999994</v>
      </c>
      <c r="DE62" s="499">
        <f t="shared" si="139"/>
        <v>5662.4000000000005</v>
      </c>
      <c r="DF62" s="499">
        <f t="shared" si="139"/>
        <v>5497.95</v>
      </c>
      <c r="DG62" s="499">
        <f t="shared" si="139"/>
        <v>4585.1499999999996</v>
      </c>
      <c r="DH62" s="499">
        <f t="shared" si="139"/>
        <v>4748.4400000000005</v>
      </c>
      <c r="DI62" s="499">
        <f t="shared" ref="DI62:EH62" si="140">DI60+DI61</f>
        <v>5050.5140000000001</v>
      </c>
      <c r="DJ62" s="499">
        <f t="shared" si="140"/>
        <v>4569.6900000000005</v>
      </c>
      <c r="DK62" s="499">
        <f t="shared" si="140"/>
        <v>3336.3199999999997</v>
      </c>
      <c r="DL62" s="499">
        <f t="shared" si="140"/>
        <v>4042.0099999999998</v>
      </c>
      <c r="DM62" s="499">
        <f t="shared" si="140"/>
        <v>5054.9399999999996</v>
      </c>
      <c r="DN62" s="499">
        <f t="shared" si="140"/>
        <v>3929.8899999999994</v>
      </c>
      <c r="DO62" s="499">
        <f t="shared" si="140"/>
        <v>5777.95</v>
      </c>
      <c r="DP62" s="499">
        <f t="shared" si="140"/>
        <v>5419.96</v>
      </c>
      <c r="DQ62" s="499">
        <f t="shared" si="140"/>
        <v>3595.7599999999993</v>
      </c>
      <c r="DR62" s="499">
        <f t="shared" si="140"/>
        <v>4888.3200000000006</v>
      </c>
      <c r="DS62" s="499">
        <f t="shared" si="140"/>
        <v>4709.4799999999996</v>
      </c>
      <c r="DT62" s="499">
        <f t="shared" si="140"/>
        <v>1964.8409999999997</v>
      </c>
      <c r="DU62" s="499">
        <f t="shared" si="140"/>
        <v>2248.8256000000001</v>
      </c>
      <c r="DV62" s="499">
        <f t="shared" si="140"/>
        <v>2123.7399999999998</v>
      </c>
      <c r="DW62" s="499">
        <f t="shared" si="140"/>
        <v>660.65</v>
      </c>
      <c r="DX62" s="499">
        <f t="shared" si="140"/>
        <v>5008.4599999999991</v>
      </c>
      <c r="DY62" s="499">
        <f t="shared" si="140"/>
        <v>239.84999999999997</v>
      </c>
      <c r="DZ62" s="499">
        <f t="shared" si="140"/>
        <v>1110.7400000000002</v>
      </c>
      <c r="EA62" s="499">
        <f t="shared" si="140"/>
        <v>958.03100000000006</v>
      </c>
      <c r="EB62" s="499">
        <f t="shared" si="140"/>
        <v>3004.7049999999999</v>
      </c>
      <c r="EC62" s="499">
        <f t="shared" si="140"/>
        <v>3335.3999999999996</v>
      </c>
      <c r="ED62" s="499">
        <f t="shared" si="140"/>
        <v>4181.47</v>
      </c>
      <c r="EE62" s="499">
        <f t="shared" si="140"/>
        <v>4570.01</v>
      </c>
      <c r="EF62" s="499">
        <f t="shared" si="140"/>
        <v>3746.57</v>
      </c>
      <c r="EG62" s="499">
        <f t="shared" si="140"/>
        <v>5245.1949999999997</v>
      </c>
      <c r="EH62" s="499">
        <f t="shared" si="140"/>
        <v>5236.87</v>
      </c>
      <c r="EI62" s="499">
        <f>EI60+EI61</f>
        <v>4561.46</v>
      </c>
      <c r="EJ62" s="499">
        <f>EJ60+EJ61</f>
        <v>0</v>
      </c>
      <c r="EK62" s="499">
        <f>EK60+EK61</f>
        <v>0</v>
      </c>
      <c r="EL62" s="499">
        <f t="shared" ref="EL62:EM62" si="141">EL60+EL61</f>
        <v>0</v>
      </c>
      <c r="EM62" s="499">
        <f t="shared" si="141"/>
        <v>0</v>
      </c>
    </row>
    <row r="63" spans="1:146" x14ac:dyDescent="0.25">
      <c r="A63" s="8"/>
      <c r="B63" s="7"/>
      <c r="C63" s="510"/>
      <c r="D63" s="510"/>
      <c r="E63" s="510"/>
      <c r="F63" s="510"/>
      <c r="G63" s="510"/>
      <c r="H63" s="510"/>
      <c r="I63" s="510"/>
      <c r="J63" s="510"/>
      <c r="K63" s="510"/>
      <c r="L63" s="510"/>
      <c r="M63" s="510"/>
      <c r="N63" s="510"/>
      <c r="O63" s="510"/>
      <c r="P63" s="510"/>
      <c r="Q63" s="510"/>
      <c r="R63" s="510"/>
      <c r="S63" s="510"/>
      <c r="T63" s="510"/>
      <c r="U63" s="510"/>
      <c r="V63" s="510"/>
      <c r="W63" s="510"/>
      <c r="X63" s="510"/>
      <c r="Y63" s="510"/>
      <c r="Z63" s="510"/>
      <c r="AA63" s="510"/>
      <c r="AB63" s="510"/>
      <c r="AC63" s="510"/>
      <c r="AD63" s="505"/>
      <c r="AE63" s="505"/>
      <c r="AF63" s="506"/>
      <c r="AG63" s="505"/>
      <c r="AH63" s="505"/>
      <c r="AI63" s="505"/>
      <c r="AJ63" s="505"/>
      <c r="AK63" s="506"/>
      <c r="AL63" s="506"/>
      <c r="AM63" s="506"/>
      <c r="AN63" s="506"/>
      <c r="AO63" s="506"/>
      <c r="AP63" s="507"/>
      <c r="AQ63" s="507"/>
      <c r="AR63" s="507"/>
      <c r="AS63" s="507"/>
      <c r="AT63" s="507"/>
      <c r="AU63" s="507"/>
      <c r="AV63" s="507"/>
      <c r="AW63" s="507"/>
      <c r="AX63" s="507"/>
      <c r="AY63" s="507"/>
      <c r="AZ63" s="507"/>
      <c r="BA63" s="507"/>
      <c r="BB63" s="507"/>
      <c r="BC63" s="507"/>
      <c r="BD63" s="103"/>
      <c r="BE63" s="103"/>
      <c r="BF63" s="103"/>
      <c r="BG63" s="103"/>
      <c r="BH63" s="103"/>
      <c r="BI63" s="103"/>
      <c r="BJ63" s="103"/>
      <c r="BK63" s="103"/>
      <c r="BL63" s="103"/>
      <c r="BM63" s="103"/>
      <c r="BN63" s="103"/>
      <c r="BO63" s="103"/>
      <c r="BP63" s="103"/>
      <c r="BQ63" s="103"/>
      <c r="BR63" s="103"/>
      <c r="BS63" s="103"/>
      <c r="BT63" s="103"/>
      <c r="BU63" s="103"/>
      <c r="BV63" s="103"/>
      <c r="BW63" s="103"/>
      <c r="BX63" s="103"/>
      <c r="BY63" s="103"/>
      <c r="BZ63" s="103"/>
      <c r="CA63" s="103"/>
      <c r="CB63" s="103"/>
      <c r="CC63" s="103"/>
      <c r="CD63" s="103"/>
      <c r="CE63" s="103"/>
      <c r="CF63" s="103"/>
      <c r="CG63" s="103"/>
      <c r="CH63" s="103"/>
      <c r="CI63" s="103"/>
      <c r="CJ63" s="103"/>
      <c r="CK63" s="103"/>
      <c r="CL63" s="103"/>
      <c r="CM63" s="103"/>
      <c r="CN63" s="103"/>
      <c r="CO63" s="103"/>
      <c r="CP63" s="103"/>
      <c r="CQ63" s="500"/>
      <c r="CR63" s="500"/>
      <c r="CS63" s="500"/>
      <c r="CT63" s="500"/>
      <c r="CU63" s="500"/>
      <c r="CV63" s="500"/>
      <c r="CW63" s="500"/>
      <c r="CX63" s="500"/>
      <c r="CY63" s="500"/>
      <c r="CZ63" s="500"/>
      <c r="DA63" s="500"/>
      <c r="DB63" s="500"/>
      <c r="DC63" s="500"/>
      <c r="DD63" s="500"/>
      <c r="DE63" s="500"/>
      <c r="DF63" s="500"/>
      <c r="DG63" s="500"/>
      <c r="DH63" s="500"/>
      <c r="DI63" s="500"/>
      <c r="DJ63" s="500"/>
      <c r="DK63" s="4"/>
      <c r="DL63" s="4"/>
      <c r="DM63" s="4"/>
      <c r="DN63" s="4"/>
      <c r="DO63" s="4"/>
      <c r="DP63" s="4"/>
      <c r="DR63"/>
      <c r="DS63"/>
      <c r="DT63"/>
      <c r="EE63" s="34"/>
      <c r="EF63" s="34"/>
      <c r="EG63" s="34"/>
    </row>
    <row r="64" spans="1:146" ht="14.1" customHeight="1" x14ac:dyDescent="0.25">
      <c r="A64" s="139" t="s">
        <v>329</v>
      </c>
      <c r="B64" s="3" t="s">
        <v>328</v>
      </c>
      <c r="C64" s="509">
        <f t="shared" ref="C64:K64" si="142">C60/2</f>
        <v>842.75</v>
      </c>
      <c r="D64" s="509">
        <f t="shared" si="142"/>
        <v>1360.15</v>
      </c>
      <c r="E64" s="509">
        <f t="shared" si="142"/>
        <v>999.55000000000007</v>
      </c>
      <c r="F64" s="509">
        <f t="shared" si="142"/>
        <v>1209.8499999999999</v>
      </c>
      <c r="G64" s="509">
        <f t="shared" si="142"/>
        <v>1415.65</v>
      </c>
      <c r="H64" s="509">
        <f t="shared" si="142"/>
        <v>582.71</v>
      </c>
      <c r="I64" s="509">
        <f t="shared" si="142"/>
        <v>1138.6500000000001</v>
      </c>
      <c r="J64" s="509">
        <f t="shared" si="142"/>
        <v>908.15000000000009</v>
      </c>
      <c r="K64" s="509">
        <f t="shared" si="142"/>
        <v>593.70000000000005</v>
      </c>
      <c r="L64" s="509">
        <f>L60/2</f>
        <v>1283.75</v>
      </c>
      <c r="M64" s="509">
        <f t="shared" ref="M64:BB64" si="143">M60/2</f>
        <v>1131.1999999999998</v>
      </c>
      <c r="N64" s="509">
        <f t="shared" si="143"/>
        <v>1347.45</v>
      </c>
      <c r="O64" s="509">
        <f t="shared" si="143"/>
        <v>1653.9</v>
      </c>
      <c r="P64" s="509">
        <f t="shared" si="143"/>
        <v>1203.75</v>
      </c>
      <c r="Q64" s="509">
        <f t="shared" si="143"/>
        <v>1129.5</v>
      </c>
      <c r="R64" s="509">
        <f t="shared" si="143"/>
        <v>1683.5</v>
      </c>
      <c r="S64" s="509">
        <f t="shared" si="143"/>
        <v>1641.15</v>
      </c>
      <c r="T64" s="509">
        <f t="shared" si="143"/>
        <v>1982.8000000000004</v>
      </c>
      <c r="U64" s="509">
        <f t="shared" si="143"/>
        <v>2927.15</v>
      </c>
      <c r="V64" s="509">
        <f t="shared" si="143"/>
        <v>2628.75</v>
      </c>
      <c r="W64" s="509">
        <f t="shared" si="143"/>
        <v>2646.05</v>
      </c>
      <c r="X64" s="509">
        <f t="shared" si="143"/>
        <v>2745.35</v>
      </c>
      <c r="Y64" s="509">
        <f t="shared" si="143"/>
        <v>2973.95</v>
      </c>
      <c r="Z64" s="509">
        <f t="shared" si="143"/>
        <v>2439</v>
      </c>
      <c r="AA64" s="509">
        <f t="shared" si="143"/>
        <v>2529.9499999999998</v>
      </c>
      <c r="AB64" s="509">
        <f t="shared" si="143"/>
        <v>2364.8000000000006</v>
      </c>
      <c r="AC64" s="509">
        <f t="shared" si="143"/>
        <v>2470.6499999999996</v>
      </c>
      <c r="AD64" s="504">
        <f t="shared" si="143"/>
        <v>1804.4</v>
      </c>
      <c r="AE64" s="504">
        <f t="shared" si="143"/>
        <v>2345.2000000000003</v>
      </c>
      <c r="AF64" s="504">
        <f t="shared" si="143"/>
        <v>2730.25</v>
      </c>
      <c r="AG64" s="504">
        <f t="shared" si="143"/>
        <v>2595.6999999999998</v>
      </c>
      <c r="AH64" s="504">
        <f t="shared" si="143"/>
        <v>2377.2999999999997</v>
      </c>
      <c r="AI64" s="504">
        <f t="shared" si="143"/>
        <v>1917.25</v>
      </c>
      <c r="AJ64" s="504">
        <f t="shared" si="143"/>
        <v>2376.67</v>
      </c>
      <c r="AK64" s="504">
        <f t="shared" si="143"/>
        <v>2241.9699999999998</v>
      </c>
      <c r="AL64" s="504">
        <f t="shared" si="143"/>
        <v>2502.91</v>
      </c>
      <c r="AM64" s="504">
        <f t="shared" si="143"/>
        <v>2535.9499999999998</v>
      </c>
      <c r="AN64" s="504">
        <f t="shared" si="143"/>
        <v>3249.9999999999995</v>
      </c>
      <c r="AO64" s="504">
        <f t="shared" si="143"/>
        <v>3877.8999999999996</v>
      </c>
      <c r="AP64" s="504">
        <f t="shared" si="143"/>
        <v>3924</v>
      </c>
      <c r="AQ64" s="504">
        <f t="shared" si="143"/>
        <v>3823.45</v>
      </c>
      <c r="AR64" s="504">
        <f t="shared" si="143"/>
        <v>3311.7999999999997</v>
      </c>
      <c r="AS64" s="504">
        <f t="shared" si="143"/>
        <v>3911.0500000000006</v>
      </c>
      <c r="AT64" s="504">
        <f t="shared" si="143"/>
        <v>3687.05</v>
      </c>
      <c r="AU64" s="504">
        <f t="shared" si="143"/>
        <v>3178.7500000000005</v>
      </c>
      <c r="AV64" s="504">
        <f t="shared" si="143"/>
        <v>3497.95</v>
      </c>
      <c r="AW64" s="504">
        <f t="shared" si="143"/>
        <v>3327.65</v>
      </c>
      <c r="AX64" s="504">
        <f t="shared" si="143"/>
        <v>2743.8500000000004</v>
      </c>
      <c r="AY64" s="504">
        <f t="shared" si="143"/>
        <v>2608.1</v>
      </c>
      <c r="AZ64" s="504">
        <f t="shared" si="143"/>
        <v>2708.75</v>
      </c>
      <c r="BA64" s="504">
        <f t="shared" si="143"/>
        <v>2452.1</v>
      </c>
      <c r="BB64" s="504">
        <f t="shared" si="143"/>
        <v>2510.3499999999995</v>
      </c>
      <c r="BC64" s="508">
        <f>BC60</f>
        <v>2425.2000000000003</v>
      </c>
      <c r="BD64" s="497">
        <f t="shared" ref="BD64:BY64" si="144">BD60</f>
        <v>2036.4</v>
      </c>
      <c r="BE64" s="497">
        <f t="shared" si="144"/>
        <v>2484.5</v>
      </c>
      <c r="BF64" s="497">
        <f t="shared" si="144"/>
        <v>1597.8999999999999</v>
      </c>
      <c r="BG64" s="497">
        <f t="shared" si="144"/>
        <v>2146.4</v>
      </c>
      <c r="BH64" s="497">
        <f t="shared" si="144"/>
        <v>1517.3</v>
      </c>
      <c r="BI64" s="497">
        <f t="shared" si="144"/>
        <v>1756.2000000000003</v>
      </c>
      <c r="BJ64" s="497">
        <f t="shared" si="144"/>
        <v>1793.6000000000001</v>
      </c>
      <c r="BK64" s="497">
        <f t="shared" si="144"/>
        <v>1981.96</v>
      </c>
      <c r="BL64" s="497">
        <f t="shared" si="144"/>
        <v>1845.18</v>
      </c>
      <c r="BM64" s="497">
        <f t="shared" si="144"/>
        <v>1089.1100000000001</v>
      </c>
      <c r="BN64" s="497">
        <f t="shared" si="144"/>
        <v>1538.78</v>
      </c>
      <c r="BO64" s="497">
        <f t="shared" si="144"/>
        <v>2470.34</v>
      </c>
      <c r="BP64" s="495">
        <f t="shared" si="144"/>
        <v>485.44000000000005</v>
      </c>
      <c r="BQ64" s="495">
        <f t="shared" si="144"/>
        <v>1018.8799999999999</v>
      </c>
      <c r="BR64" s="495">
        <f t="shared" si="144"/>
        <v>520.28000000000009</v>
      </c>
      <c r="BS64" s="495">
        <f t="shared" si="144"/>
        <v>1514.2400000000002</v>
      </c>
      <c r="BT64" s="497">
        <f t="shared" si="144"/>
        <v>830.69999999999993</v>
      </c>
      <c r="BU64" s="497">
        <f t="shared" si="144"/>
        <v>303.12</v>
      </c>
      <c r="BV64" s="497">
        <f t="shared" si="144"/>
        <v>58.24</v>
      </c>
      <c r="BW64" s="497">
        <f t="shared" si="144"/>
        <v>732.24999999999989</v>
      </c>
      <c r="BX64" s="497">
        <f t="shared" si="144"/>
        <v>0</v>
      </c>
      <c r="BY64" s="497">
        <f t="shared" si="144"/>
        <v>0</v>
      </c>
      <c r="BZ64" s="497">
        <f t="shared" ref="BZ64:CD65" si="145">BZ60</f>
        <v>471.77</v>
      </c>
      <c r="CA64" s="497">
        <f t="shared" si="145"/>
        <v>1214.8100000000002</v>
      </c>
      <c r="CB64" s="497">
        <f t="shared" si="145"/>
        <v>0</v>
      </c>
      <c r="CC64" s="497">
        <f t="shared" si="145"/>
        <v>420.10999999999996</v>
      </c>
      <c r="CD64" s="497">
        <f t="shared" si="145"/>
        <v>741.62</v>
      </c>
      <c r="CE64" s="497">
        <f t="shared" ref="CE64:CG65" si="146">CE60/2</f>
        <v>1383.9700000000003</v>
      </c>
      <c r="CF64" s="497">
        <f t="shared" si="146"/>
        <v>3053.7350000000001</v>
      </c>
      <c r="CG64" s="497">
        <f t="shared" si="146"/>
        <v>2580.7250000000004</v>
      </c>
      <c r="CH64" s="497">
        <f>CH60</f>
        <v>0</v>
      </c>
      <c r="CI64" s="497">
        <f>CI60/2</f>
        <v>2347.6350000000002</v>
      </c>
      <c r="CJ64" s="497">
        <f t="shared" ref="CJ64:CP64" si="147">CJ60/2</f>
        <v>1832.92</v>
      </c>
      <c r="CK64" s="497">
        <f t="shared" si="147"/>
        <v>2514.66</v>
      </c>
      <c r="CL64" s="497">
        <f t="shared" si="147"/>
        <v>3905.3599999999997</v>
      </c>
      <c r="CM64" s="497">
        <f t="shared" si="147"/>
        <v>2865.875</v>
      </c>
      <c r="CN64" s="497">
        <f t="shared" si="147"/>
        <v>2930.8500000000004</v>
      </c>
      <c r="CO64" s="497">
        <f t="shared" si="147"/>
        <v>2748.9799999999996</v>
      </c>
      <c r="CP64" s="497">
        <f t="shared" si="147"/>
        <v>2904.17</v>
      </c>
      <c r="CQ64" s="501">
        <f>CQ60/2</f>
        <v>2751.3900000000003</v>
      </c>
      <c r="CR64" s="501">
        <f t="shared" ref="CR64:DH64" si="148">CR60/2</f>
        <v>2542.75</v>
      </c>
      <c r="CS64" s="501">
        <f t="shared" si="148"/>
        <v>2643.9250000000002</v>
      </c>
      <c r="CT64" s="501">
        <f t="shared" si="148"/>
        <v>2582.7300000000005</v>
      </c>
      <c r="CU64" s="501">
        <f t="shared" si="148"/>
        <v>1759.1299999999999</v>
      </c>
      <c r="CV64" s="501">
        <f t="shared" si="148"/>
        <v>2142.585</v>
      </c>
      <c r="CW64" s="501">
        <f t="shared" si="148"/>
        <v>1712.27</v>
      </c>
      <c r="CX64" s="501">
        <f t="shared" si="148"/>
        <v>2463.1999999999998</v>
      </c>
      <c r="CY64" s="501">
        <f t="shared" si="148"/>
        <v>3580.8849999999993</v>
      </c>
      <c r="CZ64" s="501">
        <f t="shared" si="148"/>
        <v>3562.4649999999997</v>
      </c>
      <c r="DA64" s="501">
        <f t="shared" si="148"/>
        <v>3123.8099999999995</v>
      </c>
      <c r="DB64" s="501">
        <f t="shared" si="148"/>
        <v>2840.59</v>
      </c>
      <c r="DC64" s="501">
        <f t="shared" si="148"/>
        <v>2690.6099999999997</v>
      </c>
      <c r="DD64" s="501">
        <f t="shared" si="148"/>
        <v>2760.8249999999998</v>
      </c>
      <c r="DE64" s="501">
        <f t="shared" si="148"/>
        <v>2451.8450000000003</v>
      </c>
      <c r="DF64" s="501">
        <f t="shared" si="148"/>
        <v>2297.9549999999999</v>
      </c>
      <c r="DG64" s="501">
        <f t="shared" si="148"/>
        <v>2005.3899999999996</v>
      </c>
      <c r="DH64" s="501">
        <f t="shared" si="148"/>
        <v>2118.9450000000002</v>
      </c>
      <c r="DI64" s="501">
        <f t="shared" ref="DI64:EH64" si="149">DI60/2</f>
        <v>2306.19</v>
      </c>
      <c r="DJ64" s="501">
        <f t="shared" si="149"/>
        <v>2105.63</v>
      </c>
      <c r="DK64" s="501">
        <f t="shared" si="149"/>
        <v>1540.08</v>
      </c>
      <c r="DL64" s="501">
        <f t="shared" si="149"/>
        <v>1873.8049999999998</v>
      </c>
      <c r="DM64" s="501">
        <f t="shared" si="149"/>
        <v>2360.89</v>
      </c>
      <c r="DN64" s="501">
        <f t="shared" si="149"/>
        <v>1778.3249999999998</v>
      </c>
      <c r="DO64" s="501">
        <f t="shared" si="149"/>
        <v>2595.9349999999999</v>
      </c>
      <c r="DP64" s="501">
        <f t="shared" si="149"/>
        <v>2447.5650000000001</v>
      </c>
      <c r="DQ64" s="501">
        <f t="shared" si="149"/>
        <v>1618.2399999999998</v>
      </c>
      <c r="DR64" s="501">
        <f t="shared" si="149"/>
        <v>2097.9900000000002</v>
      </c>
      <c r="DS64" s="501">
        <f t="shared" si="149"/>
        <v>2092.4549999999999</v>
      </c>
      <c r="DT64" s="501">
        <f t="shared" si="149"/>
        <v>853.50499999999988</v>
      </c>
      <c r="DU64" s="501">
        <f t="shared" si="149"/>
        <v>1039.4114</v>
      </c>
      <c r="DV64" s="501">
        <f t="shared" si="149"/>
        <v>993.14499999999998</v>
      </c>
      <c r="DW64" s="501">
        <f t="shared" si="149"/>
        <v>302.125</v>
      </c>
      <c r="DX64" s="501">
        <f t="shared" si="149"/>
        <v>2183.7999999999997</v>
      </c>
      <c r="DY64" s="501">
        <f t="shared" si="149"/>
        <v>117.92499999999998</v>
      </c>
      <c r="DZ64" s="501">
        <f t="shared" si="149"/>
        <v>495.75500000000005</v>
      </c>
      <c r="EA64" s="501">
        <f t="shared" si="149"/>
        <v>469.60500000000002</v>
      </c>
      <c r="EB64" s="501">
        <f t="shared" si="149"/>
        <v>1349.355</v>
      </c>
      <c r="EC64" s="501">
        <f t="shared" si="149"/>
        <v>1496.665</v>
      </c>
      <c r="ED64" s="501">
        <f t="shared" si="149"/>
        <v>1888.41</v>
      </c>
      <c r="EE64" s="499">
        <f t="shared" si="149"/>
        <v>2032.2000000000003</v>
      </c>
      <c r="EF64" s="499">
        <f t="shared" si="149"/>
        <v>1678.0050000000001</v>
      </c>
      <c r="EG64" s="499">
        <f t="shared" si="149"/>
        <v>2366.83</v>
      </c>
      <c r="EH64" s="501">
        <f t="shared" si="149"/>
        <v>2329.0749999999998</v>
      </c>
      <c r="EI64" s="501">
        <f t="shared" ref="EI64:EK65" si="150">EI60/2</f>
        <v>2094.1</v>
      </c>
      <c r="EJ64" s="501">
        <f t="shared" si="150"/>
        <v>0</v>
      </c>
      <c r="EK64" s="501">
        <f t="shared" si="150"/>
        <v>0</v>
      </c>
      <c r="EL64" s="501">
        <f t="shared" ref="EL64:EM64" si="151">EL60/2</f>
        <v>0</v>
      </c>
      <c r="EM64" s="501">
        <f t="shared" si="151"/>
        <v>0</v>
      </c>
    </row>
    <row r="65" spans="1:143" ht="14.1" customHeight="1" x14ac:dyDescent="0.25">
      <c r="A65" s="139" t="s">
        <v>330</v>
      </c>
      <c r="B65" s="3" t="s">
        <v>328</v>
      </c>
      <c r="C65" s="509">
        <f t="shared" ref="C65:K65" si="152">C61/2</f>
        <v>350.80000000000007</v>
      </c>
      <c r="D65" s="509">
        <f t="shared" si="152"/>
        <v>177.87787610619469</v>
      </c>
      <c r="E65" s="509">
        <f t="shared" si="152"/>
        <v>175.40000000000003</v>
      </c>
      <c r="F65" s="509">
        <f t="shared" si="152"/>
        <v>126.80000000000003</v>
      </c>
      <c r="G65" s="509">
        <f t="shared" si="152"/>
        <v>210.3</v>
      </c>
      <c r="H65" s="509">
        <f t="shared" si="152"/>
        <v>71.050000000000011</v>
      </c>
      <c r="I65" s="509">
        <f t="shared" si="152"/>
        <v>230.6</v>
      </c>
      <c r="J65" s="509">
        <f t="shared" si="152"/>
        <v>204.20000000000005</v>
      </c>
      <c r="K65" s="509">
        <f t="shared" si="152"/>
        <v>127.30000000000001</v>
      </c>
      <c r="L65" s="509">
        <f>L61/2</f>
        <v>274.30000000000007</v>
      </c>
      <c r="M65" s="509">
        <f t="shared" ref="M65:BB65" si="153">M61/2</f>
        <v>264.36</v>
      </c>
      <c r="N65" s="509">
        <f t="shared" si="153"/>
        <v>247.44</v>
      </c>
      <c r="O65" s="509">
        <f t="shared" si="153"/>
        <v>334.1</v>
      </c>
      <c r="P65" s="509">
        <f t="shared" si="153"/>
        <v>232.85000000000002</v>
      </c>
      <c r="Q65" s="509">
        <f t="shared" si="153"/>
        <v>269.3</v>
      </c>
      <c r="R65" s="509">
        <f t="shared" si="153"/>
        <v>271.35000000000002</v>
      </c>
      <c r="S65" s="509">
        <f t="shared" si="153"/>
        <v>224.49999999999997</v>
      </c>
      <c r="T65" s="509">
        <f t="shared" si="153"/>
        <v>154</v>
      </c>
      <c r="U65" s="509">
        <f t="shared" si="153"/>
        <v>391.70000000000005</v>
      </c>
      <c r="V65" s="509">
        <f t="shared" si="153"/>
        <v>264.95</v>
      </c>
      <c r="W65" s="509">
        <f t="shared" si="153"/>
        <v>366.29999999999995</v>
      </c>
      <c r="X65" s="509">
        <f t="shared" si="153"/>
        <v>583.4</v>
      </c>
      <c r="Y65" s="509">
        <f t="shared" si="153"/>
        <v>467.59999999999991</v>
      </c>
      <c r="Z65" s="509">
        <f t="shared" si="153"/>
        <v>438</v>
      </c>
      <c r="AA65" s="509">
        <f t="shared" si="153"/>
        <v>521.1</v>
      </c>
      <c r="AB65" s="509">
        <f t="shared" si="153"/>
        <v>373.15</v>
      </c>
      <c r="AC65" s="509">
        <f t="shared" si="153"/>
        <v>392.75</v>
      </c>
      <c r="AD65" s="504">
        <f t="shared" si="153"/>
        <v>333.79999999999995</v>
      </c>
      <c r="AE65" s="504">
        <f t="shared" si="153"/>
        <v>369.84999999999997</v>
      </c>
      <c r="AF65" s="504">
        <f t="shared" si="153"/>
        <v>366.08999999999992</v>
      </c>
      <c r="AG65" s="504">
        <f t="shared" si="153"/>
        <v>452.4</v>
      </c>
      <c r="AH65" s="504">
        <f t="shared" si="153"/>
        <v>446.65</v>
      </c>
      <c r="AI65" s="504">
        <f t="shared" si="153"/>
        <v>410.2999999999999</v>
      </c>
      <c r="AJ65" s="504">
        <f t="shared" si="153"/>
        <v>286.86</v>
      </c>
      <c r="AK65" s="504">
        <f t="shared" si="153"/>
        <v>337.57</v>
      </c>
      <c r="AL65" s="504">
        <f t="shared" si="153"/>
        <v>346.01</v>
      </c>
      <c r="AM65" s="504">
        <f t="shared" si="153"/>
        <v>300.57000000000005</v>
      </c>
      <c r="AN65" s="504">
        <f t="shared" si="153"/>
        <v>373.77499999999998</v>
      </c>
      <c r="AO65" s="504">
        <f t="shared" si="153"/>
        <v>403.56000000000006</v>
      </c>
      <c r="AP65" s="504">
        <f t="shared" si="153"/>
        <v>429.25</v>
      </c>
      <c r="AQ65" s="504">
        <f t="shared" si="153"/>
        <v>432.09999999999997</v>
      </c>
      <c r="AR65" s="504">
        <f t="shared" si="153"/>
        <v>307.35000000000002</v>
      </c>
      <c r="AS65" s="504">
        <f t="shared" si="153"/>
        <v>418.95000000000005</v>
      </c>
      <c r="AT65" s="504">
        <f t="shared" si="153"/>
        <v>451.2</v>
      </c>
      <c r="AU65" s="504">
        <f t="shared" si="153"/>
        <v>452.75000000000006</v>
      </c>
      <c r="AV65" s="504">
        <f t="shared" si="153"/>
        <v>320</v>
      </c>
      <c r="AW65" s="504">
        <f t="shared" si="153"/>
        <v>392.35</v>
      </c>
      <c r="AX65" s="504">
        <f t="shared" si="153"/>
        <v>379.15000000000015</v>
      </c>
      <c r="AY65" s="504">
        <f t="shared" si="153"/>
        <v>332.30000000000007</v>
      </c>
      <c r="AZ65" s="504">
        <f t="shared" si="153"/>
        <v>326.95000000000005</v>
      </c>
      <c r="BA65" s="504">
        <f t="shared" si="153"/>
        <v>326.14999999999992</v>
      </c>
      <c r="BB65" s="504">
        <f t="shared" si="153"/>
        <v>247.30000000000004</v>
      </c>
      <c r="BC65" s="508">
        <f>BC61</f>
        <v>161.70000000000002</v>
      </c>
      <c r="BD65" s="497">
        <f t="shared" ref="BD65:BY65" si="154">BD61</f>
        <v>161.4</v>
      </c>
      <c r="BE65" s="497">
        <f t="shared" si="154"/>
        <v>201.20000000000002</v>
      </c>
      <c r="BF65" s="497">
        <f t="shared" si="154"/>
        <v>81.099999999999994</v>
      </c>
      <c r="BG65" s="497">
        <f t="shared" si="154"/>
        <v>166.10000000000002</v>
      </c>
      <c r="BH65" s="497">
        <f t="shared" si="154"/>
        <v>182.9</v>
      </c>
      <c r="BI65" s="497">
        <f t="shared" si="154"/>
        <v>183.3</v>
      </c>
      <c r="BJ65" s="497">
        <f t="shared" si="154"/>
        <v>196.20000000000002</v>
      </c>
      <c r="BK65" s="497">
        <f t="shared" si="154"/>
        <v>158.82</v>
      </c>
      <c r="BL65" s="497">
        <f t="shared" si="154"/>
        <v>237.49999999999997</v>
      </c>
      <c r="BM65" s="497">
        <f t="shared" si="154"/>
        <v>108.2</v>
      </c>
      <c r="BN65" s="497">
        <f t="shared" si="154"/>
        <v>170.5</v>
      </c>
      <c r="BO65" s="497">
        <f t="shared" si="154"/>
        <v>194.32</v>
      </c>
      <c r="BP65" s="103">
        <f t="shared" si="154"/>
        <v>69.720000000000013</v>
      </c>
      <c r="BQ65" s="103">
        <f t="shared" si="154"/>
        <v>37.32</v>
      </c>
      <c r="BR65" s="103">
        <f t="shared" si="154"/>
        <v>0</v>
      </c>
      <c r="BS65" s="103">
        <f t="shared" si="154"/>
        <v>0</v>
      </c>
      <c r="BT65" s="497">
        <f t="shared" si="154"/>
        <v>0</v>
      </c>
      <c r="BU65" s="497">
        <f t="shared" si="154"/>
        <v>0</v>
      </c>
      <c r="BV65" s="497">
        <f t="shared" si="154"/>
        <v>0</v>
      </c>
      <c r="BW65" s="497">
        <f t="shared" si="154"/>
        <v>0</v>
      </c>
      <c r="BX65" s="497">
        <f t="shared" si="154"/>
        <v>0</v>
      </c>
      <c r="BY65" s="497">
        <f t="shared" si="154"/>
        <v>0</v>
      </c>
      <c r="BZ65" s="497">
        <f t="shared" si="145"/>
        <v>0</v>
      </c>
      <c r="CA65" s="497">
        <f t="shared" si="145"/>
        <v>298.41000000000003</v>
      </c>
      <c r="CB65" s="497">
        <f t="shared" si="145"/>
        <v>0</v>
      </c>
      <c r="CC65" s="497">
        <f t="shared" si="145"/>
        <v>0</v>
      </c>
      <c r="CD65" s="497">
        <f t="shared" si="145"/>
        <v>0</v>
      </c>
      <c r="CE65" s="497">
        <f t="shared" si="146"/>
        <v>171.495</v>
      </c>
      <c r="CF65" s="497">
        <f t="shared" si="146"/>
        <v>262.89499999999998</v>
      </c>
      <c r="CG65" s="497">
        <f t="shared" si="146"/>
        <v>252.62000000000003</v>
      </c>
      <c r="CH65" s="497">
        <f>CH61</f>
        <v>345</v>
      </c>
      <c r="CI65" s="497">
        <f>CI61/2</f>
        <v>290.83999999999997</v>
      </c>
      <c r="CJ65" s="497">
        <f t="shared" ref="CJ65:CP65" si="155">CJ61/2</f>
        <v>200.62</v>
      </c>
      <c r="CK65" s="497">
        <f t="shared" si="155"/>
        <v>244.74</v>
      </c>
      <c r="CL65" s="497">
        <f t="shared" si="155"/>
        <v>439.685</v>
      </c>
      <c r="CM65" s="497">
        <f t="shared" si="155"/>
        <v>428.18</v>
      </c>
      <c r="CN65" s="497">
        <f t="shared" si="155"/>
        <v>345.96</v>
      </c>
      <c r="CO65" s="497">
        <f t="shared" si="155"/>
        <v>430.53999999999996</v>
      </c>
      <c r="CP65" s="497">
        <f t="shared" si="155"/>
        <v>318.48</v>
      </c>
      <c r="CQ65" s="501">
        <f>CQ61/2</f>
        <v>260.65499999999997</v>
      </c>
      <c r="CR65" s="501">
        <f t="shared" ref="CR65:DH65" si="156">CR61/2</f>
        <v>341.41999999999996</v>
      </c>
      <c r="CS65" s="501">
        <f t="shared" si="156"/>
        <v>316.08999999999997</v>
      </c>
      <c r="CT65" s="501">
        <f t="shared" si="156"/>
        <v>320.14999999999998</v>
      </c>
      <c r="CU65" s="501">
        <f t="shared" si="156"/>
        <v>400.16500000000002</v>
      </c>
      <c r="CV65" s="501">
        <f t="shared" si="156"/>
        <v>373.94</v>
      </c>
      <c r="CW65" s="501">
        <f t="shared" si="156"/>
        <v>237.29499999999999</v>
      </c>
      <c r="CX65" s="501">
        <f t="shared" si="156"/>
        <v>379.125</v>
      </c>
      <c r="CY65" s="501">
        <f t="shared" si="156"/>
        <v>471.80499999999995</v>
      </c>
      <c r="CZ65" s="501">
        <f t="shared" si="156"/>
        <v>534.36999999999989</v>
      </c>
      <c r="DA65" s="501">
        <f t="shared" si="156"/>
        <v>488.78499999999997</v>
      </c>
      <c r="DB65" s="501">
        <f t="shared" si="156"/>
        <v>382.08000000000004</v>
      </c>
      <c r="DC65" s="501">
        <f t="shared" si="156"/>
        <v>424.40000000000003</v>
      </c>
      <c r="DD65" s="501">
        <f t="shared" si="156"/>
        <v>388.62</v>
      </c>
      <c r="DE65" s="501">
        <f t="shared" si="156"/>
        <v>379.35500000000008</v>
      </c>
      <c r="DF65" s="501">
        <f t="shared" si="156"/>
        <v>451.02</v>
      </c>
      <c r="DG65" s="501">
        <f t="shared" si="156"/>
        <v>287.18499999999995</v>
      </c>
      <c r="DH65" s="501">
        <f t="shared" si="156"/>
        <v>255.27499999999998</v>
      </c>
      <c r="DI65" s="501">
        <f t="shared" ref="DI65:EH65" si="157">DI61/2</f>
        <v>219.06700000000001</v>
      </c>
      <c r="DJ65" s="501">
        <f t="shared" si="157"/>
        <v>179.21499999999997</v>
      </c>
      <c r="DK65" s="501">
        <f t="shared" si="157"/>
        <v>128.07999999999998</v>
      </c>
      <c r="DL65" s="501">
        <f t="shared" si="157"/>
        <v>147.19999999999999</v>
      </c>
      <c r="DM65" s="501">
        <f t="shared" si="157"/>
        <v>166.58</v>
      </c>
      <c r="DN65" s="501">
        <f t="shared" si="157"/>
        <v>186.62</v>
      </c>
      <c r="DO65" s="501">
        <f t="shared" si="157"/>
        <v>293.03999999999996</v>
      </c>
      <c r="DP65" s="501">
        <f t="shared" si="157"/>
        <v>262.41499999999996</v>
      </c>
      <c r="DQ65" s="501">
        <f t="shared" si="157"/>
        <v>179.64</v>
      </c>
      <c r="DR65" s="501">
        <f t="shared" si="157"/>
        <v>346.16999999999996</v>
      </c>
      <c r="DS65" s="501">
        <f t="shared" si="157"/>
        <v>262.28500000000003</v>
      </c>
      <c r="DT65" s="501">
        <f t="shared" si="157"/>
        <v>128.91549999999998</v>
      </c>
      <c r="DU65" s="501">
        <f t="shared" si="157"/>
        <v>85.00139999999999</v>
      </c>
      <c r="DV65" s="501">
        <f t="shared" si="157"/>
        <v>68.724999999999994</v>
      </c>
      <c r="DW65" s="501">
        <f t="shared" si="157"/>
        <v>28.200000000000003</v>
      </c>
      <c r="DX65" s="501">
        <f t="shared" si="157"/>
        <v>320.43</v>
      </c>
      <c r="DY65" s="501">
        <f t="shared" si="157"/>
        <v>2</v>
      </c>
      <c r="DZ65" s="501">
        <f t="shared" si="157"/>
        <v>59.615000000000009</v>
      </c>
      <c r="EA65" s="501">
        <f t="shared" si="157"/>
        <v>9.410499999999999</v>
      </c>
      <c r="EB65" s="501">
        <f t="shared" si="157"/>
        <v>152.9975</v>
      </c>
      <c r="EC65" s="501">
        <f t="shared" si="157"/>
        <v>171.03499999999997</v>
      </c>
      <c r="ED65" s="501">
        <f t="shared" si="157"/>
        <v>202.32500000000002</v>
      </c>
      <c r="EE65" s="499">
        <f t="shared" si="157"/>
        <v>252.80500000000001</v>
      </c>
      <c r="EF65" s="499">
        <f t="shared" si="157"/>
        <v>195.28000000000003</v>
      </c>
      <c r="EG65" s="499">
        <f t="shared" si="157"/>
        <v>255.76750000000001</v>
      </c>
      <c r="EH65" s="501">
        <f t="shared" si="157"/>
        <v>289.36</v>
      </c>
      <c r="EI65" s="501">
        <f t="shared" si="150"/>
        <v>186.63</v>
      </c>
      <c r="EJ65" s="501">
        <f t="shared" si="150"/>
        <v>0</v>
      </c>
      <c r="EK65" s="501">
        <f t="shared" si="150"/>
        <v>0</v>
      </c>
      <c r="EL65" s="501">
        <f t="shared" ref="EL65:EM65" si="158">EL61/2</f>
        <v>0</v>
      </c>
      <c r="EM65" s="501">
        <f t="shared" si="158"/>
        <v>0</v>
      </c>
    </row>
    <row r="66" spans="1:143" ht="14.1" customHeight="1" x14ac:dyDescent="0.25">
      <c r="A66" s="139" t="s">
        <v>594</v>
      </c>
      <c r="B66" s="3" t="s">
        <v>328</v>
      </c>
      <c r="C66" s="509">
        <f t="shared" ref="C66:K66" si="159">C64+C65</f>
        <v>1193.5500000000002</v>
      </c>
      <c r="D66" s="509">
        <f t="shared" si="159"/>
        <v>1538.0278761061948</v>
      </c>
      <c r="E66" s="509">
        <f t="shared" si="159"/>
        <v>1174.95</v>
      </c>
      <c r="F66" s="509">
        <f t="shared" si="159"/>
        <v>1336.6499999999999</v>
      </c>
      <c r="G66" s="509">
        <f t="shared" si="159"/>
        <v>1625.95</v>
      </c>
      <c r="H66" s="509">
        <f t="shared" si="159"/>
        <v>653.76</v>
      </c>
      <c r="I66" s="509">
        <f t="shared" si="159"/>
        <v>1369.25</v>
      </c>
      <c r="J66" s="509">
        <f t="shared" si="159"/>
        <v>1112.3500000000001</v>
      </c>
      <c r="K66" s="509">
        <f t="shared" si="159"/>
        <v>721</v>
      </c>
      <c r="L66" s="509">
        <f>L64+L65</f>
        <v>1558.0500000000002</v>
      </c>
      <c r="M66" s="509">
        <f t="shared" ref="M66:BX66" si="160">M64+M65</f>
        <v>1395.56</v>
      </c>
      <c r="N66" s="509">
        <f t="shared" si="160"/>
        <v>1594.89</v>
      </c>
      <c r="O66" s="509">
        <f t="shared" si="160"/>
        <v>1988</v>
      </c>
      <c r="P66" s="509">
        <f t="shared" si="160"/>
        <v>1436.6</v>
      </c>
      <c r="Q66" s="509">
        <f t="shared" si="160"/>
        <v>1398.8</v>
      </c>
      <c r="R66" s="509">
        <f t="shared" si="160"/>
        <v>1954.85</v>
      </c>
      <c r="S66" s="509">
        <f t="shared" si="160"/>
        <v>1865.65</v>
      </c>
      <c r="T66" s="509">
        <f t="shared" si="160"/>
        <v>2136.8000000000002</v>
      </c>
      <c r="U66" s="509">
        <f t="shared" si="160"/>
        <v>3318.8500000000004</v>
      </c>
      <c r="V66" s="509">
        <f t="shared" si="160"/>
        <v>2893.7</v>
      </c>
      <c r="W66" s="509">
        <f t="shared" si="160"/>
        <v>3012.3500000000004</v>
      </c>
      <c r="X66" s="509">
        <f t="shared" si="160"/>
        <v>3328.75</v>
      </c>
      <c r="Y66" s="509">
        <f t="shared" si="160"/>
        <v>3441.5499999999997</v>
      </c>
      <c r="Z66" s="509">
        <f t="shared" si="160"/>
        <v>2877</v>
      </c>
      <c r="AA66" s="509">
        <f t="shared" si="160"/>
        <v>3051.0499999999997</v>
      </c>
      <c r="AB66" s="509">
        <f t="shared" si="160"/>
        <v>2737.9500000000007</v>
      </c>
      <c r="AC66" s="509">
        <f t="shared" si="160"/>
        <v>2863.3999999999996</v>
      </c>
      <c r="AD66" s="504">
        <f t="shared" si="160"/>
        <v>2138.1999999999998</v>
      </c>
      <c r="AE66" s="504">
        <f t="shared" si="160"/>
        <v>2715.05</v>
      </c>
      <c r="AF66" s="504">
        <f t="shared" si="160"/>
        <v>3096.34</v>
      </c>
      <c r="AG66" s="504">
        <f t="shared" si="160"/>
        <v>3048.1</v>
      </c>
      <c r="AH66" s="504">
        <f t="shared" si="160"/>
        <v>2823.95</v>
      </c>
      <c r="AI66" s="504">
        <f t="shared" si="160"/>
        <v>2327.5499999999997</v>
      </c>
      <c r="AJ66" s="504">
        <f t="shared" si="160"/>
        <v>2663.53</v>
      </c>
      <c r="AK66" s="504">
        <f t="shared" si="160"/>
        <v>2579.54</v>
      </c>
      <c r="AL66" s="504">
        <f t="shared" si="160"/>
        <v>2848.92</v>
      </c>
      <c r="AM66" s="504">
        <f t="shared" si="160"/>
        <v>2836.52</v>
      </c>
      <c r="AN66" s="504">
        <f t="shared" si="160"/>
        <v>3623.7749999999996</v>
      </c>
      <c r="AO66" s="504">
        <f t="shared" si="160"/>
        <v>4281.46</v>
      </c>
      <c r="AP66" s="504">
        <f t="shared" si="160"/>
        <v>4353.25</v>
      </c>
      <c r="AQ66" s="504">
        <f t="shared" si="160"/>
        <v>4255.55</v>
      </c>
      <c r="AR66" s="504">
        <f t="shared" si="160"/>
        <v>3619.1499999999996</v>
      </c>
      <c r="AS66" s="504">
        <f t="shared" si="160"/>
        <v>4330.0000000000009</v>
      </c>
      <c r="AT66" s="504">
        <f t="shared" si="160"/>
        <v>4138.25</v>
      </c>
      <c r="AU66" s="504">
        <f t="shared" si="160"/>
        <v>3631.5000000000005</v>
      </c>
      <c r="AV66" s="504">
        <f t="shared" si="160"/>
        <v>3817.95</v>
      </c>
      <c r="AW66" s="504">
        <f t="shared" si="160"/>
        <v>3720</v>
      </c>
      <c r="AX66" s="504">
        <f t="shared" si="160"/>
        <v>3123.0000000000005</v>
      </c>
      <c r="AY66" s="504">
        <f t="shared" si="160"/>
        <v>2940.4</v>
      </c>
      <c r="AZ66" s="504">
        <f t="shared" si="160"/>
        <v>3035.7</v>
      </c>
      <c r="BA66" s="504">
        <f t="shared" si="160"/>
        <v>2778.25</v>
      </c>
      <c r="BB66" s="504">
        <f t="shared" si="160"/>
        <v>2757.6499999999996</v>
      </c>
      <c r="BC66" s="508">
        <f t="shared" si="160"/>
        <v>2586.9</v>
      </c>
      <c r="BD66" s="497">
        <f t="shared" si="160"/>
        <v>2197.8000000000002</v>
      </c>
      <c r="BE66" s="497">
        <f t="shared" si="160"/>
        <v>2685.7</v>
      </c>
      <c r="BF66" s="497">
        <f t="shared" si="160"/>
        <v>1678.9999999999998</v>
      </c>
      <c r="BG66" s="497">
        <f t="shared" si="160"/>
        <v>2312.5</v>
      </c>
      <c r="BH66" s="497">
        <f t="shared" si="160"/>
        <v>1700.2</v>
      </c>
      <c r="BI66" s="497">
        <f t="shared" si="160"/>
        <v>1939.5000000000002</v>
      </c>
      <c r="BJ66" s="497">
        <f t="shared" si="160"/>
        <v>1989.8000000000002</v>
      </c>
      <c r="BK66" s="497">
        <f t="shared" si="160"/>
        <v>2140.7800000000002</v>
      </c>
      <c r="BL66" s="497">
        <f t="shared" si="160"/>
        <v>2082.6799999999998</v>
      </c>
      <c r="BM66" s="497">
        <f t="shared" si="160"/>
        <v>1197.3100000000002</v>
      </c>
      <c r="BN66" s="497">
        <f t="shared" si="160"/>
        <v>1709.28</v>
      </c>
      <c r="BO66" s="497">
        <f t="shared" si="160"/>
        <v>2664.6600000000003</v>
      </c>
      <c r="BP66" s="103">
        <f t="shared" si="160"/>
        <v>555.16000000000008</v>
      </c>
      <c r="BQ66" s="103">
        <f t="shared" si="160"/>
        <v>1056.1999999999998</v>
      </c>
      <c r="BR66" s="103">
        <f t="shared" si="160"/>
        <v>520.28000000000009</v>
      </c>
      <c r="BS66" s="103">
        <f t="shared" si="160"/>
        <v>1514.2400000000002</v>
      </c>
      <c r="BT66" s="497">
        <f t="shared" si="160"/>
        <v>830.69999999999993</v>
      </c>
      <c r="BU66" s="497">
        <f t="shared" si="160"/>
        <v>303.12</v>
      </c>
      <c r="BV66" s="497">
        <f t="shared" si="160"/>
        <v>58.24</v>
      </c>
      <c r="BW66" s="497">
        <f t="shared" si="160"/>
        <v>732.24999999999989</v>
      </c>
      <c r="BX66" s="497">
        <f t="shared" si="160"/>
        <v>0</v>
      </c>
      <c r="BY66" s="497">
        <f t="shared" ref="BY66:DH66" si="161">BY64+BY65</f>
        <v>0</v>
      </c>
      <c r="BZ66" s="497">
        <f t="shared" si="161"/>
        <v>471.77</v>
      </c>
      <c r="CA66" s="497">
        <f t="shared" si="161"/>
        <v>1513.2200000000003</v>
      </c>
      <c r="CB66" s="497">
        <f t="shared" si="161"/>
        <v>0</v>
      </c>
      <c r="CC66" s="497">
        <f t="shared" si="161"/>
        <v>420.10999999999996</v>
      </c>
      <c r="CD66" s="497">
        <f t="shared" si="161"/>
        <v>741.62</v>
      </c>
      <c r="CE66" s="497">
        <f t="shared" si="161"/>
        <v>1555.4650000000001</v>
      </c>
      <c r="CF66" s="497">
        <f t="shared" si="161"/>
        <v>3316.63</v>
      </c>
      <c r="CG66" s="497">
        <f t="shared" si="161"/>
        <v>2833.3450000000003</v>
      </c>
      <c r="CH66" s="497">
        <f t="shared" si="161"/>
        <v>345</v>
      </c>
      <c r="CI66" s="497">
        <f t="shared" si="161"/>
        <v>2638.4750000000004</v>
      </c>
      <c r="CJ66" s="497">
        <f t="shared" si="161"/>
        <v>2033.54</v>
      </c>
      <c r="CK66" s="497">
        <f t="shared" si="161"/>
        <v>2759.3999999999996</v>
      </c>
      <c r="CL66" s="497">
        <f t="shared" si="161"/>
        <v>4345.0450000000001</v>
      </c>
      <c r="CM66" s="497">
        <f t="shared" si="161"/>
        <v>3294.0549999999998</v>
      </c>
      <c r="CN66" s="497">
        <f t="shared" si="161"/>
        <v>3276.8100000000004</v>
      </c>
      <c r="CO66" s="497">
        <f t="shared" si="161"/>
        <v>3179.5199999999995</v>
      </c>
      <c r="CP66" s="497">
        <f t="shared" si="161"/>
        <v>3222.65</v>
      </c>
      <c r="CQ66" s="501">
        <f t="shared" si="161"/>
        <v>3012.0450000000001</v>
      </c>
      <c r="CR66" s="501">
        <f t="shared" si="161"/>
        <v>2884.17</v>
      </c>
      <c r="CS66" s="501">
        <f t="shared" si="161"/>
        <v>2960.0150000000003</v>
      </c>
      <c r="CT66" s="501">
        <f t="shared" si="161"/>
        <v>2902.8800000000006</v>
      </c>
      <c r="CU66" s="501">
        <f t="shared" si="161"/>
        <v>2159.2950000000001</v>
      </c>
      <c r="CV66" s="501">
        <f t="shared" si="161"/>
        <v>2516.5250000000001</v>
      </c>
      <c r="CW66" s="501">
        <f t="shared" si="161"/>
        <v>1949.5650000000001</v>
      </c>
      <c r="CX66" s="501">
        <f t="shared" si="161"/>
        <v>2842.3249999999998</v>
      </c>
      <c r="CY66" s="501">
        <f t="shared" si="161"/>
        <v>4052.6899999999991</v>
      </c>
      <c r="CZ66" s="501">
        <f t="shared" si="161"/>
        <v>4096.8349999999991</v>
      </c>
      <c r="DA66" s="501">
        <f t="shared" si="161"/>
        <v>3612.5949999999993</v>
      </c>
      <c r="DB66" s="501">
        <f t="shared" si="161"/>
        <v>3222.67</v>
      </c>
      <c r="DC66" s="501">
        <f t="shared" si="161"/>
        <v>3115.0099999999998</v>
      </c>
      <c r="DD66" s="501">
        <f t="shared" si="161"/>
        <v>3149.4449999999997</v>
      </c>
      <c r="DE66" s="501">
        <f t="shared" si="161"/>
        <v>2831.2000000000003</v>
      </c>
      <c r="DF66" s="501">
        <f t="shared" si="161"/>
        <v>2748.9749999999999</v>
      </c>
      <c r="DG66" s="501">
        <f t="shared" si="161"/>
        <v>2292.5749999999998</v>
      </c>
      <c r="DH66" s="501">
        <f t="shared" si="161"/>
        <v>2374.2200000000003</v>
      </c>
      <c r="DI66" s="501">
        <f t="shared" ref="DI66:EH66" si="162">DI64+DI65</f>
        <v>2525.2570000000001</v>
      </c>
      <c r="DJ66" s="501">
        <f t="shared" si="162"/>
        <v>2284.8450000000003</v>
      </c>
      <c r="DK66" s="501">
        <f t="shared" si="162"/>
        <v>1668.1599999999999</v>
      </c>
      <c r="DL66" s="501">
        <f t="shared" si="162"/>
        <v>2021.0049999999999</v>
      </c>
      <c r="DM66" s="501">
        <f t="shared" si="162"/>
        <v>2527.4699999999998</v>
      </c>
      <c r="DN66" s="501">
        <f t="shared" si="162"/>
        <v>1964.9449999999997</v>
      </c>
      <c r="DO66" s="501">
        <f t="shared" si="162"/>
        <v>2888.9749999999999</v>
      </c>
      <c r="DP66" s="501">
        <f t="shared" si="162"/>
        <v>2709.98</v>
      </c>
      <c r="DQ66" s="501">
        <f t="shared" si="162"/>
        <v>1797.8799999999997</v>
      </c>
      <c r="DR66" s="501">
        <f t="shared" si="162"/>
        <v>2444.1600000000003</v>
      </c>
      <c r="DS66" s="501">
        <f t="shared" si="162"/>
        <v>2354.7399999999998</v>
      </c>
      <c r="DT66" s="501">
        <f t="shared" si="162"/>
        <v>982.42049999999983</v>
      </c>
      <c r="DU66" s="501">
        <f t="shared" si="162"/>
        <v>1124.4128000000001</v>
      </c>
      <c r="DV66" s="501">
        <f t="shared" si="162"/>
        <v>1061.8699999999999</v>
      </c>
      <c r="DW66" s="501">
        <f t="shared" si="162"/>
        <v>330.32499999999999</v>
      </c>
      <c r="DX66" s="501">
        <f t="shared" si="162"/>
        <v>2504.2299999999996</v>
      </c>
      <c r="DY66" s="501">
        <f t="shared" si="162"/>
        <v>119.92499999999998</v>
      </c>
      <c r="DZ66" s="501">
        <f t="shared" si="162"/>
        <v>555.37000000000012</v>
      </c>
      <c r="EA66" s="501">
        <f t="shared" si="162"/>
        <v>479.01550000000003</v>
      </c>
      <c r="EB66" s="501">
        <f t="shared" si="162"/>
        <v>1502.3525</v>
      </c>
      <c r="EC66" s="501">
        <f t="shared" si="162"/>
        <v>1667.6999999999998</v>
      </c>
      <c r="ED66" s="501">
        <f t="shared" si="162"/>
        <v>2090.7350000000001</v>
      </c>
      <c r="EE66" s="499">
        <f t="shared" si="162"/>
        <v>2285.0050000000001</v>
      </c>
      <c r="EF66" s="499">
        <f t="shared" si="162"/>
        <v>1873.2850000000001</v>
      </c>
      <c r="EG66" s="499">
        <f t="shared" si="162"/>
        <v>2622.5974999999999</v>
      </c>
      <c r="EH66" s="501">
        <f t="shared" si="162"/>
        <v>2618.4349999999999</v>
      </c>
      <c r="EI66" s="501">
        <f>EI64+EI65</f>
        <v>2280.73</v>
      </c>
      <c r="EJ66" s="501">
        <f>EJ64+EJ65</f>
        <v>0</v>
      </c>
      <c r="EK66" s="501">
        <f>EK64+EK65</f>
        <v>0</v>
      </c>
      <c r="EL66" s="501">
        <f t="shared" ref="EL66:EM66" si="163">EL64+EL65</f>
        <v>0</v>
      </c>
      <c r="EM66" s="501">
        <f t="shared" si="163"/>
        <v>0</v>
      </c>
    </row>
    <row r="67" spans="1:143" ht="14.1" customHeight="1" x14ac:dyDescent="0.25">
      <c r="A67" s="488"/>
      <c r="B67" s="7"/>
      <c r="C67" s="509"/>
      <c r="D67" s="509"/>
      <c r="E67" s="509"/>
      <c r="F67" s="509"/>
      <c r="G67" s="509"/>
      <c r="H67" s="509"/>
      <c r="I67" s="509"/>
      <c r="J67" s="509"/>
      <c r="K67" s="509"/>
      <c r="L67" s="509"/>
      <c r="M67" s="509"/>
      <c r="N67" s="509"/>
      <c r="O67" s="509"/>
      <c r="P67" s="509"/>
      <c r="Q67" s="509"/>
      <c r="R67" s="509"/>
      <c r="S67" s="509"/>
      <c r="T67" s="509"/>
      <c r="U67" s="509"/>
      <c r="V67" s="509"/>
      <c r="W67" s="509"/>
      <c r="X67" s="509"/>
      <c r="Y67" s="509"/>
      <c r="Z67" s="509"/>
      <c r="AA67" s="509"/>
      <c r="AB67" s="509"/>
      <c r="AC67" s="509"/>
      <c r="AD67" s="504"/>
      <c r="AE67" s="504"/>
      <c r="AF67" s="504"/>
      <c r="AG67" s="504"/>
      <c r="AH67" s="504"/>
      <c r="AI67" s="504"/>
      <c r="AJ67" s="504"/>
      <c r="AK67" s="504"/>
      <c r="AL67" s="504"/>
      <c r="AM67" s="504"/>
      <c r="AN67" s="504"/>
      <c r="AO67" s="504"/>
      <c r="AP67" s="504"/>
      <c r="AQ67" s="504"/>
      <c r="AR67" s="504"/>
      <c r="AS67" s="504"/>
      <c r="AT67" s="504"/>
      <c r="AU67" s="504"/>
      <c r="AV67" s="504"/>
      <c r="AW67" s="504"/>
      <c r="AX67" s="504"/>
      <c r="AY67" s="504"/>
      <c r="AZ67" s="504"/>
      <c r="BA67" s="504"/>
      <c r="BB67" s="504"/>
      <c r="BC67" s="508"/>
      <c r="BD67" s="497"/>
      <c r="BE67" s="497"/>
      <c r="BF67" s="497"/>
      <c r="BG67" s="497"/>
      <c r="BH67" s="497"/>
      <c r="BI67" s="497"/>
      <c r="BJ67" s="497"/>
      <c r="BK67" s="497"/>
      <c r="BL67" s="497"/>
      <c r="BM67" s="497"/>
      <c r="BN67" s="497"/>
      <c r="BO67" s="497"/>
      <c r="BP67" s="103"/>
      <c r="BQ67" s="103"/>
      <c r="BR67" s="103"/>
      <c r="BS67" s="103"/>
      <c r="BT67" s="497"/>
      <c r="BU67" s="497"/>
      <c r="BV67" s="497"/>
      <c r="BW67" s="497"/>
      <c r="BX67" s="497"/>
      <c r="BY67" s="497"/>
      <c r="BZ67" s="497"/>
      <c r="CA67" s="497"/>
      <c r="CB67" s="497"/>
      <c r="CC67" s="497"/>
      <c r="CD67" s="497"/>
      <c r="CE67" s="497"/>
      <c r="CF67" s="497"/>
      <c r="CG67" s="497"/>
      <c r="CH67" s="497"/>
      <c r="CI67" s="497"/>
      <c r="CJ67" s="497"/>
      <c r="CK67" s="497"/>
      <c r="CL67" s="497"/>
      <c r="CM67" s="497"/>
      <c r="CN67" s="497"/>
      <c r="CO67" s="497"/>
      <c r="CP67" s="497"/>
      <c r="CQ67" s="501"/>
      <c r="CR67" s="501"/>
      <c r="CS67" s="501"/>
      <c r="CT67" s="501"/>
      <c r="CU67" s="501"/>
      <c r="CV67" s="501"/>
      <c r="CW67" s="501"/>
      <c r="CX67" s="501"/>
      <c r="CY67" s="501"/>
      <c r="CZ67" s="501"/>
      <c r="DA67" s="501"/>
      <c r="DB67" s="501"/>
      <c r="DC67" s="501"/>
      <c r="DD67" s="501"/>
      <c r="DE67" s="501"/>
      <c r="DF67" s="501"/>
      <c r="DG67" s="501"/>
      <c r="DH67" s="501"/>
      <c r="DI67" s="501"/>
      <c r="DJ67" s="501"/>
      <c r="DK67" s="39"/>
      <c r="DL67" s="39"/>
      <c r="DM67" s="39"/>
      <c r="DN67" s="39"/>
      <c r="DO67" s="39"/>
      <c r="DP67" s="39"/>
      <c r="DR67"/>
      <c r="DS67"/>
      <c r="DT67"/>
      <c r="EE67" s="34"/>
      <c r="EF67" s="34"/>
      <c r="EG67" s="34"/>
    </row>
    <row r="68" spans="1:143" ht="14.1" customHeight="1" x14ac:dyDescent="0.25">
      <c r="A68" s="490" t="s">
        <v>582</v>
      </c>
      <c r="B68" s="3" t="s">
        <v>585</v>
      </c>
      <c r="C68" s="511">
        <f>SUM($C$16:C16)</f>
        <v>745</v>
      </c>
      <c r="D68" s="511">
        <f>SUM($C$16:D16)</f>
        <v>1868</v>
      </c>
      <c r="E68" s="511">
        <f>SUM($C$16:E16)</f>
        <v>4123</v>
      </c>
      <c r="F68" s="511">
        <f>SUM($C$16:F16)</f>
        <v>6053</v>
      </c>
      <c r="G68" s="511">
        <f>SUM($C$16:G16)</f>
        <v>8036</v>
      </c>
      <c r="H68" s="511">
        <f>SUM($C$16:H16)</f>
        <v>10653</v>
      </c>
      <c r="I68" s="511">
        <f>SUM($C$16:I16)</f>
        <v>13063</v>
      </c>
      <c r="J68" s="511">
        <f>SUM($C$16:J16)</f>
        <v>15549</v>
      </c>
      <c r="K68" s="511">
        <f>SUM($C$16:K16)</f>
        <v>17598</v>
      </c>
      <c r="L68" s="511">
        <f>SUM($C$16:L16)</f>
        <v>19859</v>
      </c>
      <c r="M68" s="511">
        <f>SUM($C$16:M16)</f>
        <v>21791</v>
      </c>
      <c r="N68" s="511">
        <f>SUM($C$16:N16)</f>
        <v>23569</v>
      </c>
      <c r="O68" s="511">
        <f>SUM($C$16:O16)</f>
        <v>26024</v>
      </c>
      <c r="P68" s="511">
        <f>SUM($C$16:P16)</f>
        <v>27941</v>
      </c>
      <c r="Q68" s="511">
        <f>SUM($C$16:Q16)</f>
        <v>29843</v>
      </c>
      <c r="R68" s="511">
        <f>SUM($C$16:R16)</f>
        <v>31923</v>
      </c>
      <c r="S68" s="511">
        <f>SUM($C$16:S16)</f>
        <v>34147</v>
      </c>
      <c r="T68" s="511">
        <f>SUM($C$16:T16)</f>
        <v>36696</v>
      </c>
      <c r="U68" s="511">
        <f>SUM($C$16:U16)</f>
        <v>39044</v>
      </c>
      <c r="V68" s="511">
        <f>SUM($C$16:V16)</f>
        <v>41368</v>
      </c>
      <c r="W68" s="511">
        <f>SUM($C$16:W16)</f>
        <v>43576</v>
      </c>
      <c r="X68" s="511">
        <f>SUM($C$16:X16)</f>
        <v>45547</v>
      </c>
      <c r="Y68" s="511">
        <f>SUM($C$16:Y16)</f>
        <v>47499</v>
      </c>
      <c r="Z68" s="511">
        <f>SUM($C$16:Z16)</f>
        <v>49736</v>
      </c>
      <c r="AA68" s="511">
        <f>SUM($C$16:AA16)</f>
        <v>51940</v>
      </c>
      <c r="AB68" s="511">
        <f>SUM($C$16:AB16)</f>
        <v>54279</v>
      </c>
      <c r="AC68" s="511">
        <f>SUM($C$16:AC16)</f>
        <v>56431</v>
      </c>
      <c r="AD68" s="508">
        <f>SUM($AD$16:AD16)</f>
        <v>2299</v>
      </c>
      <c r="AE68" s="508">
        <f>SUM($AD$16:AE16)</f>
        <v>4307</v>
      </c>
      <c r="AF68" s="508">
        <f>SUM($AD$16:AF16)</f>
        <v>6389</v>
      </c>
      <c r="AG68" s="508">
        <f>SUM($AD$16:AG16)</f>
        <v>8554</v>
      </c>
      <c r="AH68" s="508">
        <f>SUM($AD$16:AH16)</f>
        <v>10355</v>
      </c>
      <c r="AI68" s="508">
        <f>SUM($AD$16:AI16)</f>
        <v>12297</v>
      </c>
      <c r="AJ68" s="508">
        <f>SUM($AD$16:AJ16)</f>
        <v>14299</v>
      </c>
      <c r="AK68" s="508">
        <f>SUM($AD$16:AK16)</f>
        <v>16636</v>
      </c>
      <c r="AL68" s="508">
        <f>SUM($AD$16:AL16)</f>
        <v>19127</v>
      </c>
      <c r="AM68" s="508">
        <f>SUM($AD$16:AM16)</f>
        <v>21311</v>
      </c>
      <c r="AN68" s="508">
        <f>SUM($AD$16:AN16)</f>
        <v>23980</v>
      </c>
      <c r="AO68" s="508">
        <f>SUM($AD$16:AO16)</f>
        <v>26419</v>
      </c>
      <c r="AP68" s="508">
        <f>SUM($AD$16:AP16)</f>
        <v>28721</v>
      </c>
      <c r="AQ68" s="508">
        <f>SUM($AD$16:AQ16)</f>
        <v>31012</v>
      </c>
      <c r="AR68" s="508">
        <f>SUM($AD$16:AR16)</f>
        <v>33756</v>
      </c>
      <c r="AS68" s="508">
        <f>SUM($AD$16:AS16)</f>
        <v>36415</v>
      </c>
      <c r="AT68" s="508">
        <f>SUM($AD$16:AT16)</f>
        <v>38992</v>
      </c>
      <c r="AU68" s="508">
        <f>SUM($AD$16:AU16)</f>
        <v>41538</v>
      </c>
      <c r="AV68" s="508">
        <f>SUM($AD$16:AV16)</f>
        <v>44117</v>
      </c>
      <c r="AW68" s="508">
        <f>SUM($AD$16:AW16)</f>
        <v>46736</v>
      </c>
      <c r="AX68" s="508">
        <f>SUM($AD$16:AX16)</f>
        <v>49036</v>
      </c>
      <c r="AY68" s="508">
        <f>SUM($AD$16:AY16)</f>
        <v>51639</v>
      </c>
      <c r="AZ68" s="508">
        <f>SUM($AD$16:AZ16)</f>
        <v>54295</v>
      </c>
      <c r="BA68" s="508">
        <f>SUM($AD$16:BA16)</f>
        <v>56713</v>
      </c>
      <c r="BB68" s="508">
        <f>SUM($AD$16:BB16)</f>
        <v>59250</v>
      </c>
      <c r="BC68" s="508">
        <f>SUM($AD$16:BC16)</f>
        <v>61020</v>
      </c>
      <c r="BD68" s="497">
        <f>SUM($BD$16:BD16)</f>
        <v>1770</v>
      </c>
      <c r="BE68" s="497">
        <f>SUM($BD$16:BE16)</f>
        <v>3540</v>
      </c>
      <c r="BF68" s="497">
        <f>SUM($BD$16:BF16)</f>
        <v>5310</v>
      </c>
      <c r="BG68" s="497">
        <f>SUM($BD$16:BG16)</f>
        <v>7080</v>
      </c>
      <c r="BH68" s="497">
        <f>SUM($BD$16:BH16)</f>
        <v>8711</v>
      </c>
      <c r="BI68" s="497">
        <f>SUM($BD$16:BI16)</f>
        <v>10239</v>
      </c>
      <c r="BJ68" s="497">
        <f>SUM($BD$16:BJ16)</f>
        <v>11920</v>
      </c>
      <c r="BK68" s="497">
        <f>SUM($BD$16:BK16)</f>
        <v>13470</v>
      </c>
      <c r="BL68" s="497">
        <f>SUM($BD$16:BL16)</f>
        <v>15028</v>
      </c>
      <c r="BM68" s="497">
        <f>SUM($BD$16:BM16)</f>
        <v>16437</v>
      </c>
      <c r="BN68" s="497">
        <f>SUM($BD$16:BN16)</f>
        <v>17855</v>
      </c>
      <c r="BO68" s="497">
        <f>SUM($BD$16:BO16)</f>
        <v>19255</v>
      </c>
      <c r="BP68" s="497">
        <f>SUM($BD$16:BP16)</f>
        <v>20626</v>
      </c>
      <c r="BQ68" s="497">
        <f>SUM($BD$16:BQ16)</f>
        <v>22028</v>
      </c>
      <c r="BR68" s="497">
        <f>SUM($BD$16:BR16)</f>
        <v>23467</v>
      </c>
      <c r="BS68" s="497">
        <f>SUM($BD$16:BS16)</f>
        <v>24858</v>
      </c>
      <c r="BT68" s="497">
        <f>SUM($BD$16:BT16)</f>
        <v>26164</v>
      </c>
      <c r="BU68" s="497">
        <f>SUM($BD$16:BU16)</f>
        <v>27550</v>
      </c>
      <c r="BV68" s="497">
        <f>SUM($BD$16:BV16)</f>
        <v>28840</v>
      </c>
      <c r="BW68" s="497">
        <f>SUM($BD$16:BW16)</f>
        <v>30117</v>
      </c>
      <c r="BX68" s="497">
        <f>SUM($BD$16:BX16)</f>
        <v>31214</v>
      </c>
      <c r="BY68" s="497">
        <f>SUM($BD$16:BY16)</f>
        <v>32040</v>
      </c>
      <c r="BZ68" s="497">
        <f>SUM($BD$16:BZ16)</f>
        <v>33220</v>
      </c>
      <c r="CA68" s="497">
        <f>SUM($BD$16:CA16)</f>
        <v>34151</v>
      </c>
      <c r="CB68" s="497">
        <f>SUM($BD$16:CB16)</f>
        <v>35252</v>
      </c>
      <c r="CC68" s="497">
        <f>SUM($BD$16:CC16)</f>
        <v>36512</v>
      </c>
      <c r="CD68" s="497">
        <f>SUM($BD$16:CD16)</f>
        <v>37570</v>
      </c>
      <c r="CE68" s="497">
        <f>SUM($BD$16:CE16)</f>
        <v>39679</v>
      </c>
      <c r="CF68" s="497">
        <f>SUM($BD$16:CF16)</f>
        <v>41906</v>
      </c>
      <c r="CG68" s="497">
        <f>SUM($BD$16:CG16)</f>
        <v>43922</v>
      </c>
      <c r="CH68" s="497">
        <f>SUM($BD$16:CH16)</f>
        <v>45195</v>
      </c>
      <c r="CI68" s="497">
        <f>SUM($BD$16:CI16)</f>
        <v>46808</v>
      </c>
      <c r="CJ68" s="497">
        <f>SUM($BD$16:CJ16)</f>
        <v>48310</v>
      </c>
      <c r="CK68" s="497">
        <f>SUM($BD$16:CK16)</f>
        <v>50240</v>
      </c>
      <c r="CL68" s="497">
        <f>SUM($BD$16:CL16)</f>
        <v>52709</v>
      </c>
      <c r="CM68" s="497">
        <f>SUM($BD$16:CM16)</f>
        <v>54770</v>
      </c>
      <c r="CN68" s="497">
        <f>SUM($BD$16:CN16)</f>
        <v>56506</v>
      </c>
      <c r="CO68" s="497">
        <f>SUM($BD$16:CO16)</f>
        <v>58632</v>
      </c>
      <c r="CP68" s="497">
        <f>SUM($BD$16:CP16)</f>
        <v>60462</v>
      </c>
      <c r="CQ68" s="501">
        <f>SUM($CQ$16:CQ16)</f>
        <v>1947</v>
      </c>
      <c r="CR68" s="501">
        <f>SUM($CQ$16:CR16)</f>
        <v>3890</v>
      </c>
      <c r="CS68" s="501">
        <f>SUM($CQ$16:CS16)</f>
        <v>5778</v>
      </c>
      <c r="CT68" s="501">
        <f>SUM($CQ$16:CT16)</f>
        <v>7867</v>
      </c>
      <c r="CU68" s="501">
        <f>SUM($CQ$16:CU16)</f>
        <v>9298</v>
      </c>
      <c r="CV68" s="501">
        <f>SUM($CQ$16:CV16)</f>
        <v>11237</v>
      </c>
      <c r="CW68" s="501">
        <f>SUM($CQ$16:CW16)</f>
        <v>12875</v>
      </c>
      <c r="CX68" s="501">
        <f>SUM($CQ$16:CX16)</f>
        <v>14814</v>
      </c>
      <c r="CY68" s="501">
        <f>SUM($CQ$16:CY16)</f>
        <v>17138</v>
      </c>
      <c r="CZ68" s="501">
        <f>SUM($CQ$16:CZ16)</f>
        <v>19470</v>
      </c>
      <c r="DA68" s="501">
        <f>SUM($CQ$16:DA16)</f>
        <v>21903</v>
      </c>
      <c r="DB68" s="501">
        <f>SUM($CQ$16:DB16)</f>
        <v>24196</v>
      </c>
      <c r="DC68" s="501">
        <f>SUM($CQ$16:DC16)</f>
        <v>26452</v>
      </c>
      <c r="DD68" s="501">
        <f>SUM($CQ$16:DD16)</f>
        <v>28722</v>
      </c>
      <c r="DE68" s="501">
        <f>SUM($CQ$16:DE16)</f>
        <v>30614</v>
      </c>
      <c r="DF68" s="501">
        <f>SUM($CQ$16:DF16)</f>
        <v>32371</v>
      </c>
      <c r="DG68" s="501">
        <f>SUM($CQ$16:DG16)</f>
        <v>34346</v>
      </c>
      <c r="DH68" s="501">
        <f>SUM($CQ$16:DH16)</f>
        <v>36326</v>
      </c>
      <c r="DI68" s="501">
        <f>SUM($CQ$16:DI16)</f>
        <v>38082</v>
      </c>
      <c r="DJ68" s="501">
        <f>SUM($CQ$16:DJ16)</f>
        <v>39977</v>
      </c>
      <c r="DK68" s="501">
        <f>SUM($CQ$16:DK16)</f>
        <v>41842</v>
      </c>
      <c r="DL68" s="501">
        <f>SUM($CQ$16:DL16)</f>
        <v>43979</v>
      </c>
      <c r="DM68" s="501">
        <f>SUM($CQ$16:DM16)</f>
        <v>46235</v>
      </c>
      <c r="DN68" s="501">
        <f>SUM($CQ$16:DN16)</f>
        <v>48648</v>
      </c>
      <c r="DO68" s="501">
        <f>SUM($CQ$16:DO16)</f>
        <v>51103</v>
      </c>
      <c r="DP68" s="501">
        <f>SUM($CQ$16:DP16)</f>
        <v>53734</v>
      </c>
      <c r="DQ68" s="501">
        <f>SUM($DQ$16:DQ16)</f>
        <v>2145</v>
      </c>
      <c r="DR68" s="501">
        <f>SUM($DQ$16:DR16)</f>
        <v>4718</v>
      </c>
      <c r="DS68" s="501">
        <f>SUM($DQ$16:DS16)</f>
        <v>7398</v>
      </c>
      <c r="DT68" s="501">
        <f>SUM($DQ$16:DT16)</f>
        <v>9407</v>
      </c>
      <c r="DU68" s="501">
        <f>SUM($DQ$16:DU16)</f>
        <v>11901</v>
      </c>
      <c r="DV68" s="501">
        <f>SUM($DQ$16:DV16)</f>
        <v>14136</v>
      </c>
      <c r="DW68" s="501">
        <f>SUM($DQ$16:DW16)</f>
        <v>16636</v>
      </c>
      <c r="DX68" s="501">
        <f>SUM($DQ$16:DX16)</f>
        <v>18941</v>
      </c>
      <c r="DY68" s="501">
        <f>SUM($DQ$16:DY16)</f>
        <v>21854</v>
      </c>
      <c r="DZ68" s="501">
        <f>SUM($DQ$16:DZ16)</f>
        <v>24317</v>
      </c>
      <c r="EA68" s="501">
        <f>SUM($DQ$16:EA16)</f>
        <v>26899</v>
      </c>
      <c r="EB68" s="501">
        <f>SUM($DQ$16:EB16)</f>
        <v>29131</v>
      </c>
      <c r="EC68" s="501">
        <f>SUM($DQ$16:EC16)</f>
        <v>31290</v>
      </c>
      <c r="ED68" s="501">
        <f>SUM($DQ$16:ED16)</f>
        <v>33509</v>
      </c>
      <c r="EE68" s="499">
        <f>SUM($DQ$16:EE16)</f>
        <v>35714</v>
      </c>
      <c r="EF68" s="499">
        <f>SUM($DQ$16:EF16)</f>
        <v>37960</v>
      </c>
      <c r="EG68" s="499">
        <f>SUM($DQ$16:EG16)</f>
        <v>40380</v>
      </c>
      <c r="EH68" s="501">
        <f>SUM($DQ$16:EH16)</f>
        <v>42561</v>
      </c>
      <c r="EI68" s="501">
        <f>SUM($DQ$16:EI16)</f>
        <v>44821</v>
      </c>
      <c r="EJ68" s="501">
        <f>SUM($DQ$16:EJ16)</f>
        <v>47248</v>
      </c>
      <c r="EK68" s="501">
        <f>SUM($DQ$16:EK16)</f>
        <v>49203</v>
      </c>
      <c r="EL68" s="501">
        <f>SUM($DQ$16:EL16)</f>
        <v>51363</v>
      </c>
      <c r="EM68" s="501">
        <f>SUM($DQ$16:EM16)</f>
        <v>53353</v>
      </c>
    </row>
    <row r="69" spans="1:143" x14ac:dyDescent="0.25">
      <c r="A69" s="490" t="s">
        <v>583</v>
      </c>
      <c r="B69" s="3" t="s">
        <v>585</v>
      </c>
      <c r="C69" s="511">
        <f>SUM($C$60:C60)</f>
        <v>1685.5</v>
      </c>
      <c r="D69" s="511">
        <f>SUM($C$60:D60)</f>
        <v>4405.8</v>
      </c>
      <c r="E69" s="511">
        <f>SUM($C$60:E60)</f>
        <v>6404.9000000000005</v>
      </c>
      <c r="F69" s="511">
        <f>SUM($C$60:F60)</f>
        <v>8824.6</v>
      </c>
      <c r="G69" s="511">
        <f>SUM($C$60:G60)</f>
        <v>11655.900000000001</v>
      </c>
      <c r="H69" s="511">
        <f>SUM($C$60:H60)</f>
        <v>12821.320000000002</v>
      </c>
      <c r="I69" s="511">
        <f>SUM($C$60:I60)</f>
        <v>15098.620000000003</v>
      </c>
      <c r="J69" s="511">
        <f>SUM($C$60:J60)</f>
        <v>16914.920000000002</v>
      </c>
      <c r="K69" s="511">
        <f>SUM($C$60:K60)</f>
        <v>18102.320000000003</v>
      </c>
      <c r="L69" s="511">
        <f>SUM($C$60:L60)</f>
        <v>20669.820000000003</v>
      </c>
      <c r="M69" s="511">
        <f>SUM($C$60:M60)</f>
        <v>22932.22</v>
      </c>
      <c r="N69" s="511">
        <f>SUM($C$60:N60)</f>
        <v>25627.120000000003</v>
      </c>
      <c r="O69" s="511">
        <f>SUM($C$60:O60)</f>
        <v>28934.920000000002</v>
      </c>
      <c r="P69" s="511">
        <f>SUM($C$60:P60)</f>
        <v>31342.420000000002</v>
      </c>
      <c r="Q69" s="511">
        <f>SUM($C$60:Q60)</f>
        <v>33601.42</v>
      </c>
      <c r="R69" s="511">
        <f>SUM($C$60:R60)</f>
        <v>36968.42</v>
      </c>
      <c r="S69" s="511">
        <f>SUM($C$60:S60)</f>
        <v>40250.720000000001</v>
      </c>
      <c r="T69" s="511">
        <f>SUM($C$60:T60)</f>
        <v>44216.32</v>
      </c>
      <c r="U69" s="511">
        <f>SUM($C$60:U60)</f>
        <v>50070.62</v>
      </c>
      <c r="V69" s="511">
        <f>SUM($C$60:V60)</f>
        <v>55328.12</v>
      </c>
      <c r="W69" s="511">
        <f>SUM($C$60:W60)</f>
        <v>60620.22</v>
      </c>
      <c r="X69" s="511">
        <f>SUM($C$60:X60)</f>
        <v>66110.92</v>
      </c>
      <c r="Y69" s="511">
        <f>SUM($C$60:Y60)</f>
        <v>72058.819999999992</v>
      </c>
      <c r="Z69" s="511">
        <f>SUM($C$60:Z60)</f>
        <v>76936.819999999992</v>
      </c>
      <c r="AA69" s="511">
        <f>SUM($C$60:AA60)</f>
        <v>81996.719999999987</v>
      </c>
      <c r="AB69" s="511">
        <f>SUM($C$60:AB60)</f>
        <v>86726.319999999992</v>
      </c>
      <c r="AC69" s="511">
        <f>SUM($C$60:AC60)</f>
        <v>91667.62</v>
      </c>
      <c r="AD69" s="508">
        <f>SUM($AD$60:AD60)</f>
        <v>3608.8</v>
      </c>
      <c r="AE69" s="508">
        <f>SUM($AD$60:AE60)</f>
        <v>8299.2000000000007</v>
      </c>
      <c r="AF69" s="508">
        <f>SUM($AD$60:AF60)</f>
        <v>13759.7</v>
      </c>
      <c r="AG69" s="508">
        <f>SUM($AD$60:AG60)</f>
        <v>18951.099999999999</v>
      </c>
      <c r="AH69" s="508">
        <f>SUM($AD$60:AH60)</f>
        <v>23705.699999999997</v>
      </c>
      <c r="AI69" s="508">
        <f>SUM($AD$60:AI60)</f>
        <v>27540.199999999997</v>
      </c>
      <c r="AJ69" s="508">
        <f>SUM($AD$60:AJ60)</f>
        <v>32293.539999999997</v>
      </c>
      <c r="AK69" s="508">
        <f>SUM($AD$60:AK60)</f>
        <v>36777.479999999996</v>
      </c>
      <c r="AL69" s="508">
        <f>SUM($AD$60:AL60)</f>
        <v>41783.299999999996</v>
      </c>
      <c r="AM69" s="508">
        <f>SUM($AD$60:AM60)</f>
        <v>46855.199999999997</v>
      </c>
      <c r="AN69" s="508">
        <f>SUM($AD$60:AN60)</f>
        <v>53355.199999999997</v>
      </c>
      <c r="AO69" s="508">
        <f>SUM($AD$60:AO60)</f>
        <v>61111</v>
      </c>
      <c r="AP69" s="508">
        <f>SUM($AD$60:AP60)</f>
        <v>68959</v>
      </c>
      <c r="AQ69" s="508">
        <f>SUM($AD$60:AQ60)</f>
        <v>76605.899999999994</v>
      </c>
      <c r="AR69" s="508">
        <f>SUM($AD$60:AR60)</f>
        <v>83229.5</v>
      </c>
      <c r="AS69" s="508">
        <f>SUM($AD$60:AS60)</f>
        <v>91051.6</v>
      </c>
      <c r="AT69" s="508">
        <f>SUM($AD$60:AT60)</f>
        <v>98425.700000000012</v>
      </c>
      <c r="AU69" s="508">
        <f>SUM($AD$60:AU60)</f>
        <v>104783.20000000001</v>
      </c>
      <c r="AV69" s="508">
        <f>SUM($AD$60:AV60)</f>
        <v>111779.1</v>
      </c>
      <c r="AW69" s="508">
        <f>SUM($AD$60:AW60)</f>
        <v>118434.40000000001</v>
      </c>
      <c r="AX69" s="508">
        <f>SUM($AD$60:AX60)</f>
        <v>123922.1</v>
      </c>
      <c r="AY69" s="508">
        <f>SUM($AD$60:AY60)</f>
        <v>129138.3</v>
      </c>
      <c r="AZ69" s="508">
        <f>SUM($AD$60:AZ60)</f>
        <v>134555.79999999999</v>
      </c>
      <c r="BA69" s="508">
        <f>SUM($AD$60:BA60)</f>
        <v>139460</v>
      </c>
      <c r="BB69" s="508">
        <f>SUM($AD$60:BB60)</f>
        <v>144480.70000000001</v>
      </c>
      <c r="BC69" s="508">
        <f>SUM($AD$60:BC60)</f>
        <v>146905.90000000002</v>
      </c>
      <c r="BD69" s="497">
        <f>SUM($BD$60:BD60)</f>
        <v>2036.4</v>
      </c>
      <c r="BE69" s="497">
        <f>SUM($BD$60:BE60)</f>
        <v>4520.8999999999996</v>
      </c>
      <c r="BF69" s="497">
        <f>SUM($BD$60:BF60)</f>
        <v>6118.7999999999993</v>
      </c>
      <c r="BG69" s="497">
        <f>SUM($BD$60:BG60)</f>
        <v>8265.1999999999989</v>
      </c>
      <c r="BH69" s="497">
        <f>SUM($BD$60:BH60)</f>
        <v>9782.4999999999982</v>
      </c>
      <c r="BI69" s="497">
        <f>SUM($BD$60:BI60)</f>
        <v>11538.699999999999</v>
      </c>
      <c r="BJ69" s="497">
        <f>SUM($BD$60:BJ60)</f>
        <v>13332.3</v>
      </c>
      <c r="BK69" s="497">
        <f>SUM($BD$60:BK60)</f>
        <v>15314.259999999998</v>
      </c>
      <c r="BL69" s="497">
        <f>SUM($BD$60:BL60)</f>
        <v>17159.439999999999</v>
      </c>
      <c r="BM69" s="497">
        <f>SUM($BD$60:BM60)</f>
        <v>18248.55</v>
      </c>
      <c r="BN69" s="497">
        <f>SUM($BD$60:BN60)</f>
        <v>19787.329999999998</v>
      </c>
      <c r="BO69" s="497">
        <f>SUM($BD$60:BO60)</f>
        <v>22257.67</v>
      </c>
      <c r="BP69" s="497">
        <f>SUM($BD$60:BP60)</f>
        <v>22743.109999999997</v>
      </c>
      <c r="BQ69" s="497">
        <f>SUM($BD$60:BQ60)</f>
        <v>23761.989999999998</v>
      </c>
      <c r="BR69" s="497">
        <f>SUM($BD$60:BR60)</f>
        <v>24282.269999999997</v>
      </c>
      <c r="BS69" s="497">
        <f>SUM($BD$60:BS60)</f>
        <v>25796.51</v>
      </c>
      <c r="BT69" s="497">
        <f>SUM($BD$60:BT60)</f>
        <v>26627.21</v>
      </c>
      <c r="BU69" s="497">
        <f>SUM($BD$60:BU60)</f>
        <v>26930.329999999998</v>
      </c>
      <c r="BV69" s="497">
        <f>SUM($BD$60:BV60)</f>
        <v>26988.57</v>
      </c>
      <c r="BW69" s="497">
        <f>SUM($BD$60:BW60)</f>
        <v>27720.82</v>
      </c>
      <c r="BX69" s="497">
        <f>SUM($BD$60:BX60)</f>
        <v>27720.82</v>
      </c>
      <c r="BY69" s="497">
        <f>SUM($BD$60:BY60)</f>
        <v>27720.82</v>
      </c>
      <c r="BZ69" s="497">
        <f>SUM($BD$60:BZ60)</f>
        <v>28192.59</v>
      </c>
      <c r="CA69" s="497">
        <f>SUM($BD$60:CA60)</f>
        <v>29407.4</v>
      </c>
      <c r="CB69" s="497">
        <f>SUM($BD$60:CB60)</f>
        <v>29407.4</v>
      </c>
      <c r="CC69" s="497">
        <f>SUM($BD$60:CC60)</f>
        <v>29827.510000000002</v>
      </c>
      <c r="CD69" s="497">
        <f>SUM($BD$60:CD60)</f>
        <v>30569.13</v>
      </c>
      <c r="CE69" s="497">
        <f>SUM($BD$60:CE60)</f>
        <v>33337.07</v>
      </c>
      <c r="CF69" s="497">
        <f>SUM($BD$60:CF60)</f>
        <v>39444.54</v>
      </c>
      <c r="CG69" s="497">
        <f>SUM($BD$60:CG60)</f>
        <v>44605.990000000005</v>
      </c>
      <c r="CH69" s="497">
        <f>SUM($BD$60:CH60)</f>
        <v>44605.990000000005</v>
      </c>
      <c r="CI69" s="497">
        <f>SUM($BD$60:CI60)</f>
        <v>49301.260000000009</v>
      </c>
      <c r="CJ69" s="497">
        <f>SUM($BD$60:CJ60)</f>
        <v>52967.100000000006</v>
      </c>
      <c r="CK69" s="497">
        <f>SUM($BD$60:CK60)</f>
        <v>57996.420000000006</v>
      </c>
      <c r="CL69" s="497">
        <f>SUM($BD$60:CL60)</f>
        <v>65807.14</v>
      </c>
      <c r="CM69" s="497">
        <f>SUM($BD$60:CM60)</f>
        <v>71538.89</v>
      </c>
      <c r="CN69" s="497">
        <f>SUM($BD$60:CN60)</f>
        <v>77400.59</v>
      </c>
      <c r="CO69" s="497">
        <f>SUM($BD$60:CO60)</f>
        <v>82898.549999999988</v>
      </c>
      <c r="CP69" s="497">
        <f>SUM($BD$60:CP60)</f>
        <v>88706.889999999985</v>
      </c>
      <c r="CQ69" s="501">
        <f>SUM($CQ$60:CQ60)</f>
        <v>5502.7800000000007</v>
      </c>
      <c r="CR69" s="501">
        <f>SUM($CQ$60:CR60)</f>
        <v>10588.28</v>
      </c>
      <c r="CS69" s="501">
        <f>SUM($CQ$60:CS60)</f>
        <v>15876.130000000001</v>
      </c>
      <c r="CT69" s="501">
        <f>SUM($CQ$60:CT60)</f>
        <v>21041.590000000004</v>
      </c>
      <c r="CU69" s="501">
        <f>SUM($CQ$60:CU60)</f>
        <v>24559.850000000002</v>
      </c>
      <c r="CV69" s="501">
        <f>SUM($CQ$60:CV60)</f>
        <v>28845.020000000004</v>
      </c>
      <c r="CW69" s="501">
        <f>SUM($CQ$60:CW60)</f>
        <v>32269.560000000005</v>
      </c>
      <c r="CX69" s="501">
        <f>SUM($CQ$60:CX60)</f>
        <v>37195.960000000006</v>
      </c>
      <c r="CY69" s="501">
        <f>SUM($CQ$60:CY60)</f>
        <v>44357.73</v>
      </c>
      <c r="CZ69" s="501">
        <f>SUM($CQ$60:CZ60)</f>
        <v>51482.66</v>
      </c>
      <c r="DA69" s="501">
        <f>SUM($CQ$60:DA60)</f>
        <v>57730.28</v>
      </c>
      <c r="DB69" s="501">
        <f>SUM($CQ$60:DB60)</f>
        <v>63411.46</v>
      </c>
      <c r="DC69" s="501">
        <f>SUM($CQ$60:DC60)</f>
        <v>68792.679999999993</v>
      </c>
      <c r="DD69" s="501">
        <f>SUM($CQ$60:DD60)</f>
        <v>74314.329999999987</v>
      </c>
      <c r="DE69" s="501">
        <f>SUM($CQ$60:DE60)</f>
        <v>79218.01999999999</v>
      </c>
      <c r="DF69" s="501">
        <f>SUM($CQ$60:DF60)</f>
        <v>83813.929999999993</v>
      </c>
      <c r="DG69" s="501">
        <f>SUM($CQ$60:DG60)</f>
        <v>87824.709999999992</v>
      </c>
      <c r="DH69" s="501">
        <f>SUM($CQ$60:DH60)</f>
        <v>92062.599999999991</v>
      </c>
      <c r="DI69" s="501">
        <f>SUM($CQ$60:DI60)</f>
        <v>96674.98</v>
      </c>
      <c r="DJ69" s="501">
        <f>SUM($CQ$60:DJ60)</f>
        <v>100886.23999999999</v>
      </c>
      <c r="DK69" s="501">
        <f>SUM($CQ$60:DK60)</f>
        <v>103966.39999999999</v>
      </c>
      <c r="DL69" s="501">
        <f>SUM($CQ$60:DL60)</f>
        <v>107714.01</v>
      </c>
      <c r="DM69" s="501">
        <f>SUM($CQ$60:DM60)</f>
        <v>112435.79</v>
      </c>
      <c r="DN69" s="501">
        <f>SUM($CQ$60:DN60)</f>
        <v>115992.43999999999</v>
      </c>
      <c r="DO69" s="501">
        <f>SUM($CQ$60:DO60)</f>
        <v>121184.30999999998</v>
      </c>
      <c r="DP69" s="501">
        <f>SUM($CQ$60:DP60)</f>
        <v>126079.43999999999</v>
      </c>
      <c r="DQ69" s="501">
        <f>SUM($DQ$60:DQ60)</f>
        <v>3236.4799999999996</v>
      </c>
      <c r="DR69" s="501">
        <f>SUM($DQ$60:DR60)</f>
        <v>7432.46</v>
      </c>
      <c r="DS69" s="501">
        <f>SUM($DQ$60:DS60)</f>
        <v>11617.369999999999</v>
      </c>
      <c r="DT69" s="501">
        <f>SUM($DQ$60:DT60)</f>
        <v>13324.38</v>
      </c>
      <c r="DU69" s="501">
        <f>SUM($DQ$60:DU60)</f>
        <v>15403.202799999999</v>
      </c>
      <c r="DV69" s="501">
        <f>SUM($DQ$60:DV60)</f>
        <v>17389.4928</v>
      </c>
      <c r="DW69" s="501">
        <f>SUM($DQ$60:DW60)</f>
        <v>17993.7428</v>
      </c>
      <c r="DX69" s="501">
        <f>SUM($DQ$60:DX60)</f>
        <v>22361.342799999999</v>
      </c>
      <c r="DY69" s="501">
        <f>SUM($DQ$60:DY60)</f>
        <v>22597.192799999997</v>
      </c>
      <c r="DZ69" s="501">
        <f>SUM($DQ$60:DZ60)</f>
        <v>23588.702799999995</v>
      </c>
      <c r="EA69" s="501">
        <f>SUM($DQ$60:EA60)</f>
        <v>24527.912799999995</v>
      </c>
      <c r="EB69" s="501">
        <f>SUM($DQ$60:EB60)</f>
        <v>27226.622799999994</v>
      </c>
      <c r="EC69" s="501">
        <f>SUM($DQ$60:EC60)</f>
        <v>30219.952799999992</v>
      </c>
      <c r="ED69" s="501">
        <f>SUM($DQ$60:ED60)</f>
        <v>33996.772799999992</v>
      </c>
      <c r="EE69" s="499">
        <f>SUM($DQ$60:EE60)</f>
        <v>38061.172799999993</v>
      </c>
      <c r="EF69" s="499">
        <f>SUM($DQ$60:EF60)</f>
        <v>41417.182799999995</v>
      </c>
      <c r="EG69" s="499">
        <f>SUM($DQ$60:EG60)</f>
        <v>46150.842799999999</v>
      </c>
      <c r="EH69" s="501">
        <f>SUM($DQ$60:EH60)</f>
        <v>50808.9928</v>
      </c>
      <c r="EI69" s="501">
        <f>SUM($DQ$60:EI60)</f>
        <v>54997.192799999997</v>
      </c>
      <c r="EJ69" s="501">
        <f>SUM($DQ$60:EJ60)</f>
        <v>54997.192799999997</v>
      </c>
      <c r="EK69" s="501">
        <f>SUM($DQ$60:EK60)</f>
        <v>54997.192799999997</v>
      </c>
      <c r="EL69" s="501">
        <f>SUM($DQ$60:EL60)</f>
        <v>54997.192799999997</v>
      </c>
      <c r="EM69" s="501">
        <f>SUM($DQ$60:EM60)</f>
        <v>54997.192799999997</v>
      </c>
    </row>
    <row r="70" spans="1:143" x14ac:dyDescent="0.25">
      <c r="A70" s="493" t="s">
        <v>584</v>
      </c>
      <c r="B70" s="3" t="s">
        <v>585</v>
      </c>
      <c r="C70" s="512">
        <f t="shared" ref="C70:AD70" si="164">C69/C68</f>
        <v>2.2624161073825504</v>
      </c>
      <c r="D70" s="512">
        <f t="shared" si="164"/>
        <v>2.3585653104925055</v>
      </c>
      <c r="E70" s="512">
        <f t="shared" si="164"/>
        <v>1.5534562211981569</v>
      </c>
      <c r="F70" s="512">
        <f t="shared" si="164"/>
        <v>1.4578886502560715</v>
      </c>
      <c r="G70" s="512">
        <f t="shared" si="164"/>
        <v>1.4504604280736686</v>
      </c>
      <c r="H70" s="512">
        <f t="shared" si="164"/>
        <v>1.2035407866328736</v>
      </c>
      <c r="I70" s="512">
        <f t="shared" si="164"/>
        <v>1.155830972977111</v>
      </c>
      <c r="J70" s="512">
        <f t="shared" si="164"/>
        <v>1.0878461637404335</v>
      </c>
      <c r="K70" s="512">
        <f t="shared" si="164"/>
        <v>1.0286578020229573</v>
      </c>
      <c r="L70" s="512">
        <f t="shared" si="164"/>
        <v>1.0408288433455866</v>
      </c>
      <c r="M70" s="512">
        <f t="shared" si="164"/>
        <v>1.0523711624064982</v>
      </c>
      <c r="N70" s="512">
        <f t="shared" si="164"/>
        <v>1.0873231787517503</v>
      </c>
      <c r="O70" s="512">
        <f t="shared" si="164"/>
        <v>1.111855210574854</v>
      </c>
      <c r="P70" s="512">
        <f t="shared" si="164"/>
        <v>1.1217358004366345</v>
      </c>
      <c r="Q70" s="512">
        <f t="shared" si="164"/>
        <v>1.1259397513654792</v>
      </c>
      <c r="R70" s="512">
        <f t="shared" si="164"/>
        <v>1.1580496820474266</v>
      </c>
      <c r="S70" s="512">
        <f t="shared" si="164"/>
        <v>1.1787483527103406</v>
      </c>
      <c r="T70" s="512">
        <f t="shared" si="164"/>
        <v>1.2049356878133857</v>
      </c>
      <c r="U70" s="512">
        <f t="shared" si="164"/>
        <v>1.2824152238500155</v>
      </c>
      <c r="V70" s="512">
        <f t="shared" si="164"/>
        <v>1.3374618062270354</v>
      </c>
      <c r="W70" s="512">
        <f t="shared" si="164"/>
        <v>1.3911377822654674</v>
      </c>
      <c r="X70" s="512">
        <f t="shared" si="164"/>
        <v>1.4514879135837706</v>
      </c>
      <c r="Y70" s="512">
        <f t="shared" si="164"/>
        <v>1.5170597275732118</v>
      </c>
      <c r="Z70" s="512">
        <f t="shared" si="164"/>
        <v>1.5469040534019622</v>
      </c>
      <c r="AA70" s="512">
        <f t="shared" si="164"/>
        <v>1.5786815556411242</v>
      </c>
      <c r="AB70" s="512">
        <f t="shared" si="164"/>
        <v>1.5977877263766833</v>
      </c>
      <c r="AC70" s="512">
        <f t="shared" si="164"/>
        <v>1.6244195566266768</v>
      </c>
      <c r="AD70" s="505">
        <f t="shared" si="164"/>
        <v>1.5697259678120923</v>
      </c>
      <c r="AE70" s="505">
        <f t="shared" ref="AE70:BC70" si="165">AE69/AE68</f>
        <v>1.9269096819131648</v>
      </c>
      <c r="AF70" s="505">
        <f t="shared" si="165"/>
        <v>2.1536547190483644</v>
      </c>
      <c r="AG70" s="505">
        <f t="shared" si="165"/>
        <v>2.2154664484451718</v>
      </c>
      <c r="AH70" s="505">
        <f t="shared" si="165"/>
        <v>2.2892998551424428</v>
      </c>
      <c r="AI70" s="505">
        <f t="shared" si="165"/>
        <v>2.239586891111653</v>
      </c>
      <c r="AJ70" s="505">
        <f t="shared" si="165"/>
        <v>2.258447443877194</v>
      </c>
      <c r="AK70" s="505">
        <f t="shared" si="165"/>
        <v>2.2107165183938444</v>
      </c>
      <c r="AL70" s="505">
        <f t="shared" si="165"/>
        <v>2.1845192659591151</v>
      </c>
      <c r="AM70" s="505">
        <f t="shared" si="165"/>
        <v>2.198639200412932</v>
      </c>
      <c r="AN70" s="505">
        <f t="shared" si="165"/>
        <v>2.2249874895746453</v>
      </c>
      <c r="AO70" s="505">
        <f t="shared" si="165"/>
        <v>2.3131458420076458</v>
      </c>
      <c r="AP70" s="505">
        <f t="shared" si="165"/>
        <v>2.4009957870547685</v>
      </c>
      <c r="AQ70" s="505">
        <f t="shared" si="165"/>
        <v>2.4702018573455433</v>
      </c>
      <c r="AR70" s="505">
        <f t="shared" si="165"/>
        <v>2.465620926650077</v>
      </c>
      <c r="AS70" s="505">
        <f t="shared" si="165"/>
        <v>2.5003872030756558</v>
      </c>
      <c r="AT70" s="505">
        <f t="shared" si="165"/>
        <v>2.5242536930652446</v>
      </c>
      <c r="AU70" s="505">
        <f t="shared" si="165"/>
        <v>2.5225865472579327</v>
      </c>
      <c r="AV70" s="505">
        <f t="shared" si="165"/>
        <v>2.5336967608858263</v>
      </c>
      <c r="AW70" s="505">
        <f t="shared" si="165"/>
        <v>2.5341150290996235</v>
      </c>
      <c r="AX70" s="505">
        <f t="shared" si="165"/>
        <v>2.5271657557712701</v>
      </c>
      <c r="AY70" s="505">
        <f t="shared" si="165"/>
        <v>2.5007901005054318</v>
      </c>
      <c r="AZ70" s="505">
        <f t="shared" si="165"/>
        <v>2.4782355649691499</v>
      </c>
      <c r="BA70" s="505">
        <f t="shared" si="165"/>
        <v>2.4590481900093453</v>
      </c>
      <c r="BB70" s="505">
        <f t="shared" si="165"/>
        <v>2.4384928270042194</v>
      </c>
      <c r="BC70" s="505">
        <f t="shared" si="165"/>
        <v>2.4075040970173718</v>
      </c>
      <c r="BD70" s="498">
        <f>BD69/BD68</f>
        <v>1.1505084745762713</v>
      </c>
      <c r="BE70" s="498">
        <f t="shared" ref="BE70:CP70" si="166">BE69/BE68</f>
        <v>1.277090395480226</v>
      </c>
      <c r="BF70" s="498">
        <f t="shared" si="166"/>
        <v>1.1523163841807909</v>
      </c>
      <c r="BG70" s="498">
        <f t="shared" si="166"/>
        <v>1.1674011299435028</v>
      </c>
      <c r="BH70" s="498">
        <f t="shared" si="166"/>
        <v>1.123005395476983</v>
      </c>
      <c r="BI70" s="498">
        <f t="shared" si="166"/>
        <v>1.1269362242406484</v>
      </c>
      <c r="BJ70" s="498">
        <f t="shared" si="166"/>
        <v>1.1184815436241611</v>
      </c>
      <c r="BK70" s="498">
        <f t="shared" si="166"/>
        <v>1.1369161098737934</v>
      </c>
      <c r="BL70" s="498">
        <f t="shared" si="166"/>
        <v>1.1418312483364386</v>
      </c>
      <c r="BM70" s="498">
        <f t="shared" si="166"/>
        <v>1.110211717466691</v>
      </c>
      <c r="BN70" s="498">
        <f t="shared" si="166"/>
        <v>1.1082234668160178</v>
      </c>
      <c r="BO70" s="498">
        <f t="shared" si="166"/>
        <v>1.1559423526356789</v>
      </c>
      <c r="BP70" s="498">
        <f t="shared" si="166"/>
        <v>1.1026427809560748</v>
      </c>
      <c r="BQ70" s="498">
        <f t="shared" si="166"/>
        <v>1.0787175413110586</v>
      </c>
      <c r="BR70" s="498">
        <f t="shared" si="166"/>
        <v>1.0347411258362806</v>
      </c>
      <c r="BS70" s="498">
        <f t="shared" si="166"/>
        <v>1.0377548475339931</v>
      </c>
      <c r="BT70" s="498">
        <f t="shared" si="166"/>
        <v>1.0177040972328391</v>
      </c>
      <c r="BU70" s="498">
        <f t="shared" si="166"/>
        <v>0.97750744101633391</v>
      </c>
      <c r="BV70" s="498">
        <f t="shared" si="166"/>
        <v>0.93580339805825241</v>
      </c>
      <c r="BW70" s="498">
        <f t="shared" si="166"/>
        <v>0.92043762658963379</v>
      </c>
      <c r="BX70" s="498">
        <f t="shared" si="166"/>
        <v>0.88808931889536746</v>
      </c>
      <c r="BY70" s="498">
        <f t="shared" si="166"/>
        <v>0.86519413233458176</v>
      </c>
      <c r="BZ70" s="498">
        <f t="shared" si="166"/>
        <v>0.84866315472606868</v>
      </c>
      <c r="CA70" s="498">
        <f t="shared" si="166"/>
        <v>0.8610992357471231</v>
      </c>
      <c r="CB70" s="498">
        <f t="shared" si="166"/>
        <v>0.83420515148076713</v>
      </c>
      <c r="CC70" s="498">
        <f t="shared" si="166"/>
        <v>0.81692347721297109</v>
      </c>
      <c r="CD70" s="498">
        <f t="shared" si="166"/>
        <v>0.81365797178599952</v>
      </c>
      <c r="CE70" s="498">
        <f t="shared" si="166"/>
        <v>0.84016910708435188</v>
      </c>
      <c r="CF70" s="498">
        <f t="shared" si="166"/>
        <v>0.94126234906695938</v>
      </c>
      <c r="CG70" s="498">
        <f t="shared" si="166"/>
        <v>1.0155728336596694</v>
      </c>
      <c r="CH70" s="498">
        <f t="shared" si="166"/>
        <v>0.98696736364642113</v>
      </c>
      <c r="CI70" s="498">
        <f t="shared" si="166"/>
        <v>1.0532656810801575</v>
      </c>
      <c r="CJ70" s="498">
        <f t="shared" si="166"/>
        <v>1.0964003311943697</v>
      </c>
      <c r="CK70" s="498">
        <f t="shared" si="166"/>
        <v>1.1543873407643312</v>
      </c>
      <c r="CL70" s="498">
        <f t="shared" si="166"/>
        <v>1.2484991177977196</v>
      </c>
      <c r="CM70" s="498">
        <f t="shared" si="166"/>
        <v>1.3061692532408253</v>
      </c>
      <c r="CN70" s="498">
        <f t="shared" si="166"/>
        <v>1.3697764839132127</v>
      </c>
      <c r="CO70" s="498">
        <f t="shared" si="166"/>
        <v>1.41387893982808</v>
      </c>
      <c r="CP70" s="498">
        <f t="shared" si="166"/>
        <v>1.4671511031722402</v>
      </c>
      <c r="CQ70" s="502">
        <f>CQ69/CQ68</f>
        <v>2.8262865947611715</v>
      </c>
      <c r="CR70" s="502">
        <f t="shared" ref="CR70:DA70" si="167">CR69/CR68</f>
        <v>2.7219228791773782</v>
      </c>
      <c r="CS70" s="502">
        <f t="shared" si="167"/>
        <v>2.7476860505365179</v>
      </c>
      <c r="CT70" s="502">
        <f t="shared" si="167"/>
        <v>2.6746650565654004</v>
      </c>
      <c r="CU70" s="502">
        <f t="shared" si="167"/>
        <v>2.6414121316412134</v>
      </c>
      <c r="CV70" s="502">
        <f t="shared" si="167"/>
        <v>2.5669680519711671</v>
      </c>
      <c r="CW70" s="502">
        <f t="shared" si="167"/>
        <v>2.5063735922330102</v>
      </c>
      <c r="CX70" s="502">
        <f t="shared" si="167"/>
        <v>2.5108653975968682</v>
      </c>
      <c r="CY70" s="502">
        <f t="shared" si="167"/>
        <v>2.5882675924845375</v>
      </c>
      <c r="CZ70" s="502">
        <f t="shared" si="167"/>
        <v>2.644204417051875</v>
      </c>
      <c r="DA70" s="502">
        <f t="shared" si="167"/>
        <v>2.6357247865589186</v>
      </c>
      <c r="DB70" s="502">
        <f t="shared" ref="DB70:DJ70" si="168">DB69/DB68</f>
        <v>2.62074144486692</v>
      </c>
      <c r="DC70" s="502">
        <f t="shared" si="168"/>
        <v>2.6006608195977616</v>
      </c>
      <c r="DD70" s="502">
        <f t="shared" si="168"/>
        <v>2.5873661304923052</v>
      </c>
      <c r="DE70" s="502">
        <f t="shared" si="168"/>
        <v>2.5876402952897362</v>
      </c>
      <c r="DF70" s="502">
        <f t="shared" si="168"/>
        <v>2.5891671557875875</v>
      </c>
      <c r="DG70" s="502">
        <f t="shared" si="168"/>
        <v>2.5570578815582596</v>
      </c>
      <c r="DH70" s="502">
        <f t="shared" si="168"/>
        <v>2.5343445466057366</v>
      </c>
      <c r="DI70" s="502">
        <f t="shared" si="168"/>
        <v>2.5386003886350506</v>
      </c>
      <c r="DJ70" s="502">
        <f t="shared" si="168"/>
        <v>2.5236070740675887</v>
      </c>
      <c r="DK70" s="502">
        <f t="shared" ref="DK70:EH70" si="169">DK69/DK68</f>
        <v>2.484737823239807</v>
      </c>
      <c r="DL70" s="502">
        <f t="shared" si="169"/>
        <v>2.4492146251620088</v>
      </c>
      <c r="DM70" s="502">
        <f t="shared" si="169"/>
        <v>2.4318328106412888</v>
      </c>
      <c r="DN70" s="502">
        <f t="shared" si="169"/>
        <v>2.384320835388916</v>
      </c>
      <c r="DO70" s="502">
        <f t="shared" si="169"/>
        <v>2.371373696260493</v>
      </c>
      <c r="DP70" s="502">
        <f t="shared" si="169"/>
        <v>2.346362452078758</v>
      </c>
      <c r="DQ70" s="502">
        <f t="shared" si="169"/>
        <v>1.5088484848484847</v>
      </c>
      <c r="DR70" s="502">
        <f t="shared" si="169"/>
        <v>1.5753412462908012</v>
      </c>
      <c r="DS70" s="502">
        <f t="shared" si="169"/>
        <v>1.570339280886726</v>
      </c>
      <c r="DT70" s="502">
        <f t="shared" si="169"/>
        <v>1.4164324439247369</v>
      </c>
      <c r="DU70" s="502">
        <f t="shared" si="169"/>
        <v>1.2942780270565497</v>
      </c>
      <c r="DV70" s="502">
        <f t="shared" si="169"/>
        <v>1.2301565365025466</v>
      </c>
      <c r="DW70" s="502">
        <f t="shared" si="169"/>
        <v>1.0816147391199809</v>
      </c>
      <c r="DX70" s="502">
        <f t="shared" si="169"/>
        <v>1.1805787867588828</v>
      </c>
      <c r="DY70" s="502">
        <f t="shared" si="169"/>
        <v>1.0340071748878923</v>
      </c>
      <c r="DZ70" s="502">
        <f t="shared" si="169"/>
        <v>0.97004987457334357</v>
      </c>
      <c r="EA70" s="502">
        <f t="shared" si="169"/>
        <v>0.9118522175545557</v>
      </c>
      <c r="EB70" s="502">
        <f t="shared" si="169"/>
        <v>0.93462712574233608</v>
      </c>
      <c r="EC70" s="502">
        <f t="shared" si="169"/>
        <v>0.96580226270373892</v>
      </c>
      <c r="ED70" s="502">
        <f t="shared" si="169"/>
        <v>1.0145564713957442</v>
      </c>
      <c r="EE70" s="577">
        <f t="shared" si="169"/>
        <v>1.0657213641709131</v>
      </c>
      <c r="EF70" s="577">
        <f t="shared" si="169"/>
        <v>1.0910743624868282</v>
      </c>
      <c r="EG70" s="577">
        <f t="shared" si="169"/>
        <v>1.1429133927686974</v>
      </c>
      <c r="EH70" s="502">
        <f t="shared" si="169"/>
        <v>1.19379226991847</v>
      </c>
      <c r="EI70" s="502">
        <f>EI69/EI68</f>
        <v>1.2270407353695811</v>
      </c>
      <c r="EJ70" s="502">
        <f>EJ69/EJ68</f>
        <v>1.164011022688791</v>
      </c>
      <c r="EK70" s="502">
        <f>EK69/EK68</f>
        <v>1.1177609657947685</v>
      </c>
      <c r="EL70" s="502">
        <f t="shared" ref="EL70:EM70" si="170">EL69/EL68</f>
        <v>1.0707550727177151</v>
      </c>
      <c r="EM70" s="502">
        <f t="shared" si="170"/>
        <v>1.0308172511386426</v>
      </c>
    </row>
    <row r="71" spans="1:143" x14ac:dyDescent="0.25">
      <c r="C71" s="513"/>
      <c r="D71" s="513"/>
      <c r="E71" s="513"/>
      <c r="F71" s="513"/>
      <c r="G71" s="513"/>
      <c r="H71" s="513"/>
      <c r="I71" s="513"/>
      <c r="J71" s="513"/>
      <c r="K71" s="513"/>
      <c r="L71" s="513"/>
      <c r="M71" s="513"/>
      <c r="N71" s="513"/>
      <c r="O71" s="513"/>
      <c r="P71" s="513"/>
      <c r="Q71" s="513"/>
      <c r="R71" s="513"/>
      <c r="S71" s="513"/>
      <c r="T71" s="513"/>
      <c r="U71" s="513"/>
      <c r="V71" s="513"/>
      <c r="W71" s="513"/>
      <c r="X71" s="513"/>
      <c r="Y71" s="513"/>
      <c r="Z71" s="513"/>
      <c r="AA71" s="513"/>
      <c r="AB71" s="513"/>
      <c r="AC71" s="513"/>
      <c r="AD71" s="507"/>
      <c r="AE71" s="507"/>
      <c r="AF71" s="507"/>
      <c r="AG71" s="507"/>
      <c r="AH71" s="507"/>
      <c r="AI71" s="507"/>
      <c r="AJ71" s="507"/>
      <c r="AK71" s="507"/>
      <c r="AL71" s="507"/>
      <c r="AM71" s="507"/>
      <c r="AN71" s="507"/>
      <c r="AO71" s="507"/>
      <c r="AP71" s="507"/>
      <c r="AQ71" s="507"/>
      <c r="AR71" s="507"/>
      <c r="AS71" s="507"/>
      <c r="AT71" s="507"/>
      <c r="AU71" s="507"/>
      <c r="AV71" s="507"/>
      <c r="AW71" s="507"/>
      <c r="AX71" s="507"/>
      <c r="AY71" s="507"/>
      <c r="AZ71" s="507"/>
      <c r="BA71" s="507"/>
      <c r="BB71" s="507"/>
      <c r="BC71" s="507"/>
      <c r="BD71" s="103"/>
      <c r="BE71" s="103"/>
      <c r="BF71" s="103"/>
      <c r="BG71" s="103"/>
      <c r="BH71" s="103"/>
      <c r="BI71" s="103"/>
      <c r="BJ71" s="103"/>
      <c r="BK71" s="103"/>
      <c r="BL71" s="103"/>
      <c r="BM71" s="103"/>
      <c r="BN71" s="103"/>
      <c r="BO71" s="103"/>
      <c r="BP71" s="103"/>
      <c r="BQ71" s="103"/>
      <c r="BR71" s="103"/>
      <c r="BS71" s="103"/>
      <c r="BT71" s="103"/>
      <c r="BU71" s="103"/>
      <c r="BV71" s="103"/>
      <c r="BW71" s="103"/>
      <c r="BX71" s="103"/>
      <c r="BY71" s="103"/>
      <c r="BZ71" s="103"/>
      <c r="CA71" s="103"/>
      <c r="CB71" s="103"/>
      <c r="CC71" s="103"/>
      <c r="CD71" s="103"/>
      <c r="CE71" s="103"/>
      <c r="CF71" s="103"/>
      <c r="CG71" s="103"/>
      <c r="CH71" s="103"/>
      <c r="CI71" s="103"/>
      <c r="CJ71" s="103"/>
      <c r="CK71" s="103"/>
      <c r="CL71" s="103"/>
      <c r="CM71" s="103"/>
      <c r="CN71" s="103"/>
      <c r="CO71" s="103"/>
      <c r="CP71" s="103"/>
      <c r="CQ71" s="500"/>
      <c r="CR71" s="500"/>
      <c r="CS71" s="500"/>
      <c r="CT71" s="500"/>
      <c r="CU71" s="500"/>
      <c r="CV71" s="500"/>
      <c r="CW71" s="500"/>
      <c r="CX71" s="500"/>
      <c r="CY71" s="500"/>
      <c r="CZ71" s="500"/>
      <c r="DA71" s="500"/>
      <c r="DB71" s="500"/>
      <c r="DC71" s="500"/>
      <c r="DD71" s="500"/>
      <c r="DE71" s="500"/>
      <c r="DF71" s="500"/>
      <c r="DG71" s="500"/>
      <c r="DH71" s="500"/>
      <c r="DI71" s="500"/>
      <c r="DJ71" s="500"/>
      <c r="DR71"/>
      <c r="DS71"/>
      <c r="DT71"/>
      <c r="EE71" s="547"/>
      <c r="EF71" s="547"/>
      <c r="EG71" s="547"/>
    </row>
    <row r="72" spans="1:143" x14ac:dyDescent="0.25">
      <c r="A72" s="490" t="s">
        <v>582</v>
      </c>
      <c r="B72" s="3" t="s">
        <v>589</v>
      </c>
      <c r="C72" s="514">
        <f>SUM($C$20:C20)</f>
        <v>306</v>
      </c>
      <c r="D72" s="514">
        <f>SUM($C$20:D20)</f>
        <v>556</v>
      </c>
      <c r="E72" s="514">
        <f>SUM($C$20:E20)</f>
        <v>876</v>
      </c>
      <c r="F72" s="514">
        <f>SUM($C$20:F20)</f>
        <v>1087</v>
      </c>
      <c r="G72" s="514">
        <f>SUM($C$20:G20)</f>
        <v>1337</v>
      </c>
      <c r="H72" s="514">
        <f>SUM($C$20:H20)</f>
        <v>1592</v>
      </c>
      <c r="I72" s="514">
        <f>SUM($C$20:I20)</f>
        <v>1895</v>
      </c>
      <c r="J72" s="514">
        <f>SUM($C$20:J20)</f>
        <v>2245</v>
      </c>
      <c r="K72" s="514">
        <f>SUM($C$20:K20)</f>
        <v>2597</v>
      </c>
      <c r="L72" s="514">
        <f>SUM($C$20:L20)</f>
        <v>2947</v>
      </c>
      <c r="M72" s="514">
        <f>SUM($C$20:M20)</f>
        <v>3297</v>
      </c>
      <c r="N72" s="514">
        <f>SUM($C$20:N20)</f>
        <v>3647</v>
      </c>
      <c r="O72" s="514">
        <f>SUM($C$20:O20)</f>
        <v>3992</v>
      </c>
      <c r="P72" s="514">
        <f>SUM($C$20:P20)</f>
        <v>4293</v>
      </c>
      <c r="Q72" s="514">
        <f>SUM($C$20:Q20)</f>
        <v>4627</v>
      </c>
      <c r="R72" s="514">
        <f>SUM($C$20:R20)</f>
        <v>4931</v>
      </c>
      <c r="S72" s="514">
        <f>SUM($C$20:S20)</f>
        <v>5237</v>
      </c>
      <c r="T72" s="514">
        <f>SUM($C$20:T20)</f>
        <v>5527</v>
      </c>
      <c r="U72" s="514">
        <f>SUM($C$20:U20)</f>
        <v>5844</v>
      </c>
      <c r="V72" s="514">
        <f>SUM($C$20:V20)</f>
        <v>6194</v>
      </c>
      <c r="W72" s="514">
        <f>SUM($C$20:W20)</f>
        <v>6544</v>
      </c>
      <c r="X72" s="514">
        <f>SUM($C$20:X20)</f>
        <v>6944</v>
      </c>
      <c r="Y72" s="514">
        <f>SUM($C$20:Y20)</f>
        <v>7268</v>
      </c>
      <c r="Z72" s="514">
        <f>SUM($C$20:Z20)</f>
        <v>7718</v>
      </c>
      <c r="AA72" s="514">
        <f>SUM($C$20:AA20)</f>
        <v>8168</v>
      </c>
      <c r="AB72" s="514">
        <f>SUM($C$20:AB20)</f>
        <v>8570</v>
      </c>
      <c r="AC72" s="514">
        <f>SUM($C$20:AC20)</f>
        <v>8970</v>
      </c>
      <c r="AD72" s="508">
        <f>SUM($AD$20:AD20)</f>
        <v>350</v>
      </c>
      <c r="AE72" s="508">
        <f>SUM($AD$20:AE20)</f>
        <v>699</v>
      </c>
      <c r="AF72" s="508">
        <f>SUM($AD$20:AF20)</f>
        <v>1049</v>
      </c>
      <c r="AG72" s="508">
        <f>SUM($AD$20:AG20)</f>
        <v>1399</v>
      </c>
      <c r="AH72" s="508">
        <f>SUM($AD$20:AH20)</f>
        <v>1749</v>
      </c>
      <c r="AI72" s="508">
        <f>SUM($AD$20:AI20)</f>
        <v>2100</v>
      </c>
      <c r="AJ72" s="508">
        <f>SUM($AD$20:AJ20)</f>
        <v>2400</v>
      </c>
      <c r="AK72" s="508">
        <f>SUM($AD$20:AK20)</f>
        <v>2722</v>
      </c>
      <c r="AL72" s="508">
        <f>SUM($AD$20:AL20)</f>
        <v>3045</v>
      </c>
      <c r="AM72" s="508">
        <f>SUM($AD$20:AM20)</f>
        <v>3345</v>
      </c>
      <c r="AN72" s="508">
        <f>SUM($AD$20:AN20)</f>
        <v>3671</v>
      </c>
      <c r="AO72" s="508">
        <f>SUM($AD$20:AO20)</f>
        <v>3975</v>
      </c>
      <c r="AP72" s="508">
        <f>SUM($AD$20:AP20)</f>
        <v>4277</v>
      </c>
      <c r="AQ72" s="508">
        <f>SUM($AD$20:AQ20)</f>
        <v>4589</v>
      </c>
      <c r="AR72" s="508">
        <f>SUM($AD$20:AR20)</f>
        <v>4890</v>
      </c>
      <c r="AS72" s="508">
        <f>SUM($AD$20:AS20)</f>
        <v>5190</v>
      </c>
      <c r="AT72" s="508">
        <f>SUM($AD$20:AT20)</f>
        <v>5492</v>
      </c>
      <c r="AU72" s="508">
        <f>SUM($AD$20:AU20)</f>
        <v>5792</v>
      </c>
      <c r="AV72" s="508">
        <f>SUM($AD$20:AV20)</f>
        <v>6093</v>
      </c>
      <c r="AW72" s="508">
        <f>SUM($AD$20:AW20)</f>
        <v>6398</v>
      </c>
      <c r="AX72" s="508">
        <f>SUM($AD$20:AX20)</f>
        <v>6748</v>
      </c>
      <c r="AY72" s="508">
        <f>SUM($AD$20:AY20)</f>
        <v>7077</v>
      </c>
      <c r="AZ72" s="508">
        <f>SUM($AD$20:AZ20)</f>
        <v>7377</v>
      </c>
      <c r="BA72" s="508">
        <f>SUM($AD$20:BA20)</f>
        <v>7679</v>
      </c>
      <c r="BB72" s="508">
        <f>SUM($AD$20:BB20)</f>
        <v>7978</v>
      </c>
      <c r="BC72" s="508">
        <f>SUM($AD$20:BC20)</f>
        <v>8128</v>
      </c>
      <c r="BD72" s="497">
        <f>SUM($BD$20:BD20)</f>
        <v>150</v>
      </c>
      <c r="BE72" s="497">
        <f>SUM($BD$20:BE20)</f>
        <v>300</v>
      </c>
      <c r="BF72" s="497">
        <f>SUM($BD$20:BF20)</f>
        <v>450</v>
      </c>
      <c r="BG72" s="497">
        <f>SUM($BD$20:BG20)</f>
        <v>600</v>
      </c>
      <c r="BH72" s="497">
        <f>SUM($BD$20:BH20)</f>
        <v>750</v>
      </c>
      <c r="BI72" s="497">
        <f>SUM($BD$20:BI20)</f>
        <v>906</v>
      </c>
      <c r="BJ72" s="497">
        <f>SUM($BD$20:BJ20)</f>
        <v>1056</v>
      </c>
      <c r="BK72" s="497">
        <f>SUM($BD$20:BK20)</f>
        <v>1207</v>
      </c>
      <c r="BL72" s="497">
        <f>SUM($BD$20:BL20)</f>
        <v>1328</v>
      </c>
      <c r="BM72" s="497">
        <f>SUM($BD$20:BM20)</f>
        <v>1448</v>
      </c>
      <c r="BN72" s="497">
        <f>SUM($BD$20:BN20)</f>
        <v>1568</v>
      </c>
      <c r="BO72" s="497">
        <f>SUM($BD$20:BO20)</f>
        <v>1688</v>
      </c>
      <c r="BP72" s="497">
        <f>SUM($BD$20:BP20)</f>
        <v>1808</v>
      </c>
      <c r="BQ72" s="497">
        <f>SUM($BD$20:BQ20)</f>
        <v>1898</v>
      </c>
      <c r="BR72" s="497">
        <f>SUM($BD$20:BR20)</f>
        <v>1898</v>
      </c>
      <c r="BS72" s="497">
        <f>SUM($BD$20:BS20)</f>
        <v>1898</v>
      </c>
      <c r="BT72" s="497">
        <f>SUM($BD$20:BT20)</f>
        <v>1898</v>
      </c>
      <c r="BU72" s="497">
        <f>SUM($BD$20:BU20)</f>
        <v>1898</v>
      </c>
      <c r="BV72" s="497">
        <f>SUM($BD$20:BV20)</f>
        <v>1898</v>
      </c>
      <c r="BW72" s="497">
        <f>SUM($BD$20:BW20)</f>
        <v>1898</v>
      </c>
      <c r="BX72" s="497">
        <f>SUM($BD$20:BX20)</f>
        <v>1898</v>
      </c>
      <c r="BY72" s="497">
        <f>SUM($BD$20:BY20)</f>
        <v>1898</v>
      </c>
      <c r="BZ72" s="497">
        <f>SUM($BD$20:BZ20)</f>
        <v>1898</v>
      </c>
      <c r="CA72" s="497">
        <f>SUM($BD$20:CA20)</f>
        <v>2314</v>
      </c>
      <c r="CB72" s="497">
        <f>SUM($BD$20:CB20)</f>
        <v>2314</v>
      </c>
      <c r="CC72" s="497">
        <f>SUM($BD$20:CC20)</f>
        <v>2314</v>
      </c>
      <c r="CD72" s="497">
        <f>SUM($BD$20:CD20)</f>
        <v>2314</v>
      </c>
      <c r="CE72" s="497">
        <f>SUM($BD$20:CE20)</f>
        <v>2534</v>
      </c>
      <c r="CF72" s="497">
        <f>SUM($BD$20:CF20)</f>
        <v>2771</v>
      </c>
      <c r="CG72" s="497">
        <f>SUM($BD$20:CG20)</f>
        <v>3007</v>
      </c>
      <c r="CH72" s="497">
        <f>SUM($BD$20:CH20)</f>
        <v>3171</v>
      </c>
      <c r="CI72" s="497">
        <f>SUM($BD$20:CI20)</f>
        <v>3371</v>
      </c>
      <c r="CJ72" s="497">
        <f>SUM($BD$20:CJ20)</f>
        <v>3532</v>
      </c>
      <c r="CK72" s="497">
        <f>SUM($BD$20:CK20)</f>
        <v>3714</v>
      </c>
      <c r="CL72" s="497">
        <f>SUM($BD$20:CL20)</f>
        <v>4120</v>
      </c>
      <c r="CM72" s="497">
        <f>SUM($BD$20:CM20)</f>
        <v>4499</v>
      </c>
      <c r="CN72" s="497">
        <f>SUM($BD$20:CN20)</f>
        <v>4792</v>
      </c>
      <c r="CO72" s="497">
        <f>SUM($BD$20:CO20)</f>
        <v>5151</v>
      </c>
      <c r="CP72" s="497">
        <f>SUM($BD$20:CP20)</f>
        <v>5351</v>
      </c>
      <c r="CQ72" s="501">
        <f>SUM($CQ$20:CQ20)</f>
        <v>200</v>
      </c>
      <c r="CR72" s="501">
        <f>SUM($CQ$20:CR20)</f>
        <v>400</v>
      </c>
      <c r="CS72" s="501">
        <f>SUM($CQ$20:CS20)</f>
        <v>601</v>
      </c>
      <c r="CT72" s="501">
        <f>SUM($CQ$20:CT20)</f>
        <v>803</v>
      </c>
      <c r="CU72" s="501">
        <f>SUM($CQ$20:CU20)</f>
        <v>1158</v>
      </c>
      <c r="CV72" s="501">
        <f>SUM($CQ$20:CV20)</f>
        <v>1507</v>
      </c>
      <c r="CW72" s="501">
        <f>SUM($CQ$20:CW20)</f>
        <v>1705</v>
      </c>
      <c r="CX72" s="501">
        <f>SUM($CQ$20:CX20)</f>
        <v>2030</v>
      </c>
      <c r="CY72" s="501">
        <f>SUM($CQ$20:CY20)</f>
        <v>2381</v>
      </c>
      <c r="CZ72" s="501">
        <f>SUM($CQ$20:CZ20)</f>
        <v>2731</v>
      </c>
      <c r="DA72" s="501">
        <f>SUM($CQ$20:DA20)</f>
        <v>3137</v>
      </c>
      <c r="DB72" s="501">
        <f>SUM($CQ$20:DB20)</f>
        <v>3538</v>
      </c>
      <c r="DC72" s="501">
        <f>SUM($CQ$20:DC20)</f>
        <v>3888</v>
      </c>
      <c r="DD72" s="501">
        <f>SUM($CQ$20:DD20)</f>
        <v>4238</v>
      </c>
      <c r="DE72" s="501">
        <f>SUM($CQ$20:DE20)</f>
        <v>4590</v>
      </c>
      <c r="DF72" s="501">
        <f>SUM($CQ$20:DF20)</f>
        <v>4895</v>
      </c>
      <c r="DG72" s="501">
        <f>SUM($CQ$20:DG20)</f>
        <v>5095</v>
      </c>
      <c r="DH72" s="501">
        <f>SUM($CQ$20:DH20)</f>
        <v>5309</v>
      </c>
      <c r="DI72" s="501">
        <f>SUM($CQ$20:DI20)</f>
        <v>5460</v>
      </c>
      <c r="DJ72" s="501">
        <f>SUM($CQ$20:DJ20)</f>
        <v>5616</v>
      </c>
      <c r="DK72" s="501">
        <f>SUM($CQ$20:DK20)</f>
        <v>5767</v>
      </c>
      <c r="DL72" s="501">
        <f>SUM($CQ$20:DL20)</f>
        <v>5948</v>
      </c>
      <c r="DM72" s="501">
        <f>SUM($CQ$20:DM20)</f>
        <v>6149</v>
      </c>
      <c r="DN72" s="501">
        <f>SUM($CQ$20:DN20)</f>
        <v>6399</v>
      </c>
      <c r="DO72" s="501">
        <f>SUM($CQ$20:DO20)</f>
        <v>6699</v>
      </c>
      <c r="DP72" s="501">
        <f>SUM($CQ$20:DP20)</f>
        <v>7103</v>
      </c>
      <c r="DQ72" s="501">
        <f>SUM($DQ$20:DQ20)</f>
        <v>363</v>
      </c>
      <c r="DR72" s="501">
        <f>SUM($DQ$20:DR20)</f>
        <v>763</v>
      </c>
      <c r="DS72" s="501">
        <f>SUM($DQ$20:DS20)</f>
        <v>1163</v>
      </c>
      <c r="DT72" s="501">
        <f>SUM($DQ$20:DT20)</f>
        <v>1564</v>
      </c>
      <c r="DU72" s="501">
        <f>SUM($DQ$20:DU20)</f>
        <v>1963</v>
      </c>
      <c r="DV72" s="501">
        <f>SUM($DQ$20:DV20)</f>
        <v>2401</v>
      </c>
      <c r="DW72" s="501">
        <f>SUM($DQ$20:DW20)</f>
        <v>2801</v>
      </c>
      <c r="DX72" s="501">
        <f>SUM($DQ$20:DX20)</f>
        <v>3201</v>
      </c>
      <c r="DY72" s="501">
        <f>SUM($DQ$20:DY20)</f>
        <v>3601</v>
      </c>
      <c r="DZ72" s="501">
        <f>SUM($DQ$20:DZ20)</f>
        <v>4001</v>
      </c>
      <c r="EA72" s="501">
        <f>SUM($DQ$20:EA20)</f>
        <v>4402</v>
      </c>
      <c r="EB72" s="501">
        <f>SUM($DQ$20:EB20)</f>
        <v>4875</v>
      </c>
      <c r="EC72" s="501">
        <f>SUM($DQ$20:EC20)</f>
        <v>5175</v>
      </c>
      <c r="ED72" s="501">
        <f>SUM($DQ$20:ED20)</f>
        <v>5415</v>
      </c>
      <c r="EE72" s="499">
        <f>SUM($DQ$20:EE20)</f>
        <v>5776</v>
      </c>
      <c r="EF72" s="499">
        <f>SUM($DQ$20:EF20)</f>
        <v>6076</v>
      </c>
      <c r="EG72" s="499">
        <f>SUM($DQ$20:EG20)</f>
        <v>6376</v>
      </c>
      <c r="EH72" s="501">
        <f>SUM($DQ$20:EH20)</f>
        <v>6676</v>
      </c>
      <c r="EI72" s="501">
        <f>SUM($DQ$20:EI20)</f>
        <v>6976</v>
      </c>
      <c r="EJ72" s="501">
        <f>SUM($DQ$20:EJ20)</f>
        <v>7276</v>
      </c>
      <c r="EK72" s="501">
        <f>SUM($DQ$20:EK20)</f>
        <v>7476</v>
      </c>
      <c r="EL72" s="501">
        <f>SUM($DQ$20:EL20)</f>
        <v>7676</v>
      </c>
      <c r="EM72" s="501">
        <f>SUM($DQ$20:EM20)</f>
        <v>7876</v>
      </c>
    </row>
    <row r="73" spans="1:143" x14ac:dyDescent="0.25">
      <c r="A73" s="490" t="s">
        <v>583</v>
      </c>
      <c r="B73" s="3" t="s">
        <v>589</v>
      </c>
      <c r="C73" s="514">
        <f>SUM($C$61:C61)</f>
        <v>701.60000000000014</v>
      </c>
      <c r="D73" s="514">
        <f>SUM($C$61:D61)</f>
        <v>1057.3557522123895</v>
      </c>
      <c r="E73" s="514">
        <f>SUM($C$61:E61)</f>
        <v>1408.1557522123894</v>
      </c>
      <c r="F73" s="514">
        <f>SUM($C$61:F61)</f>
        <v>1661.7557522123896</v>
      </c>
      <c r="G73" s="514">
        <f>SUM($C$61:G61)</f>
        <v>2082.3557522123897</v>
      </c>
      <c r="H73" s="514">
        <f>SUM($C$61:H61)</f>
        <v>2224.4557522123896</v>
      </c>
      <c r="I73" s="514">
        <f>SUM($C$61:I61)</f>
        <v>2685.6557522123894</v>
      </c>
      <c r="J73" s="514">
        <f>SUM($C$61:J61)</f>
        <v>3094.0557522123895</v>
      </c>
      <c r="K73" s="514">
        <f>SUM($C$61:K61)</f>
        <v>3348.6557522123894</v>
      </c>
      <c r="L73" s="514">
        <f>SUM($C$61:L61)</f>
        <v>3897.2557522123898</v>
      </c>
      <c r="M73" s="514">
        <f>SUM($C$61:M61)</f>
        <v>4425.97575221239</v>
      </c>
      <c r="N73" s="514">
        <f>SUM($C$61:N61)</f>
        <v>4920.8557522123901</v>
      </c>
      <c r="O73" s="514">
        <f>SUM($C$61:O61)</f>
        <v>5589.05575221239</v>
      </c>
      <c r="P73" s="514">
        <f>SUM($C$61:P61)</f>
        <v>6054.7557522123898</v>
      </c>
      <c r="Q73" s="514">
        <f>SUM($C$61:Q61)</f>
        <v>6593.3557522123901</v>
      </c>
      <c r="R73" s="514">
        <f>SUM($C$61:R61)</f>
        <v>7136.05575221239</v>
      </c>
      <c r="S73" s="514">
        <f>SUM($C$61:S61)</f>
        <v>7585.05575221239</v>
      </c>
      <c r="T73" s="514">
        <f>SUM($C$61:T61)</f>
        <v>7893.05575221239</v>
      </c>
      <c r="U73" s="514">
        <f>SUM($C$61:U61)</f>
        <v>8676.4557522123905</v>
      </c>
      <c r="V73" s="514">
        <f>SUM($C$61:V61)</f>
        <v>9206.3557522123901</v>
      </c>
      <c r="W73" s="514">
        <f>SUM($C$61:W61)</f>
        <v>9938.9557522123905</v>
      </c>
      <c r="X73" s="514">
        <f>SUM($C$61:X61)</f>
        <v>11105.75575221239</v>
      </c>
      <c r="Y73" s="514">
        <f>SUM($C$61:Y61)</f>
        <v>12040.955752212391</v>
      </c>
      <c r="Z73" s="514">
        <f>SUM($C$61:Z61)</f>
        <v>12916.955752212391</v>
      </c>
      <c r="AA73" s="514">
        <f>SUM($C$61:AA61)</f>
        <v>13959.155752212391</v>
      </c>
      <c r="AB73" s="514">
        <f>SUM($C$61:AB61)</f>
        <v>14705.455752212391</v>
      </c>
      <c r="AC73" s="514">
        <f>SUM($C$61:AC61)</f>
        <v>15490.955752212391</v>
      </c>
      <c r="AD73" s="508">
        <f>SUM($AD$61:AD61)</f>
        <v>667.59999999999991</v>
      </c>
      <c r="AE73" s="508">
        <f>SUM($AD$61:AE61)</f>
        <v>1407.2999999999997</v>
      </c>
      <c r="AF73" s="508">
        <f>SUM($AD$61:AF61)</f>
        <v>2139.4799999999996</v>
      </c>
      <c r="AG73" s="508">
        <f>SUM($AD$61:AG61)</f>
        <v>3044.2799999999997</v>
      </c>
      <c r="AH73" s="508">
        <f>SUM($AD$61:AH61)</f>
        <v>3937.58</v>
      </c>
      <c r="AI73" s="508">
        <f>SUM($AD$61:AI61)</f>
        <v>4758.1799999999994</v>
      </c>
      <c r="AJ73" s="508">
        <f>SUM($AD$61:AJ61)</f>
        <v>5331.9</v>
      </c>
      <c r="AK73" s="508">
        <f>SUM($AD$61:AK61)</f>
        <v>6007.04</v>
      </c>
      <c r="AL73" s="508">
        <f>SUM($AD$61:AL61)</f>
        <v>6699.0599999999995</v>
      </c>
      <c r="AM73" s="508">
        <f>SUM($AD$61:AM61)</f>
        <v>7300.2</v>
      </c>
      <c r="AN73" s="508">
        <f>SUM($AD$61:AN61)</f>
        <v>8047.75</v>
      </c>
      <c r="AO73" s="508">
        <f>SUM($AD$61:AO61)</f>
        <v>8854.8700000000008</v>
      </c>
      <c r="AP73" s="508">
        <f>SUM($AD$61:AP61)</f>
        <v>9713.3700000000008</v>
      </c>
      <c r="AQ73" s="508">
        <f>SUM($AD$61:AQ61)</f>
        <v>10577.570000000002</v>
      </c>
      <c r="AR73" s="508">
        <f>SUM($AD$61:AR61)</f>
        <v>11192.270000000002</v>
      </c>
      <c r="AS73" s="508">
        <f>SUM($AD$61:AS61)</f>
        <v>12030.170000000002</v>
      </c>
      <c r="AT73" s="508">
        <f>SUM($AD$61:AT61)</f>
        <v>12932.570000000002</v>
      </c>
      <c r="AU73" s="508">
        <f>SUM($AD$61:AU61)</f>
        <v>13838.070000000002</v>
      </c>
      <c r="AV73" s="508">
        <f>SUM($AD$61:AV61)</f>
        <v>14478.070000000002</v>
      </c>
      <c r="AW73" s="508">
        <f>SUM($AD$61:AW61)</f>
        <v>15262.770000000002</v>
      </c>
      <c r="AX73" s="508">
        <f>SUM($AD$61:AX61)</f>
        <v>16021.070000000003</v>
      </c>
      <c r="AY73" s="508">
        <f>SUM($AD$61:AY61)</f>
        <v>16685.670000000002</v>
      </c>
      <c r="AZ73" s="508">
        <f>SUM($AD$61:AZ61)</f>
        <v>17339.570000000003</v>
      </c>
      <c r="BA73" s="508">
        <f>SUM($AD$61:BA61)</f>
        <v>17991.870000000003</v>
      </c>
      <c r="BB73" s="508">
        <f>SUM($AD$61:BB61)</f>
        <v>18486.47</v>
      </c>
      <c r="BC73" s="508">
        <f>SUM($AD$61:BC61)</f>
        <v>18648.170000000002</v>
      </c>
      <c r="BD73" s="497">
        <f>SUM($BD$61:BD61)</f>
        <v>161.4</v>
      </c>
      <c r="BE73" s="497">
        <f>SUM($BD$61:BE61)</f>
        <v>362.6</v>
      </c>
      <c r="BF73" s="497">
        <f>SUM($BD$61:BF61)</f>
        <v>443.70000000000005</v>
      </c>
      <c r="BG73" s="497">
        <f>SUM($BD$61:BG61)</f>
        <v>609.80000000000007</v>
      </c>
      <c r="BH73" s="497">
        <f>SUM($BD$61:BH61)</f>
        <v>792.7</v>
      </c>
      <c r="BI73" s="497">
        <f>SUM($BD$61:BI61)</f>
        <v>976</v>
      </c>
      <c r="BJ73" s="497">
        <f>SUM($BD$61:BJ61)</f>
        <v>1172.2</v>
      </c>
      <c r="BK73" s="497">
        <f>SUM($BD$61:BK61)</f>
        <v>1331.02</v>
      </c>
      <c r="BL73" s="497">
        <f>SUM($BD$61:BL61)</f>
        <v>1568.52</v>
      </c>
      <c r="BM73" s="497">
        <f>SUM($BD$61:BM61)</f>
        <v>1676.72</v>
      </c>
      <c r="BN73" s="497">
        <f>SUM($BD$61:BN61)</f>
        <v>1847.22</v>
      </c>
      <c r="BO73" s="497">
        <f>SUM($BD$61:BO61)</f>
        <v>2041.54</v>
      </c>
      <c r="BP73" s="497">
        <f>SUM($BD$61:BP61)</f>
        <v>2111.2599999999998</v>
      </c>
      <c r="BQ73" s="497">
        <f>SUM($BD$61:BQ61)</f>
        <v>2148.58</v>
      </c>
      <c r="BR73" s="497">
        <f>SUM($BD$61:BR61)</f>
        <v>2148.58</v>
      </c>
      <c r="BS73" s="497">
        <f>SUM($BD$61:BS61)</f>
        <v>2148.58</v>
      </c>
      <c r="BT73" s="497">
        <f>SUM($BD$61:BT61)</f>
        <v>2148.58</v>
      </c>
      <c r="BU73" s="497">
        <f>SUM($BD$61:BU61)</f>
        <v>2148.58</v>
      </c>
      <c r="BV73" s="497">
        <f>SUM($BD$61:BV61)</f>
        <v>2148.58</v>
      </c>
      <c r="BW73" s="497">
        <f>SUM($BD$61:BW61)</f>
        <v>2148.58</v>
      </c>
      <c r="BX73" s="497">
        <f>SUM($BD$61:BX61)</f>
        <v>2148.58</v>
      </c>
      <c r="BY73" s="497">
        <f>SUM($BD$61:BY61)</f>
        <v>2148.58</v>
      </c>
      <c r="BZ73" s="497">
        <f>SUM($BD$61:BZ61)</f>
        <v>2148.58</v>
      </c>
      <c r="CA73" s="497">
        <f>SUM($BD$61:CA61)</f>
        <v>2446.9899999999998</v>
      </c>
      <c r="CB73" s="497">
        <f>SUM($BD$61:CB61)</f>
        <v>2446.9899999999998</v>
      </c>
      <c r="CC73" s="497">
        <f>SUM($BD$61:CC61)</f>
        <v>2446.9899999999998</v>
      </c>
      <c r="CD73" s="497">
        <f>SUM($BD$61:CD61)</f>
        <v>2446.9899999999998</v>
      </c>
      <c r="CE73" s="497">
        <f>SUM($BD$61:CE61)</f>
        <v>2789.9799999999996</v>
      </c>
      <c r="CF73" s="497">
        <f>SUM($BD$61:CF61)</f>
        <v>3315.7699999999995</v>
      </c>
      <c r="CG73" s="497">
        <f>SUM($BD$61:CG61)</f>
        <v>3821.0099999999998</v>
      </c>
      <c r="CH73" s="497">
        <f>SUM($BD$61:CH61)</f>
        <v>4166.01</v>
      </c>
      <c r="CI73" s="497">
        <f>SUM($BD$61:CI61)</f>
        <v>4747.6900000000005</v>
      </c>
      <c r="CJ73" s="497">
        <f>SUM($BD$61:CJ61)</f>
        <v>5148.93</v>
      </c>
      <c r="CK73" s="497">
        <f>SUM($BD$61:CK61)</f>
        <v>5638.41</v>
      </c>
      <c r="CL73" s="497">
        <f>SUM($BD$61:CL61)</f>
        <v>6517.78</v>
      </c>
      <c r="CM73" s="497">
        <f>SUM($BD$61:CM61)</f>
        <v>7374.1399999999994</v>
      </c>
      <c r="CN73" s="497">
        <f>SUM($BD$61:CN61)</f>
        <v>8066.0599999999995</v>
      </c>
      <c r="CO73" s="497">
        <f>SUM($BD$61:CO61)</f>
        <v>8927.14</v>
      </c>
      <c r="CP73" s="497">
        <f>SUM($BD$61:CP61)</f>
        <v>9564.0999999999985</v>
      </c>
      <c r="CQ73" s="501">
        <f>SUM($CQ$61:CQ61)</f>
        <v>521.30999999999995</v>
      </c>
      <c r="CR73" s="501">
        <f>SUM($CQ$61:CR61)</f>
        <v>1204.1499999999999</v>
      </c>
      <c r="CS73" s="501">
        <f>SUM($CQ$61:CS61)</f>
        <v>1836.33</v>
      </c>
      <c r="CT73" s="501">
        <f>SUM($CQ$61:CT61)</f>
        <v>2476.63</v>
      </c>
      <c r="CU73" s="501">
        <f>SUM($CQ$61:CU61)</f>
        <v>3276.96</v>
      </c>
      <c r="CV73" s="501">
        <f>SUM($CQ$61:CV61)</f>
        <v>4024.84</v>
      </c>
      <c r="CW73" s="501">
        <f>SUM($CQ$61:CW61)</f>
        <v>4499.43</v>
      </c>
      <c r="CX73" s="501">
        <f>SUM($CQ$61:CX61)</f>
        <v>5257.68</v>
      </c>
      <c r="CY73" s="501">
        <f>SUM($CQ$61:CY61)</f>
        <v>6201.29</v>
      </c>
      <c r="CZ73" s="501">
        <f>SUM($CQ$61:CZ61)</f>
        <v>7270.03</v>
      </c>
      <c r="DA73" s="501">
        <f>SUM($CQ$61:DA61)</f>
        <v>8247.6</v>
      </c>
      <c r="DB73" s="501">
        <f>SUM($CQ$61:DB61)</f>
        <v>9011.76</v>
      </c>
      <c r="DC73" s="501">
        <f>SUM($CQ$61:DC61)</f>
        <v>9860.56</v>
      </c>
      <c r="DD73" s="501">
        <f>SUM($CQ$61:DD61)</f>
        <v>10637.8</v>
      </c>
      <c r="DE73" s="501">
        <f>SUM($CQ$61:DE61)</f>
        <v>11396.51</v>
      </c>
      <c r="DF73" s="501">
        <f>SUM($CQ$61:DF61)</f>
        <v>12298.55</v>
      </c>
      <c r="DG73" s="501">
        <f>SUM($CQ$61:DG61)</f>
        <v>12872.919999999998</v>
      </c>
      <c r="DH73" s="501">
        <f>SUM($CQ$61:DH61)</f>
        <v>13383.469999999998</v>
      </c>
      <c r="DI73" s="501">
        <f>SUM($CQ$61:DI61)</f>
        <v>13821.603999999998</v>
      </c>
      <c r="DJ73" s="501">
        <f>SUM($CQ$61:DJ61)</f>
        <v>14180.033999999998</v>
      </c>
      <c r="DK73" s="501">
        <f>SUM($CQ$61:DK61)</f>
        <v>14436.193999999998</v>
      </c>
      <c r="DL73" s="501">
        <f>SUM($CQ$61:DL61)</f>
        <v>14730.593999999997</v>
      </c>
      <c r="DM73" s="501">
        <f>SUM($CQ$61:DM61)</f>
        <v>15063.753999999997</v>
      </c>
      <c r="DN73" s="501">
        <f>SUM($CQ$61:DN61)</f>
        <v>15436.993999999997</v>
      </c>
      <c r="DO73" s="501">
        <f>SUM($CQ$61:DO61)</f>
        <v>16023.073999999997</v>
      </c>
      <c r="DP73" s="501">
        <f>SUM($CQ$61:DP61)</f>
        <v>16547.903999999995</v>
      </c>
      <c r="DQ73" s="501">
        <f>SUM($DQ$61:DQ61)</f>
        <v>359.28</v>
      </c>
      <c r="DR73" s="501">
        <f>SUM($DQ$61:DR61)</f>
        <v>1051.6199999999999</v>
      </c>
      <c r="DS73" s="501">
        <f>SUM($DQ$61:DS61)</f>
        <v>1576.19</v>
      </c>
      <c r="DT73" s="501">
        <f>SUM($DQ$61:DT61)</f>
        <v>1834.021</v>
      </c>
      <c r="DU73" s="501">
        <f>SUM($DQ$61:DU61)</f>
        <v>2004.0237999999999</v>
      </c>
      <c r="DV73" s="501">
        <f>SUM($DQ$61:DV61)</f>
        <v>2141.4737999999998</v>
      </c>
      <c r="DW73" s="501">
        <f>SUM($DQ$61:DW61)</f>
        <v>2197.8737999999998</v>
      </c>
      <c r="DX73" s="501">
        <f>SUM($DQ$61:DX61)</f>
        <v>2838.7338</v>
      </c>
      <c r="DY73" s="501">
        <f>SUM($DQ$61:DY61)</f>
        <v>2842.7338</v>
      </c>
      <c r="DZ73" s="501">
        <f>SUM($DQ$61:DZ61)</f>
        <v>2961.9638</v>
      </c>
      <c r="EA73" s="501">
        <f>SUM($DQ$61:EA61)</f>
        <v>2980.7847999999999</v>
      </c>
      <c r="EB73" s="501">
        <f>SUM($DQ$61:EB61)</f>
        <v>3286.7797999999998</v>
      </c>
      <c r="EC73" s="501">
        <f>SUM($DQ$61:EC61)</f>
        <v>3628.8498</v>
      </c>
      <c r="ED73" s="501">
        <f>SUM($DQ$61:ED61)</f>
        <v>4033.4998000000001</v>
      </c>
      <c r="EE73" s="499">
        <f>SUM($DQ$61:EE61)</f>
        <v>4539.1098000000002</v>
      </c>
      <c r="EF73" s="499">
        <f>SUM($DQ$61:EF61)</f>
        <v>4929.6698000000006</v>
      </c>
      <c r="EG73" s="499">
        <f>SUM($DQ$61:EG61)</f>
        <v>5441.2048000000004</v>
      </c>
      <c r="EH73" s="501">
        <f>SUM($DQ$61:EH61)</f>
        <v>6019.9248000000007</v>
      </c>
      <c r="EI73" s="501">
        <f>SUM($DQ$61:EI61)</f>
        <v>6393.1848000000009</v>
      </c>
      <c r="EJ73" s="501">
        <f>SUM($DQ$61:EJ61)</f>
        <v>6393.1848000000009</v>
      </c>
      <c r="EK73" s="501">
        <f>SUM($DQ$61:EK61)</f>
        <v>6393.1848000000009</v>
      </c>
      <c r="EL73" s="501">
        <f>SUM($DQ$61:EL61)</f>
        <v>6393.1848000000009</v>
      </c>
      <c r="EM73" s="501">
        <f>SUM($DQ$61:EM61)</f>
        <v>6393.1848000000009</v>
      </c>
    </row>
    <row r="74" spans="1:143" x14ac:dyDescent="0.25">
      <c r="A74" s="493" t="s">
        <v>584</v>
      </c>
      <c r="B74" s="3" t="s">
        <v>589</v>
      </c>
      <c r="C74" s="512">
        <f t="shared" ref="C74:AD74" si="171">C73/C72</f>
        <v>2.2928104575163402</v>
      </c>
      <c r="D74" s="512">
        <f t="shared" si="171"/>
        <v>1.9017189787992617</v>
      </c>
      <c r="E74" s="512">
        <f t="shared" si="171"/>
        <v>1.6074837354022711</v>
      </c>
      <c r="F74" s="512">
        <f t="shared" si="171"/>
        <v>1.5287541418697237</v>
      </c>
      <c r="G74" s="512">
        <f t="shared" si="171"/>
        <v>1.5574837338910918</v>
      </c>
      <c r="H74" s="512">
        <f t="shared" si="171"/>
        <v>1.3972712011384356</v>
      </c>
      <c r="I74" s="512">
        <f t="shared" si="171"/>
        <v>1.4172325869194666</v>
      </c>
      <c r="J74" s="512">
        <f t="shared" si="171"/>
        <v>1.3781985533240042</v>
      </c>
      <c r="K74" s="512">
        <f t="shared" si="171"/>
        <v>1.2894323266123948</v>
      </c>
      <c r="L74" s="512">
        <f t="shared" si="171"/>
        <v>1.3224485077069528</v>
      </c>
      <c r="M74" s="512">
        <f t="shared" si="171"/>
        <v>1.3424251599067001</v>
      </c>
      <c r="N74" s="512">
        <f t="shared" si="171"/>
        <v>1.3492886625205347</v>
      </c>
      <c r="O74" s="512">
        <f t="shared" si="171"/>
        <v>1.4000640661854684</v>
      </c>
      <c r="P74" s="512">
        <f t="shared" si="171"/>
        <v>1.4103786983956184</v>
      </c>
      <c r="Q74" s="512">
        <f t="shared" si="171"/>
        <v>1.424974227839289</v>
      </c>
      <c r="R74" s="512">
        <f t="shared" si="171"/>
        <v>1.4471822657092659</v>
      </c>
      <c r="S74" s="512">
        <f t="shared" si="171"/>
        <v>1.4483589368364311</v>
      </c>
      <c r="T74" s="512">
        <f t="shared" si="171"/>
        <v>1.4280904201578415</v>
      </c>
      <c r="U74" s="512">
        <f t="shared" si="171"/>
        <v>1.4846775756694714</v>
      </c>
      <c r="V74" s="512">
        <f t="shared" si="171"/>
        <v>1.4863344772703246</v>
      </c>
      <c r="W74" s="512">
        <f t="shared" si="171"/>
        <v>1.5187890819395462</v>
      </c>
      <c r="X74" s="512">
        <f t="shared" si="171"/>
        <v>1.599331185514457</v>
      </c>
      <c r="Y74" s="512">
        <f t="shared" si="171"/>
        <v>1.6567082763088044</v>
      </c>
      <c r="Z74" s="512">
        <f t="shared" si="171"/>
        <v>1.6736143757725306</v>
      </c>
      <c r="AA74" s="512">
        <f t="shared" si="171"/>
        <v>1.7090053565392251</v>
      </c>
      <c r="AB74" s="512">
        <f t="shared" si="171"/>
        <v>1.7159224915066966</v>
      </c>
      <c r="AC74" s="512">
        <f t="shared" si="171"/>
        <v>1.7269738854194416</v>
      </c>
      <c r="AD74" s="505">
        <f t="shared" si="171"/>
        <v>1.9074285714285713</v>
      </c>
      <c r="AE74" s="505">
        <f t="shared" ref="AE74:BC74" si="172">AE73/AE72</f>
        <v>2.0133047210300425</v>
      </c>
      <c r="AF74" s="505">
        <f t="shared" si="172"/>
        <v>2.0395424213536697</v>
      </c>
      <c r="AG74" s="505">
        <f t="shared" si="172"/>
        <v>2.1760400285918511</v>
      </c>
      <c r="AH74" s="505">
        <f t="shared" si="172"/>
        <v>2.2513321898227558</v>
      </c>
      <c r="AI74" s="505">
        <f t="shared" si="172"/>
        <v>2.2657999999999996</v>
      </c>
      <c r="AJ74" s="505">
        <f t="shared" si="172"/>
        <v>2.221625</v>
      </c>
      <c r="AK74" s="505">
        <f t="shared" si="172"/>
        <v>2.206847905951506</v>
      </c>
      <c r="AL74" s="505">
        <f t="shared" si="172"/>
        <v>2.2000197044334975</v>
      </c>
      <c r="AM74" s="505">
        <f t="shared" si="172"/>
        <v>2.1824215246636771</v>
      </c>
      <c r="AN74" s="505">
        <f t="shared" si="172"/>
        <v>2.1922500681013348</v>
      </c>
      <c r="AO74" s="505">
        <f t="shared" si="172"/>
        <v>2.227640251572327</v>
      </c>
      <c r="AP74" s="505">
        <f t="shared" si="172"/>
        <v>2.2710708440495675</v>
      </c>
      <c r="AQ74" s="505">
        <f t="shared" si="172"/>
        <v>2.3049836565700592</v>
      </c>
      <c r="AR74" s="505">
        <f t="shared" si="172"/>
        <v>2.2888077709611458</v>
      </c>
      <c r="AS74" s="505">
        <f t="shared" si="172"/>
        <v>2.3179518304431603</v>
      </c>
      <c r="AT74" s="505">
        <f t="shared" si="172"/>
        <v>2.3548015294974509</v>
      </c>
      <c r="AU74" s="505">
        <f t="shared" si="172"/>
        <v>2.3891695441988952</v>
      </c>
      <c r="AV74" s="505">
        <f t="shared" si="172"/>
        <v>2.3761808632857382</v>
      </c>
      <c r="AW74" s="505">
        <f t="shared" si="172"/>
        <v>2.385553297905596</v>
      </c>
      <c r="AX74" s="505">
        <f t="shared" si="172"/>
        <v>2.3741953171310022</v>
      </c>
      <c r="AY74" s="505">
        <f t="shared" si="172"/>
        <v>2.3577320898685885</v>
      </c>
      <c r="AZ74" s="505">
        <f t="shared" si="172"/>
        <v>2.3504907143825409</v>
      </c>
      <c r="BA74" s="505">
        <f t="shared" si="172"/>
        <v>2.3429964839171769</v>
      </c>
      <c r="BB74" s="505">
        <f t="shared" si="172"/>
        <v>2.3171809977437956</v>
      </c>
      <c r="BC74" s="505">
        <f t="shared" si="172"/>
        <v>2.294312253937008</v>
      </c>
      <c r="BD74" s="498">
        <f>BD73/BD72</f>
        <v>1.0760000000000001</v>
      </c>
      <c r="BE74" s="498">
        <f t="shared" ref="BE74:CP74" si="173">BE73/BE72</f>
        <v>1.2086666666666668</v>
      </c>
      <c r="BF74" s="498">
        <f t="shared" si="173"/>
        <v>0.9860000000000001</v>
      </c>
      <c r="BG74" s="498">
        <f t="shared" si="173"/>
        <v>1.0163333333333335</v>
      </c>
      <c r="BH74" s="498">
        <f t="shared" si="173"/>
        <v>1.0569333333333335</v>
      </c>
      <c r="BI74" s="498">
        <f t="shared" si="173"/>
        <v>1.0772626931567328</v>
      </c>
      <c r="BJ74" s="498">
        <f t="shared" si="173"/>
        <v>1.1100378787878789</v>
      </c>
      <c r="BK74" s="498">
        <f t="shared" si="173"/>
        <v>1.1027506213753107</v>
      </c>
      <c r="BL74" s="498">
        <f t="shared" si="173"/>
        <v>1.1811144578313253</v>
      </c>
      <c r="BM74" s="498">
        <f t="shared" si="173"/>
        <v>1.1579558011049724</v>
      </c>
      <c r="BN74" s="498">
        <f t="shared" si="173"/>
        <v>1.1780739795918367</v>
      </c>
      <c r="BO74" s="498">
        <f t="shared" si="173"/>
        <v>1.2094431279620852</v>
      </c>
      <c r="BP74" s="498">
        <f t="shared" si="173"/>
        <v>1.1677323008849556</v>
      </c>
      <c r="BQ74" s="498">
        <f t="shared" si="173"/>
        <v>1.1320231822971549</v>
      </c>
      <c r="BR74" s="498">
        <f t="shared" si="173"/>
        <v>1.1320231822971549</v>
      </c>
      <c r="BS74" s="498">
        <f t="shared" si="173"/>
        <v>1.1320231822971549</v>
      </c>
      <c r="BT74" s="498">
        <f t="shared" si="173"/>
        <v>1.1320231822971549</v>
      </c>
      <c r="BU74" s="498">
        <f t="shared" si="173"/>
        <v>1.1320231822971549</v>
      </c>
      <c r="BV74" s="498">
        <f t="shared" si="173"/>
        <v>1.1320231822971549</v>
      </c>
      <c r="BW74" s="498">
        <f t="shared" si="173"/>
        <v>1.1320231822971549</v>
      </c>
      <c r="BX74" s="498">
        <f t="shared" si="173"/>
        <v>1.1320231822971549</v>
      </c>
      <c r="BY74" s="498">
        <f t="shared" si="173"/>
        <v>1.1320231822971549</v>
      </c>
      <c r="BZ74" s="498">
        <f t="shared" si="173"/>
        <v>1.1320231822971549</v>
      </c>
      <c r="CA74" s="498">
        <f t="shared" si="173"/>
        <v>1.0574719101123595</v>
      </c>
      <c r="CB74" s="498">
        <f t="shared" si="173"/>
        <v>1.0574719101123595</v>
      </c>
      <c r="CC74" s="498">
        <f t="shared" si="173"/>
        <v>1.0574719101123595</v>
      </c>
      <c r="CD74" s="498">
        <f t="shared" si="173"/>
        <v>1.0574719101123595</v>
      </c>
      <c r="CE74" s="498">
        <f t="shared" si="173"/>
        <v>1.1010181531176004</v>
      </c>
      <c r="CF74" s="498">
        <f t="shared" si="173"/>
        <v>1.1965968964272824</v>
      </c>
      <c r="CG74" s="498">
        <f t="shared" si="173"/>
        <v>1.2707050216162288</v>
      </c>
      <c r="CH74" s="498">
        <f t="shared" si="173"/>
        <v>1.3137842951750238</v>
      </c>
      <c r="CI74" s="498">
        <f t="shared" si="173"/>
        <v>1.4083921684959955</v>
      </c>
      <c r="CJ74" s="498">
        <f t="shared" si="173"/>
        <v>1.4577944507361269</v>
      </c>
      <c r="CK74" s="498">
        <f t="shared" si="173"/>
        <v>1.5181502423263327</v>
      </c>
      <c r="CL74" s="498">
        <f t="shared" si="173"/>
        <v>1.5819854368932038</v>
      </c>
      <c r="CM74" s="498">
        <f t="shared" si="173"/>
        <v>1.63906201378084</v>
      </c>
      <c r="CN74" s="498">
        <f t="shared" si="173"/>
        <v>1.6832345575959933</v>
      </c>
      <c r="CO74" s="498">
        <f t="shared" si="173"/>
        <v>1.7330887206367696</v>
      </c>
      <c r="CP74" s="498">
        <f t="shared" si="173"/>
        <v>1.7873481592225748</v>
      </c>
      <c r="CQ74" s="502">
        <f>CQ73/CQ72</f>
        <v>2.6065499999999999</v>
      </c>
      <c r="CR74" s="502">
        <f t="shared" ref="CR74:DH74" si="174">CR73/CR72</f>
        <v>3.0103749999999998</v>
      </c>
      <c r="CS74" s="502">
        <f t="shared" si="174"/>
        <v>3.0554575707154741</v>
      </c>
      <c r="CT74" s="502">
        <f t="shared" si="174"/>
        <v>3.084221668742217</v>
      </c>
      <c r="CU74" s="502">
        <f t="shared" si="174"/>
        <v>2.8298445595854922</v>
      </c>
      <c r="CV74" s="502">
        <f t="shared" si="174"/>
        <v>2.6707631055076311</v>
      </c>
      <c r="CW74" s="502">
        <f t="shared" si="174"/>
        <v>2.6389618768328447</v>
      </c>
      <c r="CX74" s="502">
        <f t="shared" si="174"/>
        <v>2.5899901477832512</v>
      </c>
      <c r="CY74" s="502">
        <f t="shared" si="174"/>
        <v>2.604489710205796</v>
      </c>
      <c r="CZ74" s="502">
        <f t="shared" si="174"/>
        <v>2.6620395459538631</v>
      </c>
      <c r="DA74" s="502">
        <f t="shared" si="174"/>
        <v>2.6291361173095313</v>
      </c>
      <c r="DB74" s="502">
        <f t="shared" si="174"/>
        <v>2.5471339739966083</v>
      </c>
      <c r="DC74" s="502">
        <f t="shared" si="174"/>
        <v>2.5361522633744853</v>
      </c>
      <c r="DD74" s="502">
        <f t="shared" si="174"/>
        <v>2.5100991033506368</v>
      </c>
      <c r="DE74" s="502">
        <f t="shared" si="174"/>
        <v>2.4828997821350764</v>
      </c>
      <c r="DF74" s="502">
        <f t="shared" si="174"/>
        <v>2.5124719101123594</v>
      </c>
      <c r="DG74" s="502">
        <f t="shared" si="174"/>
        <v>2.5265789990186454</v>
      </c>
      <c r="DH74" s="502">
        <f t="shared" si="174"/>
        <v>2.5209022414767372</v>
      </c>
      <c r="DI74" s="502">
        <f t="shared" ref="DI74:EH74" si="175">DI73/DI72</f>
        <v>2.5314293040293037</v>
      </c>
      <c r="DJ74" s="502">
        <f t="shared" si="175"/>
        <v>2.5249348290598288</v>
      </c>
      <c r="DK74" s="502">
        <f t="shared" si="175"/>
        <v>2.5032415467314024</v>
      </c>
      <c r="DL74" s="502">
        <f t="shared" si="175"/>
        <v>2.4765625420309343</v>
      </c>
      <c r="DM74" s="502">
        <f t="shared" si="175"/>
        <v>2.4497892340217917</v>
      </c>
      <c r="DN74" s="502">
        <f t="shared" si="175"/>
        <v>2.412407251132989</v>
      </c>
      <c r="DO74" s="502">
        <f t="shared" si="175"/>
        <v>2.3918605762054033</v>
      </c>
      <c r="DP74" s="502">
        <f t="shared" si="175"/>
        <v>2.3297063212727012</v>
      </c>
      <c r="DQ74" s="502">
        <f t="shared" si="175"/>
        <v>0.98975206611570243</v>
      </c>
      <c r="DR74" s="502">
        <f t="shared" si="175"/>
        <v>1.3782699868938399</v>
      </c>
      <c r="DS74" s="502">
        <f t="shared" si="175"/>
        <v>1.3552794496990541</v>
      </c>
      <c r="DT74" s="502">
        <f t="shared" si="175"/>
        <v>1.1726476982097187</v>
      </c>
      <c r="DU74" s="502">
        <f t="shared" si="175"/>
        <v>1.0208985226693836</v>
      </c>
      <c r="DV74" s="502">
        <f t="shared" si="175"/>
        <v>0.89190912119950005</v>
      </c>
      <c r="DW74" s="502">
        <f t="shared" si="175"/>
        <v>0.78467468761156722</v>
      </c>
      <c r="DX74" s="502">
        <f t="shared" si="175"/>
        <v>0.8868271790065605</v>
      </c>
      <c r="DY74" s="502">
        <f t="shared" si="175"/>
        <v>0.78942899194668148</v>
      </c>
      <c r="DZ74" s="502">
        <f t="shared" si="175"/>
        <v>0.74030587353161714</v>
      </c>
      <c r="EA74" s="502">
        <f t="shared" si="175"/>
        <v>0.67714329850068145</v>
      </c>
      <c r="EB74" s="502">
        <f t="shared" si="175"/>
        <v>0.67421124102564101</v>
      </c>
      <c r="EC74" s="502">
        <f t="shared" si="175"/>
        <v>0.7012270144927536</v>
      </c>
      <c r="ED74" s="502">
        <f t="shared" si="175"/>
        <v>0.74487530932594648</v>
      </c>
      <c r="EE74" s="577">
        <f t="shared" si="175"/>
        <v>0.785856959833795</v>
      </c>
      <c r="EF74" s="577">
        <f t="shared" si="175"/>
        <v>0.81133472679394347</v>
      </c>
      <c r="EG74" s="577">
        <f t="shared" si="175"/>
        <v>0.85338845671267261</v>
      </c>
      <c r="EH74" s="502">
        <f t="shared" si="175"/>
        <v>0.90172630317555436</v>
      </c>
      <c r="EI74" s="502">
        <f>EI73/EI72</f>
        <v>0.91645424311926615</v>
      </c>
      <c r="EJ74" s="502">
        <f>EJ73/EJ72</f>
        <v>0.87866750962067086</v>
      </c>
      <c r="EK74" s="502">
        <f>EK73/EK72</f>
        <v>0.85516115569823448</v>
      </c>
      <c r="EL74" s="502">
        <f t="shared" ref="EL74:EM74" si="176">EL73/EL72</f>
        <v>0.8328797290255342</v>
      </c>
      <c r="EM74" s="502">
        <f t="shared" si="176"/>
        <v>0.8117299136617574</v>
      </c>
    </row>
    <row r="75" spans="1:143" x14ac:dyDescent="0.25">
      <c r="A75" s="493"/>
      <c r="B75" s="486"/>
      <c r="C75" s="513"/>
      <c r="D75" s="513"/>
      <c r="E75" s="513"/>
      <c r="F75" s="513"/>
      <c r="G75" s="513"/>
      <c r="H75" s="513"/>
      <c r="I75" s="513"/>
      <c r="J75" s="513"/>
      <c r="K75" s="513"/>
      <c r="L75" s="513"/>
      <c r="M75" s="513"/>
      <c r="N75" s="513"/>
      <c r="O75" s="513"/>
      <c r="P75" s="513"/>
      <c r="Q75" s="513"/>
      <c r="R75" s="513"/>
      <c r="S75" s="513"/>
      <c r="T75" s="513"/>
      <c r="U75" s="513"/>
      <c r="V75" s="513"/>
      <c r="W75" s="513"/>
      <c r="X75" s="513"/>
      <c r="Y75" s="513"/>
      <c r="Z75" s="513"/>
      <c r="AA75" s="513"/>
      <c r="AB75" s="513"/>
      <c r="AC75" s="513"/>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498"/>
      <c r="BE75" s="498"/>
      <c r="BF75" s="498"/>
      <c r="BG75" s="498"/>
      <c r="BH75" s="498"/>
      <c r="BI75" s="498"/>
      <c r="BJ75" s="498"/>
      <c r="BK75" s="498"/>
      <c r="BL75" s="498"/>
      <c r="BM75" s="498"/>
      <c r="BN75" s="498"/>
      <c r="BO75" s="498"/>
      <c r="BP75" s="498"/>
      <c r="BQ75" s="498"/>
      <c r="BR75" s="498"/>
      <c r="BS75" s="498"/>
      <c r="BT75" s="498"/>
      <c r="BU75" s="498"/>
      <c r="BV75" s="498"/>
      <c r="BW75" s="498"/>
      <c r="BX75" s="498"/>
      <c r="BY75" s="498"/>
      <c r="BZ75" s="498"/>
      <c r="CA75" s="498"/>
      <c r="CB75" s="498"/>
      <c r="CC75" s="498"/>
      <c r="CD75" s="498"/>
      <c r="CE75" s="498"/>
      <c r="CF75" s="498"/>
      <c r="CG75" s="498"/>
      <c r="CH75" s="498"/>
      <c r="CI75" s="498"/>
      <c r="CJ75" s="498"/>
      <c r="CK75" s="498"/>
      <c r="CL75" s="498"/>
      <c r="CM75" s="498"/>
      <c r="CN75" s="498"/>
      <c r="CO75" s="498"/>
      <c r="CP75" s="498"/>
      <c r="CQ75" s="502"/>
      <c r="CR75" s="502"/>
      <c r="CS75" s="502"/>
      <c r="CT75" s="502"/>
      <c r="CU75" s="502"/>
      <c r="CV75" s="502"/>
      <c r="CW75" s="502"/>
      <c r="CX75" s="502"/>
      <c r="CY75" s="502"/>
      <c r="CZ75" s="502"/>
      <c r="DA75" s="502"/>
      <c r="DB75" s="502"/>
      <c r="DC75" s="502"/>
      <c r="DD75" s="502"/>
      <c r="DE75" s="502"/>
      <c r="DF75" s="502"/>
      <c r="DG75" s="502"/>
      <c r="DH75" s="502"/>
      <c r="DI75" s="502"/>
      <c r="DJ75" s="502"/>
      <c r="DR75"/>
      <c r="DS75"/>
      <c r="DT75"/>
      <c r="EE75" s="547"/>
      <c r="EF75" s="547"/>
      <c r="EG75" s="547"/>
    </row>
    <row r="76" spans="1:143" ht="14.1" customHeight="1" x14ac:dyDescent="0.25">
      <c r="A76" s="490" t="s">
        <v>587</v>
      </c>
      <c r="B76" s="486" t="s">
        <v>588</v>
      </c>
      <c r="C76" s="524">
        <f>SUM($C$6:C6)</f>
        <v>10.625</v>
      </c>
      <c r="D76" s="524">
        <f>SUM($C$6:D6)</f>
        <v>22.625</v>
      </c>
      <c r="E76" s="524">
        <f>SUM($C$6:E6)</f>
        <v>36.625</v>
      </c>
      <c r="F76" s="524">
        <f>SUM($C$6:F6)</f>
        <v>50.825000000000003</v>
      </c>
      <c r="G76" s="524">
        <f>SUM($C$6:G6)</f>
        <v>65.025000000000006</v>
      </c>
      <c r="H76" s="524">
        <f>SUM($C$6:H6)</f>
        <v>81.025000000000006</v>
      </c>
      <c r="I76" s="524">
        <f>SUM($C$6:I6)</f>
        <v>97.025000000000006</v>
      </c>
      <c r="J76" s="524">
        <f>SUM($C$6:J6)</f>
        <v>113.02500000000001</v>
      </c>
      <c r="K76" s="524">
        <f>SUM($C$6:K6)</f>
        <v>129.02500000000001</v>
      </c>
      <c r="L76" s="524">
        <f>SUM($C$6:L6)</f>
        <v>145.02500000000001</v>
      </c>
      <c r="M76" s="524">
        <f>SUM($C$6:M6)</f>
        <v>161.02500000000001</v>
      </c>
      <c r="N76" s="524">
        <f>SUM($C$6:N6)</f>
        <v>178.02500000000001</v>
      </c>
      <c r="O76" s="524">
        <f>SUM($C$6:O6)</f>
        <v>195.03300000000002</v>
      </c>
      <c r="P76" s="524">
        <f>SUM($C$6:P6)</f>
        <v>213.58100000000002</v>
      </c>
      <c r="Q76" s="524">
        <f>SUM($C$6:Q6)</f>
        <v>225.58100000000002</v>
      </c>
      <c r="R76" s="524">
        <f>SUM($C$6:R6)</f>
        <v>240.58100000000002</v>
      </c>
      <c r="S76" s="524">
        <f>SUM($C$6:S6)</f>
        <v>255.90600000000001</v>
      </c>
      <c r="T76" s="524">
        <f>SUM($C$6:T6)</f>
        <v>273.40600000000001</v>
      </c>
      <c r="U76" s="524">
        <f>SUM($C$6:U6)</f>
        <v>289.08600000000001</v>
      </c>
      <c r="V76" s="524">
        <f>SUM($C$6:V6)</f>
        <v>304.476</v>
      </c>
      <c r="W76" s="524">
        <f>SUM($C$6:W6)</f>
        <v>320.96600000000001</v>
      </c>
      <c r="X76" s="524">
        <f>SUM($C$6:X6)</f>
        <v>335.99700000000001</v>
      </c>
      <c r="Y76" s="524">
        <f>SUM($C$6:Y6)</f>
        <v>351.29700000000003</v>
      </c>
      <c r="Z76" s="524">
        <f>SUM($C$6:Z6)</f>
        <v>366.29700000000003</v>
      </c>
      <c r="AA76" s="524">
        <f>SUM($C$6:AA6)</f>
        <v>381.29700000000003</v>
      </c>
      <c r="AB76" s="524">
        <f>SUM($C$6:AB6)</f>
        <v>396.29700000000003</v>
      </c>
      <c r="AC76" s="524">
        <f>SUM($C$6:AC6)</f>
        <v>411.339</v>
      </c>
      <c r="AD76" s="504">
        <f>SUM($AD$6:AD6)</f>
        <v>15.42</v>
      </c>
      <c r="AE76" s="504">
        <f>SUM($AD$6:AE6)</f>
        <v>31.32</v>
      </c>
      <c r="AF76" s="504">
        <f>SUM($AD$6:AF6)</f>
        <v>46.86</v>
      </c>
      <c r="AG76" s="504">
        <f>SUM($AD$6:AG6)</f>
        <v>62.488999999999997</v>
      </c>
      <c r="AH76" s="504">
        <f>SUM($AD$6:AH6)</f>
        <v>79.59899999999999</v>
      </c>
      <c r="AI76" s="504">
        <f>SUM($AD$6:AI6)</f>
        <v>94.748999999999995</v>
      </c>
      <c r="AJ76" s="504">
        <f>SUM($AD$6:AJ6)</f>
        <v>109.88</v>
      </c>
      <c r="AK76" s="504">
        <f>SUM($AD$6:AK6)</f>
        <v>128.68</v>
      </c>
      <c r="AL76" s="504">
        <f>SUM($AD$6:AL6)</f>
        <v>146.18</v>
      </c>
      <c r="AM76" s="504">
        <f>SUM($AD$6:AM6)</f>
        <v>163.68</v>
      </c>
      <c r="AN76" s="504">
        <f>SUM($AD$6:AN6)</f>
        <v>183.68</v>
      </c>
      <c r="AO76" s="504">
        <f>SUM($AD$6:AO6)</f>
        <v>203.642</v>
      </c>
      <c r="AP76" s="504">
        <f>SUM($AD$6:AP6)</f>
        <v>223.727</v>
      </c>
      <c r="AQ76" s="504">
        <f>SUM($AD$6:AQ6)</f>
        <v>243.75</v>
      </c>
      <c r="AR76" s="504">
        <f>SUM($AD$6:AR6)</f>
        <v>264.745</v>
      </c>
      <c r="AS76" s="504">
        <f>SUM($AD$6:AS6)</f>
        <v>284.44499999999999</v>
      </c>
      <c r="AT76" s="504">
        <f>SUM($AD$6:AT6)</f>
        <v>304.44499999999999</v>
      </c>
      <c r="AU76" s="504">
        <f>SUM($AD$6:AU6)</f>
        <v>324.495</v>
      </c>
      <c r="AV76" s="504">
        <f>SUM($AD$6:AV6)</f>
        <v>344.50600000000003</v>
      </c>
      <c r="AW76" s="504">
        <f>SUM($AD$6:AW6)</f>
        <v>364.64800000000002</v>
      </c>
      <c r="AX76" s="504">
        <f>SUM($AD$6:AX6)</f>
        <v>382.64800000000002</v>
      </c>
      <c r="AY76" s="504">
        <f>SUM($AD$6:AY6)</f>
        <v>401.64800000000002</v>
      </c>
      <c r="AZ76" s="504">
        <f>SUM($AD$6:AZ6)</f>
        <v>420.64800000000002</v>
      </c>
      <c r="BA76" s="504">
        <f>SUM($AD$6:BA6)</f>
        <v>440.14800000000002</v>
      </c>
      <c r="BB76" s="504">
        <f>SUM($AD$6:BB6)</f>
        <v>460.17200000000003</v>
      </c>
      <c r="BC76" s="504">
        <f>SUM($AD$6:BC6)</f>
        <v>472.322</v>
      </c>
      <c r="BD76" s="495">
        <f>SUM($BD$6:BD6)</f>
        <v>11.6</v>
      </c>
      <c r="BE76" s="495">
        <f>SUM($BD$6:BE6)</f>
        <v>23.649000000000001</v>
      </c>
      <c r="BF76" s="495">
        <f>SUM($BD$6:BF6)</f>
        <v>35.652000000000001</v>
      </c>
      <c r="BG76" s="495">
        <f>SUM($BD$6:BG6)</f>
        <v>47.662999999999997</v>
      </c>
      <c r="BH76" s="495">
        <f>SUM($BD$6:BH6)</f>
        <v>59.674999999999997</v>
      </c>
      <c r="BI76" s="495">
        <f>SUM($BD$6:BI6)</f>
        <v>71.372</v>
      </c>
      <c r="BJ76" s="495">
        <f>SUM($BD$6:BJ6)</f>
        <v>83.091999999999999</v>
      </c>
      <c r="BK76" s="495">
        <f>SUM($BD$6:BK6)</f>
        <v>95.11</v>
      </c>
      <c r="BL76" s="495">
        <f>SUM($BD$6:BL6)</f>
        <v>107.658</v>
      </c>
      <c r="BM76" s="495">
        <f>SUM($BD$6:BM6)</f>
        <v>120.658</v>
      </c>
      <c r="BN76" s="495">
        <f>SUM($BD$6:BN6)</f>
        <v>134.65800000000002</v>
      </c>
      <c r="BO76" s="495">
        <f>SUM($BD$6:BO6)</f>
        <v>147.65800000000002</v>
      </c>
      <c r="BP76" s="495">
        <f>SUM($BD$6:BP6)</f>
        <v>157.65800000000002</v>
      </c>
      <c r="BQ76" s="495">
        <f>SUM($BD$6:BQ6)</f>
        <v>167.65800000000002</v>
      </c>
      <c r="BR76" s="495">
        <f>SUM($BD$6:BR6)</f>
        <v>177.65800000000002</v>
      </c>
      <c r="BS76" s="495">
        <f>SUM($BD$6:BS6)</f>
        <v>187.65800000000002</v>
      </c>
      <c r="BT76" s="495">
        <f>SUM($BD$6:BT6)</f>
        <v>195.15800000000002</v>
      </c>
      <c r="BU76" s="495">
        <f>SUM($BD$6:BU6)</f>
        <v>202.65800000000002</v>
      </c>
      <c r="BV76" s="495">
        <f>SUM($BD$6:BV6)</f>
        <v>209.858</v>
      </c>
      <c r="BW76" s="495">
        <f>SUM($BD$6:BW6)</f>
        <v>217.05799999999999</v>
      </c>
      <c r="BX76" s="495">
        <f>SUM($BD$6:BX6)</f>
        <v>224.25799999999998</v>
      </c>
      <c r="BY76" s="495">
        <f>SUM($BD$6:BY6)</f>
        <v>231.75799999999998</v>
      </c>
      <c r="BZ76" s="495">
        <f>SUM($BD$6:BZ6)</f>
        <v>239.25799999999998</v>
      </c>
      <c r="CA76" s="495">
        <f>SUM($BD$6:CA6)</f>
        <v>246.75799999999998</v>
      </c>
      <c r="CB76" s="495">
        <f>SUM($BD$6:CB6)</f>
        <v>254.25799999999998</v>
      </c>
      <c r="CC76" s="495">
        <f>SUM($BD$6:CC6)</f>
        <v>263.00799999999998</v>
      </c>
      <c r="CD76" s="495">
        <f>SUM($BD$6:CD6)</f>
        <v>271.75799999999998</v>
      </c>
      <c r="CE76" s="495">
        <f>SUM($BD$6:CE6)</f>
        <v>290.50799999999998</v>
      </c>
      <c r="CF76" s="495">
        <f>SUM($BD$6:CF6)</f>
        <v>310.50799999999998</v>
      </c>
      <c r="CG76" s="495">
        <f>SUM($BD$6:CG6)</f>
        <v>330.50799999999998</v>
      </c>
      <c r="CH76" s="495">
        <f>SUM($BD$6:CH6)</f>
        <v>341.00799999999998</v>
      </c>
      <c r="CI76" s="495">
        <f>SUM($BD$6:CI6)</f>
        <v>353.00799999999998</v>
      </c>
      <c r="CJ76" s="495">
        <f>SUM($BD$6:CJ6)</f>
        <v>369.70799999999997</v>
      </c>
      <c r="CK76" s="495">
        <f>SUM($BD$6:CK6)</f>
        <v>386.40799999999996</v>
      </c>
      <c r="CL76" s="495">
        <f>SUM($BD$6:CL6)</f>
        <v>408.40799999999996</v>
      </c>
      <c r="CM76" s="495">
        <f>SUM($BD$6:CM6)</f>
        <v>423.80799999999994</v>
      </c>
      <c r="CN76" s="495">
        <f>SUM($BD$6:CN6)</f>
        <v>436.80799999999994</v>
      </c>
      <c r="CO76" s="495">
        <f>SUM($BD$6:CO6)</f>
        <v>452.90799999999996</v>
      </c>
      <c r="CP76" s="495">
        <f>SUM($BD$6:CP6)</f>
        <v>466.03799999999995</v>
      </c>
      <c r="CQ76" s="499">
        <f>SUM($CQ$6:CQ6)</f>
        <v>13.6</v>
      </c>
      <c r="CR76" s="499">
        <f>SUM($CQ$6:CR6)</f>
        <v>27.4</v>
      </c>
      <c r="CS76" s="499">
        <f>SUM($CQ$6:CS6)</f>
        <v>40.9</v>
      </c>
      <c r="CT76" s="499">
        <f>SUM($CQ$6:CT6)</f>
        <v>54.4</v>
      </c>
      <c r="CU76" s="499">
        <f>SUM($CQ$6:CU6)</f>
        <v>69</v>
      </c>
      <c r="CV76" s="499">
        <f>SUM($CQ$6:CV6)</f>
        <v>87.5</v>
      </c>
      <c r="CW76" s="499">
        <f>SUM($CQ$6:CW6)</f>
        <v>102.5</v>
      </c>
      <c r="CX76" s="499">
        <f>SUM($CQ$6:CX6)</f>
        <v>123.5</v>
      </c>
      <c r="CY76" s="499">
        <f>SUM($CQ$6:CY6)</f>
        <v>145</v>
      </c>
      <c r="CZ76" s="499">
        <f>SUM($CQ$6:CZ6)</f>
        <v>163</v>
      </c>
      <c r="DA76" s="499">
        <f>SUM($CQ$6:DA6)</f>
        <v>181.5</v>
      </c>
      <c r="DB76" s="499">
        <f>SUM($CQ$6:DB6)</f>
        <v>200</v>
      </c>
      <c r="DC76" s="499">
        <f>SUM($CQ$6:DC6)</f>
        <v>218.5</v>
      </c>
      <c r="DD76" s="499">
        <f>SUM($CQ$6:DD6)</f>
        <v>236</v>
      </c>
      <c r="DE76" s="499">
        <f>SUM($CQ$6:DE6)</f>
        <v>250.5</v>
      </c>
      <c r="DF76" s="499">
        <f>SUM($CQ$6:DF6)</f>
        <v>265</v>
      </c>
      <c r="DG76" s="499">
        <f>SUM($CQ$6:DG6)</f>
        <v>279.5</v>
      </c>
      <c r="DH76" s="499">
        <f>SUM($CQ$6:DH6)</f>
        <v>294</v>
      </c>
      <c r="DI76" s="499">
        <f>SUM($CQ$6:DI6)</f>
        <v>308</v>
      </c>
      <c r="DJ76" s="499">
        <f>SUM($CQ$6:DJ6)</f>
        <v>322</v>
      </c>
      <c r="DK76" s="499">
        <f>SUM($CQ$6:DK6)</f>
        <v>337.5</v>
      </c>
      <c r="DL76" s="499">
        <f>SUM($CQ$6:DL6)</f>
        <v>353.5</v>
      </c>
      <c r="DM76" s="499">
        <f>SUM($CQ$6:DM6)</f>
        <v>371.5</v>
      </c>
      <c r="DN76" s="499">
        <f>SUM($CQ$6:DN6)</f>
        <v>389.5</v>
      </c>
      <c r="DO76" s="499">
        <f>SUM($CQ$6:DO6)</f>
        <v>409.5</v>
      </c>
      <c r="DP76" s="499">
        <f>SUM($CQ$6:DP6)</f>
        <v>429.5</v>
      </c>
      <c r="DQ76" s="499">
        <f>SUM($DQ$6:DQ6)</f>
        <v>19</v>
      </c>
      <c r="DR76" s="499">
        <f>SUM($DQ$6:DR6)</f>
        <v>41</v>
      </c>
      <c r="DS76" s="499">
        <f>SUM($DQ$6:DS6)</f>
        <v>63</v>
      </c>
      <c r="DT76" s="499">
        <f>SUM($DQ$6:DT6)</f>
        <v>85</v>
      </c>
      <c r="DU76" s="499">
        <f>SUM($DQ$6:DU6)</f>
        <v>107</v>
      </c>
      <c r="DV76" s="499">
        <f>SUM($DQ$6:DV6)</f>
        <v>129</v>
      </c>
      <c r="DW76" s="499">
        <f>SUM($DQ$6:DW6)</f>
        <v>152</v>
      </c>
      <c r="DX76" s="499">
        <f>SUM($DQ$6:DX6)</f>
        <v>175</v>
      </c>
      <c r="DY76" s="499">
        <f>SUM($DQ$6:DY6)</f>
        <v>198</v>
      </c>
      <c r="DZ76" s="499">
        <f>SUM($DQ$6:DZ6)</f>
        <v>221</v>
      </c>
      <c r="EA76" s="499">
        <f>SUM($DQ$6:EA6)</f>
        <v>244</v>
      </c>
      <c r="EB76" s="499">
        <f>SUM($DQ$6:EB6)</f>
        <v>264</v>
      </c>
      <c r="EC76" s="499">
        <f>SUM($DQ$6:EC6)</f>
        <v>279</v>
      </c>
      <c r="ED76" s="499">
        <f>SUM($DQ$6:ED6)</f>
        <v>294</v>
      </c>
      <c r="EE76" s="499">
        <f>SUM($DQ$6:EE6)</f>
        <v>312</v>
      </c>
      <c r="EF76" s="499">
        <f>SUM($DQ$6:EF6)</f>
        <v>332.5</v>
      </c>
      <c r="EG76" s="499">
        <f>SUM($DQ$6:EG6)</f>
        <v>353</v>
      </c>
      <c r="EH76" s="499">
        <f>SUM($DQ$6:EH6)</f>
        <v>373.5</v>
      </c>
      <c r="EI76" s="499">
        <f>SUM($DQ$6:EI6)</f>
        <v>393.7</v>
      </c>
      <c r="EJ76" s="499">
        <f>SUM($DQ$6:EJ6)</f>
        <v>413.7</v>
      </c>
      <c r="EK76" s="499">
        <f>SUM($DQ$6:EK6)</f>
        <v>429.7</v>
      </c>
      <c r="EL76" s="499">
        <f>SUM($DQ$6:EL6)</f>
        <v>445.7</v>
      </c>
      <c r="EM76" s="499">
        <f>SUM($DQ$6:EM6)</f>
        <v>461.7</v>
      </c>
    </row>
    <row r="77" spans="1:143" x14ac:dyDescent="0.25">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07"/>
      <c r="AE77" s="507"/>
      <c r="AF77" s="507"/>
      <c r="AG77" s="507"/>
      <c r="AH77" s="507"/>
      <c r="AI77" s="507"/>
      <c r="AJ77" s="507"/>
      <c r="AK77" s="507"/>
      <c r="AL77" s="507"/>
      <c r="AM77" s="507"/>
      <c r="AN77" s="507"/>
      <c r="AO77" s="507"/>
      <c r="AP77" s="507"/>
      <c r="AQ77" s="507"/>
      <c r="AR77" s="507"/>
      <c r="AS77" s="507"/>
      <c r="AT77" s="507"/>
      <c r="AU77" s="507"/>
      <c r="AV77" s="507"/>
      <c r="AW77" s="507"/>
      <c r="AX77" s="507"/>
      <c r="AY77" s="507"/>
      <c r="AZ77" s="507"/>
      <c r="BA77" s="507"/>
      <c r="BB77" s="507"/>
      <c r="BC77" s="507"/>
      <c r="BD77" s="103"/>
      <c r="BE77" s="103"/>
      <c r="BF77" s="103"/>
      <c r="BG77" s="103"/>
      <c r="BH77" s="103"/>
      <c r="BI77" s="103"/>
      <c r="BJ77" s="103"/>
      <c r="BK77" s="103"/>
      <c r="BL77" s="103"/>
      <c r="BM77" s="103"/>
      <c r="BN77" s="103"/>
      <c r="BO77" s="103"/>
      <c r="BP77" s="103"/>
      <c r="BQ77" s="103"/>
      <c r="BR77" s="103"/>
      <c r="BS77" s="103"/>
      <c r="BT77" s="103"/>
      <c r="BU77" s="103"/>
      <c r="BV77" s="103"/>
      <c r="BW77" s="103"/>
      <c r="BX77" s="103"/>
      <c r="BY77" s="103"/>
      <c r="BZ77" s="103"/>
      <c r="CA77" s="103"/>
      <c r="CB77" s="103"/>
      <c r="CC77" s="103"/>
      <c r="CD77" s="103"/>
      <c r="CE77" s="103"/>
      <c r="CF77" s="103"/>
      <c r="CG77" s="103"/>
      <c r="CH77" s="103"/>
      <c r="CI77" s="103"/>
      <c r="CJ77" s="103"/>
      <c r="CK77" s="103"/>
      <c r="CL77" s="103"/>
      <c r="CM77" s="103"/>
      <c r="CN77" s="103"/>
      <c r="CO77" s="103"/>
      <c r="CP77" s="103"/>
      <c r="CQ77" s="500"/>
      <c r="CR77" s="500"/>
      <c r="CS77" s="500"/>
      <c r="CT77" s="500"/>
      <c r="CU77" s="500"/>
      <c r="CV77" s="500"/>
      <c r="CW77" s="500"/>
      <c r="CX77" s="500"/>
      <c r="CY77" s="500"/>
      <c r="CZ77" s="500"/>
      <c r="DA77" s="500"/>
      <c r="DB77" s="500"/>
      <c r="DC77" s="500"/>
      <c r="DD77" s="500"/>
      <c r="DE77" s="500"/>
      <c r="DF77" s="500"/>
      <c r="DG77" s="500"/>
      <c r="DH77" s="500"/>
      <c r="DI77" s="500"/>
      <c r="DJ77" s="500"/>
      <c r="DR77"/>
      <c r="DS77"/>
      <c r="DT77"/>
      <c r="EE77" s="34"/>
      <c r="EF77" s="34"/>
      <c r="EG77" s="34"/>
    </row>
    <row r="78" spans="1:143" x14ac:dyDescent="0.25">
      <c r="A78" s="490" t="s">
        <v>582</v>
      </c>
      <c r="B78" s="3" t="s">
        <v>588</v>
      </c>
      <c r="C78" s="514">
        <f t="shared" ref="C78:K78" si="177">C68+C72</f>
        <v>1051</v>
      </c>
      <c r="D78" s="514">
        <f t="shared" si="177"/>
        <v>2424</v>
      </c>
      <c r="E78" s="514">
        <f t="shared" si="177"/>
        <v>4999</v>
      </c>
      <c r="F78" s="514">
        <f t="shared" si="177"/>
        <v>7140</v>
      </c>
      <c r="G78" s="514">
        <f t="shared" si="177"/>
        <v>9373</v>
      </c>
      <c r="H78" s="514">
        <f t="shared" si="177"/>
        <v>12245</v>
      </c>
      <c r="I78" s="514">
        <f t="shared" si="177"/>
        <v>14958</v>
      </c>
      <c r="J78" s="514">
        <f t="shared" si="177"/>
        <v>17794</v>
      </c>
      <c r="K78" s="514">
        <f t="shared" si="177"/>
        <v>20195</v>
      </c>
      <c r="L78" s="514">
        <f>L68+L72</f>
        <v>22806</v>
      </c>
      <c r="M78" s="514">
        <f t="shared" ref="M78:AC78" si="178">M68+M72</f>
        <v>25088</v>
      </c>
      <c r="N78" s="514">
        <f t="shared" si="178"/>
        <v>27216</v>
      </c>
      <c r="O78" s="514">
        <f t="shared" si="178"/>
        <v>30016</v>
      </c>
      <c r="P78" s="514">
        <f t="shared" si="178"/>
        <v>32234</v>
      </c>
      <c r="Q78" s="514">
        <f t="shared" si="178"/>
        <v>34470</v>
      </c>
      <c r="R78" s="514">
        <f t="shared" si="178"/>
        <v>36854</v>
      </c>
      <c r="S78" s="514">
        <f t="shared" si="178"/>
        <v>39384</v>
      </c>
      <c r="T78" s="514">
        <f t="shared" si="178"/>
        <v>42223</v>
      </c>
      <c r="U78" s="514">
        <f t="shared" si="178"/>
        <v>44888</v>
      </c>
      <c r="V78" s="514">
        <f t="shared" si="178"/>
        <v>47562</v>
      </c>
      <c r="W78" s="514">
        <f t="shared" si="178"/>
        <v>50120</v>
      </c>
      <c r="X78" s="514">
        <f t="shared" si="178"/>
        <v>52491</v>
      </c>
      <c r="Y78" s="514">
        <f t="shared" si="178"/>
        <v>54767</v>
      </c>
      <c r="Z78" s="514">
        <f t="shared" si="178"/>
        <v>57454</v>
      </c>
      <c r="AA78" s="514">
        <f t="shared" si="178"/>
        <v>60108</v>
      </c>
      <c r="AB78" s="514">
        <f t="shared" si="178"/>
        <v>62849</v>
      </c>
      <c r="AC78" s="514">
        <f t="shared" si="178"/>
        <v>65401</v>
      </c>
      <c r="AD78" s="508">
        <f>AD68+AD72</f>
        <v>2649</v>
      </c>
      <c r="AE78" s="508">
        <f t="shared" ref="AE78:BC78" si="179">AE68+AE72</f>
        <v>5006</v>
      </c>
      <c r="AF78" s="508">
        <f t="shared" si="179"/>
        <v>7438</v>
      </c>
      <c r="AG78" s="508">
        <f t="shared" si="179"/>
        <v>9953</v>
      </c>
      <c r="AH78" s="508">
        <f t="shared" si="179"/>
        <v>12104</v>
      </c>
      <c r="AI78" s="508">
        <f t="shared" si="179"/>
        <v>14397</v>
      </c>
      <c r="AJ78" s="508">
        <f t="shared" si="179"/>
        <v>16699</v>
      </c>
      <c r="AK78" s="508">
        <f t="shared" si="179"/>
        <v>19358</v>
      </c>
      <c r="AL78" s="508">
        <f t="shared" si="179"/>
        <v>22172</v>
      </c>
      <c r="AM78" s="508">
        <f t="shared" si="179"/>
        <v>24656</v>
      </c>
      <c r="AN78" s="508">
        <f t="shared" si="179"/>
        <v>27651</v>
      </c>
      <c r="AO78" s="508">
        <f t="shared" si="179"/>
        <v>30394</v>
      </c>
      <c r="AP78" s="508">
        <f t="shared" si="179"/>
        <v>32998</v>
      </c>
      <c r="AQ78" s="508">
        <f t="shared" si="179"/>
        <v>35601</v>
      </c>
      <c r="AR78" s="508">
        <f t="shared" si="179"/>
        <v>38646</v>
      </c>
      <c r="AS78" s="508">
        <f t="shared" si="179"/>
        <v>41605</v>
      </c>
      <c r="AT78" s="508">
        <f t="shared" si="179"/>
        <v>44484</v>
      </c>
      <c r="AU78" s="508">
        <f t="shared" si="179"/>
        <v>47330</v>
      </c>
      <c r="AV78" s="508">
        <f t="shared" si="179"/>
        <v>50210</v>
      </c>
      <c r="AW78" s="508">
        <f t="shared" si="179"/>
        <v>53134</v>
      </c>
      <c r="AX78" s="508">
        <f t="shared" si="179"/>
        <v>55784</v>
      </c>
      <c r="AY78" s="508">
        <f t="shared" si="179"/>
        <v>58716</v>
      </c>
      <c r="AZ78" s="508">
        <f t="shared" si="179"/>
        <v>61672</v>
      </c>
      <c r="BA78" s="508">
        <f t="shared" si="179"/>
        <v>64392</v>
      </c>
      <c r="BB78" s="508">
        <f t="shared" si="179"/>
        <v>67228</v>
      </c>
      <c r="BC78" s="508">
        <f t="shared" si="179"/>
        <v>69148</v>
      </c>
      <c r="BD78" s="497">
        <f t="shared" ref="BD78:CI78" si="180">BD68+BD72</f>
        <v>1920</v>
      </c>
      <c r="BE78" s="497">
        <f t="shared" si="180"/>
        <v>3840</v>
      </c>
      <c r="BF78" s="497">
        <f t="shared" si="180"/>
        <v>5760</v>
      </c>
      <c r="BG78" s="497">
        <f t="shared" si="180"/>
        <v>7680</v>
      </c>
      <c r="BH78" s="497">
        <f t="shared" si="180"/>
        <v>9461</v>
      </c>
      <c r="BI78" s="497">
        <f t="shared" si="180"/>
        <v>11145</v>
      </c>
      <c r="BJ78" s="497">
        <f t="shared" si="180"/>
        <v>12976</v>
      </c>
      <c r="BK78" s="497">
        <f t="shared" si="180"/>
        <v>14677</v>
      </c>
      <c r="BL78" s="497">
        <f t="shared" si="180"/>
        <v>16356</v>
      </c>
      <c r="BM78" s="497">
        <f t="shared" si="180"/>
        <v>17885</v>
      </c>
      <c r="BN78" s="497">
        <f t="shared" si="180"/>
        <v>19423</v>
      </c>
      <c r="BO78" s="497">
        <f t="shared" si="180"/>
        <v>20943</v>
      </c>
      <c r="BP78" s="497">
        <f t="shared" si="180"/>
        <v>22434</v>
      </c>
      <c r="BQ78" s="497">
        <f t="shared" si="180"/>
        <v>23926</v>
      </c>
      <c r="BR78" s="497">
        <f t="shared" si="180"/>
        <v>25365</v>
      </c>
      <c r="BS78" s="497">
        <f t="shared" si="180"/>
        <v>26756</v>
      </c>
      <c r="BT78" s="497">
        <f t="shared" si="180"/>
        <v>28062</v>
      </c>
      <c r="BU78" s="497">
        <f t="shared" si="180"/>
        <v>29448</v>
      </c>
      <c r="BV78" s="497">
        <f t="shared" si="180"/>
        <v>30738</v>
      </c>
      <c r="BW78" s="497">
        <f t="shared" si="180"/>
        <v>32015</v>
      </c>
      <c r="BX78" s="497">
        <f t="shared" si="180"/>
        <v>33112</v>
      </c>
      <c r="BY78" s="497">
        <f t="shared" si="180"/>
        <v>33938</v>
      </c>
      <c r="BZ78" s="497">
        <f t="shared" si="180"/>
        <v>35118</v>
      </c>
      <c r="CA78" s="497">
        <f t="shared" si="180"/>
        <v>36465</v>
      </c>
      <c r="CB78" s="497">
        <f t="shared" si="180"/>
        <v>37566</v>
      </c>
      <c r="CC78" s="497">
        <f t="shared" si="180"/>
        <v>38826</v>
      </c>
      <c r="CD78" s="497">
        <f t="shared" si="180"/>
        <v>39884</v>
      </c>
      <c r="CE78" s="497">
        <f t="shared" si="180"/>
        <v>42213</v>
      </c>
      <c r="CF78" s="497">
        <f t="shared" si="180"/>
        <v>44677</v>
      </c>
      <c r="CG78" s="497">
        <f t="shared" si="180"/>
        <v>46929</v>
      </c>
      <c r="CH78" s="497">
        <f t="shared" si="180"/>
        <v>48366</v>
      </c>
      <c r="CI78" s="497">
        <f t="shared" si="180"/>
        <v>50179</v>
      </c>
      <c r="CJ78" s="497">
        <f t="shared" ref="CJ78:DH78" si="181">CJ68+CJ72</f>
        <v>51842</v>
      </c>
      <c r="CK78" s="497">
        <f t="shared" si="181"/>
        <v>53954</v>
      </c>
      <c r="CL78" s="497">
        <f t="shared" si="181"/>
        <v>56829</v>
      </c>
      <c r="CM78" s="497">
        <f t="shared" si="181"/>
        <v>59269</v>
      </c>
      <c r="CN78" s="497">
        <f t="shared" si="181"/>
        <v>61298</v>
      </c>
      <c r="CO78" s="497">
        <f t="shared" si="181"/>
        <v>63783</v>
      </c>
      <c r="CP78" s="497">
        <f t="shared" si="181"/>
        <v>65813</v>
      </c>
      <c r="CQ78" s="501">
        <f t="shared" si="181"/>
        <v>2147</v>
      </c>
      <c r="CR78" s="501">
        <f t="shared" si="181"/>
        <v>4290</v>
      </c>
      <c r="CS78" s="501">
        <f t="shared" si="181"/>
        <v>6379</v>
      </c>
      <c r="CT78" s="501">
        <f t="shared" si="181"/>
        <v>8670</v>
      </c>
      <c r="CU78" s="501">
        <f t="shared" si="181"/>
        <v>10456</v>
      </c>
      <c r="CV78" s="501">
        <f t="shared" si="181"/>
        <v>12744</v>
      </c>
      <c r="CW78" s="501">
        <f t="shared" si="181"/>
        <v>14580</v>
      </c>
      <c r="CX78" s="501">
        <f t="shared" si="181"/>
        <v>16844</v>
      </c>
      <c r="CY78" s="501">
        <f t="shared" si="181"/>
        <v>19519</v>
      </c>
      <c r="CZ78" s="501">
        <f t="shared" si="181"/>
        <v>22201</v>
      </c>
      <c r="DA78" s="501">
        <f t="shared" si="181"/>
        <v>25040</v>
      </c>
      <c r="DB78" s="501">
        <f t="shared" si="181"/>
        <v>27734</v>
      </c>
      <c r="DC78" s="501">
        <f t="shared" si="181"/>
        <v>30340</v>
      </c>
      <c r="DD78" s="501">
        <f t="shared" si="181"/>
        <v>32960</v>
      </c>
      <c r="DE78" s="501">
        <f t="shared" si="181"/>
        <v>35204</v>
      </c>
      <c r="DF78" s="501">
        <f t="shared" si="181"/>
        <v>37266</v>
      </c>
      <c r="DG78" s="501">
        <f t="shared" si="181"/>
        <v>39441</v>
      </c>
      <c r="DH78" s="501">
        <f t="shared" si="181"/>
        <v>41635</v>
      </c>
      <c r="DI78" s="501">
        <f t="shared" ref="DI78:EH78" si="182">DI68+DI72</f>
        <v>43542</v>
      </c>
      <c r="DJ78" s="501">
        <f t="shared" si="182"/>
        <v>45593</v>
      </c>
      <c r="DK78" s="501">
        <f t="shared" si="182"/>
        <v>47609</v>
      </c>
      <c r="DL78" s="501">
        <f t="shared" si="182"/>
        <v>49927</v>
      </c>
      <c r="DM78" s="501">
        <f t="shared" si="182"/>
        <v>52384</v>
      </c>
      <c r="DN78" s="501">
        <f t="shared" si="182"/>
        <v>55047</v>
      </c>
      <c r="DO78" s="501">
        <f t="shared" si="182"/>
        <v>57802</v>
      </c>
      <c r="DP78" s="501">
        <f t="shared" si="182"/>
        <v>60837</v>
      </c>
      <c r="DQ78" s="501">
        <f t="shared" si="182"/>
        <v>2508</v>
      </c>
      <c r="DR78" s="501">
        <f t="shared" si="182"/>
        <v>5481</v>
      </c>
      <c r="DS78" s="501">
        <f t="shared" si="182"/>
        <v>8561</v>
      </c>
      <c r="DT78" s="501">
        <f t="shared" si="182"/>
        <v>10971</v>
      </c>
      <c r="DU78" s="501">
        <f t="shared" si="182"/>
        <v>13864</v>
      </c>
      <c r="DV78" s="501">
        <f t="shared" si="182"/>
        <v>16537</v>
      </c>
      <c r="DW78" s="501">
        <f t="shared" si="182"/>
        <v>19437</v>
      </c>
      <c r="DX78" s="501">
        <f t="shared" si="182"/>
        <v>22142</v>
      </c>
      <c r="DY78" s="501">
        <f t="shared" si="182"/>
        <v>25455</v>
      </c>
      <c r="DZ78" s="501">
        <f t="shared" si="182"/>
        <v>28318</v>
      </c>
      <c r="EA78" s="501">
        <f t="shared" si="182"/>
        <v>31301</v>
      </c>
      <c r="EB78" s="501">
        <f t="shared" si="182"/>
        <v>34006</v>
      </c>
      <c r="EC78" s="501">
        <f t="shared" si="182"/>
        <v>36465</v>
      </c>
      <c r="ED78" s="501">
        <f t="shared" si="182"/>
        <v>38924</v>
      </c>
      <c r="EE78" s="499">
        <f t="shared" si="182"/>
        <v>41490</v>
      </c>
      <c r="EF78" s="499">
        <f t="shared" si="182"/>
        <v>44036</v>
      </c>
      <c r="EG78" s="499">
        <f t="shared" si="182"/>
        <v>46756</v>
      </c>
      <c r="EH78" s="501">
        <f t="shared" si="182"/>
        <v>49237</v>
      </c>
      <c r="EI78" s="501">
        <f t="shared" ref="EI78:EK79" si="183">EI68+EI72</f>
        <v>51797</v>
      </c>
      <c r="EJ78" s="501">
        <f t="shared" si="183"/>
        <v>54524</v>
      </c>
      <c r="EK78" s="501">
        <f t="shared" si="183"/>
        <v>56679</v>
      </c>
      <c r="EL78" s="501">
        <f t="shared" ref="EL78:EM78" si="184">EL68+EL72</f>
        <v>59039</v>
      </c>
      <c r="EM78" s="501">
        <f t="shared" si="184"/>
        <v>61229</v>
      </c>
    </row>
    <row r="79" spans="1:143" x14ac:dyDescent="0.25">
      <c r="A79" s="490" t="s">
        <v>583</v>
      </c>
      <c r="B79" s="3" t="s">
        <v>588</v>
      </c>
      <c r="C79" s="514">
        <f t="shared" ref="C79:K79" si="185">C69+C73</f>
        <v>2387.1000000000004</v>
      </c>
      <c r="D79" s="514">
        <f t="shared" si="185"/>
        <v>5463.1557522123894</v>
      </c>
      <c r="E79" s="514">
        <f t="shared" si="185"/>
        <v>7813.05575221239</v>
      </c>
      <c r="F79" s="514">
        <f t="shared" si="185"/>
        <v>10486.35575221239</v>
      </c>
      <c r="G79" s="514">
        <f t="shared" si="185"/>
        <v>13738.255752212392</v>
      </c>
      <c r="H79" s="514">
        <f t="shared" si="185"/>
        <v>15045.77575221239</v>
      </c>
      <c r="I79" s="514">
        <f t="shared" si="185"/>
        <v>17784.275752212394</v>
      </c>
      <c r="J79" s="514">
        <f t="shared" si="185"/>
        <v>20008.975752212391</v>
      </c>
      <c r="K79" s="514">
        <f t="shared" si="185"/>
        <v>21450.975752212391</v>
      </c>
      <c r="L79" s="514">
        <f>L69+L73</f>
        <v>24567.075752212393</v>
      </c>
      <c r="M79" s="514">
        <f t="shared" ref="M79:AC79" si="186">M69+M73</f>
        <v>27358.195752212392</v>
      </c>
      <c r="N79" s="514">
        <f t="shared" si="186"/>
        <v>30547.975752212391</v>
      </c>
      <c r="O79" s="514">
        <f t="shared" si="186"/>
        <v>34523.975752212391</v>
      </c>
      <c r="P79" s="514">
        <f t="shared" si="186"/>
        <v>37397.175752212395</v>
      </c>
      <c r="Q79" s="514">
        <f t="shared" si="186"/>
        <v>40194.775752212387</v>
      </c>
      <c r="R79" s="514">
        <f t="shared" si="186"/>
        <v>44104.475752212391</v>
      </c>
      <c r="S79" s="514">
        <f t="shared" si="186"/>
        <v>47835.775752212394</v>
      </c>
      <c r="T79" s="514">
        <f t="shared" si="186"/>
        <v>52109.375752212392</v>
      </c>
      <c r="U79" s="514">
        <f t="shared" si="186"/>
        <v>58747.075752212389</v>
      </c>
      <c r="V79" s="514">
        <f t="shared" si="186"/>
        <v>64534.475752212391</v>
      </c>
      <c r="W79" s="514">
        <f t="shared" si="186"/>
        <v>70559.175752212395</v>
      </c>
      <c r="X79" s="514">
        <f t="shared" si="186"/>
        <v>77216.675752212381</v>
      </c>
      <c r="Y79" s="514">
        <f t="shared" si="186"/>
        <v>84099.775752212387</v>
      </c>
      <c r="Z79" s="514">
        <f t="shared" si="186"/>
        <v>89853.775752212387</v>
      </c>
      <c r="AA79" s="514">
        <f t="shared" si="186"/>
        <v>95955.875752212378</v>
      </c>
      <c r="AB79" s="514">
        <f t="shared" si="186"/>
        <v>101431.77575221239</v>
      </c>
      <c r="AC79" s="514">
        <f t="shared" si="186"/>
        <v>107158.57575221239</v>
      </c>
      <c r="AD79" s="508">
        <f>AD69+AD73</f>
        <v>4276.3999999999996</v>
      </c>
      <c r="AE79" s="508">
        <f t="shared" ref="AE79:BC79" si="187">AE69+AE73</f>
        <v>9706.5</v>
      </c>
      <c r="AF79" s="508">
        <f t="shared" si="187"/>
        <v>15899.18</v>
      </c>
      <c r="AG79" s="508">
        <f t="shared" si="187"/>
        <v>21995.379999999997</v>
      </c>
      <c r="AH79" s="508">
        <f t="shared" si="187"/>
        <v>27643.279999999999</v>
      </c>
      <c r="AI79" s="508">
        <f t="shared" si="187"/>
        <v>32298.379999999997</v>
      </c>
      <c r="AJ79" s="508">
        <f t="shared" si="187"/>
        <v>37625.439999999995</v>
      </c>
      <c r="AK79" s="508">
        <f t="shared" si="187"/>
        <v>42784.52</v>
      </c>
      <c r="AL79" s="508">
        <f t="shared" si="187"/>
        <v>48482.359999999993</v>
      </c>
      <c r="AM79" s="508">
        <f t="shared" si="187"/>
        <v>54155.399999999994</v>
      </c>
      <c r="AN79" s="508">
        <f t="shared" si="187"/>
        <v>61402.95</v>
      </c>
      <c r="AO79" s="508">
        <f t="shared" si="187"/>
        <v>69965.87</v>
      </c>
      <c r="AP79" s="508">
        <f t="shared" si="187"/>
        <v>78672.37</v>
      </c>
      <c r="AQ79" s="508">
        <f t="shared" si="187"/>
        <v>87183.47</v>
      </c>
      <c r="AR79" s="508">
        <f t="shared" si="187"/>
        <v>94421.77</v>
      </c>
      <c r="AS79" s="508">
        <f t="shared" si="187"/>
        <v>103081.77</v>
      </c>
      <c r="AT79" s="508">
        <f t="shared" si="187"/>
        <v>111358.27000000002</v>
      </c>
      <c r="AU79" s="508">
        <f t="shared" si="187"/>
        <v>118621.27000000002</v>
      </c>
      <c r="AV79" s="508">
        <f t="shared" si="187"/>
        <v>126257.17000000001</v>
      </c>
      <c r="AW79" s="508">
        <f t="shared" si="187"/>
        <v>133697.17000000001</v>
      </c>
      <c r="AX79" s="508">
        <f t="shared" si="187"/>
        <v>139943.17000000001</v>
      </c>
      <c r="AY79" s="508">
        <f t="shared" si="187"/>
        <v>145823.97</v>
      </c>
      <c r="AZ79" s="508">
        <f t="shared" si="187"/>
        <v>151895.37</v>
      </c>
      <c r="BA79" s="508">
        <f t="shared" si="187"/>
        <v>157451.87</v>
      </c>
      <c r="BB79" s="508">
        <f t="shared" si="187"/>
        <v>162967.17000000001</v>
      </c>
      <c r="BC79" s="508">
        <f t="shared" si="187"/>
        <v>165554.07000000004</v>
      </c>
      <c r="BD79" s="497">
        <f t="shared" ref="BD79:CI79" si="188">BD69+BD73</f>
        <v>2197.8000000000002</v>
      </c>
      <c r="BE79" s="497">
        <f t="shared" si="188"/>
        <v>4883.5</v>
      </c>
      <c r="BF79" s="497">
        <f t="shared" si="188"/>
        <v>6562.4999999999991</v>
      </c>
      <c r="BG79" s="497">
        <f t="shared" si="188"/>
        <v>8874.9999999999982</v>
      </c>
      <c r="BH79" s="497">
        <f t="shared" si="188"/>
        <v>10575.199999999999</v>
      </c>
      <c r="BI79" s="497">
        <f t="shared" si="188"/>
        <v>12514.699999999999</v>
      </c>
      <c r="BJ79" s="497">
        <f t="shared" si="188"/>
        <v>14504.5</v>
      </c>
      <c r="BK79" s="497">
        <f t="shared" si="188"/>
        <v>16645.28</v>
      </c>
      <c r="BL79" s="497">
        <f t="shared" si="188"/>
        <v>18727.96</v>
      </c>
      <c r="BM79" s="497">
        <f t="shared" si="188"/>
        <v>19925.27</v>
      </c>
      <c r="BN79" s="497">
        <f t="shared" si="188"/>
        <v>21634.55</v>
      </c>
      <c r="BO79" s="497">
        <f t="shared" si="188"/>
        <v>24299.21</v>
      </c>
      <c r="BP79" s="497">
        <f t="shared" si="188"/>
        <v>24854.369999999995</v>
      </c>
      <c r="BQ79" s="497">
        <f t="shared" si="188"/>
        <v>25910.57</v>
      </c>
      <c r="BR79" s="497">
        <f t="shared" si="188"/>
        <v>26430.85</v>
      </c>
      <c r="BS79" s="497">
        <f t="shared" si="188"/>
        <v>27945.089999999997</v>
      </c>
      <c r="BT79" s="497">
        <f t="shared" si="188"/>
        <v>28775.79</v>
      </c>
      <c r="BU79" s="497">
        <f t="shared" si="188"/>
        <v>29078.909999999996</v>
      </c>
      <c r="BV79" s="497">
        <f t="shared" si="188"/>
        <v>29137.15</v>
      </c>
      <c r="BW79" s="497">
        <f t="shared" si="188"/>
        <v>29869.4</v>
      </c>
      <c r="BX79" s="497">
        <f t="shared" si="188"/>
        <v>29869.4</v>
      </c>
      <c r="BY79" s="497">
        <f t="shared" si="188"/>
        <v>29869.4</v>
      </c>
      <c r="BZ79" s="497">
        <f t="shared" si="188"/>
        <v>30341.17</v>
      </c>
      <c r="CA79" s="497">
        <f t="shared" si="188"/>
        <v>31854.39</v>
      </c>
      <c r="CB79" s="497">
        <f t="shared" si="188"/>
        <v>31854.39</v>
      </c>
      <c r="CC79" s="497">
        <f t="shared" si="188"/>
        <v>32274.5</v>
      </c>
      <c r="CD79" s="497">
        <f t="shared" si="188"/>
        <v>33016.120000000003</v>
      </c>
      <c r="CE79" s="497">
        <f t="shared" si="188"/>
        <v>36127.050000000003</v>
      </c>
      <c r="CF79" s="497">
        <f t="shared" si="188"/>
        <v>42760.31</v>
      </c>
      <c r="CG79" s="497">
        <f t="shared" si="188"/>
        <v>48427.000000000007</v>
      </c>
      <c r="CH79" s="497">
        <f t="shared" si="188"/>
        <v>48772.000000000007</v>
      </c>
      <c r="CI79" s="497">
        <f t="shared" si="188"/>
        <v>54048.950000000012</v>
      </c>
      <c r="CJ79" s="497">
        <f t="shared" ref="CJ79:DH79" si="189">CJ69+CJ73</f>
        <v>58116.030000000006</v>
      </c>
      <c r="CK79" s="497">
        <f t="shared" si="189"/>
        <v>63634.83</v>
      </c>
      <c r="CL79" s="497">
        <f t="shared" si="189"/>
        <v>72324.92</v>
      </c>
      <c r="CM79" s="497">
        <f t="shared" si="189"/>
        <v>78913.03</v>
      </c>
      <c r="CN79" s="497">
        <f t="shared" si="189"/>
        <v>85466.65</v>
      </c>
      <c r="CO79" s="497">
        <f t="shared" si="189"/>
        <v>91825.689999999988</v>
      </c>
      <c r="CP79" s="497">
        <f t="shared" si="189"/>
        <v>98270.989999999991</v>
      </c>
      <c r="CQ79" s="501">
        <f t="shared" si="189"/>
        <v>6024.09</v>
      </c>
      <c r="CR79" s="501">
        <f t="shared" si="189"/>
        <v>11792.43</v>
      </c>
      <c r="CS79" s="501">
        <f t="shared" si="189"/>
        <v>17712.46</v>
      </c>
      <c r="CT79" s="501">
        <f t="shared" si="189"/>
        <v>23518.220000000005</v>
      </c>
      <c r="CU79" s="501">
        <f t="shared" si="189"/>
        <v>27836.81</v>
      </c>
      <c r="CV79" s="501">
        <f t="shared" si="189"/>
        <v>32869.86</v>
      </c>
      <c r="CW79" s="501">
        <f t="shared" si="189"/>
        <v>36768.990000000005</v>
      </c>
      <c r="CX79" s="501">
        <f t="shared" si="189"/>
        <v>42453.640000000007</v>
      </c>
      <c r="CY79" s="501">
        <f t="shared" si="189"/>
        <v>50559.020000000004</v>
      </c>
      <c r="CZ79" s="501">
        <f t="shared" si="189"/>
        <v>58752.69</v>
      </c>
      <c r="DA79" s="501">
        <f t="shared" si="189"/>
        <v>65977.88</v>
      </c>
      <c r="DB79" s="501">
        <f t="shared" si="189"/>
        <v>72423.22</v>
      </c>
      <c r="DC79" s="501">
        <f t="shared" si="189"/>
        <v>78653.239999999991</v>
      </c>
      <c r="DD79" s="501">
        <f t="shared" si="189"/>
        <v>84952.12999999999</v>
      </c>
      <c r="DE79" s="501">
        <f t="shared" si="189"/>
        <v>90614.529999999984</v>
      </c>
      <c r="DF79" s="501">
        <f t="shared" si="189"/>
        <v>96112.48</v>
      </c>
      <c r="DG79" s="501">
        <f t="shared" si="189"/>
        <v>100697.62999999999</v>
      </c>
      <c r="DH79" s="501">
        <f t="shared" si="189"/>
        <v>105446.06999999999</v>
      </c>
      <c r="DI79" s="501">
        <f t="shared" ref="DI79:EH79" si="190">DI69+DI73</f>
        <v>110496.58399999999</v>
      </c>
      <c r="DJ79" s="501">
        <f t="shared" si="190"/>
        <v>115066.27399999999</v>
      </c>
      <c r="DK79" s="501">
        <f t="shared" si="190"/>
        <v>118402.594</v>
      </c>
      <c r="DL79" s="501">
        <f t="shared" si="190"/>
        <v>122444.60399999999</v>
      </c>
      <c r="DM79" s="501">
        <f t="shared" si="190"/>
        <v>127499.54399999999</v>
      </c>
      <c r="DN79" s="501">
        <f t="shared" si="190"/>
        <v>131429.43399999998</v>
      </c>
      <c r="DO79" s="501">
        <f t="shared" si="190"/>
        <v>137207.38399999999</v>
      </c>
      <c r="DP79" s="501">
        <f t="shared" si="190"/>
        <v>142627.34399999998</v>
      </c>
      <c r="DQ79" s="501">
        <f t="shared" si="190"/>
        <v>3595.7599999999993</v>
      </c>
      <c r="DR79" s="501">
        <f t="shared" si="190"/>
        <v>8484.08</v>
      </c>
      <c r="DS79" s="501">
        <f t="shared" si="190"/>
        <v>13193.56</v>
      </c>
      <c r="DT79" s="501">
        <f t="shared" si="190"/>
        <v>15158.401</v>
      </c>
      <c r="DU79" s="501">
        <f t="shared" si="190"/>
        <v>17407.226599999998</v>
      </c>
      <c r="DV79" s="501">
        <f t="shared" si="190"/>
        <v>19530.9666</v>
      </c>
      <c r="DW79" s="501">
        <f t="shared" si="190"/>
        <v>20191.616600000001</v>
      </c>
      <c r="DX79" s="501">
        <f t="shared" si="190"/>
        <v>25200.0766</v>
      </c>
      <c r="DY79" s="501">
        <f t="shared" si="190"/>
        <v>25439.926599999999</v>
      </c>
      <c r="DZ79" s="501">
        <f t="shared" si="190"/>
        <v>26550.666599999997</v>
      </c>
      <c r="EA79" s="501">
        <f t="shared" si="190"/>
        <v>27508.697599999996</v>
      </c>
      <c r="EB79" s="501">
        <f t="shared" si="190"/>
        <v>30513.402599999994</v>
      </c>
      <c r="EC79" s="501">
        <f t="shared" si="190"/>
        <v>33848.802599999995</v>
      </c>
      <c r="ED79" s="501">
        <f t="shared" si="190"/>
        <v>38030.272599999989</v>
      </c>
      <c r="EE79" s="499">
        <f t="shared" si="190"/>
        <v>42600.282599999991</v>
      </c>
      <c r="EF79" s="499">
        <f t="shared" si="190"/>
        <v>46346.852599999998</v>
      </c>
      <c r="EG79" s="499">
        <f t="shared" si="190"/>
        <v>51592.047599999998</v>
      </c>
      <c r="EH79" s="501">
        <f t="shared" si="190"/>
        <v>56828.917600000001</v>
      </c>
      <c r="EI79" s="501">
        <f t="shared" si="183"/>
        <v>61390.3776</v>
      </c>
      <c r="EJ79" s="501">
        <f t="shared" si="183"/>
        <v>61390.3776</v>
      </c>
      <c r="EK79" s="501">
        <f t="shared" si="183"/>
        <v>61390.3776</v>
      </c>
      <c r="EL79" s="501">
        <f t="shared" ref="EL79:EM79" si="191">EL69+EL73</f>
        <v>61390.3776</v>
      </c>
      <c r="EM79" s="501">
        <f t="shared" si="191"/>
        <v>61390.3776</v>
      </c>
    </row>
    <row r="80" spans="1:143" x14ac:dyDescent="0.25">
      <c r="A80" s="493" t="s">
        <v>584</v>
      </c>
      <c r="B80" s="3" t="s">
        <v>588</v>
      </c>
      <c r="C80" s="512">
        <f t="shared" ref="C80:K80" si="192">C79/C78</f>
        <v>2.2712654614652714</v>
      </c>
      <c r="D80" s="512">
        <f t="shared" si="192"/>
        <v>2.2537771255001608</v>
      </c>
      <c r="E80" s="512">
        <f t="shared" si="192"/>
        <v>1.562923735189516</v>
      </c>
      <c r="F80" s="512">
        <f t="shared" si="192"/>
        <v>1.4686772762202227</v>
      </c>
      <c r="G80" s="512">
        <f t="shared" si="192"/>
        <v>1.4657266352515088</v>
      </c>
      <c r="H80" s="512">
        <f t="shared" si="192"/>
        <v>1.2287281136963977</v>
      </c>
      <c r="I80" s="512">
        <f t="shared" si="192"/>
        <v>1.1889474363024732</v>
      </c>
      <c r="J80" s="512">
        <f t="shared" si="192"/>
        <v>1.1244787991577156</v>
      </c>
      <c r="K80" s="512">
        <f t="shared" si="192"/>
        <v>1.0621924115975434</v>
      </c>
      <c r="L80" s="512">
        <f>L79/L78</f>
        <v>1.0772198435592559</v>
      </c>
      <c r="M80" s="512">
        <f t="shared" ref="M80:AC80" si="193">M79/M78</f>
        <v>1.0904893077253026</v>
      </c>
      <c r="N80" s="512">
        <f t="shared" si="193"/>
        <v>1.1224270926003965</v>
      </c>
      <c r="O80" s="512">
        <f t="shared" si="193"/>
        <v>1.1501857593354341</v>
      </c>
      <c r="P80" s="512">
        <f t="shared" si="193"/>
        <v>1.160177941062617</v>
      </c>
      <c r="Q80" s="512">
        <f t="shared" si="193"/>
        <v>1.1660799463943252</v>
      </c>
      <c r="R80" s="512">
        <f t="shared" si="193"/>
        <v>1.1967351102244639</v>
      </c>
      <c r="S80" s="512">
        <f t="shared" si="193"/>
        <v>1.2145992218213588</v>
      </c>
      <c r="T80" s="512">
        <f t="shared" si="193"/>
        <v>1.2341466914291357</v>
      </c>
      <c r="U80" s="512">
        <f t="shared" si="193"/>
        <v>1.3087479003789964</v>
      </c>
      <c r="V80" s="512">
        <f t="shared" si="193"/>
        <v>1.3568494964932591</v>
      </c>
      <c r="W80" s="512">
        <f t="shared" si="193"/>
        <v>1.4078047835636951</v>
      </c>
      <c r="X80" s="512">
        <f t="shared" si="193"/>
        <v>1.4710460031664929</v>
      </c>
      <c r="Y80" s="512">
        <f t="shared" si="193"/>
        <v>1.5355921586395527</v>
      </c>
      <c r="Z80" s="512">
        <f t="shared" si="193"/>
        <v>1.5639255013090887</v>
      </c>
      <c r="AA80" s="512">
        <f t="shared" si="193"/>
        <v>1.5963910919047777</v>
      </c>
      <c r="AB80" s="512">
        <f t="shared" si="193"/>
        <v>1.61389641445707</v>
      </c>
      <c r="AC80" s="512">
        <f t="shared" si="193"/>
        <v>1.6384852793109033</v>
      </c>
      <c r="AD80" s="505">
        <f>AD79/AD78</f>
        <v>1.6143450358625895</v>
      </c>
      <c r="AE80" s="505">
        <f t="shared" ref="AE80:BC80" si="194">AE79/AE78</f>
        <v>1.9389732321214543</v>
      </c>
      <c r="AF80" s="505">
        <f t="shared" si="194"/>
        <v>2.1375611723581609</v>
      </c>
      <c r="AG80" s="505">
        <f t="shared" si="194"/>
        <v>2.209924645835426</v>
      </c>
      <c r="AH80" s="505">
        <f t="shared" si="194"/>
        <v>2.283813615333774</v>
      </c>
      <c r="AI80" s="505">
        <f t="shared" si="194"/>
        <v>2.2434104327290405</v>
      </c>
      <c r="AJ80" s="505">
        <f t="shared" si="194"/>
        <v>2.2531552787592068</v>
      </c>
      <c r="AK80" s="505">
        <f t="shared" si="194"/>
        <v>2.2101725384853808</v>
      </c>
      <c r="AL80" s="505">
        <f t="shared" si="194"/>
        <v>2.1866480245354496</v>
      </c>
      <c r="AM80" s="505">
        <f t="shared" si="194"/>
        <v>2.1964390006489292</v>
      </c>
      <c r="AN80" s="505">
        <f t="shared" si="194"/>
        <v>2.2206412064663121</v>
      </c>
      <c r="AO80" s="505">
        <f t="shared" si="194"/>
        <v>2.3019632164242942</v>
      </c>
      <c r="AP80" s="505">
        <f t="shared" si="194"/>
        <v>2.3841557064064487</v>
      </c>
      <c r="AQ80" s="505">
        <f t="shared" si="194"/>
        <v>2.4489050869357603</v>
      </c>
      <c r="AR80" s="505">
        <f t="shared" si="194"/>
        <v>2.4432482016250066</v>
      </c>
      <c r="AS80" s="505">
        <f t="shared" si="194"/>
        <v>2.4776293714697752</v>
      </c>
      <c r="AT80" s="505">
        <f t="shared" si="194"/>
        <v>2.5033331085334058</v>
      </c>
      <c r="AU80" s="505">
        <f t="shared" si="194"/>
        <v>2.5062596661736745</v>
      </c>
      <c r="AV80" s="505">
        <f t="shared" si="194"/>
        <v>2.5145821549492138</v>
      </c>
      <c r="AW80" s="505">
        <f t="shared" si="194"/>
        <v>2.5162263334211619</v>
      </c>
      <c r="AX80" s="505">
        <f t="shared" si="194"/>
        <v>2.5086614441416897</v>
      </c>
      <c r="AY80" s="505">
        <f t="shared" si="194"/>
        <v>2.4835474146740242</v>
      </c>
      <c r="AZ80" s="505">
        <f t="shared" si="194"/>
        <v>2.4629551498248801</v>
      </c>
      <c r="BA80" s="505">
        <f t="shared" si="194"/>
        <v>2.4452085662815257</v>
      </c>
      <c r="BB80" s="505">
        <f t="shared" si="194"/>
        <v>2.4240966561551738</v>
      </c>
      <c r="BC80" s="505">
        <f t="shared" si="194"/>
        <v>2.3941989645398283</v>
      </c>
      <c r="BD80" s="498">
        <f>BD79/BD78</f>
        <v>1.1446875000000001</v>
      </c>
      <c r="BE80" s="498">
        <f t="shared" ref="BE80:CP80" si="195">BE79/BE78</f>
        <v>1.2717447916666667</v>
      </c>
      <c r="BF80" s="498">
        <f t="shared" si="195"/>
        <v>1.1393229166666665</v>
      </c>
      <c r="BG80" s="498">
        <f t="shared" si="195"/>
        <v>1.155598958333333</v>
      </c>
      <c r="BH80" s="498">
        <f t="shared" si="195"/>
        <v>1.1177676778353238</v>
      </c>
      <c r="BI80" s="498">
        <f t="shared" si="195"/>
        <v>1.1228981606101389</v>
      </c>
      <c r="BJ80" s="498">
        <f t="shared" si="195"/>
        <v>1.1177943896424167</v>
      </c>
      <c r="BK80" s="498">
        <f t="shared" si="195"/>
        <v>1.1341064250187367</v>
      </c>
      <c r="BL80" s="498">
        <f t="shared" si="195"/>
        <v>1.1450207874786011</v>
      </c>
      <c r="BM80" s="498">
        <f t="shared" si="195"/>
        <v>1.1140771596309758</v>
      </c>
      <c r="BN80" s="498">
        <f t="shared" si="195"/>
        <v>1.1138624311383412</v>
      </c>
      <c r="BO80" s="498">
        <f t="shared" si="195"/>
        <v>1.1602545003103661</v>
      </c>
      <c r="BP80" s="498">
        <f t="shared" si="195"/>
        <v>1.107888472853704</v>
      </c>
      <c r="BQ80" s="498">
        <f t="shared" si="195"/>
        <v>1.082946167349327</v>
      </c>
      <c r="BR80" s="498">
        <f t="shared" si="195"/>
        <v>1.042020500689927</v>
      </c>
      <c r="BS80" s="498">
        <f t="shared" si="195"/>
        <v>1.0444419943190311</v>
      </c>
      <c r="BT80" s="498">
        <f t="shared" si="195"/>
        <v>1.0254361770365619</v>
      </c>
      <c r="BU80" s="498">
        <f t="shared" si="195"/>
        <v>0.98746638141809273</v>
      </c>
      <c r="BV80" s="498">
        <f t="shared" si="195"/>
        <v>0.94791951330600566</v>
      </c>
      <c r="BW80" s="498">
        <f t="shared" si="195"/>
        <v>0.9329814149617367</v>
      </c>
      <c r="BX80" s="498">
        <f t="shared" si="195"/>
        <v>0.90207175646291382</v>
      </c>
      <c r="BY80" s="498">
        <f t="shared" si="195"/>
        <v>0.88011668336378102</v>
      </c>
      <c r="BZ80" s="498">
        <f t="shared" si="195"/>
        <v>0.86397773221709662</v>
      </c>
      <c r="CA80" s="498">
        <f t="shared" si="195"/>
        <v>0.87356067461949816</v>
      </c>
      <c r="CB80" s="498">
        <f t="shared" si="195"/>
        <v>0.84795799393068194</v>
      </c>
      <c r="CC80" s="498">
        <f t="shared" si="195"/>
        <v>0.8312599804254881</v>
      </c>
      <c r="CD80" s="498">
        <f t="shared" si="195"/>
        <v>0.82780363052853279</v>
      </c>
      <c r="CE80" s="498">
        <f t="shared" si="195"/>
        <v>0.85582758865752262</v>
      </c>
      <c r="CF80" s="498">
        <f t="shared" si="195"/>
        <v>0.95709895471943052</v>
      </c>
      <c r="CG80" s="498">
        <f t="shared" si="195"/>
        <v>1.0319205608472375</v>
      </c>
      <c r="CH80" s="498">
        <f t="shared" si="195"/>
        <v>1.0083943265930615</v>
      </c>
      <c r="CI80" s="498">
        <f t="shared" si="195"/>
        <v>1.0771229000179361</v>
      </c>
      <c r="CJ80" s="498">
        <f t="shared" si="195"/>
        <v>1.1210221442073995</v>
      </c>
      <c r="CK80" s="498">
        <f t="shared" si="195"/>
        <v>1.1794274752567002</v>
      </c>
      <c r="CL80" s="498">
        <f t="shared" si="195"/>
        <v>1.272676274437347</v>
      </c>
      <c r="CM80" s="498">
        <f t="shared" si="195"/>
        <v>1.3314385260422819</v>
      </c>
      <c r="CN80" s="498">
        <f t="shared" si="195"/>
        <v>1.3942812163528988</v>
      </c>
      <c r="CO80" s="498">
        <f t="shared" si="195"/>
        <v>1.4396577457943338</v>
      </c>
      <c r="CP80" s="498">
        <f t="shared" si="195"/>
        <v>1.493185085013599</v>
      </c>
      <c r="CQ80" s="502">
        <f>CQ79/CQ78</f>
        <v>2.8058174196553329</v>
      </c>
      <c r="CR80" s="502">
        <f t="shared" ref="CR80:DH80" si="196">CR79/CR78</f>
        <v>2.7488181818181818</v>
      </c>
      <c r="CS80" s="502">
        <f t="shared" si="196"/>
        <v>2.7766828656529237</v>
      </c>
      <c r="CT80" s="502">
        <f t="shared" si="196"/>
        <v>2.712597462514418</v>
      </c>
      <c r="CU80" s="502">
        <f t="shared" si="196"/>
        <v>2.6622809869931143</v>
      </c>
      <c r="CV80" s="502">
        <f t="shared" si="196"/>
        <v>2.5792419962335216</v>
      </c>
      <c r="CW80" s="502">
        <f t="shared" si="196"/>
        <v>2.5218786008230456</v>
      </c>
      <c r="CX80" s="502">
        <f t="shared" si="196"/>
        <v>2.5204013298503924</v>
      </c>
      <c r="CY80" s="502">
        <f t="shared" si="196"/>
        <v>2.5902464265587377</v>
      </c>
      <c r="CZ80" s="502">
        <f t="shared" si="196"/>
        <v>2.6463983604342149</v>
      </c>
      <c r="DA80" s="502">
        <f t="shared" si="196"/>
        <v>2.6348993610223643</v>
      </c>
      <c r="DB80" s="502">
        <f t="shared" si="196"/>
        <v>2.6113514098218795</v>
      </c>
      <c r="DC80" s="502">
        <f t="shared" si="196"/>
        <v>2.5923941990771255</v>
      </c>
      <c r="DD80" s="502">
        <f t="shared" si="196"/>
        <v>2.5774311286407765</v>
      </c>
      <c r="DE80" s="502">
        <f t="shared" si="196"/>
        <v>2.5739839222815584</v>
      </c>
      <c r="DF80" s="502">
        <f t="shared" si="196"/>
        <v>2.5790930070305369</v>
      </c>
      <c r="DG80" s="502">
        <f t="shared" si="196"/>
        <v>2.5531206105321869</v>
      </c>
      <c r="DH80" s="502">
        <f t="shared" si="196"/>
        <v>2.5326304791641645</v>
      </c>
      <c r="DI80" s="502">
        <f t="shared" ref="DI80:EH80" si="197">DI79/DI78</f>
        <v>2.5377011620963663</v>
      </c>
      <c r="DJ80" s="502">
        <f t="shared" si="197"/>
        <v>2.5237706226833065</v>
      </c>
      <c r="DK80" s="502">
        <f t="shared" si="197"/>
        <v>2.4869792266168163</v>
      </c>
      <c r="DL80" s="502">
        <f t="shared" si="197"/>
        <v>2.452472690127586</v>
      </c>
      <c r="DM80" s="502">
        <f t="shared" si="197"/>
        <v>2.4339405925473425</v>
      </c>
      <c r="DN80" s="502">
        <f t="shared" si="197"/>
        <v>2.3875857721583369</v>
      </c>
      <c r="DO80" s="502">
        <f t="shared" si="197"/>
        <v>2.3737480364001242</v>
      </c>
      <c r="DP80" s="502">
        <f t="shared" si="197"/>
        <v>2.344417772079491</v>
      </c>
      <c r="DQ80" s="502">
        <f t="shared" si="197"/>
        <v>1.4337161084529504</v>
      </c>
      <c r="DR80" s="502">
        <f t="shared" si="197"/>
        <v>1.5479073161831782</v>
      </c>
      <c r="DS80" s="502">
        <f t="shared" si="197"/>
        <v>1.5411237005022778</v>
      </c>
      <c r="DT80" s="502">
        <f t="shared" si="197"/>
        <v>1.381679062984231</v>
      </c>
      <c r="DU80" s="502">
        <f t="shared" si="197"/>
        <v>1.2555702971725331</v>
      </c>
      <c r="DV80" s="502">
        <f t="shared" si="197"/>
        <v>1.1810465380661546</v>
      </c>
      <c r="DW80" s="502">
        <f t="shared" si="197"/>
        <v>1.0388237176519011</v>
      </c>
      <c r="DX80" s="502">
        <f t="shared" si="197"/>
        <v>1.1381120314334749</v>
      </c>
      <c r="DY80" s="502">
        <f t="shared" si="197"/>
        <v>0.99940784128854843</v>
      </c>
      <c r="DZ80" s="502">
        <f t="shared" si="197"/>
        <v>0.93758975210113693</v>
      </c>
      <c r="EA80" s="502">
        <f>EA79/EA78</f>
        <v>0.87884404971087171</v>
      </c>
      <c r="EB80" s="502">
        <f t="shared" si="197"/>
        <v>0.89729467152855358</v>
      </c>
      <c r="EC80" s="502">
        <f t="shared" si="197"/>
        <v>0.92825456190867939</v>
      </c>
      <c r="ED80" s="502">
        <f t="shared" si="197"/>
        <v>0.97703916863631668</v>
      </c>
      <c r="EE80" s="577">
        <f t="shared" si="197"/>
        <v>1.0267602458423715</v>
      </c>
      <c r="EF80" s="577">
        <f t="shared" si="197"/>
        <v>1.0524764420019983</v>
      </c>
      <c r="EG80" s="577">
        <f t="shared" si="197"/>
        <v>1.1034315938061425</v>
      </c>
      <c r="EH80" s="502">
        <f t="shared" si="197"/>
        <v>1.1541913114121494</v>
      </c>
      <c r="EI80" s="502">
        <f>EI79/EI78</f>
        <v>1.1852110662779698</v>
      </c>
      <c r="EJ80" s="502">
        <f>EJ79/EJ78</f>
        <v>1.1259331230283911</v>
      </c>
      <c r="EK80" s="502">
        <f>EK79/EK78</f>
        <v>1.0831238659821099</v>
      </c>
      <c r="EL80" s="502">
        <f t="shared" ref="EL80:EM80" si="198">EL79/EL78</f>
        <v>1.0398275309541152</v>
      </c>
      <c r="EM80" s="502">
        <f t="shared" si="198"/>
        <v>1.0026356399745218</v>
      </c>
    </row>
    <row r="81" spans="1:143" x14ac:dyDescent="0.25">
      <c r="A81" s="493" t="s">
        <v>590</v>
      </c>
      <c r="B81" s="3" t="s">
        <v>588</v>
      </c>
      <c r="C81" s="509">
        <f t="shared" ref="C81:K81" si="199">C78/C76</f>
        <v>98.917647058823533</v>
      </c>
      <c r="D81" s="509">
        <f t="shared" si="199"/>
        <v>107.13812154696133</v>
      </c>
      <c r="E81" s="509">
        <f t="shared" si="199"/>
        <v>136.49146757679182</v>
      </c>
      <c r="F81" s="509">
        <f t="shared" si="199"/>
        <v>140.48204623708804</v>
      </c>
      <c r="G81" s="509">
        <f t="shared" si="199"/>
        <v>144.14455978469817</v>
      </c>
      <c r="H81" s="509">
        <f t="shared" si="199"/>
        <v>151.12619561863622</v>
      </c>
      <c r="I81" s="509">
        <f t="shared" si="199"/>
        <v>154.16645194537489</v>
      </c>
      <c r="J81" s="509">
        <f t="shared" si="199"/>
        <v>157.43419597434195</v>
      </c>
      <c r="K81" s="509">
        <f t="shared" si="199"/>
        <v>156.52005425305174</v>
      </c>
      <c r="L81" s="509">
        <f>L78/L76</f>
        <v>157.25564557834855</v>
      </c>
      <c r="M81" s="509">
        <f t="shared" ref="M81:AC81" si="200">M78/M76</f>
        <v>155.80189411582052</v>
      </c>
      <c r="N81" s="509">
        <f t="shared" si="200"/>
        <v>152.87740485886812</v>
      </c>
      <c r="O81" s="509">
        <f t="shared" si="200"/>
        <v>153.90216014725712</v>
      </c>
      <c r="P81" s="509">
        <f t="shared" si="200"/>
        <v>150.92166438025853</v>
      </c>
      <c r="Q81" s="509">
        <f t="shared" si="200"/>
        <v>152.80542244249293</v>
      </c>
      <c r="R81" s="509">
        <f t="shared" si="200"/>
        <v>153.18749194657931</v>
      </c>
      <c r="S81" s="509">
        <f t="shared" si="200"/>
        <v>153.9002602518112</v>
      </c>
      <c r="T81" s="509">
        <f t="shared" si="200"/>
        <v>154.43333357717094</v>
      </c>
      <c r="U81" s="509">
        <f t="shared" si="200"/>
        <v>155.27559273019102</v>
      </c>
      <c r="V81" s="509">
        <f t="shared" si="200"/>
        <v>156.20935640247507</v>
      </c>
      <c r="W81" s="509">
        <f t="shared" si="200"/>
        <v>156.15361128593059</v>
      </c>
      <c r="X81" s="509">
        <f t="shared" si="200"/>
        <v>156.22460914829597</v>
      </c>
      <c r="Y81" s="509">
        <f t="shared" si="200"/>
        <v>155.89942413399487</v>
      </c>
      <c r="Z81" s="509">
        <f t="shared" si="200"/>
        <v>156.85086145941679</v>
      </c>
      <c r="AA81" s="509">
        <f t="shared" si="200"/>
        <v>157.64089410616918</v>
      </c>
      <c r="AB81" s="509">
        <f t="shared" si="200"/>
        <v>158.59065296986856</v>
      </c>
      <c r="AC81" s="509">
        <f t="shared" si="200"/>
        <v>158.99537850775152</v>
      </c>
      <c r="AD81" s="504">
        <f>AD78/AD76</f>
        <v>171.7898832684825</v>
      </c>
      <c r="AE81" s="504">
        <f t="shared" ref="AE81:BC81" si="201">AE78/AE76</f>
        <v>159.83397190293741</v>
      </c>
      <c r="AF81" s="504">
        <f t="shared" si="201"/>
        <v>158.72812633376014</v>
      </c>
      <c r="AG81" s="504">
        <f t="shared" si="201"/>
        <v>159.2760325817344</v>
      </c>
      <c r="AH81" s="504">
        <f t="shared" si="201"/>
        <v>152.06221183683215</v>
      </c>
      <c r="AI81" s="504">
        <f t="shared" si="201"/>
        <v>151.94883323306843</v>
      </c>
      <c r="AJ81" s="504">
        <f t="shared" si="201"/>
        <v>151.97488168911539</v>
      </c>
      <c r="AK81" s="504">
        <f t="shared" si="201"/>
        <v>150.43518806341311</v>
      </c>
      <c r="AL81" s="504">
        <f t="shared" si="201"/>
        <v>151.67601587084417</v>
      </c>
      <c r="AM81" s="504">
        <f t="shared" si="201"/>
        <v>150.63538611925708</v>
      </c>
      <c r="AN81" s="504">
        <f t="shared" si="201"/>
        <v>150.53898083623693</v>
      </c>
      <c r="AO81" s="504">
        <f t="shared" si="201"/>
        <v>149.25211891456576</v>
      </c>
      <c r="AP81" s="504">
        <f t="shared" si="201"/>
        <v>147.49225618722818</v>
      </c>
      <c r="AQ81" s="504">
        <f t="shared" si="201"/>
        <v>146.05538461538461</v>
      </c>
      <c r="AR81" s="504">
        <f t="shared" si="201"/>
        <v>145.97442822338476</v>
      </c>
      <c r="AS81" s="504">
        <f t="shared" si="201"/>
        <v>146.26729244669446</v>
      </c>
      <c r="AT81" s="504">
        <f t="shared" si="201"/>
        <v>146.11506183382878</v>
      </c>
      <c r="AU81" s="504">
        <f t="shared" si="201"/>
        <v>145.85740920507249</v>
      </c>
      <c r="AV81" s="504">
        <f t="shared" si="201"/>
        <v>145.74492171399046</v>
      </c>
      <c r="AW81" s="504">
        <f t="shared" si="201"/>
        <v>145.71312608323643</v>
      </c>
      <c r="AX81" s="504">
        <f t="shared" si="201"/>
        <v>145.7841149045598</v>
      </c>
      <c r="AY81" s="504">
        <f t="shared" si="201"/>
        <v>146.18770664860773</v>
      </c>
      <c r="AZ81" s="504">
        <f t="shared" si="201"/>
        <v>146.61189403016297</v>
      </c>
      <c r="BA81" s="504">
        <f t="shared" si="201"/>
        <v>146.29624580822812</v>
      </c>
      <c r="BB81" s="504">
        <f t="shared" si="201"/>
        <v>146.09319993393774</v>
      </c>
      <c r="BC81" s="504">
        <f t="shared" si="201"/>
        <v>146.40012533822267</v>
      </c>
      <c r="BD81" s="495">
        <f t="shared" ref="BD81:CI81" si="202">BD78/BD76</f>
        <v>165.51724137931035</v>
      </c>
      <c r="BE81" s="495">
        <f t="shared" si="202"/>
        <v>162.37473043257643</v>
      </c>
      <c r="BF81" s="495">
        <f t="shared" si="202"/>
        <v>161.56176371592056</v>
      </c>
      <c r="BG81" s="495">
        <f t="shared" si="202"/>
        <v>161.13127583240669</v>
      </c>
      <c r="BH81" s="495">
        <f t="shared" si="202"/>
        <v>158.5421030582321</v>
      </c>
      <c r="BI81" s="495">
        <f t="shared" si="202"/>
        <v>156.15367370957799</v>
      </c>
      <c r="BJ81" s="495">
        <f t="shared" si="202"/>
        <v>156.16425167284456</v>
      </c>
      <c r="BK81" s="495">
        <f t="shared" si="202"/>
        <v>154.31605509410156</v>
      </c>
      <c r="BL81" s="495">
        <f t="shared" si="202"/>
        <v>151.92554199409241</v>
      </c>
      <c r="BM81" s="495">
        <f t="shared" si="202"/>
        <v>148.22887831722721</v>
      </c>
      <c r="BN81" s="495">
        <f t="shared" si="202"/>
        <v>144.23948075866267</v>
      </c>
      <c r="BO81" s="495">
        <f t="shared" si="202"/>
        <v>141.8345094745967</v>
      </c>
      <c r="BP81" s="495">
        <f t="shared" si="202"/>
        <v>142.29534815867257</v>
      </c>
      <c r="BQ81" s="495">
        <f t="shared" si="202"/>
        <v>142.70717770699875</v>
      </c>
      <c r="BR81" s="495">
        <f t="shared" si="202"/>
        <v>142.77431919755935</v>
      </c>
      <c r="BS81" s="495">
        <f t="shared" si="202"/>
        <v>142.5785205000586</v>
      </c>
      <c r="BT81" s="495">
        <f t="shared" si="202"/>
        <v>143.79118457864908</v>
      </c>
      <c r="BU81" s="495">
        <f t="shared" si="202"/>
        <v>145.30884544404859</v>
      </c>
      <c r="BV81" s="495">
        <f t="shared" si="202"/>
        <v>146.47047050862963</v>
      </c>
      <c r="BW81" s="495">
        <f t="shared" si="202"/>
        <v>147.49513954795492</v>
      </c>
      <c r="BX81" s="495">
        <f t="shared" si="202"/>
        <v>147.65136583756211</v>
      </c>
      <c r="BY81" s="495">
        <f t="shared" si="202"/>
        <v>146.43723194021351</v>
      </c>
      <c r="BZ81" s="495">
        <f t="shared" si="202"/>
        <v>146.77879109580454</v>
      </c>
      <c r="CA81" s="495">
        <f t="shared" si="202"/>
        <v>147.77636388688515</v>
      </c>
      <c r="CB81" s="495">
        <f t="shared" si="202"/>
        <v>147.74756349849366</v>
      </c>
      <c r="CC81" s="495">
        <f t="shared" si="202"/>
        <v>147.62288599586324</v>
      </c>
      <c r="CD81" s="495">
        <f t="shared" si="202"/>
        <v>146.76292878222537</v>
      </c>
      <c r="CE81" s="495">
        <f t="shared" si="202"/>
        <v>145.30753025734231</v>
      </c>
      <c r="CF81" s="495">
        <f t="shared" si="202"/>
        <v>143.88357143777296</v>
      </c>
      <c r="CG81" s="495">
        <f t="shared" si="202"/>
        <v>141.99051157611919</v>
      </c>
      <c r="CH81" s="495">
        <f t="shared" si="202"/>
        <v>141.83244967859991</v>
      </c>
      <c r="CI81" s="495">
        <f t="shared" si="202"/>
        <v>142.146920183112</v>
      </c>
      <c r="CJ81" s="495">
        <f t="shared" ref="CJ81:DH81" si="203">CJ78/CJ76</f>
        <v>140.22417691800015</v>
      </c>
      <c r="CK81" s="495">
        <f t="shared" si="203"/>
        <v>139.62961429369994</v>
      </c>
      <c r="CL81" s="495">
        <f t="shared" si="203"/>
        <v>139.14761708879357</v>
      </c>
      <c r="CM81" s="495">
        <f t="shared" si="203"/>
        <v>139.8487050739958</v>
      </c>
      <c r="CN81" s="495">
        <f t="shared" si="203"/>
        <v>140.33167890697973</v>
      </c>
      <c r="CO81" s="495">
        <f t="shared" si="203"/>
        <v>140.8299257244297</v>
      </c>
      <c r="CP81" s="495">
        <f t="shared" si="203"/>
        <v>141.21809809500513</v>
      </c>
      <c r="CQ81" s="499">
        <f t="shared" si="203"/>
        <v>157.86764705882354</v>
      </c>
      <c r="CR81" s="499">
        <f t="shared" si="203"/>
        <v>156.56934306569343</v>
      </c>
      <c r="CS81" s="499">
        <f t="shared" si="203"/>
        <v>155.96577017114916</v>
      </c>
      <c r="CT81" s="499">
        <f t="shared" si="203"/>
        <v>159.375</v>
      </c>
      <c r="CU81" s="499">
        <f t="shared" si="203"/>
        <v>151.53623188405797</v>
      </c>
      <c r="CV81" s="499">
        <f t="shared" si="203"/>
        <v>145.64571428571429</v>
      </c>
      <c r="CW81" s="499">
        <f t="shared" si="203"/>
        <v>142.2439024390244</v>
      </c>
      <c r="CX81" s="499">
        <f t="shared" si="203"/>
        <v>136.38866396761134</v>
      </c>
      <c r="CY81" s="499">
        <f t="shared" si="203"/>
        <v>134.61379310344827</v>
      </c>
      <c r="CZ81" s="499">
        <f t="shared" si="203"/>
        <v>136.20245398773005</v>
      </c>
      <c r="DA81" s="499">
        <f t="shared" si="203"/>
        <v>137.96143250688706</v>
      </c>
      <c r="DB81" s="499">
        <f t="shared" si="203"/>
        <v>138.66999999999999</v>
      </c>
      <c r="DC81" s="499">
        <f t="shared" si="203"/>
        <v>138.85583524027459</v>
      </c>
      <c r="DD81" s="499">
        <f t="shared" si="203"/>
        <v>139.66101694915255</v>
      </c>
      <c r="DE81" s="499">
        <f t="shared" si="203"/>
        <v>140.53493013972056</v>
      </c>
      <c r="DF81" s="499">
        <f t="shared" si="203"/>
        <v>140.62641509433962</v>
      </c>
      <c r="DG81" s="499">
        <f t="shared" si="203"/>
        <v>141.11270125223615</v>
      </c>
      <c r="DH81" s="499">
        <f t="shared" si="203"/>
        <v>141.6156462585034</v>
      </c>
      <c r="DI81" s="499">
        <f t="shared" ref="DI81:EH81" si="204">DI78/DI76</f>
        <v>141.37012987012986</v>
      </c>
      <c r="DJ81" s="499">
        <f t="shared" si="204"/>
        <v>141.59316770186336</v>
      </c>
      <c r="DK81" s="499">
        <f t="shared" si="204"/>
        <v>141.06370370370371</v>
      </c>
      <c r="DL81" s="499">
        <f t="shared" si="204"/>
        <v>141.23620933521923</v>
      </c>
      <c r="DM81" s="499">
        <f t="shared" si="204"/>
        <v>141.00672947510094</v>
      </c>
      <c r="DN81" s="499">
        <f t="shared" si="204"/>
        <v>141.32734274711169</v>
      </c>
      <c r="DO81" s="499">
        <f t="shared" si="204"/>
        <v>141.15262515262515</v>
      </c>
      <c r="DP81" s="499">
        <f t="shared" si="204"/>
        <v>141.64610011641443</v>
      </c>
      <c r="DQ81" s="499">
        <f t="shared" si="204"/>
        <v>132</v>
      </c>
      <c r="DR81" s="499">
        <f t="shared" si="204"/>
        <v>133.6829268292683</v>
      </c>
      <c r="DS81" s="499">
        <f t="shared" si="204"/>
        <v>135.88888888888889</v>
      </c>
      <c r="DT81" s="499">
        <f t="shared" si="204"/>
        <v>129.07058823529411</v>
      </c>
      <c r="DU81" s="499">
        <f t="shared" si="204"/>
        <v>129.57009345794393</v>
      </c>
      <c r="DV81" s="499">
        <f t="shared" si="204"/>
        <v>128.19379844961242</v>
      </c>
      <c r="DW81" s="499">
        <f t="shared" si="204"/>
        <v>127.875</v>
      </c>
      <c r="DX81" s="499">
        <f t="shared" si="204"/>
        <v>126.52571428571429</v>
      </c>
      <c r="DY81" s="499">
        <f t="shared" si="204"/>
        <v>128.56060606060606</v>
      </c>
      <c r="DZ81" s="499">
        <f t="shared" si="204"/>
        <v>128.13574660633483</v>
      </c>
      <c r="EA81" s="499">
        <f t="shared" si="204"/>
        <v>128.28278688524591</v>
      </c>
      <c r="EB81" s="499">
        <f t="shared" si="204"/>
        <v>128.81060606060606</v>
      </c>
      <c r="EC81" s="499">
        <f t="shared" si="204"/>
        <v>130.69892473118279</v>
      </c>
      <c r="ED81" s="499">
        <f t="shared" si="204"/>
        <v>132.39455782312925</v>
      </c>
      <c r="EE81" s="499">
        <f t="shared" si="204"/>
        <v>132.98076923076923</v>
      </c>
      <c r="EF81" s="499">
        <f t="shared" si="204"/>
        <v>132.43909774436091</v>
      </c>
      <c r="EG81" s="499">
        <f t="shared" si="204"/>
        <v>132.45325779036827</v>
      </c>
      <c r="EH81" s="499">
        <f t="shared" si="204"/>
        <v>131.8259705488621</v>
      </c>
      <c r="EI81" s="499">
        <f>EI78/EI76</f>
        <v>131.56464312928625</v>
      </c>
      <c r="EJ81" s="499">
        <f>EJ78/EJ76</f>
        <v>131.79598743050519</v>
      </c>
      <c r="EK81" s="499">
        <f>EK78/EK76</f>
        <v>131.90365371189202</v>
      </c>
      <c r="EL81" s="499">
        <f t="shared" ref="EL81:EM81" si="205">EL78/EL76</f>
        <v>132.4635404980929</v>
      </c>
      <c r="EM81" s="499">
        <f t="shared" si="205"/>
        <v>132.61641758717784</v>
      </c>
    </row>
    <row r="82" spans="1:143" x14ac:dyDescent="0.25">
      <c r="A82" s="493" t="s">
        <v>591</v>
      </c>
      <c r="B82" s="3" t="s">
        <v>588</v>
      </c>
      <c r="C82" s="509">
        <f t="shared" ref="C82:K82" si="206">C79/C76</f>
        <v>224.66823529411769</v>
      </c>
      <c r="D82" s="509">
        <f t="shared" si="206"/>
        <v>241.46544761159731</v>
      </c>
      <c r="E82" s="509">
        <f t="shared" si="206"/>
        <v>213.32575432661815</v>
      </c>
      <c r="F82" s="509">
        <f t="shared" si="206"/>
        <v>206.32278902532985</v>
      </c>
      <c r="G82" s="509">
        <f t="shared" si="206"/>
        <v>211.27652060303561</v>
      </c>
      <c r="H82" s="509">
        <f t="shared" si="206"/>
        <v>185.69300527259969</v>
      </c>
      <c r="I82" s="509">
        <f t="shared" si="206"/>
        <v>183.29580780430192</v>
      </c>
      <c r="J82" s="509">
        <f t="shared" si="206"/>
        <v>177.0314156355885</v>
      </c>
      <c r="K82" s="509">
        <f t="shared" si="206"/>
        <v>166.25441389042737</v>
      </c>
      <c r="L82" s="509">
        <f>L79/L76</f>
        <v>169.39890192871843</v>
      </c>
      <c r="M82" s="509">
        <f t="shared" ref="M82:AC82" si="207">M79/M76</f>
        <v>169.90029965665201</v>
      </c>
      <c r="N82" s="509">
        <f t="shared" si="207"/>
        <v>171.5937410600331</v>
      </c>
      <c r="O82" s="509">
        <f t="shared" si="207"/>
        <v>177.01607293233653</v>
      </c>
      <c r="P82" s="509">
        <f t="shared" si="207"/>
        <v>175.09598584243165</v>
      </c>
      <c r="Q82" s="509">
        <f t="shared" si="207"/>
        <v>178.18333881050435</v>
      </c>
      <c r="R82" s="509">
        <f t="shared" si="207"/>
        <v>183.32485005969878</v>
      </c>
      <c r="S82" s="509">
        <f t="shared" si="207"/>
        <v>186.92713633995447</v>
      </c>
      <c r="T82" s="509">
        <f t="shared" si="207"/>
        <v>190.59338768063756</v>
      </c>
      <c r="U82" s="509">
        <f t="shared" si="207"/>
        <v>203.21660596574165</v>
      </c>
      <c r="V82" s="509">
        <f t="shared" si="207"/>
        <v>211.95258658223437</v>
      </c>
      <c r="W82" s="509">
        <f t="shared" si="207"/>
        <v>219.83380093907888</v>
      </c>
      <c r="X82" s="509">
        <f t="shared" si="207"/>
        <v>229.8135868838483</v>
      </c>
      <c r="Y82" s="509">
        <f t="shared" si="207"/>
        <v>239.39793323658438</v>
      </c>
      <c r="Z82" s="509">
        <f t="shared" si="207"/>
        <v>245.30306213868084</v>
      </c>
      <c r="AA82" s="509">
        <f t="shared" si="207"/>
        <v>251.65651907099289</v>
      </c>
      <c r="AB82" s="509">
        <f t="shared" si="207"/>
        <v>255.9488861944763</v>
      </c>
      <c r="AC82" s="509">
        <f t="shared" si="207"/>
        <v>260.51158716341604</v>
      </c>
      <c r="AD82" s="504">
        <f>AD79/AD76</f>
        <v>277.32814526588845</v>
      </c>
      <c r="AE82" s="504">
        <f t="shared" ref="AE82:BC82" si="208">AE79/AE76</f>
        <v>309.91379310344826</v>
      </c>
      <c r="AF82" s="504">
        <f t="shared" si="208"/>
        <v>339.29107981220659</v>
      </c>
      <c r="AG82" s="504">
        <f t="shared" si="208"/>
        <v>351.98802989326117</v>
      </c>
      <c r="AH82" s="504">
        <f t="shared" si="208"/>
        <v>347.28174977072581</v>
      </c>
      <c r="AI82" s="504">
        <f t="shared" si="208"/>
        <v>340.88359771607088</v>
      </c>
      <c r="AJ82" s="504">
        <f t="shared" si="208"/>
        <v>342.42300691663633</v>
      </c>
      <c r="AK82" s="504">
        <f t="shared" si="208"/>
        <v>332.48772147963939</v>
      </c>
      <c r="AL82" s="504">
        <f t="shared" si="208"/>
        <v>331.66206047338892</v>
      </c>
      <c r="AM82" s="504">
        <f t="shared" si="208"/>
        <v>330.86143695014658</v>
      </c>
      <c r="AN82" s="504">
        <f t="shared" si="208"/>
        <v>334.29306402439022</v>
      </c>
      <c r="AO82" s="504">
        <f t="shared" si="208"/>
        <v>343.57288771471502</v>
      </c>
      <c r="AP82" s="504">
        <f t="shared" si="208"/>
        <v>351.6445042395419</v>
      </c>
      <c r="AQ82" s="504">
        <f t="shared" si="208"/>
        <v>357.67577435897437</v>
      </c>
      <c r="AR82" s="504">
        <f t="shared" si="208"/>
        <v>356.65175924002341</v>
      </c>
      <c r="AS82" s="504">
        <f t="shared" si="208"/>
        <v>362.39613985128938</v>
      </c>
      <c r="AT82" s="504">
        <f t="shared" si="208"/>
        <v>365.77467194402936</v>
      </c>
      <c r="AU82" s="504">
        <f t="shared" si="208"/>
        <v>365.55654170326204</v>
      </c>
      <c r="AV82" s="504">
        <f t="shared" si="208"/>
        <v>366.48757931647054</v>
      </c>
      <c r="AW82" s="504">
        <f t="shared" si="208"/>
        <v>366.64720497575746</v>
      </c>
      <c r="AX82" s="504">
        <f t="shared" si="208"/>
        <v>365.72298822939098</v>
      </c>
      <c r="AY82" s="504">
        <f t="shared" si="208"/>
        <v>363.06410090427437</v>
      </c>
      <c r="AZ82" s="504">
        <f t="shared" si="208"/>
        <v>361.09851942716949</v>
      </c>
      <c r="BA82" s="504">
        <f t="shared" si="208"/>
        <v>357.72483346510717</v>
      </c>
      <c r="BB82" s="504">
        <f t="shared" si="208"/>
        <v>354.14403744686769</v>
      </c>
      <c r="BC82" s="504">
        <f t="shared" si="208"/>
        <v>350.51102849327373</v>
      </c>
      <c r="BD82" s="495">
        <f t="shared" ref="BD82:CI82" si="209">BD79/BD76</f>
        <v>189.46551724137933</v>
      </c>
      <c r="BE82" s="495">
        <f t="shared" si="209"/>
        <v>206.49921772590807</v>
      </c>
      <c r="BF82" s="495">
        <f t="shared" si="209"/>
        <v>184.07101985863343</v>
      </c>
      <c r="BG82" s="495">
        <f t="shared" si="209"/>
        <v>186.20313450685015</v>
      </c>
      <c r="BH82" s="495">
        <f t="shared" si="209"/>
        <v>177.21323837452869</v>
      </c>
      <c r="BI82" s="495">
        <f t="shared" si="209"/>
        <v>175.34467298100094</v>
      </c>
      <c r="BJ82" s="495">
        <f t="shared" si="209"/>
        <v>174.55952438261204</v>
      </c>
      <c r="BK82" s="495">
        <f t="shared" si="209"/>
        <v>175.01082956576593</v>
      </c>
      <c r="BL82" s="495">
        <f t="shared" si="209"/>
        <v>173.95790373218895</v>
      </c>
      <c r="BM82" s="495">
        <f t="shared" si="209"/>
        <v>165.13840773094199</v>
      </c>
      <c r="BN82" s="495">
        <f t="shared" si="209"/>
        <v>160.66293870397598</v>
      </c>
      <c r="BO82" s="495">
        <f t="shared" si="209"/>
        <v>164.56412791721408</v>
      </c>
      <c r="BP82" s="495">
        <f t="shared" si="209"/>
        <v>157.64737596569785</v>
      </c>
      <c r="BQ82" s="495">
        <f t="shared" si="209"/>
        <v>154.54419115103363</v>
      </c>
      <c r="BR82" s="495">
        <f t="shared" si="209"/>
        <v>148.77376757590423</v>
      </c>
      <c r="BS82" s="495">
        <f t="shared" si="209"/>
        <v>148.91499429813808</v>
      </c>
      <c r="BT82" s="495">
        <f t="shared" si="209"/>
        <v>147.44868260588856</v>
      </c>
      <c r="BU82" s="495">
        <f t="shared" si="209"/>
        <v>143.48759979867557</v>
      </c>
      <c r="BV82" s="495">
        <f t="shared" si="209"/>
        <v>138.84221711824188</v>
      </c>
      <c r="BW82" s="495">
        <f t="shared" si="209"/>
        <v>137.61022399542981</v>
      </c>
      <c r="BX82" s="495">
        <f t="shared" si="209"/>
        <v>133.19212692523791</v>
      </c>
      <c r="BY82" s="495">
        <f t="shared" si="209"/>
        <v>128.88185089619347</v>
      </c>
      <c r="BZ82" s="495">
        <f t="shared" si="209"/>
        <v>126.81360706852018</v>
      </c>
      <c r="CA82" s="495">
        <f t="shared" si="209"/>
        <v>129.09162012984382</v>
      </c>
      <c r="CB82" s="495">
        <f t="shared" si="209"/>
        <v>125.28372755232874</v>
      </c>
      <c r="CC82" s="495">
        <f t="shared" si="209"/>
        <v>122.71299732327535</v>
      </c>
      <c r="CD82" s="495">
        <f t="shared" si="209"/>
        <v>121.49088527292666</v>
      </c>
      <c r="CE82" s="495">
        <f t="shared" si="209"/>
        <v>124.35819323392128</v>
      </c>
      <c r="CF82" s="495">
        <f t="shared" si="209"/>
        <v>137.71081582439101</v>
      </c>
      <c r="CG82" s="495">
        <f t="shared" si="209"/>
        <v>146.5229283406151</v>
      </c>
      <c r="CH82" s="495">
        <f t="shared" si="209"/>
        <v>143.02303758269605</v>
      </c>
      <c r="CI82" s="495">
        <f t="shared" si="209"/>
        <v>153.10970289625169</v>
      </c>
      <c r="CJ82" s="495">
        <f t="shared" ref="CJ82:DH82" si="210">CJ79/CJ76</f>
        <v>157.19440747833428</v>
      </c>
      <c r="CK82" s="495">
        <f t="shared" si="210"/>
        <v>164.68300345748537</v>
      </c>
      <c r="CL82" s="495">
        <f t="shared" si="210"/>
        <v>177.08987091340035</v>
      </c>
      <c r="CM82" s="495">
        <f t="shared" si="210"/>
        <v>186.19995375264273</v>
      </c>
      <c r="CN82" s="495">
        <f t="shared" si="210"/>
        <v>195.66182395926816</v>
      </c>
      <c r="CO82" s="495">
        <f t="shared" si="210"/>
        <v>202.74689340881591</v>
      </c>
      <c r="CP82" s="495">
        <f t="shared" si="210"/>
        <v>210.864757809449</v>
      </c>
      <c r="CQ82" s="499">
        <f t="shared" si="210"/>
        <v>442.94779411764711</v>
      </c>
      <c r="CR82" s="499">
        <f t="shared" si="210"/>
        <v>430.38065693430661</v>
      </c>
      <c r="CS82" s="499">
        <f t="shared" si="210"/>
        <v>433.06748166259166</v>
      </c>
      <c r="CT82" s="499">
        <f t="shared" si="210"/>
        <v>432.32022058823537</v>
      </c>
      <c r="CU82" s="499">
        <f t="shared" si="210"/>
        <v>403.43202898550726</v>
      </c>
      <c r="CV82" s="499">
        <f t="shared" si="210"/>
        <v>375.65554285714285</v>
      </c>
      <c r="CW82" s="499">
        <f t="shared" si="210"/>
        <v>358.72185365853665</v>
      </c>
      <c r="CX82" s="499">
        <f t="shared" si="210"/>
        <v>343.75417004048586</v>
      </c>
      <c r="CY82" s="499">
        <f t="shared" si="210"/>
        <v>348.68289655172418</v>
      </c>
      <c r="CZ82" s="499">
        <f t="shared" si="210"/>
        <v>360.44595092024542</v>
      </c>
      <c r="DA82" s="499">
        <f t="shared" si="210"/>
        <v>363.51449035812675</v>
      </c>
      <c r="DB82" s="499">
        <f t="shared" si="210"/>
        <v>362.11610000000002</v>
      </c>
      <c r="DC82" s="499">
        <f t="shared" si="210"/>
        <v>359.96906178489701</v>
      </c>
      <c r="DD82" s="499">
        <f t="shared" si="210"/>
        <v>359.96665254237286</v>
      </c>
      <c r="DE82" s="499">
        <f t="shared" si="210"/>
        <v>361.73465069860271</v>
      </c>
      <c r="DF82" s="499">
        <f t="shared" si="210"/>
        <v>362.68860377358487</v>
      </c>
      <c r="DG82" s="499">
        <f t="shared" si="210"/>
        <v>360.27774597495522</v>
      </c>
      <c r="DH82" s="499">
        <f t="shared" si="210"/>
        <v>358.6601020408163</v>
      </c>
      <c r="DI82" s="499">
        <f t="shared" ref="DI82:EH82" si="211">DI79/DI76</f>
        <v>358.7551428571428</v>
      </c>
      <c r="DJ82" s="499">
        <f t="shared" si="211"/>
        <v>357.34867701863351</v>
      </c>
      <c r="DK82" s="499">
        <f t="shared" si="211"/>
        <v>350.82250074074074</v>
      </c>
      <c r="DL82" s="499">
        <f t="shared" si="211"/>
        <v>346.37794625176804</v>
      </c>
      <c r="DM82" s="499">
        <f t="shared" si="211"/>
        <v>343.20200269179003</v>
      </c>
      <c r="DN82" s="499">
        <f t="shared" si="211"/>
        <v>337.43115275994859</v>
      </c>
      <c r="DO82" s="499">
        <f t="shared" si="211"/>
        <v>335.06076678876678</v>
      </c>
      <c r="DP82" s="499">
        <f t="shared" si="211"/>
        <v>332.07763445867283</v>
      </c>
      <c r="DQ82" s="499">
        <f t="shared" si="211"/>
        <v>189.25052631578944</v>
      </c>
      <c r="DR82" s="499">
        <f t="shared" si="211"/>
        <v>206.92878048780489</v>
      </c>
      <c r="DS82" s="499">
        <f t="shared" si="211"/>
        <v>209.42158730158729</v>
      </c>
      <c r="DT82" s="499">
        <f t="shared" si="211"/>
        <v>178.33412941176471</v>
      </c>
      <c r="DU82" s="499">
        <f t="shared" si="211"/>
        <v>162.68436074766353</v>
      </c>
      <c r="DV82" s="499">
        <f t="shared" si="211"/>
        <v>151.40284186046512</v>
      </c>
      <c r="DW82" s="499">
        <f t="shared" si="211"/>
        <v>132.83958289473685</v>
      </c>
      <c r="DX82" s="499">
        <f t="shared" si="211"/>
        <v>144.00043771428571</v>
      </c>
      <c r="DY82" s="499">
        <f t="shared" si="211"/>
        <v>128.48447777777778</v>
      </c>
      <c r="DZ82" s="499">
        <f t="shared" si="211"/>
        <v>120.13876289592758</v>
      </c>
      <c r="EA82" s="499">
        <f t="shared" si="211"/>
        <v>112.74056393442621</v>
      </c>
      <c r="EB82" s="499">
        <f t="shared" si="211"/>
        <v>115.58107045454543</v>
      </c>
      <c r="EC82" s="499">
        <f t="shared" si="211"/>
        <v>121.32187311827956</v>
      </c>
      <c r="ED82" s="499">
        <f t="shared" si="211"/>
        <v>129.35466870748294</v>
      </c>
      <c r="EE82" s="499">
        <f t="shared" si="211"/>
        <v>136.53936730769229</v>
      </c>
      <c r="EF82" s="499">
        <f t="shared" si="211"/>
        <v>139.38903037593985</v>
      </c>
      <c r="EG82" s="499">
        <f t="shared" si="211"/>
        <v>146.15310934844192</v>
      </c>
      <c r="EH82" s="499">
        <f t="shared" si="211"/>
        <v>152.15238982597054</v>
      </c>
      <c r="EI82" s="499">
        <f>EI79/EI76</f>
        <v>155.93187096774193</v>
      </c>
      <c r="EJ82" s="499">
        <f>EJ79/EJ76</f>
        <v>148.39346773023931</v>
      </c>
      <c r="EK82" s="499">
        <f>EK79/EK76</f>
        <v>142.86799534558995</v>
      </c>
      <c r="EL82" s="499">
        <f t="shared" ref="EL82:EM82" si="212">EL79/EL76</f>
        <v>137.73923625757237</v>
      </c>
      <c r="EM82" s="499">
        <f t="shared" si="212"/>
        <v>132.96594671864847</v>
      </c>
    </row>
  </sheetData>
  <mergeCells count="22">
    <mergeCell ref="A49:A51"/>
    <mergeCell ref="A14:A16"/>
    <mergeCell ref="A18:A20"/>
    <mergeCell ref="A29:A31"/>
    <mergeCell ref="A33:A35"/>
    <mergeCell ref="A37:A39"/>
    <mergeCell ref="A41:A43"/>
    <mergeCell ref="A45:A47"/>
    <mergeCell ref="A4:A12"/>
    <mergeCell ref="AM2:AN2"/>
    <mergeCell ref="AE2:AF2"/>
    <mergeCell ref="AJ2:AK2"/>
    <mergeCell ref="BD1:CP1"/>
    <mergeCell ref="AD1:BC1"/>
    <mergeCell ref="C1:AC1"/>
    <mergeCell ref="ED1:ES1"/>
    <mergeCell ref="C53:AC53"/>
    <mergeCell ref="AD53:BC53"/>
    <mergeCell ref="BD53:CP53"/>
    <mergeCell ref="CQ53:CY53"/>
    <mergeCell ref="CQ1:CY1"/>
    <mergeCell ref="DQ1:EC1"/>
  </mergeCells>
  <phoneticPr fontId="14" type="noConversion"/>
  <conditionalFormatting sqref="AD32:AM32 AP32 AD33:DQ34">
    <cfRule type="cellIs" dxfId="99" priority="0" stopIfTrue="1" operator="greaterThanOrEqual">
      <formula>0.48</formula>
    </cfRule>
  </conditionalFormatting>
  <conditionalFormatting sqref="AD37:AM43 AP37:AP38 AP40:AP42 BN47 BM51:BN51">
    <cfRule type="cellIs" dxfId="98" priority="95" stopIfTrue="1" operator="greaterThanOrEqual">
      <formula>19.3</formula>
    </cfRule>
  </conditionalFormatting>
  <conditionalFormatting sqref="AD45:AM51 AP45:AP46 AP48:AP50">
    <cfRule type="cellIs" dxfId="97" priority="96" stopIfTrue="1" operator="greaterThanOrEqual">
      <formula>2.5</formula>
    </cfRule>
  </conditionalFormatting>
  <conditionalFormatting sqref="C32:L34 C29:BB30 CE29:DQ30 C31:DQ31 C35:DQ35">
    <cfRule type="cellIs" dxfId="96" priority="94" stopIfTrue="1" operator="greaterThanOrEqual">
      <formula>0.48</formula>
    </cfRule>
  </conditionalFormatting>
  <conditionalFormatting sqref="L37:L43 C39:K39 C43:K43">
    <cfRule type="cellIs" dxfId="95" priority="92" stopIfTrue="1" operator="greaterThanOrEqual">
      <formula>19.3</formula>
    </cfRule>
  </conditionalFormatting>
  <conditionalFormatting sqref="L45:L51 C47:K47 C51:K51">
    <cfRule type="cellIs" dxfId="94" priority="93" stopIfTrue="1" operator="greaterThanOrEqual">
      <formula>2.5</formula>
    </cfRule>
  </conditionalFormatting>
  <conditionalFormatting sqref="M32:M34">
    <cfRule type="cellIs" dxfId="93" priority="91" stopIfTrue="1" operator="greaterThanOrEqual">
      <formula>0.48</formula>
    </cfRule>
  </conditionalFormatting>
  <conditionalFormatting sqref="M37:M43">
    <cfRule type="cellIs" dxfId="92" priority="89" stopIfTrue="1" operator="greaterThanOrEqual">
      <formula>19.3</formula>
    </cfRule>
  </conditionalFormatting>
  <conditionalFormatting sqref="M45:M51">
    <cfRule type="cellIs" dxfId="91" priority="90" stopIfTrue="1" operator="greaterThanOrEqual">
      <formula>2.5</formula>
    </cfRule>
  </conditionalFormatting>
  <conditionalFormatting sqref="N32:N34">
    <cfRule type="cellIs" dxfId="90" priority="88" stopIfTrue="1" operator="greaterThanOrEqual">
      <formula>0.48</formula>
    </cfRule>
  </conditionalFormatting>
  <conditionalFormatting sqref="N37:N43">
    <cfRule type="cellIs" dxfId="89" priority="86" stopIfTrue="1" operator="greaterThanOrEqual">
      <formula>19.3</formula>
    </cfRule>
  </conditionalFormatting>
  <conditionalFormatting sqref="N45:N51">
    <cfRule type="cellIs" dxfId="88" priority="87" stopIfTrue="1" operator="greaterThanOrEqual">
      <formula>2.5</formula>
    </cfRule>
  </conditionalFormatting>
  <conditionalFormatting sqref="O32:O34">
    <cfRule type="cellIs" dxfId="87" priority="85" stopIfTrue="1" operator="greaterThanOrEqual">
      <formula>0.48</formula>
    </cfRule>
  </conditionalFormatting>
  <conditionalFormatting sqref="O37:O43">
    <cfRule type="cellIs" dxfId="86" priority="83" stopIfTrue="1" operator="greaterThanOrEqual">
      <formula>19.3</formula>
    </cfRule>
  </conditionalFormatting>
  <conditionalFormatting sqref="O45:O51">
    <cfRule type="cellIs" dxfId="85" priority="84" stopIfTrue="1" operator="greaterThanOrEqual">
      <formula>2.5</formula>
    </cfRule>
  </conditionalFormatting>
  <conditionalFormatting sqref="P32:P34">
    <cfRule type="cellIs" dxfId="84" priority="82" stopIfTrue="1" operator="greaterThanOrEqual">
      <formula>0.48</formula>
    </cfRule>
  </conditionalFormatting>
  <conditionalFormatting sqref="P37:P43">
    <cfRule type="cellIs" dxfId="83" priority="80" stopIfTrue="1" operator="greaterThanOrEqual">
      <formula>19.3</formula>
    </cfRule>
  </conditionalFormatting>
  <conditionalFormatting sqref="P45:P51">
    <cfRule type="cellIs" dxfId="82" priority="81" stopIfTrue="1" operator="greaterThanOrEqual">
      <formula>2.5</formula>
    </cfRule>
  </conditionalFormatting>
  <conditionalFormatting sqref="Q32:Q34">
    <cfRule type="cellIs" dxfId="81" priority="79" stopIfTrue="1" operator="greaterThanOrEqual">
      <formula>0.48</formula>
    </cfRule>
  </conditionalFormatting>
  <conditionalFormatting sqref="Q37:Q43">
    <cfRule type="cellIs" dxfId="80" priority="77" stopIfTrue="1" operator="greaterThanOrEqual">
      <formula>19.3</formula>
    </cfRule>
  </conditionalFormatting>
  <conditionalFormatting sqref="Q45:Q51">
    <cfRule type="cellIs" dxfId="79" priority="78" stopIfTrue="1" operator="greaterThanOrEqual">
      <formula>2.5</formula>
    </cfRule>
  </conditionalFormatting>
  <conditionalFormatting sqref="R32:R34">
    <cfRule type="cellIs" dxfId="78" priority="76" stopIfTrue="1" operator="greaterThanOrEqual">
      <formula>0.48</formula>
    </cfRule>
  </conditionalFormatting>
  <conditionalFormatting sqref="R37:R43">
    <cfRule type="cellIs" dxfId="77" priority="74" stopIfTrue="1" operator="greaterThanOrEqual">
      <formula>19.3</formula>
    </cfRule>
  </conditionalFormatting>
  <conditionalFormatting sqref="R45:R51">
    <cfRule type="cellIs" dxfId="76" priority="75" stopIfTrue="1" operator="greaterThanOrEqual">
      <formula>2.5</formula>
    </cfRule>
  </conditionalFormatting>
  <conditionalFormatting sqref="S32:S34">
    <cfRule type="cellIs" dxfId="75" priority="73" stopIfTrue="1" operator="greaterThanOrEqual">
      <formula>0.48</formula>
    </cfRule>
  </conditionalFormatting>
  <conditionalFormatting sqref="S37:S43">
    <cfRule type="cellIs" dxfId="74" priority="71" stopIfTrue="1" operator="greaterThanOrEqual">
      <formula>19.3</formula>
    </cfRule>
  </conditionalFormatting>
  <conditionalFormatting sqref="S45:S51">
    <cfRule type="cellIs" dxfId="73" priority="72" stopIfTrue="1" operator="greaterThanOrEqual">
      <formula>2.5</formula>
    </cfRule>
  </conditionalFormatting>
  <conditionalFormatting sqref="T32:T34">
    <cfRule type="cellIs" dxfId="72" priority="70" stopIfTrue="1" operator="greaterThanOrEqual">
      <formula>0.48</formula>
    </cfRule>
  </conditionalFormatting>
  <conditionalFormatting sqref="T37:T43">
    <cfRule type="cellIs" dxfId="71" priority="68" stopIfTrue="1" operator="greaterThanOrEqual">
      <formula>19.3</formula>
    </cfRule>
  </conditionalFormatting>
  <conditionalFormatting sqref="T45:T51">
    <cfRule type="cellIs" dxfId="70" priority="69" stopIfTrue="1" operator="greaterThanOrEqual">
      <formula>2.5</formula>
    </cfRule>
  </conditionalFormatting>
  <conditionalFormatting sqref="U32:U34">
    <cfRule type="cellIs" dxfId="69" priority="67" stopIfTrue="1" operator="greaterThanOrEqual">
      <formula>0.48</formula>
    </cfRule>
  </conditionalFormatting>
  <conditionalFormatting sqref="U37:U43">
    <cfRule type="cellIs" dxfId="68" priority="65" stopIfTrue="1" operator="greaterThanOrEqual">
      <formula>19.3</formula>
    </cfRule>
  </conditionalFormatting>
  <conditionalFormatting sqref="U45:U51">
    <cfRule type="cellIs" dxfId="67" priority="66" stopIfTrue="1" operator="greaterThanOrEqual">
      <formula>2.5</formula>
    </cfRule>
  </conditionalFormatting>
  <conditionalFormatting sqref="V32:V34">
    <cfRule type="cellIs" dxfId="66" priority="64" stopIfTrue="1" operator="greaterThanOrEqual">
      <formula>0.48</formula>
    </cfRule>
  </conditionalFormatting>
  <conditionalFormatting sqref="V37:V43">
    <cfRule type="cellIs" dxfId="65" priority="62" stopIfTrue="1" operator="greaterThanOrEqual">
      <formula>19.3</formula>
    </cfRule>
  </conditionalFormatting>
  <conditionalFormatting sqref="V45:V51">
    <cfRule type="cellIs" dxfId="64" priority="63" stopIfTrue="1" operator="greaterThanOrEqual">
      <formula>2.5</formula>
    </cfRule>
  </conditionalFormatting>
  <conditionalFormatting sqref="W32:W34">
    <cfRule type="cellIs" dxfId="63" priority="61" stopIfTrue="1" operator="greaterThanOrEqual">
      <formula>0.48</formula>
    </cfRule>
  </conditionalFormatting>
  <conditionalFormatting sqref="W37:W43">
    <cfRule type="cellIs" dxfId="62" priority="59" stopIfTrue="1" operator="greaterThanOrEqual">
      <formula>19.3</formula>
    </cfRule>
  </conditionalFormatting>
  <conditionalFormatting sqref="W45:W51">
    <cfRule type="cellIs" dxfId="61" priority="60" stopIfTrue="1" operator="greaterThanOrEqual">
      <formula>2.5</formula>
    </cfRule>
  </conditionalFormatting>
  <conditionalFormatting sqref="X32:X34">
    <cfRule type="cellIs" dxfId="60" priority="58" stopIfTrue="1" operator="greaterThanOrEqual">
      <formula>0.48</formula>
    </cfRule>
  </conditionalFormatting>
  <conditionalFormatting sqref="X37:X43">
    <cfRule type="cellIs" dxfId="59" priority="56" stopIfTrue="1" operator="greaterThanOrEqual">
      <formula>19.3</formula>
    </cfRule>
  </conditionalFormatting>
  <conditionalFormatting sqref="X45:X51">
    <cfRule type="cellIs" dxfId="58" priority="57" stopIfTrue="1" operator="greaterThanOrEqual">
      <formula>2.5</formula>
    </cfRule>
  </conditionalFormatting>
  <conditionalFormatting sqref="Y32:Y34">
    <cfRule type="cellIs" dxfId="57" priority="55" stopIfTrue="1" operator="greaterThanOrEqual">
      <formula>0.48</formula>
    </cfRule>
  </conditionalFormatting>
  <conditionalFormatting sqref="Y37:Y43">
    <cfRule type="cellIs" dxfId="56" priority="53" stopIfTrue="1" operator="greaterThanOrEqual">
      <formula>19.3</formula>
    </cfRule>
  </conditionalFormatting>
  <conditionalFormatting sqref="Y45:Y51">
    <cfRule type="cellIs" dxfId="55" priority="54" stopIfTrue="1" operator="greaterThanOrEqual">
      <formula>2.5</formula>
    </cfRule>
  </conditionalFormatting>
  <conditionalFormatting sqref="Z32:Z34">
    <cfRule type="cellIs" dxfId="54" priority="52" stopIfTrue="1" operator="greaterThanOrEqual">
      <formula>0.48</formula>
    </cfRule>
  </conditionalFormatting>
  <conditionalFormatting sqref="Z37:Z43">
    <cfRule type="cellIs" dxfId="53" priority="50" stopIfTrue="1" operator="greaterThanOrEqual">
      <formula>19.3</formula>
    </cfRule>
  </conditionalFormatting>
  <conditionalFormatting sqref="Z45:Z51">
    <cfRule type="cellIs" dxfId="52" priority="51" stopIfTrue="1" operator="greaterThanOrEqual">
      <formula>2.5</formula>
    </cfRule>
  </conditionalFormatting>
  <conditionalFormatting sqref="AA32:AA34">
    <cfRule type="cellIs" dxfId="51" priority="49" stopIfTrue="1" operator="greaterThanOrEqual">
      <formula>0.48</formula>
    </cfRule>
  </conditionalFormatting>
  <conditionalFormatting sqref="AA37:AA43">
    <cfRule type="cellIs" dxfId="50" priority="47" stopIfTrue="1" operator="greaterThanOrEqual">
      <formula>19.3</formula>
    </cfRule>
  </conditionalFormatting>
  <conditionalFormatting sqref="AA45:AA51">
    <cfRule type="cellIs" dxfId="49" priority="48" stopIfTrue="1" operator="greaterThanOrEqual">
      <formula>2.5</formula>
    </cfRule>
  </conditionalFormatting>
  <conditionalFormatting sqref="AB32:AB34">
    <cfRule type="cellIs" dxfId="48" priority="46" stopIfTrue="1" operator="greaterThanOrEqual">
      <formula>0.48</formula>
    </cfRule>
  </conditionalFormatting>
  <conditionalFormatting sqref="AB37:AB43">
    <cfRule type="cellIs" dxfId="47" priority="44" stopIfTrue="1" operator="greaterThanOrEqual">
      <formula>19.3</formula>
    </cfRule>
  </conditionalFormatting>
  <conditionalFormatting sqref="AB45:AB51">
    <cfRule type="cellIs" dxfId="46" priority="45" stopIfTrue="1" operator="greaterThanOrEqual">
      <formula>2.5</formula>
    </cfRule>
  </conditionalFormatting>
  <conditionalFormatting sqref="AC32:AC34">
    <cfRule type="cellIs" dxfId="45" priority="43" stopIfTrue="1" operator="greaterThanOrEqual">
      <formula>0.48</formula>
    </cfRule>
  </conditionalFormatting>
  <conditionalFormatting sqref="AC37:AC43">
    <cfRule type="cellIs" dxfId="44" priority="41" stopIfTrue="1" operator="greaterThanOrEqual">
      <formula>19.3</formula>
    </cfRule>
  </conditionalFormatting>
  <conditionalFormatting sqref="AC45:AC51">
    <cfRule type="cellIs" dxfId="43" priority="42" stopIfTrue="1" operator="greaterThanOrEqual">
      <formula>2.5</formula>
    </cfRule>
  </conditionalFormatting>
  <conditionalFormatting sqref="AN32:AO32">
    <cfRule type="cellIs" dxfId="42" priority="40" stopIfTrue="1" operator="greaterThanOrEqual">
      <formula>0.48</formula>
    </cfRule>
  </conditionalFormatting>
  <conditionalFormatting sqref="AN37:AO43 AP43 AP39">
    <cfRule type="cellIs" dxfId="41" priority="38" stopIfTrue="1" operator="greaterThanOrEqual">
      <formula>19.3</formula>
    </cfRule>
  </conditionalFormatting>
  <conditionalFormatting sqref="AN45:AO51 AP47 AP51">
    <cfRule type="cellIs" dxfId="40" priority="39" stopIfTrue="1" operator="greaterThanOrEqual">
      <formula>2.5</formula>
    </cfRule>
  </conditionalFormatting>
  <conditionalFormatting sqref="AQ37:AX38 AQ40:AX42">
    <cfRule type="cellIs" dxfId="39" priority="36" stopIfTrue="1" operator="greaterThanOrEqual">
      <formula>19.3</formula>
    </cfRule>
  </conditionalFormatting>
  <conditionalFormatting sqref="AQ45:AX46 AQ48:AX50">
    <cfRule type="cellIs" dxfId="38" priority="37" stopIfTrue="1" operator="greaterThanOrEqual">
      <formula>2.5</formula>
    </cfRule>
  </conditionalFormatting>
  <conditionalFormatting sqref="AQ39:BB39 AQ43:BB43">
    <cfRule type="cellIs" dxfId="37" priority="34" stopIfTrue="1" operator="greaterThanOrEqual">
      <formula>19.3</formula>
    </cfRule>
  </conditionalFormatting>
  <conditionalFormatting sqref="AQ47:BB47 AQ51:BB51">
    <cfRule type="cellIs" dxfId="36" priority="35" stopIfTrue="1" operator="greaterThanOrEqual">
      <formula>2.5</formula>
    </cfRule>
  </conditionalFormatting>
  <conditionalFormatting sqref="BC39:BO39 BC43:BO43">
    <cfRule type="cellIs" dxfId="35" priority="31" stopIfTrue="1" operator="greaterThanOrEqual">
      <formula>19.3</formula>
    </cfRule>
  </conditionalFormatting>
  <conditionalFormatting sqref="BC51:BK51 BC47:BM47">
    <cfRule type="cellIs" dxfId="34" priority="32" stopIfTrue="1" operator="greaterThanOrEqual">
      <formula>2.5</formula>
    </cfRule>
  </conditionalFormatting>
  <conditionalFormatting sqref="BP43:CD43">
    <cfRule type="cellIs" dxfId="33" priority="27" stopIfTrue="1" operator="greaterThanOrEqual">
      <formula>19.3</formula>
    </cfRule>
  </conditionalFormatting>
  <conditionalFormatting sqref="BT44:DP44">
    <cfRule type="cellIs" dxfId="32" priority="25" stopIfTrue="1" operator="greaterThanOrEqual">
      <formula>19.3</formula>
    </cfRule>
  </conditionalFormatting>
  <conditionalFormatting sqref="CE47:DP47">
    <cfRule type="cellIs" dxfId="31" priority="24" stopIfTrue="1" operator="greaterThanOrEqual">
      <formula>2.5</formula>
    </cfRule>
  </conditionalFormatting>
  <conditionalFormatting sqref="CE51:DP51">
    <cfRule type="cellIs" dxfId="30" priority="23" stopIfTrue="1" operator="greaterThanOrEqual">
      <formula>2.5</formula>
    </cfRule>
  </conditionalFormatting>
  <conditionalFormatting sqref="CE39:DP39">
    <cfRule type="cellIs" dxfId="29" priority="22" stopIfTrue="1" operator="greaterThanOrEqual">
      <formula>19.3</formula>
    </cfRule>
  </conditionalFormatting>
  <conditionalFormatting sqref="CE43:DP43">
    <cfRule type="cellIs" dxfId="28" priority="21" stopIfTrue="1" operator="greaterThanOrEqual">
      <formula>19.3</formula>
    </cfRule>
  </conditionalFormatting>
  <conditionalFormatting sqref="C27:DQ27">
    <cfRule type="cellIs" dxfId="27" priority="11" operator="greaterThanOrEqual">
      <formula>150</formula>
    </cfRule>
  </conditionalFormatting>
  <conditionalFormatting sqref="C56:DQ57 EN56:XFD57">
    <cfRule type="cellIs" dxfId="26" priority="10" operator="greaterThanOrEqual">
      <formula>140</formula>
    </cfRule>
  </conditionalFormatting>
  <conditionalFormatting sqref="C58:DQ58 EN58:XFD58">
    <cfRule type="cellIs" dxfId="25" priority="9" operator="greaterThanOrEqual">
      <formula>375</formula>
    </cfRule>
  </conditionalFormatting>
  <conditionalFormatting sqref="C57:DQ57 EN57:XFD57">
    <cfRule type="cellIs" dxfId="24" priority="8" operator="greaterThanOrEqual">
      <formula>2.5</formula>
    </cfRule>
  </conditionalFormatting>
  <conditionalFormatting sqref="DR33:DU34">
    <cfRule type="cellIs" dxfId="23" priority="7" stopIfTrue="1" operator="greaterThanOrEqual">
      <formula>0.48</formula>
    </cfRule>
  </conditionalFormatting>
  <conditionalFormatting sqref="DR29:DU31 DV31 DR35:DV35">
    <cfRule type="cellIs" dxfId="22" priority="6" stopIfTrue="1" operator="greaterThanOrEqual">
      <formula>0.48</formula>
    </cfRule>
  </conditionalFormatting>
  <conditionalFormatting sqref="DR27:EN27">
    <cfRule type="cellIs" dxfId="21" priority="5" operator="greaterThanOrEqual">
      <formula>150</formula>
    </cfRule>
  </conditionalFormatting>
  <conditionalFormatting sqref="DR56:EM57">
    <cfRule type="cellIs" dxfId="20" priority="4" operator="greaterThanOrEqual">
      <formula>140</formula>
    </cfRule>
  </conditionalFormatting>
  <conditionalFormatting sqref="DR58:EM58">
    <cfRule type="cellIs" dxfId="19" priority="3" operator="greaterThanOrEqual">
      <formula>375</formula>
    </cfRule>
  </conditionalFormatting>
  <conditionalFormatting sqref="DR57:EM57">
    <cfRule type="cellIs" dxfId="18" priority="2" operator="greaterThanOrEqual">
      <formula>2.5</formula>
    </cfRule>
  </conditionalFormatting>
  <conditionalFormatting sqref="DV29:DV30 DV32:DV34">
    <cfRule type="cellIs" dxfId="17" priority="1" stopIfTrue="1" operator="greaterThanOrEqual">
      <formula>0.48</formula>
    </cfRule>
  </conditionalFormatting>
  <pageMargins left="0.75" right="0.75" top="1" bottom="1" header="0.5" footer="0.5"/>
  <pageSetup paperSize="9" scale="93" orientation="portrait" horizontalDpi="4294967292" verticalDpi="4294967292" r:id="rId1"/>
  <colBreaks count="1" manualBreakCount="1">
    <brk id="33"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pane xSplit="1" ySplit="1" topLeftCell="B2" activePane="bottomRight" state="frozen"/>
      <selection pane="topRight" activeCell="B1" sqref="B1"/>
      <selection pane="bottomLeft" activeCell="A2" sqref="A2"/>
      <selection pane="bottomRight" activeCell="F20" sqref="F20"/>
    </sheetView>
  </sheetViews>
  <sheetFormatPr defaultColWidth="11.42578125" defaultRowHeight="15" x14ac:dyDescent="0.25"/>
  <cols>
    <col min="1" max="1" width="24.7109375" customWidth="1"/>
    <col min="2" max="2" width="11.140625" bestFit="1" customWidth="1"/>
  </cols>
  <sheetData>
    <row r="1" spans="1:8" x14ac:dyDescent="0.25">
      <c r="A1" t="s">
        <v>602</v>
      </c>
      <c r="B1">
        <v>2018</v>
      </c>
      <c r="C1">
        <f>B1+1</f>
        <v>2019</v>
      </c>
      <c r="D1">
        <f>C1+1</f>
        <v>2020</v>
      </c>
      <c r="E1" s="531">
        <v>2021</v>
      </c>
      <c r="F1" s="531" t="s">
        <v>705</v>
      </c>
      <c r="H1" t="s">
        <v>99</v>
      </c>
    </row>
    <row r="2" spans="1:8" x14ac:dyDescent="0.25">
      <c r="A2" t="s">
        <v>603</v>
      </c>
    </row>
    <row r="3" spans="1:8" x14ac:dyDescent="0.25">
      <c r="A3" t="s">
        <v>604</v>
      </c>
      <c r="B3" s="34">
        <v>0</v>
      </c>
      <c r="C3" s="34">
        <v>1</v>
      </c>
      <c r="D3" s="34">
        <v>28</v>
      </c>
      <c r="E3" s="34">
        <v>0</v>
      </c>
      <c r="F3" s="34">
        <v>0</v>
      </c>
      <c r="H3" s="39">
        <f>SUM(B3:F3)</f>
        <v>29</v>
      </c>
    </row>
    <row r="4" spans="1:8" x14ac:dyDescent="0.25">
      <c r="A4" t="s">
        <v>605</v>
      </c>
      <c r="B4" s="34">
        <v>27</v>
      </c>
      <c r="C4" s="34">
        <v>25</v>
      </c>
      <c r="D4" s="34">
        <v>11</v>
      </c>
      <c r="E4" s="34">
        <v>26</v>
      </c>
      <c r="F4" s="34">
        <v>23</v>
      </c>
      <c r="H4" s="39">
        <f>SUM(B4:F4)</f>
        <v>112</v>
      </c>
    </row>
    <row r="5" spans="1:8" x14ac:dyDescent="0.25">
      <c r="A5" t="s">
        <v>606</v>
      </c>
      <c r="B5" s="34">
        <f>B3+B4</f>
        <v>27</v>
      </c>
      <c r="C5" s="34">
        <f>C3+C4</f>
        <v>26</v>
      </c>
      <c r="D5" s="34">
        <f>D3+D4</f>
        <v>39</v>
      </c>
      <c r="E5" s="34">
        <f>E3+E4</f>
        <v>26</v>
      </c>
      <c r="F5" s="34">
        <f>F3+F4</f>
        <v>23</v>
      </c>
      <c r="H5" s="39">
        <f>H3+H4</f>
        <v>141</v>
      </c>
    </row>
    <row r="7" spans="1:8" x14ac:dyDescent="0.25">
      <c r="A7" t="s">
        <v>615</v>
      </c>
      <c r="B7" s="34">
        <f>'yield over time'!AC76</f>
        <v>411.339</v>
      </c>
      <c r="C7" s="34">
        <f>'yield over time'!BC76</f>
        <v>472.322</v>
      </c>
      <c r="D7" s="34">
        <f>'yield over time'!CP76</f>
        <v>466.03799999999995</v>
      </c>
      <c r="E7" s="34">
        <f>'yield over time'!DP76</f>
        <v>429.5</v>
      </c>
      <c r="F7" s="34">
        <f>'yield over time'!EI76</f>
        <v>393.7</v>
      </c>
      <c r="H7" s="39">
        <f>SUM(B7:F7)</f>
        <v>2172.8989999999999</v>
      </c>
    </row>
    <row r="9" spans="1:8" x14ac:dyDescent="0.25">
      <c r="A9" t="s">
        <v>607</v>
      </c>
    </row>
    <row r="10" spans="1:8" x14ac:dyDescent="0.25">
      <c r="A10" t="s">
        <v>608</v>
      </c>
      <c r="B10" s="34">
        <f>'yield over time'!AC68</f>
        <v>56431</v>
      </c>
      <c r="C10" s="34">
        <f>'yield over time'!BC68</f>
        <v>61020</v>
      </c>
      <c r="D10" s="34">
        <f>'yield over time'!CP68</f>
        <v>60462</v>
      </c>
      <c r="E10" s="34">
        <f>'yield over time'!DP68</f>
        <v>53734</v>
      </c>
      <c r="F10" s="34">
        <f>'yield over time'!EI68</f>
        <v>44821</v>
      </c>
      <c r="H10" s="39">
        <f>SUM(B10:F10)</f>
        <v>276468</v>
      </c>
    </row>
    <row r="11" spans="1:8" x14ac:dyDescent="0.25">
      <c r="A11" t="s">
        <v>609</v>
      </c>
      <c r="B11" s="34">
        <f>'yield over time'!AC72</f>
        <v>8970</v>
      </c>
      <c r="C11" s="34">
        <f>'yield over time'!BC72</f>
        <v>8128</v>
      </c>
      <c r="D11" s="34">
        <f>'yield over time'!CP72</f>
        <v>5351</v>
      </c>
      <c r="E11" s="34">
        <f>'yield over time'!DP72</f>
        <v>7103</v>
      </c>
      <c r="F11" s="34">
        <f>'yield over time'!EI72</f>
        <v>6976</v>
      </c>
      <c r="H11" s="39">
        <f>SUM(B11:F11)</f>
        <v>36528</v>
      </c>
    </row>
    <row r="12" spans="1:8" x14ac:dyDescent="0.25">
      <c r="A12" t="s">
        <v>610</v>
      </c>
      <c r="B12" s="34">
        <f>B10+B11</f>
        <v>65401</v>
      </c>
      <c r="C12" s="34">
        <f>C10+C11</f>
        <v>69148</v>
      </c>
      <c r="D12" s="34">
        <f>D10+D11</f>
        <v>65813</v>
      </c>
      <c r="E12" s="34">
        <f>E10+E11</f>
        <v>60837</v>
      </c>
      <c r="F12" s="34">
        <f>F10+F11</f>
        <v>51797</v>
      </c>
      <c r="H12" s="39">
        <f>SUM(B12:F12)</f>
        <v>312996</v>
      </c>
    </row>
    <row r="14" spans="1:8" x14ac:dyDescent="0.25">
      <c r="A14" t="s">
        <v>611</v>
      </c>
    </row>
    <row r="15" spans="1:8" x14ac:dyDescent="0.25">
      <c r="A15" t="s">
        <v>612</v>
      </c>
      <c r="B15" s="34">
        <f>'yield over time'!AC69</f>
        <v>91667.62</v>
      </c>
      <c r="C15" s="34">
        <f>'yield over time'!BC69</f>
        <v>146905.90000000002</v>
      </c>
      <c r="D15" s="34">
        <f>'yield over time'!CP69</f>
        <v>88706.889999999985</v>
      </c>
      <c r="E15" s="34">
        <f>'yield over time'!DP69</f>
        <v>126079.43999999999</v>
      </c>
      <c r="F15" s="34">
        <f>'yield over time'!EI69</f>
        <v>54997.192799999997</v>
      </c>
      <c r="H15" s="39">
        <f>SUM(B15:F15)</f>
        <v>508357.04280000005</v>
      </c>
    </row>
    <row r="16" spans="1:8" x14ac:dyDescent="0.25">
      <c r="A16" t="s">
        <v>613</v>
      </c>
      <c r="B16" s="34">
        <f>'yield over time'!AC73</f>
        <v>15490.955752212391</v>
      </c>
      <c r="C16" s="34">
        <f>'yield over time'!BC73</f>
        <v>18648.170000000002</v>
      </c>
      <c r="D16" s="34">
        <f>'yield over time'!CP73</f>
        <v>9564.0999999999985</v>
      </c>
      <c r="E16" s="34">
        <f>'yield over time'!DP73</f>
        <v>16547.903999999995</v>
      </c>
      <c r="F16" s="34">
        <f>'yield over time'!EI73</f>
        <v>6393.1848000000009</v>
      </c>
      <c r="H16" s="39">
        <f>SUM(B16:F16)</f>
        <v>66644.314552212381</v>
      </c>
    </row>
    <row r="17" spans="1:9" x14ac:dyDescent="0.25">
      <c r="A17" t="s">
        <v>614</v>
      </c>
      <c r="B17" s="34">
        <f>B15+B16</f>
        <v>107158.57575221239</v>
      </c>
      <c r="C17" s="34">
        <f>C15+C16</f>
        <v>165554.07000000004</v>
      </c>
      <c r="D17" s="34">
        <f>D15+D16</f>
        <v>98270.989999999991</v>
      </c>
      <c r="E17" s="34">
        <f>E15+E16</f>
        <v>142627.34399999998</v>
      </c>
      <c r="F17" s="34">
        <f>F15+F16</f>
        <v>61390.3776</v>
      </c>
      <c r="H17" s="39">
        <f>SUM(B17:F17)</f>
        <v>575001.35735221242</v>
      </c>
      <c r="I17" s="582"/>
    </row>
    <row r="18" spans="1:9" x14ac:dyDescent="0.25">
      <c r="I18" s="582"/>
    </row>
    <row r="19" spans="1:9" x14ac:dyDescent="0.25">
      <c r="A19" t="s">
        <v>616</v>
      </c>
    </row>
    <row r="20" spans="1:9" x14ac:dyDescent="0.25">
      <c r="A20" t="s">
        <v>617</v>
      </c>
      <c r="B20" s="34">
        <f>B12/B7</f>
        <v>158.99537850775152</v>
      </c>
      <c r="C20" s="34">
        <f>C12/C7</f>
        <v>146.40012533822267</v>
      </c>
      <c r="D20" s="34">
        <f>D12/D7</f>
        <v>141.21809809500513</v>
      </c>
      <c r="E20" s="34">
        <f>E12/E7</f>
        <v>141.64610011641443</v>
      </c>
      <c r="F20" s="552">
        <f>F12/F7</f>
        <v>131.56464312928625</v>
      </c>
      <c r="H20" s="34">
        <f>H12/H7</f>
        <v>144.04535139461154</v>
      </c>
    </row>
    <row r="21" spans="1:9" x14ac:dyDescent="0.25">
      <c r="A21" t="s">
        <v>618</v>
      </c>
      <c r="B21" s="38">
        <f t="shared" ref="B21:F23" si="0">B15/B10</f>
        <v>1.6244195566266768</v>
      </c>
      <c r="C21" s="38">
        <f t="shared" si="0"/>
        <v>2.4075040970173718</v>
      </c>
      <c r="D21" s="38">
        <f t="shared" si="0"/>
        <v>1.4671511031722402</v>
      </c>
      <c r="E21" s="38">
        <f t="shared" si="0"/>
        <v>2.346362452078758</v>
      </c>
      <c r="F21" s="553">
        <f t="shared" si="0"/>
        <v>1.2270407353695811</v>
      </c>
      <c r="G21" s="41"/>
      <c r="H21" s="38">
        <f>H15/H10</f>
        <v>1.8387554537957378</v>
      </c>
    </row>
    <row r="22" spans="1:9" x14ac:dyDescent="0.25">
      <c r="A22" t="s">
        <v>619</v>
      </c>
      <c r="B22" s="38">
        <f t="shared" si="0"/>
        <v>1.7269738854194416</v>
      </c>
      <c r="C22" s="38">
        <f t="shared" si="0"/>
        <v>2.294312253937008</v>
      </c>
      <c r="D22" s="38">
        <f t="shared" si="0"/>
        <v>1.7873481592225748</v>
      </c>
      <c r="E22" s="38">
        <f t="shared" si="0"/>
        <v>2.3297063212727012</v>
      </c>
      <c r="F22" s="553">
        <f t="shared" si="0"/>
        <v>0.91645424311926615</v>
      </c>
      <c r="G22" s="41"/>
      <c r="H22" s="38">
        <f>H16/H11</f>
        <v>1.8244720365804967</v>
      </c>
    </row>
    <row r="23" spans="1:9" x14ac:dyDescent="0.25">
      <c r="A23" t="s">
        <v>621</v>
      </c>
      <c r="B23" s="38">
        <f t="shared" si="0"/>
        <v>1.6384852793109033</v>
      </c>
      <c r="C23" s="38">
        <f t="shared" si="0"/>
        <v>2.3941989645398283</v>
      </c>
      <c r="D23" s="38">
        <f t="shared" si="0"/>
        <v>1.493185085013599</v>
      </c>
      <c r="E23" s="38">
        <f t="shared" si="0"/>
        <v>2.344417772079491</v>
      </c>
      <c r="F23" s="553">
        <f t="shared" si="0"/>
        <v>1.1852110662779698</v>
      </c>
      <c r="G23" s="41"/>
      <c r="H23" s="38">
        <f>H17/H12</f>
        <v>1.8370885166334792</v>
      </c>
    </row>
    <row r="24" spans="1:9" x14ac:dyDescent="0.25">
      <c r="A24" t="s">
        <v>620</v>
      </c>
      <c r="B24" s="34">
        <f>B17/B7</f>
        <v>260.51158716341604</v>
      </c>
      <c r="C24" s="34">
        <f>C17/C7</f>
        <v>350.51102849327373</v>
      </c>
      <c r="D24" s="34">
        <f>D17/D7</f>
        <v>210.864757809449</v>
      </c>
      <c r="E24" s="34">
        <f>E17/E7</f>
        <v>332.07763445867283</v>
      </c>
      <c r="F24" s="552">
        <f>F17/F7</f>
        <v>155.93187096774193</v>
      </c>
      <c r="H24" s="34">
        <f>H17/H7</f>
        <v>264.62406092147518</v>
      </c>
    </row>
    <row r="26" spans="1:9" x14ac:dyDescent="0.25">
      <c r="A26" t="s">
        <v>622</v>
      </c>
    </row>
    <row r="27" spans="1:9" x14ac:dyDescent="0.25">
      <c r="A27" t="s">
        <v>608</v>
      </c>
      <c r="B27" s="21">
        <f>B10/B$12</f>
        <v>0.86284613385116438</v>
      </c>
      <c r="C27" s="21">
        <f>C10/C$12</f>
        <v>0.88245502400647891</v>
      </c>
      <c r="D27" s="21">
        <f>D10/D$12</f>
        <v>0.91869387507027489</v>
      </c>
      <c r="E27" s="21">
        <f>E10/E$12</f>
        <v>0.8832453934283413</v>
      </c>
      <c r="F27" s="21">
        <f>F10/F$12</f>
        <v>0.86532038535050293</v>
      </c>
      <c r="H27" s="21">
        <f>H10/H$12</f>
        <v>0.88329563317103099</v>
      </c>
    </row>
    <row r="28" spans="1:9" x14ac:dyDescent="0.25">
      <c r="A28" t="s">
        <v>609</v>
      </c>
      <c r="B28" s="21">
        <f t="shared" ref="B28:E29" si="1">B11/B$12</f>
        <v>0.13715386614883565</v>
      </c>
      <c r="C28" s="21">
        <f t="shared" si="1"/>
        <v>0.11754497599352114</v>
      </c>
      <c r="D28" s="21">
        <f t="shared" si="1"/>
        <v>8.1306124929725124E-2</v>
      </c>
      <c r="E28" s="21">
        <f t="shared" si="1"/>
        <v>0.11675460657165869</v>
      </c>
      <c r="F28" s="21">
        <f>F11/F$12</f>
        <v>0.13467961464949707</v>
      </c>
      <c r="H28" s="21">
        <f>H11/H$12</f>
        <v>0.11670436682896906</v>
      </c>
    </row>
    <row r="29" spans="1:9" x14ac:dyDescent="0.25">
      <c r="A29" t="s">
        <v>610</v>
      </c>
      <c r="B29" s="21">
        <f t="shared" si="1"/>
        <v>1</v>
      </c>
      <c r="C29" s="21">
        <f t="shared" si="1"/>
        <v>1</v>
      </c>
      <c r="D29" s="21">
        <f t="shared" si="1"/>
        <v>1</v>
      </c>
      <c r="E29" s="21">
        <f t="shared" si="1"/>
        <v>1</v>
      </c>
      <c r="F29" s="21">
        <f>F12/F$12</f>
        <v>1</v>
      </c>
      <c r="H29" s="21">
        <f>H12/H$12</f>
        <v>1</v>
      </c>
    </row>
    <row r="31" spans="1:9" x14ac:dyDescent="0.25">
      <c r="A31" t="s">
        <v>623</v>
      </c>
    </row>
    <row r="32" spans="1:9" x14ac:dyDescent="0.25">
      <c r="A32" t="s">
        <v>612</v>
      </c>
      <c r="B32" s="21">
        <f>B15/B$17</f>
        <v>0.85543895443298135</v>
      </c>
      <c r="C32" s="21">
        <f>C15/C$17</f>
        <v>0.88735903623511037</v>
      </c>
      <c r="D32" s="21">
        <f>D15/D$17</f>
        <v>0.90267626285234326</v>
      </c>
      <c r="E32" s="21">
        <f>E15/E$17</f>
        <v>0.88397804000332503</v>
      </c>
      <c r="F32" s="21">
        <f>F15/F$17</f>
        <v>0.89586014861065133</v>
      </c>
      <c r="H32" s="21">
        <f>H15/H$17</f>
        <v>0.88409711785881939</v>
      </c>
    </row>
    <row r="33" spans="1:8" x14ac:dyDescent="0.25">
      <c r="A33" t="s">
        <v>613</v>
      </c>
      <c r="B33" s="21">
        <f t="shared" ref="B33:E34" si="2">B16/B$17</f>
        <v>0.1445610455670186</v>
      </c>
      <c r="C33" s="21">
        <f t="shared" si="2"/>
        <v>0.11264096376488961</v>
      </c>
      <c r="D33" s="21">
        <f t="shared" si="2"/>
        <v>9.73237371476567E-2</v>
      </c>
      <c r="E33" s="21">
        <f t="shared" si="2"/>
        <v>0.11602195999667494</v>
      </c>
      <c r="F33" s="21">
        <f>F16/F$17</f>
        <v>0.1041398513893487</v>
      </c>
      <c r="H33" s="21">
        <f>H16/H$17</f>
        <v>0.11590288214118066</v>
      </c>
    </row>
    <row r="34" spans="1:8" x14ac:dyDescent="0.25">
      <c r="A34" t="s">
        <v>614</v>
      </c>
      <c r="B34" s="21">
        <f t="shared" si="2"/>
        <v>1</v>
      </c>
      <c r="C34" s="21">
        <f t="shared" si="2"/>
        <v>1</v>
      </c>
      <c r="D34" s="21">
        <f t="shared" si="2"/>
        <v>1</v>
      </c>
      <c r="E34" s="21">
        <f t="shared" si="2"/>
        <v>1</v>
      </c>
      <c r="F34" s="21">
        <f>F17/F$17</f>
        <v>1</v>
      </c>
      <c r="H34" s="21">
        <f>H17/H$17</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
  <sheetViews>
    <sheetView workbookViewId="0">
      <selection activeCell="I18" sqref="I18"/>
    </sheetView>
  </sheetViews>
  <sheetFormatPr defaultColWidth="11.42578125" defaultRowHeight="15" x14ac:dyDescent="0.25"/>
  <cols>
    <col min="2" max="2" width="26.42578125" bestFit="1" customWidth="1"/>
  </cols>
  <sheetData>
    <row r="3" spans="1:6" x14ac:dyDescent="0.25">
      <c r="C3" s="808" t="s">
        <v>129</v>
      </c>
      <c r="D3" s="808"/>
      <c r="E3" s="808" t="s">
        <v>130</v>
      </c>
      <c r="F3" s="808"/>
    </row>
    <row r="4" spans="1:6" x14ac:dyDescent="0.25">
      <c r="C4" s="5" t="s">
        <v>127</v>
      </c>
      <c r="D4" s="5" t="s">
        <v>128</v>
      </c>
      <c r="E4" s="5" t="s">
        <v>127</v>
      </c>
      <c r="F4" s="5" t="s">
        <v>128</v>
      </c>
    </row>
    <row r="5" spans="1:6" x14ac:dyDescent="0.25">
      <c r="A5" s="4"/>
      <c r="B5" s="14" t="s">
        <v>116</v>
      </c>
      <c r="C5" s="15">
        <v>0.22</v>
      </c>
      <c r="D5" s="15">
        <v>0.41</v>
      </c>
      <c r="E5" s="15">
        <v>0.37</v>
      </c>
      <c r="F5" s="15">
        <v>0.38</v>
      </c>
    </row>
    <row r="6" spans="1:6" x14ac:dyDescent="0.25">
      <c r="A6" s="4"/>
      <c r="B6" s="14" t="s">
        <v>117</v>
      </c>
      <c r="C6" s="15">
        <v>0.35</v>
      </c>
      <c r="D6" s="15">
        <v>0.43</v>
      </c>
      <c r="E6" s="15">
        <v>0.32</v>
      </c>
      <c r="F6" s="15">
        <v>0.4</v>
      </c>
    </row>
    <row r="7" spans="1:6" x14ac:dyDescent="0.25">
      <c r="B7" s="14" t="s">
        <v>118</v>
      </c>
      <c r="C7" s="15">
        <v>0.46</v>
      </c>
      <c r="D7" s="15">
        <v>0.55000000000000004</v>
      </c>
      <c r="E7" s="15">
        <v>0.43</v>
      </c>
      <c r="F7" s="15">
        <v>0.38</v>
      </c>
    </row>
    <row r="8" spans="1:6" x14ac:dyDescent="0.25">
      <c r="B8" s="14" t="s">
        <v>119</v>
      </c>
      <c r="C8" s="15">
        <v>0.61</v>
      </c>
      <c r="D8" s="15">
        <v>0.42</v>
      </c>
      <c r="E8" s="15">
        <v>0.69</v>
      </c>
      <c r="F8" s="15">
        <v>0.43</v>
      </c>
    </row>
    <row r="9" spans="1:6" x14ac:dyDescent="0.25">
      <c r="B9" s="14" t="s">
        <v>120</v>
      </c>
      <c r="C9" s="15">
        <v>0.36</v>
      </c>
      <c r="D9" s="15">
        <v>0.55000000000000004</v>
      </c>
      <c r="E9" s="15">
        <v>0.38</v>
      </c>
      <c r="F9" s="15">
        <v>0.48</v>
      </c>
    </row>
    <row r="10" spans="1:6" x14ac:dyDescent="0.25">
      <c r="B10" s="14" t="s">
        <v>121</v>
      </c>
      <c r="C10" s="15">
        <v>0.34</v>
      </c>
      <c r="D10" s="15">
        <v>0.37</v>
      </c>
      <c r="E10" s="15">
        <v>0.4</v>
      </c>
      <c r="F10" s="15">
        <v>0.44</v>
      </c>
    </row>
    <row r="11" spans="1:6" x14ac:dyDescent="0.25">
      <c r="B11" s="14" t="s">
        <v>125</v>
      </c>
      <c r="C11" s="15">
        <v>0.39</v>
      </c>
      <c r="D11" s="15">
        <v>0.49</v>
      </c>
      <c r="E11" s="15">
        <v>0.33</v>
      </c>
      <c r="F11" s="15">
        <v>0.38</v>
      </c>
    </row>
    <row r="12" spans="1:6" x14ac:dyDescent="0.25">
      <c r="B12" s="14" t="s">
        <v>126</v>
      </c>
      <c r="C12" s="15">
        <v>0.37</v>
      </c>
      <c r="D12" s="15">
        <v>0.44</v>
      </c>
      <c r="E12" s="15">
        <v>0.51</v>
      </c>
      <c r="F12" s="15">
        <v>0.36</v>
      </c>
    </row>
    <row r="13" spans="1:6" x14ac:dyDescent="0.25">
      <c r="B13" s="14" t="s">
        <v>35</v>
      </c>
      <c r="C13" s="15">
        <v>0.41</v>
      </c>
      <c r="D13" s="15">
        <v>0.45</v>
      </c>
      <c r="E13" s="15">
        <v>0.43</v>
      </c>
      <c r="F13" s="15">
        <v>0.48</v>
      </c>
    </row>
    <row r="14" spans="1:6" x14ac:dyDescent="0.25">
      <c r="B14" s="14" t="s">
        <v>62</v>
      </c>
      <c r="C14" s="15">
        <v>0.3</v>
      </c>
      <c r="D14" s="15">
        <v>0.56000000000000005</v>
      </c>
      <c r="E14" s="15">
        <v>0.28999999999999998</v>
      </c>
      <c r="F14" s="15">
        <v>0.46</v>
      </c>
    </row>
    <row r="15" spans="1:6" x14ac:dyDescent="0.25">
      <c r="B15" s="14" t="s">
        <v>65</v>
      </c>
      <c r="C15" s="15">
        <v>0.42</v>
      </c>
      <c r="D15" s="15">
        <v>0.49</v>
      </c>
      <c r="E15" s="15">
        <v>0.4</v>
      </c>
      <c r="F15" s="15">
        <v>0.47</v>
      </c>
    </row>
    <row r="16" spans="1:6" x14ac:dyDescent="0.25">
      <c r="B16" s="14" t="s">
        <v>67</v>
      </c>
      <c r="C16" s="15">
        <v>0.51</v>
      </c>
      <c r="D16" s="15">
        <v>0.57999999999999996</v>
      </c>
      <c r="E16" s="15">
        <v>0.41</v>
      </c>
      <c r="F16" s="15">
        <v>0.5</v>
      </c>
    </row>
    <row r="17" spans="2:6" x14ac:dyDescent="0.25">
      <c r="B17" s="14"/>
      <c r="C17" s="15"/>
      <c r="D17" s="15"/>
      <c r="E17" s="15"/>
      <c r="F17" s="15"/>
    </row>
    <row r="18" spans="2:6" x14ac:dyDescent="0.25">
      <c r="B18" s="809"/>
      <c r="C18" s="809"/>
      <c r="D18" s="809"/>
      <c r="E18" s="809"/>
      <c r="F18" s="809"/>
    </row>
    <row r="19" spans="2:6" x14ac:dyDescent="0.25">
      <c r="B19" s="14" t="s">
        <v>134</v>
      </c>
      <c r="C19" s="14">
        <f>AVERAGE(C5:C16)</f>
        <v>0.39500000000000002</v>
      </c>
      <c r="D19" s="14">
        <f>AVERAGE(D5:D16)</f>
        <v>0.47833333333333333</v>
      </c>
      <c r="E19" s="14">
        <f>AVERAGE(E5:E16)</f>
        <v>0.41333333333333333</v>
      </c>
      <c r="F19" s="14">
        <f>AVERAGE(F5:F16)</f>
        <v>0.43</v>
      </c>
    </row>
    <row r="20" spans="2:6" x14ac:dyDescent="0.25">
      <c r="C20" s="16"/>
      <c r="D20" s="16"/>
      <c r="E20" s="16"/>
      <c r="F20" s="16"/>
    </row>
  </sheetData>
  <mergeCells count="3">
    <mergeCell ref="C3:D3"/>
    <mergeCell ref="E3:F3"/>
    <mergeCell ref="B18:F18"/>
  </mergeCells>
  <phoneticPr fontId="1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75" zoomScaleNormal="75" zoomScalePageLayoutView="75" workbookViewId="0">
      <selection activeCell="G78" sqref="G78"/>
    </sheetView>
  </sheetViews>
  <sheetFormatPr defaultColWidth="11.42578125" defaultRowHeight="15" x14ac:dyDescent="0.25"/>
  <cols>
    <col min="3" max="3" width="11" customWidth="1"/>
    <col min="7" max="7" width="12.140625" bestFit="1" customWidth="1"/>
  </cols>
  <sheetData>
    <row r="1" spans="1:8" x14ac:dyDescent="0.25">
      <c r="B1" s="810" t="s">
        <v>36</v>
      </c>
      <c r="C1" s="810"/>
      <c r="D1" s="810"/>
    </row>
    <row r="2" spans="1:8" x14ac:dyDescent="0.25">
      <c r="A2" t="s">
        <v>246</v>
      </c>
      <c r="B2" t="s">
        <v>37</v>
      </c>
      <c r="C2" t="s">
        <v>38</v>
      </c>
      <c r="D2" t="s">
        <v>39</v>
      </c>
      <c r="E2" t="s">
        <v>99</v>
      </c>
      <c r="F2" t="s">
        <v>252</v>
      </c>
      <c r="G2" t="s">
        <v>253</v>
      </c>
      <c r="H2" s="92" t="s">
        <v>254</v>
      </c>
    </row>
    <row r="3" spans="1:8" hidden="1" x14ac:dyDescent="0.25">
      <c r="A3" s="84" t="s">
        <v>63</v>
      </c>
      <c r="B3" s="86">
        <v>598.4</v>
      </c>
      <c r="C3" s="86">
        <v>254.3</v>
      </c>
      <c r="D3" s="86">
        <v>281.3</v>
      </c>
      <c r="E3" s="41">
        <f t="shared" ref="E3:E34" si="0">SUM(B3:D3)</f>
        <v>1134</v>
      </c>
      <c r="F3" s="93">
        <f>Table1[[#This Row],[1st Flush]]/Table1[[#This Row],[Total]]</f>
        <v>0.52768959435626095</v>
      </c>
      <c r="G3" s="93">
        <f>Table1[[#This Row],[2nd Flush]]/Table1[[#This Row],[Total]]</f>
        <v>0.22425044091710761</v>
      </c>
      <c r="H3" s="93">
        <f>Table1[[#This Row],[3rd Flush]]/Table1[[#This Row],[Total]]</f>
        <v>0.24805996472663142</v>
      </c>
    </row>
    <row r="4" spans="1:8" x14ac:dyDescent="0.25">
      <c r="A4" s="103" t="s">
        <v>64</v>
      </c>
      <c r="B4" s="86">
        <v>284.7</v>
      </c>
      <c r="C4" s="86">
        <v>842.2</v>
      </c>
      <c r="D4" s="86">
        <v>281.3</v>
      </c>
      <c r="E4" s="41">
        <f t="shared" si="0"/>
        <v>1408.2</v>
      </c>
      <c r="F4" s="94">
        <f>Table1[[#This Row],[1st Flush]]/Table1[[#This Row],[Total]]</f>
        <v>0.20217298679164891</v>
      </c>
      <c r="G4" s="94">
        <f>Table1[[#This Row],[2nd Flush]]/Table1[[#This Row],[Total]]</f>
        <v>0.59806845618520099</v>
      </c>
      <c r="H4" s="94">
        <f>Table1[[#This Row],[3rd Flush]]/Table1[[#This Row],[Total]]</f>
        <v>0.19975855702315012</v>
      </c>
    </row>
    <row r="5" spans="1:8" hidden="1" x14ac:dyDescent="0.25">
      <c r="A5" s="84" t="s">
        <v>213</v>
      </c>
      <c r="B5" s="86">
        <v>560.9</v>
      </c>
      <c r="C5" s="86">
        <v>642.9</v>
      </c>
      <c r="D5" s="86">
        <v>784.7</v>
      </c>
      <c r="E5" s="41">
        <f t="shared" si="0"/>
        <v>1988.5</v>
      </c>
      <c r="F5" s="94">
        <f>Table1[[#This Row],[1st Flush]]/Table1[[#This Row],[Total]]</f>
        <v>0.28207191350264016</v>
      </c>
      <c r="G5" s="94">
        <f>Table1[[#This Row],[2nd Flush]]/Table1[[#This Row],[Total]]</f>
        <v>0.32330902690470203</v>
      </c>
      <c r="H5" s="94">
        <f>Table1[[#This Row],[3rd Flush]]/Table1[[#This Row],[Total]]</f>
        <v>0.39461905959265781</v>
      </c>
    </row>
    <row r="6" spans="1:8" x14ac:dyDescent="0.25">
      <c r="A6" s="103" t="s">
        <v>89</v>
      </c>
      <c r="B6" s="86">
        <v>94.6</v>
      </c>
      <c r="C6" s="86">
        <v>138.69999999999999</v>
      </c>
      <c r="D6" s="86">
        <v>187.22</v>
      </c>
      <c r="E6" s="41">
        <f t="shared" si="0"/>
        <v>420.52</v>
      </c>
      <c r="F6" s="94">
        <f>Table1[[#This Row],[1st Flush]]/Table1[[#This Row],[Total]]</f>
        <v>0.22495957386093407</v>
      </c>
      <c r="G6" s="94">
        <f>Table1[[#This Row],[2nd Flush]]/Table1[[#This Row],[Total]]</f>
        <v>0.32982973461428705</v>
      </c>
      <c r="H6" s="94">
        <f>Table1[[#This Row],[3rd Flush]]/Table1[[#This Row],[Total]]</f>
        <v>0.44521069152477888</v>
      </c>
    </row>
    <row r="7" spans="1:8" hidden="1" x14ac:dyDescent="0.25">
      <c r="A7" s="84" t="s">
        <v>214</v>
      </c>
      <c r="B7" s="86">
        <v>500.3</v>
      </c>
      <c r="C7" s="86">
        <v>520.5</v>
      </c>
      <c r="D7" s="86">
        <v>265.60000000000002</v>
      </c>
      <c r="E7" s="41">
        <f t="shared" si="0"/>
        <v>1286.4000000000001</v>
      </c>
      <c r="F7" s="94">
        <f>Table1[[#This Row],[1st Flush]]/Table1[[#This Row],[Total]]</f>
        <v>0.38891480099502485</v>
      </c>
      <c r="G7" s="94">
        <f>Table1[[#This Row],[2nd Flush]]/Table1[[#This Row],[Total]]</f>
        <v>0.40461753731343281</v>
      </c>
      <c r="H7" s="94">
        <f>Table1[[#This Row],[3rd Flush]]/Table1[[#This Row],[Total]]</f>
        <v>0.20646766169154229</v>
      </c>
    </row>
    <row r="8" spans="1:8" x14ac:dyDescent="0.25">
      <c r="A8" s="103" t="s">
        <v>215</v>
      </c>
      <c r="B8" s="86">
        <v>303.10000000000002</v>
      </c>
      <c r="C8" s="86">
        <v>706</v>
      </c>
      <c r="D8" s="86">
        <v>399.4</v>
      </c>
      <c r="E8" s="41">
        <f t="shared" si="0"/>
        <v>1408.5</v>
      </c>
      <c r="F8" s="94">
        <f>Table1[[#This Row],[1st Flush]]/Table1[[#This Row],[Total]]</f>
        <v>0.21519346822861202</v>
      </c>
      <c r="G8" s="94">
        <f>Table1[[#This Row],[2nd Flush]]/Table1[[#This Row],[Total]]</f>
        <v>0.50124245651402199</v>
      </c>
      <c r="H8" s="94">
        <f>Table1[[#This Row],[3rd Flush]]/Table1[[#This Row],[Total]]</f>
        <v>0.28356407525736599</v>
      </c>
    </row>
    <row r="9" spans="1:8" hidden="1" x14ac:dyDescent="0.25">
      <c r="A9" s="84" t="s">
        <v>216</v>
      </c>
      <c r="B9" s="86">
        <v>482.9</v>
      </c>
      <c r="C9" s="86">
        <v>466.5</v>
      </c>
      <c r="D9" s="86">
        <v>571.9</v>
      </c>
      <c r="E9" s="41">
        <f t="shared" si="0"/>
        <v>1521.3</v>
      </c>
      <c r="F9" s="94">
        <f>Table1[[#This Row],[1st Flush]]/Table1[[#This Row],[Total]]</f>
        <v>0.31742588575560376</v>
      </c>
      <c r="G9" s="94">
        <f>Table1[[#This Row],[2nd Flush]]/Table1[[#This Row],[Total]]</f>
        <v>0.30664563202524159</v>
      </c>
      <c r="H9" s="94">
        <f>Table1[[#This Row],[3rd Flush]]/Table1[[#This Row],[Total]]</f>
        <v>0.37592848221915465</v>
      </c>
    </row>
    <row r="10" spans="1:8" x14ac:dyDescent="0.25">
      <c r="A10" s="103" t="s">
        <v>217</v>
      </c>
      <c r="B10" s="86">
        <v>324.3</v>
      </c>
      <c r="C10" s="86">
        <v>907.1</v>
      </c>
      <c r="D10" s="86">
        <v>555.1</v>
      </c>
      <c r="E10" s="41">
        <f t="shared" si="0"/>
        <v>1786.5</v>
      </c>
      <c r="F10" s="94">
        <f>Table1[[#This Row],[1st Flush]]/Table1[[#This Row],[Total]]</f>
        <v>0.18152812762384551</v>
      </c>
      <c r="G10" s="94">
        <f>Table1[[#This Row],[2nd Flush]]/Table1[[#This Row],[Total]]</f>
        <v>0.50775258886090124</v>
      </c>
      <c r="H10" s="94">
        <f>Table1[[#This Row],[3rd Flush]]/Table1[[#This Row],[Total]]</f>
        <v>0.3107192835152533</v>
      </c>
    </row>
    <row r="11" spans="1:8" hidden="1" x14ac:dyDescent="0.25">
      <c r="A11" s="84" t="s">
        <v>219</v>
      </c>
      <c r="B11" s="86">
        <v>577.9</v>
      </c>
      <c r="C11" s="86">
        <v>356.4</v>
      </c>
      <c r="D11" s="86">
        <v>287.7</v>
      </c>
      <c r="E11" s="41">
        <f t="shared" si="0"/>
        <v>1222</v>
      </c>
      <c r="F11" s="94">
        <f>Table1[[#This Row],[1st Flush]]/Table1[[#This Row],[Total]]</f>
        <v>0.4729132569558101</v>
      </c>
      <c r="G11" s="94">
        <f>Table1[[#This Row],[2nd Flush]]/Table1[[#This Row],[Total]]</f>
        <v>0.2916530278232406</v>
      </c>
      <c r="H11" s="94">
        <f>Table1[[#This Row],[3rd Flush]]/Table1[[#This Row],[Total]]</f>
        <v>0.23543371522094925</v>
      </c>
    </row>
    <row r="12" spans="1:8" x14ac:dyDescent="0.25">
      <c r="A12" s="103" t="s">
        <v>218</v>
      </c>
      <c r="B12" s="86">
        <v>138</v>
      </c>
      <c r="C12" s="86">
        <v>340.6</v>
      </c>
      <c r="D12" s="86">
        <v>706.9</v>
      </c>
      <c r="E12" s="41">
        <f t="shared" si="0"/>
        <v>1185.5</v>
      </c>
      <c r="F12" s="94">
        <f>Table1[[#This Row],[1st Flush]]/Table1[[#This Row],[Total]]</f>
        <v>0.1164065795023197</v>
      </c>
      <c r="G12" s="94">
        <f>Table1[[#This Row],[2nd Flush]]/Table1[[#This Row],[Total]]</f>
        <v>0.28730493462673978</v>
      </c>
      <c r="H12" s="94">
        <f>Table1[[#This Row],[3rd Flush]]/Table1[[#This Row],[Total]]</f>
        <v>0.59628848587094052</v>
      </c>
    </row>
    <row r="13" spans="1:8" hidden="1" x14ac:dyDescent="0.25">
      <c r="A13" s="84" t="s">
        <v>220</v>
      </c>
      <c r="B13" s="86">
        <v>50.7</v>
      </c>
      <c r="C13" s="86">
        <v>542.9</v>
      </c>
      <c r="D13" s="86">
        <v>579.29999999999995</v>
      </c>
      <c r="E13" s="41">
        <f t="shared" si="0"/>
        <v>1172.9000000000001</v>
      </c>
      <c r="F13" s="94">
        <f>Table1[[#This Row],[1st Flush]]/Table1[[#This Row],[Total]]</f>
        <v>4.3226191491175715E-2</v>
      </c>
      <c r="G13" s="94">
        <f>Table1[[#This Row],[2nd Flush]]/Table1[[#This Row],[Total]]</f>
        <v>0.46286980987296439</v>
      </c>
      <c r="H13" s="94">
        <f>Table1[[#This Row],[3rd Flush]]/Table1[[#This Row],[Total]]</f>
        <v>0.49390399863585976</v>
      </c>
    </row>
    <row r="14" spans="1:8" x14ac:dyDescent="0.25">
      <c r="A14" s="103" t="s">
        <v>221</v>
      </c>
      <c r="B14" s="86">
        <v>243.6</v>
      </c>
      <c r="C14" s="86">
        <v>680.9</v>
      </c>
      <c r="D14" s="86">
        <v>161.6</v>
      </c>
      <c r="E14" s="41">
        <f t="shared" si="0"/>
        <v>1086.0999999999999</v>
      </c>
      <c r="F14" s="94">
        <f>Table1[[#This Row],[1st Flush]]/Table1[[#This Row],[Total]]</f>
        <v>0.22428873952674708</v>
      </c>
      <c r="G14" s="94">
        <f>Table1[[#This Row],[2nd Flush]]/Table1[[#This Row],[Total]]</f>
        <v>0.62692201454746344</v>
      </c>
      <c r="H14" s="94">
        <f>Table1[[#This Row],[3rd Flush]]/Table1[[#This Row],[Total]]</f>
        <v>0.14878924592578954</v>
      </c>
    </row>
    <row r="15" spans="1:8" hidden="1" x14ac:dyDescent="0.25">
      <c r="A15" s="84" t="s">
        <v>222</v>
      </c>
      <c r="B15" s="86">
        <v>424.1</v>
      </c>
      <c r="C15" s="86">
        <v>456.5</v>
      </c>
      <c r="D15" s="86">
        <v>510</v>
      </c>
      <c r="E15" s="41">
        <f t="shared" si="0"/>
        <v>1390.6</v>
      </c>
      <c r="F15" s="94">
        <f>Table1[[#This Row],[1st Flush]]/Table1[[#This Row],[Total]]</f>
        <v>0.30497626923630089</v>
      </c>
      <c r="G15" s="94">
        <f>Table1[[#This Row],[2nd Flush]]/Table1[[#This Row],[Total]]</f>
        <v>0.32827556450453044</v>
      </c>
      <c r="H15" s="94">
        <f>Table1[[#This Row],[3rd Flush]]/Table1[[#This Row],[Total]]</f>
        <v>0.36674816625916873</v>
      </c>
    </row>
    <row r="16" spans="1:8" x14ac:dyDescent="0.25">
      <c r="A16" s="103" t="s">
        <v>223</v>
      </c>
      <c r="B16" s="86">
        <v>513</v>
      </c>
      <c r="C16" s="86">
        <v>772.7</v>
      </c>
      <c r="D16" s="86">
        <v>690.7</v>
      </c>
      <c r="E16" s="41">
        <f t="shared" si="0"/>
        <v>1976.4</v>
      </c>
      <c r="F16" s="94">
        <f>Table1[[#This Row],[1st Flush]]/Table1[[#This Row],[Total]]</f>
        <v>0.25956284153005466</v>
      </c>
      <c r="G16" s="94">
        <f>Table1[[#This Row],[2nd Flush]]/Table1[[#This Row],[Total]]</f>
        <v>0.39096336773932405</v>
      </c>
      <c r="H16" s="94">
        <f>Table1[[#This Row],[3rd Flush]]/Table1[[#This Row],[Total]]</f>
        <v>0.34947379073062135</v>
      </c>
    </row>
    <row r="17" spans="1:8" hidden="1" x14ac:dyDescent="0.25">
      <c r="A17" s="84" t="s">
        <v>224</v>
      </c>
      <c r="B17" s="86">
        <v>488.6</v>
      </c>
      <c r="C17" s="86">
        <v>537</v>
      </c>
      <c r="D17" s="86">
        <v>368</v>
      </c>
      <c r="E17" s="41">
        <f t="shared" si="0"/>
        <v>1393.6</v>
      </c>
      <c r="F17" s="94">
        <f>Table1[[#This Row],[1st Flush]]/Table1[[#This Row],[Total]]</f>
        <v>0.35060275545350178</v>
      </c>
      <c r="G17" s="94">
        <f>Table1[[#This Row],[2nd Flush]]/Table1[[#This Row],[Total]]</f>
        <v>0.38533295063145812</v>
      </c>
      <c r="H17" s="94">
        <f>Table1[[#This Row],[3rd Flush]]/Table1[[#This Row],[Total]]</f>
        <v>0.26406429391504022</v>
      </c>
    </row>
    <row r="18" spans="1:8" x14ac:dyDescent="0.25">
      <c r="A18" s="103" t="s">
        <v>225</v>
      </c>
      <c r="B18" s="86">
        <v>596</v>
      </c>
      <c r="C18" s="86">
        <v>681</v>
      </c>
      <c r="D18" s="86">
        <v>611.70000000000005</v>
      </c>
      <c r="E18" s="41">
        <f t="shared" si="0"/>
        <v>1888.7</v>
      </c>
      <c r="F18" s="94">
        <f>Table1[[#This Row],[1st Flush]]/Table1[[#This Row],[Total]]</f>
        <v>0.31556096786149201</v>
      </c>
      <c r="G18" s="94">
        <f>Table1[[#This Row],[2nd Flush]]/Table1[[#This Row],[Total]]</f>
        <v>0.36056546831153702</v>
      </c>
      <c r="H18" s="94">
        <f>Table1[[#This Row],[3rd Flush]]/Table1[[#This Row],[Total]]</f>
        <v>0.32387356382697097</v>
      </c>
    </row>
    <row r="19" spans="1:8" hidden="1" x14ac:dyDescent="0.25">
      <c r="A19" s="84" t="s">
        <v>226</v>
      </c>
      <c r="B19" s="86">
        <v>579.20000000000005</v>
      </c>
      <c r="C19" s="86">
        <v>715.5</v>
      </c>
      <c r="D19" s="86">
        <v>696.5</v>
      </c>
      <c r="E19" s="41">
        <f t="shared" si="0"/>
        <v>1991.2</v>
      </c>
      <c r="F19" s="94">
        <f>Table1[[#This Row],[1st Flush]]/Table1[[#This Row],[Total]]</f>
        <v>0.29087987143431099</v>
      </c>
      <c r="G19" s="94">
        <f>Table1[[#This Row],[2nd Flush]]/Table1[[#This Row],[Total]]</f>
        <v>0.35933105664925674</v>
      </c>
      <c r="H19" s="94">
        <f>Table1[[#This Row],[3rd Flush]]/Table1[[#This Row],[Total]]</f>
        <v>0.34978907191643227</v>
      </c>
    </row>
    <row r="20" spans="1:8" x14ac:dyDescent="0.25">
      <c r="A20" s="103" t="s">
        <v>227</v>
      </c>
      <c r="B20" s="86">
        <v>675.4</v>
      </c>
      <c r="C20" s="86">
        <v>771.1</v>
      </c>
      <c r="D20" s="86">
        <v>527.9</v>
      </c>
      <c r="E20" s="41">
        <f t="shared" si="0"/>
        <v>1974.4</v>
      </c>
      <c r="F20" s="94">
        <f>Table1[[#This Row],[1st Flush]]/Table1[[#This Row],[Total]]</f>
        <v>0.34207860615883301</v>
      </c>
      <c r="G20" s="94">
        <f>Table1[[#This Row],[2nd Flush]]/Table1[[#This Row],[Total]]</f>
        <v>0.39054902755267423</v>
      </c>
      <c r="H20" s="94">
        <f>Table1[[#This Row],[3rd Flush]]/Table1[[#This Row],[Total]]</f>
        <v>0.2673723662884927</v>
      </c>
    </row>
    <row r="21" spans="1:8" hidden="1" x14ac:dyDescent="0.25">
      <c r="A21" s="84" t="s">
        <v>228</v>
      </c>
      <c r="B21" s="86">
        <v>821.8</v>
      </c>
      <c r="C21" s="86">
        <v>1193.7</v>
      </c>
      <c r="D21" s="86">
        <v>502.3</v>
      </c>
      <c r="E21" s="41">
        <f t="shared" si="0"/>
        <v>2517.8000000000002</v>
      </c>
      <c r="F21" s="94">
        <f>Table1[[#This Row],[1st Flush]]/Table1[[#This Row],[Total]]</f>
        <v>0.32639606005242666</v>
      </c>
      <c r="G21" s="94">
        <f>Table1[[#This Row],[2nd Flush]]/Table1[[#This Row],[Total]]</f>
        <v>0.47410437683692108</v>
      </c>
      <c r="H21" s="94">
        <f>Table1[[#This Row],[3rd Flush]]/Table1[[#This Row],[Total]]</f>
        <v>0.19949956311065214</v>
      </c>
    </row>
    <row r="22" spans="1:8" x14ac:dyDescent="0.25">
      <c r="A22" s="103" t="s">
        <v>229</v>
      </c>
      <c r="B22" s="86">
        <v>1469.5</v>
      </c>
      <c r="C22" s="86">
        <v>1035.5999999999999</v>
      </c>
      <c r="D22" s="86">
        <v>831.4</v>
      </c>
      <c r="E22" s="41">
        <f t="shared" si="0"/>
        <v>3336.5</v>
      </c>
      <c r="F22" s="94">
        <f>Table1[[#This Row],[1st Flush]]/Table1[[#This Row],[Total]]</f>
        <v>0.44043158998950999</v>
      </c>
      <c r="G22" s="94">
        <f>Table1[[#This Row],[2nd Flush]]/Table1[[#This Row],[Total]]</f>
        <v>0.31038513412258351</v>
      </c>
      <c r="H22" s="94">
        <f>Table1[[#This Row],[3rd Flush]]/Table1[[#This Row],[Total]]</f>
        <v>0.24918327588790648</v>
      </c>
    </row>
    <row r="23" spans="1:8" hidden="1" x14ac:dyDescent="0.25">
      <c r="A23" s="84" t="s">
        <v>230</v>
      </c>
      <c r="B23" s="86">
        <v>1248.2</v>
      </c>
      <c r="C23" s="86">
        <v>1240.2</v>
      </c>
      <c r="D23" s="86"/>
      <c r="E23" s="41">
        <f t="shared" si="0"/>
        <v>2488.4</v>
      </c>
      <c r="F23" s="94">
        <f>Table1[[#This Row],[1st Flush]]/Table1[[#This Row],[Total]]</f>
        <v>0.50160745860794087</v>
      </c>
      <c r="G23" s="94">
        <f>Table1[[#This Row],[2nd Flush]]/Table1[[#This Row],[Total]]</f>
        <v>0.49839254139205913</v>
      </c>
      <c r="H23" s="94">
        <f>Table1[[#This Row],[3rd Flush]]/Table1[[#This Row],[Total]]</f>
        <v>0</v>
      </c>
    </row>
    <row r="24" spans="1:8" x14ac:dyDescent="0.25">
      <c r="A24" s="103" t="s">
        <v>231</v>
      </c>
      <c r="B24" s="86">
        <v>1496.6</v>
      </c>
      <c r="C24" s="86">
        <v>1168.0999999999999</v>
      </c>
      <c r="D24" s="86">
        <v>104.4</v>
      </c>
      <c r="E24" s="41">
        <f t="shared" si="0"/>
        <v>2769.1</v>
      </c>
      <c r="F24" s="94">
        <f>Table1[[#This Row],[1st Flush]]/Table1[[#This Row],[Total]]</f>
        <v>0.54046441081939978</v>
      </c>
      <c r="G24" s="94">
        <f>Table1[[#This Row],[2nd Flush]]/Table1[[#This Row],[Total]]</f>
        <v>0.42183380881874977</v>
      </c>
      <c r="H24" s="94">
        <f>Table1[[#This Row],[3rd Flush]]/Table1[[#This Row],[Total]]</f>
        <v>3.7701780361850422E-2</v>
      </c>
    </row>
    <row r="25" spans="1:8" hidden="1" x14ac:dyDescent="0.25">
      <c r="A25" s="84" t="s">
        <v>232</v>
      </c>
      <c r="B25" s="86">
        <v>1108.2</v>
      </c>
      <c r="C25" s="86">
        <v>1003.5</v>
      </c>
      <c r="D25" s="86">
        <v>496.4</v>
      </c>
      <c r="E25" s="41">
        <f t="shared" si="0"/>
        <v>2608.1</v>
      </c>
      <c r="F25" s="94">
        <f>Table1[[#This Row],[1st Flush]]/Table1[[#This Row],[Total]]</f>
        <v>0.42490702043633299</v>
      </c>
      <c r="G25" s="94">
        <f>Table1[[#This Row],[2nd Flush]]/Table1[[#This Row],[Total]]</f>
        <v>0.38476285418503892</v>
      </c>
      <c r="H25" s="94">
        <f>Table1[[#This Row],[3rd Flush]]/Table1[[#This Row],[Total]]</f>
        <v>0.19033012537862812</v>
      </c>
    </row>
    <row r="26" spans="1:8" x14ac:dyDescent="0.25">
      <c r="A26" s="103" t="s">
        <v>233</v>
      </c>
      <c r="B26" s="86">
        <v>1266.3</v>
      </c>
      <c r="C26" s="86">
        <v>897.7</v>
      </c>
      <c r="D26" s="86">
        <v>520</v>
      </c>
      <c r="E26" s="41">
        <f t="shared" si="0"/>
        <v>2684</v>
      </c>
      <c r="F26" s="94">
        <f>Table1[[#This Row],[1st Flush]]/Table1[[#This Row],[Total]]</f>
        <v>0.47179582712369594</v>
      </c>
      <c r="G26" s="94">
        <f>Table1[[#This Row],[2nd Flush]]/Table1[[#This Row],[Total]]</f>
        <v>0.33446348733233983</v>
      </c>
      <c r="H26" s="94">
        <f>Table1[[#This Row],[3rd Flush]]/Table1[[#This Row],[Total]]</f>
        <v>0.19374068554396423</v>
      </c>
    </row>
    <row r="27" spans="1:8" hidden="1" x14ac:dyDescent="0.25">
      <c r="A27" s="84" t="s">
        <v>234</v>
      </c>
      <c r="B27" s="86">
        <v>1557.5</v>
      </c>
      <c r="C27" s="86">
        <v>1486.3</v>
      </c>
      <c r="D27" s="86">
        <v>675.1</v>
      </c>
      <c r="E27" s="41">
        <f t="shared" si="0"/>
        <v>3718.9</v>
      </c>
      <c r="F27" s="94">
        <f>Table1[[#This Row],[1st Flush]]/Table1[[#This Row],[Total]]</f>
        <v>0.41880663637096988</v>
      </c>
      <c r="G27" s="94">
        <f>Table1[[#This Row],[2nd Flush]]/Table1[[#This Row],[Total]]</f>
        <v>0.3996611901368684</v>
      </c>
      <c r="H27" s="94">
        <f>Table1[[#This Row],[3rd Flush]]/Table1[[#This Row],[Total]]</f>
        <v>0.18153217349216166</v>
      </c>
    </row>
    <row r="28" spans="1:8" x14ac:dyDescent="0.25">
      <c r="A28" s="103" t="s">
        <v>235</v>
      </c>
      <c r="B28" s="86">
        <v>348.5</v>
      </c>
      <c r="C28" s="86">
        <v>1074.8</v>
      </c>
      <c r="D28" s="86">
        <v>348.5</v>
      </c>
      <c r="E28" s="41">
        <f t="shared" si="0"/>
        <v>1771.8</v>
      </c>
      <c r="F28" s="94">
        <f>Table1[[#This Row],[1st Flush]]/Table1[[#This Row],[Total]]</f>
        <v>0.19669262896489445</v>
      </c>
      <c r="G28" s="94">
        <f>Table1[[#This Row],[2nd Flush]]/Table1[[#This Row],[Total]]</f>
        <v>0.60661474207021104</v>
      </c>
      <c r="H28" s="94">
        <f>Table1[[#This Row],[3rd Flush]]/Table1[[#This Row],[Total]]</f>
        <v>0.19669262896489445</v>
      </c>
    </row>
    <row r="29" spans="1:8" hidden="1" x14ac:dyDescent="0.25">
      <c r="A29" s="84" t="s">
        <v>236</v>
      </c>
      <c r="B29" s="86">
        <v>1559.8</v>
      </c>
      <c r="C29" s="86">
        <v>957.6</v>
      </c>
      <c r="D29" s="86">
        <v>574.79999999999995</v>
      </c>
      <c r="E29" s="41">
        <f t="shared" si="0"/>
        <v>3092.2</v>
      </c>
      <c r="F29" s="94">
        <f>Table1[[#This Row],[1st Flush]]/Table1[[#This Row],[Total]]</f>
        <v>0.50443050255481536</v>
      </c>
      <c r="G29" s="94">
        <f>Table1[[#This Row],[2nd Flush]]/Table1[[#This Row],[Total]]</f>
        <v>0.30968242675118041</v>
      </c>
      <c r="H29" s="94">
        <f>Table1[[#This Row],[3rd Flush]]/Table1[[#This Row],[Total]]</f>
        <v>0.18588707069400426</v>
      </c>
    </row>
    <row r="30" spans="1:8" x14ac:dyDescent="0.25">
      <c r="A30" s="103" t="s">
        <v>237</v>
      </c>
      <c r="B30" s="86">
        <v>1637.2</v>
      </c>
      <c r="C30" s="86">
        <v>938.7</v>
      </c>
      <c r="D30" s="86">
        <v>279.8</v>
      </c>
      <c r="E30" s="41">
        <f t="shared" si="0"/>
        <v>2855.7000000000003</v>
      </c>
      <c r="F30" s="94">
        <f>Table1[[#This Row],[1st Flush]]/Table1[[#This Row],[Total]]</f>
        <v>0.57330952130826063</v>
      </c>
      <c r="G30" s="94">
        <f>Table1[[#This Row],[2nd Flush]]/Table1[[#This Row],[Total]]</f>
        <v>0.3287109990545225</v>
      </c>
      <c r="H30" s="94">
        <f>Table1[[#This Row],[3rd Flush]]/Table1[[#This Row],[Total]]</f>
        <v>9.7979479637216788E-2</v>
      </c>
    </row>
    <row r="31" spans="1:8" hidden="1" x14ac:dyDescent="0.25">
      <c r="A31" s="84" t="s">
        <v>239</v>
      </c>
      <c r="B31" s="86">
        <v>1108</v>
      </c>
      <c r="C31" s="86">
        <v>736.7</v>
      </c>
      <c r="D31" s="86">
        <v>561.1</v>
      </c>
      <c r="E31" s="41">
        <f t="shared" si="0"/>
        <v>2405.8000000000002</v>
      </c>
      <c r="F31" s="94">
        <f>Table1[[#This Row],[1st Flush]]/Table1[[#This Row],[Total]]</f>
        <v>0.46055366198353975</v>
      </c>
      <c r="G31" s="94">
        <f>Table1[[#This Row],[2nd Flush]]/Table1[[#This Row],[Total]]</f>
        <v>0.30621830576107739</v>
      </c>
      <c r="H31" s="94">
        <f>Table1[[#This Row],[3rd Flush]]/Table1[[#This Row],[Total]]</f>
        <v>0.23322803225538283</v>
      </c>
    </row>
    <row r="32" spans="1:8" x14ac:dyDescent="0.25">
      <c r="A32" s="103" t="s">
        <v>238</v>
      </c>
      <c r="B32" s="86">
        <v>1465.9</v>
      </c>
      <c r="C32" s="86">
        <v>832.8</v>
      </c>
      <c r="D32" s="86">
        <v>173.5</v>
      </c>
      <c r="E32" s="41">
        <f t="shared" si="0"/>
        <v>2472.1999999999998</v>
      </c>
      <c r="F32" s="94">
        <f>Table1[[#This Row],[1st Flush]]/Table1[[#This Row],[Total]]</f>
        <v>0.59295364452714194</v>
      </c>
      <c r="G32" s="94">
        <f>Table1[[#This Row],[2nd Flush]]/Table1[[#This Row],[Total]]</f>
        <v>0.33686594935684816</v>
      </c>
      <c r="H32" s="94">
        <f>Table1[[#This Row],[3rd Flush]]/Table1[[#This Row],[Total]]</f>
        <v>7.0180406116010036E-2</v>
      </c>
    </row>
    <row r="33" spans="1:8" hidden="1" x14ac:dyDescent="0.25">
      <c r="A33" s="84" t="s">
        <v>240</v>
      </c>
      <c r="B33" s="86">
        <v>1324.2</v>
      </c>
      <c r="C33" s="86">
        <v>558.70000000000005</v>
      </c>
      <c r="D33" s="86">
        <v>457.3</v>
      </c>
      <c r="E33" s="41">
        <f t="shared" si="0"/>
        <v>2340.2000000000003</v>
      </c>
      <c r="F33" s="94">
        <f>Table1[[#This Row],[1st Flush]]/Table1[[#This Row],[Total]]</f>
        <v>0.56584907272882656</v>
      </c>
      <c r="G33" s="94">
        <f>Table1[[#This Row],[2nd Flush]]/Table1[[#This Row],[Total]]</f>
        <v>0.23874027860866592</v>
      </c>
      <c r="H33" s="94">
        <f>Table1[[#This Row],[3rd Flush]]/Table1[[#This Row],[Total]]</f>
        <v>0.19541064866250746</v>
      </c>
    </row>
    <row r="34" spans="1:8" x14ac:dyDescent="0.25">
      <c r="A34" s="103" t="s">
        <v>241</v>
      </c>
      <c r="B34" s="86">
        <v>1226.2</v>
      </c>
      <c r="C34" s="86">
        <v>1186.4000000000001</v>
      </c>
      <c r="D34" s="86">
        <v>307.10000000000002</v>
      </c>
      <c r="E34" s="41">
        <f t="shared" si="0"/>
        <v>2719.7000000000003</v>
      </c>
      <c r="F34" s="94">
        <f>Table1[[#This Row],[1st Flush]]/Table1[[#This Row],[Total]]</f>
        <v>0.45085855057543106</v>
      </c>
      <c r="G34" s="94">
        <f>Table1[[#This Row],[2nd Flush]]/Table1[[#This Row],[Total]]</f>
        <v>0.43622458359377869</v>
      </c>
      <c r="H34" s="94">
        <f>Table1[[#This Row],[3rd Flush]]/Table1[[#This Row],[Total]]</f>
        <v>0.11291686583079016</v>
      </c>
    </row>
    <row r="35" spans="1:8" hidden="1" x14ac:dyDescent="0.25">
      <c r="A35" s="84" t="s">
        <v>242</v>
      </c>
      <c r="B35" s="86">
        <v>963.9</v>
      </c>
      <c r="C35" s="86">
        <v>772.5</v>
      </c>
      <c r="D35" s="86">
        <v>549</v>
      </c>
      <c r="E35" s="41">
        <f t="shared" ref="E35:E56" si="1">SUM(B35:D35)</f>
        <v>2285.4</v>
      </c>
      <c r="F35" s="94">
        <f>Table1[[#This Row],[1st Flush]]/Table1[[#This Row],[Total]]</f>
        <v>0.42176424258335521</v>
      </c>
      <c r="G35" s="94">
        <f>Table1[[#This Row],[2nd Flush]]/Table1[[#This Row],[Total]]</f>
        <v>0.33801522709372539</v>
      </c>
      <c r="H35" s="94">
        <f>Table1[[#This Row],[3rd Flush]]/Table1[[#This Row],[Total]]</f>
        <v>0.2402205303229194</v>
      </c>
    </row>
    <row r="36" spans="1:8" x14ac:dyDescent="0.25">
      <c r="A36" s="103" t="s">
        <v>243</v>
      </c>
      <c r="B36" s="86">
        <v>1234.0999999999999</v>
      </c>
      <c r="C36" s="86">
        <v>890.6</v>
      </c>
      <c r="D36" s="86">
        <v>319.5</v>
      </c>
      <c r="E36" s="41">
        <f t="shared" si="1"/>
        <v>2444.1999999999998</v>
      </c>
      <c r="F36" s="94">
        <f>Table1[[#This Row],[1st Flush]]/Table1[[#This Row],[Total]]</f>
        <v>0.50490958186727763</v>
      </c>
      <c r="G36" s="94">
        <f>Table1[[#This Row],[2nd Flush]]/Table1[[#This Row],[Total]]</f>
        <v>0.3643728009164553</v>
      </c>
      <c r="H36" s="94">
        <f>Table1[[#This Row],[3rd Flush]]/Table1[[#This Row],[Total]]</f>
        <v>0.1307176172162671</v>
      </c>
    </row>
    <row r="37" spans="1:8" hidden="1" x14ac:dyDescent="0.25">
      <c r="A37" s="84" t="s">
        <v>244</v>
      </c>
      <c r="B37" s="86">
        <v>1562.8</v>
      </c>
      <c r="C37" s="86">
        <v>462</v>
      </c>
      <c r="D37" s="86">
        <v>346.2</v>
      </c>
      <c r="E37" s="41">
        <f t="shared" si="1"/>
        <v>2371</v>
      </c>
      <c r="F37" s="94">
        <f>Table1[[#This Row],[1st Flush]]/Table1[[#This Row],[Total]]</f>
        <v>0.65913116828342466</v>
      </c>
      <c r="G37" s="94">
        <f>Table1[[#This Row],[2nd Flush]]/Table1[[#This Row],[Total]]</f>
        <v>0.19485449177562211</v>
      </c>
      <c r="H37" s="94">
        <f>Table1[[#This Row],[3rd Flush]]/Table1[[#This Row],[Total]]</f>
        <v>0.14601433994095317</v>
      </c>
    </row>
    <row r="38" spans="1:8" x14ac:dyDescent="0.25">
      <c r="A38" s="103" t="s">
        <v>245</v>
      </c>
      <c r="B38" s="86">
        <v>1585.8</v>
      </c>
      <c r="C38" s="86">
        <v>805.5</v>
      </c>
      <c r="D38" s="86">
        <v>179</v>
      </c>
      <c r="E38" s="41">
        <f t="shared" si="1"/>
        <v>2570.3000000000002</v>
      </c>
      <c r="F38" s="94">
        <f>Table1[[#This Row],[1st Flush]]/Table1[[#This Row],[Total]]</f>
        <v>0.61697078162082242</v>
      </c>
      <c r="G38" s="94">
        <f>Table1[[#This Row],[2nd Flush]]/Table1[[#This Row],[Total]]</f>
        <v>0.31338754231023613</v>
      </c>
      <c r="H38" s="94">
        <f>Table1[[#This Row],[3rd Flush]]/Table1[[#This Row],[Total]]</f>
        <v>6.9641676068941366E-2</v>
      </c>
    </row>
    <row r="39" spans="1:8" hidden="1" x14ac:dyDescent="0.25">
      <c r="A39" s="85" t="s">
        <v>40</v>
      </c>
      <c r="B39" s="13">
        <v>676.8</v>
      </c>
      <c r="C39" s="13">
        <v>346.9</v>
      </c>
      <c r="D39" s="13">
        <v>245.7</v>
      </c>
      <c r="E39" s="34">
        <f t="shared" si="1"/>
        <v>1269.3999999999999</v>
      </c>
      <c r="F39" s="94">
        <f>Table1[[#This Row],[1st Flush]]/Table1[[#This Row],[Total]]</f>
        <v>0.53316527493303922</v>
      </c>
      <c r="G39" s="94">
        <f>Table1[[#This Row],[2nd Flush]]/Table1[[#This Row],[Total]]</f>
        <v>0.27327871435323775</v>
      </c>
      <c r="H39" s="94">
        <f>Table1[[#This Row],[3rd Flush]]/Table1[[#This Row],[Total]]</f>
        <v>0.19355601071372303</v>
      </c>
    </row>
    <row r="40" spans="1:8" x14ac:dyDescent="0.25">
      <c r="A40" s="104" t="s">
        <v>41</v>
      </c>
      <c r="B40" s="13">
        <v>1236.7</v>
      </c>
      <c r="C40" s="13">
        <v>602.6</v>
      </c>
      <c r="D40" s="13">
        <v>500.1</v>
      </c>
      <c r="E40" s="34">
        <f t="shared" si="1"/>
        <v>2339.4</v>
      </c>
      <c r="F40" s="94">
        <f>Table1[[#This Row],[1st Flush]]/Table1[[#This Row],[Total]]</f>
        <v>0.52863982217662653</v>
      </c>
      <c r="G40" s="94">
        <f>Table1[[#This Row],[2nd Flush]]/Table1[[#This Row],[Total]]</f>
        <v>0.25758741557664361</v>
      </c>
      <c r="H40" s="94">
        <f>Table1[[#This Row],[3rd Flush]]/Table1[[#This Row],[Total]]</f>
        <v>0.21377276224672992</v>
      </c>
    </row>
    <row r="41" spans="1:8" hidden="1" x14ac:dyDescent="0.25">
      <c r="A41" s="85" t="s">
        <v>42</v>
      </c>
      <c r="B41" s="13">
        <v>1354.8</v>
      </c>
      <c r="C41" s="13">
        <v>427.2</v>
      </c>
      <c r="D41" s="13">
        <v>313.60000000000002</v>
      </c>
      <c r="E41" s="34">
        <f t="shared" si="1"/>
        <v>2095.6</v>
      </c>
      <c r="F41" s="94">
        <f>Table1[[#This Row],[1st Flush]]/Table1[[#This Row],[Total]]</f>
        <v>0.64649742317236114</v>
      </c>
      <c r="G41" s="94">
        <f>Table1[[#This Row],[2nd Flush]]/Table1[[#This Row],[Total]]</f>
        <v>0.20385569765222372</v>
      </c>
      <c r="H41" s="94">
        <f>Table1[[#This Row],[3rd Flush]]/Table1[[#This Row],[Total]]</f>
        <v>0.14964687917541517</v>
      </c>
    </row>
    <row r="42" spans="1:8" x14ac:dyDescent="0.25">
      <c r="A42" s="104" t="s">
        <v>43</v>
      </c>
      <c r="B42" s="13">
        <v>1579.5</v>
      </c>
      <c r="C42" s="13">
        <v>677</v>
      </c>
      <c r="D42" s="13">
        <v>338.3</v>
      </c>
      <c r="E42" s="34">
        <f t="shared" si="1"/>
        <v>2594.8000000000002</v>
      </c>
      <c r="F42" s="94">
        <f>Table1[[#This Row],[1st Flush]]/Table1[[#This Row],[Total]]</f>
        <v>0.60871743486973939</v>
      </c>
      <c r="G42" s="94">
        <f>Table1[[#This Row],[2nd Flush]]/Table1[[#This Row],[Total]]</f>
        <v>0.26090642824109755</v>
      </c>
      <c r="H42" s="94">
        <f>Table1[[#This Row],[3rd Flush]]/Table1[[#This Row],[Total]]</f>
        <v>0.13037613688916294</v>
      </c>
    </row>
    <row r="43" spans="1:8" hidden="1" x14ac:dyDescent="0.25">
      <c r="A43" s="85" t="s">
        <v>44</v>
      </c>
      <c r="B43" s="13">
        <v>1032.7</v>
      </c>
      <c r="C43" s="13">
        <v>910.1</v>
      </c>
      <c r="D43" s="13">
        <v>492.9</v>
      </c>
      <c r="E43" s="34">
        <f t="shared" si="1"/>
        <v>2435.7000000000003</v>
      </c>
      <c r="F43" s="94">
        <f>Table1[[#This Row],[1st Flush]]/Table1[[#This Row],[Total]]</f>
        <v>0.4239848914069877</v>
      </c>
      <c r="G43" s="94">
        <f>Table1[[#This Row],[2nd Flush]]/Table1[[#This Row],[Total]]</f>
        <v>0.37365028533891692</v>
      </c>
      <c r="H43" s="94">
        <f>Table1[[#This Row],[3rd Flush]]/Table1[[#This Row],[Total]]</f>
        <v>0.2023648232540953</v>
      </c>
    </row>
    <row r="44" spans="1:8" x14ac:dyDescent="0.25">
      <c r="A44" s="104" t="s">
        <v>45</v>
      </c>
      <c r="B44" s="13">
        <v>1246.5999999999999</v>
      </c>
      <c r="C44" s="13">
        <v>1316.9</v>
      </c>
      <c r="D44" s="13">
        <v>461.3</v>
      </c>
      <c r="E44" s="34">
        <f t="shared" si="1"/>
        <v>3024.8</v>
      </c>
      <c r="F44" s="94">
        <f>Table1[[#This Row],[1st Flush]]/Table1[[#This Row],[Total]]</f>
        <v>0.41212642158159213</v>
      </c>
      <c r="G44" s="94">
        <f>Table1[[#This Row],[2nd Flush]]/Table1[[#This Row],[Total]]</f>
        <v>0.43536762761174291</v>
      </c>
      <c r="H44" s="94">
        <f>Table1[[#This Row],[3rd Flush]]/Table1[[#This Row],[Total]]</f>
        <v>0.1525059508066649</v>
      </c>
    </row>
    <row r="45" spans="1:8" hidden="1" x14ac:dyDescent="0.25">
      <c r="A45" s="85" t="s">
        <v>46</v>
      </c>
      <c r="B45" s="13">
        <v>1155.8</v>
      </c>
      <c r="C45" s="13">
        <v>1160.8</v>
      </c>
      <c r="D45" s="13">
        <v>766.3</v>
      </c>
      <c r="E45" s="34">
        <f t="shared" si="1"/>
        <v>3082.8999999999996</v>
      </c>
      <c r="F45" s="94">
        <f>Table1[[#This Row],[1st Flush]]/Table1[[#This Row],[Total]]</f>
        <v>0.37490674365045901</v>
      </c>
      <c r="G45" s="94">
        <f>Table1[[#This Row],[2nd Flush]]/Table1[[#This Row],[Total]]</f>
        <v>0.37652859320769411</v>
      </c>
      <c r="H45" s="94">
        <f>Table1[[#This Row],[3rd Flush]]/Table1[[#This Row],[Total]]</f>
        <v>0.24856466314184697</v>
      </c>
    </row>
    <row r="46" spans="1:8" x14ac:dyDescent="0.25">
      <c r="A46" s="104" t="s">
        <v>47</v>
      </c>
      <c r="B46" s="13">
        <v>1145.7</v>
      </c>
      <c r="C46" s="13">
        <v>850.7</v>
      </c>
      <c r="D46" s="13">
        <v>112.1</v>
      </c>
      <c r="E46" s="34">
        <f t="shared" si="1"/>
        <v>2108.5</v>
      </c>
      <c r="F46" s="94">
        <f>Table1[[#This Row],[1st Flush]]/Table1[[#This Row],[Total]]</f>
        <v>0.54337206544937167</v>
      </c>
      <c r="G46" s="94">
        <f>Table1[[#This Row],[2nd Flush]]/Table1[[#This Row],[Total]]</f>
        <v>0.40346217690301162</v>
      </c>
      <c r="H46" s="94">
        <f>Table1[[#This Row],[3rd Flush]]/Table1[[#This Row],[Total]]</f>
        <v>5.3165757647616788E-2</v>
      </c>
    </row>
    <row r="47" spans="1:8" hidden="1" x14ac:dyDescent="0.25">
      <c r="A47" s="85" t="s">
        <v>48</v>
      </c>
      <c r="B47" s="13">
        <v>1071.2</v>
      </c>
      <c r="C47" s="13">
        <v>612.29999999999995</v>
      </c>
      <c r="D47" s="13">
        <v>301.89999999999998</v>
      </c>
      <c r="E47" s="34">
        <f t="shared" si="1"/>
        <v>1985.4</v>
      </c>
      <c r="F47" s="94">
        <f>Table1[[#This Row],[1st Flush]]/Table1[[#This Row],[Total]]</f>
        <v>0.5395386320137</v>
      </c>
      <c r="G47" s="94">
        <f>Table1[[#This Row],[2nd Flush]]/Table1[[#This Row],[Total]]</f>
        <v>0.30840132970686002</v>
      </c>
      <c r="H47" s="94">
        <f>Table1[[#This Row],[3rd Flush]]/Table1[[#This Row],[Total]]</f>
        <v>0.1520600382794399</v>
      </c>
    </row>
    <row r="48" spans="1:8" x14ac:dyDescent="0.25">
      <c r="A48" s="104" t="s">
        <v>49</v>
      </c>
      <c r="B48" s="19">
        <v>1190.3</v>
      </c>
      <c r="C48" s="20">
        <v>1146</v>
      </c>
      <c r="D48" s="20">
        <v>432.9</v>
      </c>
      <c r="E48" s="34">
        <f t="shared" si="1"/>
        <v>2769.2000000000003</v>
      </c>
      <c r="F48" s="94">
        <f>Table1[[#This Row],[1st Flush]]/Table1[[#This Row],[Total]]</f>
        <v>0.4298353315036833</v>
      </c>
      <c r="G48" s="94">
        <f>Table1[[#This Row],[2nd Flush]]/Table1[[#This Row],[Total]]</f>
        <v>0.41383793153257253</v>
      </c>
      <c r="H48" s="94">
        <f>Table1[[#This Row],[3rd Flush]]/Table1[[#This Row],[Total]]</f>
        <v>0.15632673696374402</v>
      </c>
    </row>
    <row r="49" spans="1:8" hidden="1" x14ac:dyDescent="0.25">
      <c r="A49" s="85" t="s">
        <v>50</v>
      </c>
      <c r="B49" s="13">
        <v>524</v>
      </c>
      <c r="C49" s="13">
        <v>901.3</v>
      </c>
      <c r="D49" s="13">
        <v>372.8</v>
      </c>
      <c r="E49" s="34">
        <f t="shared" si="1"/>
        <v>1798.1</v>
      </c>
      <c r="F49" s="94">
        <f>Table1[[#This Row],[1st Flush]]/Table1[[#This Row],[Total]]</f>
        <v>0.29141871975974643</v>
      </c>
      <c r="G49" s="94">
        <f>Table1[[#This Row],[2nd Flush]]/Table1[[#This Row],[Total]]</f>
        <v>0.50125132083866308</v>
      </c>
      <c r="H49" s="94">
        <f>Table1[[#This Row],[3rd Flush]]/Table1[[#This Row],[Total]]</f>
        <v>0.20732995940159057</v>
      </c>
    </row>
    <row r="50" spans="1:8" x14ac:dyDescent="0.25">
      <c r="A50" s="104" t="s">
        <v>51</v>
      </c>
      <c r="B50" s="13">
        <v>1018.1</v>
      </c>
      <c r="C50" s="13">
        <v>672.5</v>
      </c>
      <c r="D50" s="13">
        <v>345.8</v>
      </c>
      <c r="E50" s="34">
        <f t="shared" si="1"/>
        <v>2036.3999999999999</v>
      </c>
      <c r="F50" s="94">
        <f>Table1[[#This Row],[1st Flush]]/Table1[[#This Row],[Total]]</f>
        <v>0.4999508937340405</v>
      </c>
      <c r="G50" s="94">
        <f>Table1[[#This Row],[2nd Flush]]/Table1[[#This Row],[Total]]</f>
        <v>0.33023963857788258</v>
      </c>
      <c r="H50" s="94">
        <f>Table1[[#This Row],[3rd Flush]]/Table1[[#This Row],[Total]]</f>
        <v>0.169809467688077</v>
      </c>
    </row>
    <row r="51" spans="1:8" hidden="1" x14ac:dyDescent="0.25">
      <c r="A51" s="85" t="s">
        <v>52</v>
      </c>
      <c r="B51" s="13">
        <v>839.28</v>
      </c>
      <c r="C51" s="13">
        <v>830.36</v>
      </c>
      <c r="D51" s="13">
        <v>365.96</v>
      </c>
      <c r="E51" s="34">
        <f t="shared" si="1"/>
        <v>2035.6</v>
      </c>
      <c r="F51" s="94">
        <f>Table1[[#This Row],[1st Flush]]/Table1[[#This Row],[Total]]</f>
        <v>0.41230104146197682</v>
      </c>
      <c r="G51" s="94">
        <f>Table1[[#This Row],[2nd Flush]]/Table1[[#This Row],[Total]]</f>
        <v>0.40791904106897231</v>
      </c>
      <c r="H51" s="94">
        <f>Table1[[#This Row],[3rd Flush]]/Table1[[#This Row],[Total]]</f>
        <v>0.17977991746905089</v>
      </c>
    </row>
    <row r="52" spans="1:8" x14ac:dyDescent="0.25">
      <c r="A52" s="104" t="s">
        <v>53</v>
      </c>
      <c r="B52" s="13">
        <v>1101.28</v>
      </c>
      <c r="C52" s="13">
        <v>1097.98</v>
      </c>
      <c r="D52" s="13">
        <v>518.48</v>
      </c>
      <c r="E52" s="34">
        <f t="shared" si="1"/>
        <v>2717.7400000000002</v>
      </c>
      <c r="F52" s="94">
        <f>Table1[[#This Row],[1st Flush]]/Table1[[#This Row],[Total]]</f>
        <v>0.405219042292493</v>
      </c>
      <c r="G52" s="94">
        <f>Table1[[#This Row],[2nd Flush]]/Table1[[#This Row],[Total]]</f>
        <v>0.40400479810430723</v>
      </c>
      <c r="H52" s="94">
        <f>Table1[[#This Row],[3rd Flush]]/Table1[[#This Row],[Total]]</f>
        <v>0.19077615960319971</v>
      </c>
    </row>
    <row r="53" spans="1:8" hidden="1" x14ac:dyDescent="0.25">
      <c r="A53" s="85" t="s">
        <v>54</v>
      </c>
      <c r="B53" s="13">
        <v>577.22</v>
      </c>
      <c r="C53" s="13">
        <v>873.48</v>
      </c>
      <c r="D53" s="13">
        <v>589.26</v>
      </c>
      <c r="E53" s="34">
        <f t="shared" si="1"/>
        <v>2039.96</v>
      </c>
      <c r="F53" s="94">
        <f>Table1[[#This Row],[1st Flush]]/Table1[[#This Row],[Total]]</f>
        <v>0.28295652855938352</v>
      </c>
      <c r="G53" s="94">
        <f>Table1[[#This Row],[2nd Flush]]/Table1[[#This Row],[Total]]</f>
        <v>0.42818486636992881</v>
      </c>
      <c r="H53" s="94">
        <f>Table1[[#This Row],[3rd Flush]]/Table1[[#This Row],[Total]]</f>
        <v>0.28885860507068767</v>
      </c>
    </row>
    <row r="54" spans="1:8" x14ac:dyDescent="0.25">
      <c r="A54" s="104" t="s">
        <v>55</v>
      </c>
      <c r="B54" s="13">
        <v>874.66</v>
      </c>
      <c r="C54" s="13">
        <v>1489.32</v>
      </c>
      <c r="D54" s="13">
        <v>80</v>
      </c>
      <c r="E54" s="18">
        <f t="shared" si="1"/>
        <v>2443.98</v>
      </c>
      <c r="F54" s="94">
        <f>Table1[[#This Row],[1st Flush]]/Table1[[#This Row],[Total]]</f>
        <v>0.35788345240141078</v>
      </c>
      <c r="G54" s="94">
        <f>Table1[[#This Row],[2nd Flush]]/Table1[[#This Row],[Total]]</f>
        <v>0.60938305550781913</v>
      </c>
      <c r="H54" s="94">
        <f>Table1[[#This Row],[3rd Flush]]/Table1[[#This Row],[Total]]</f>
        <v>3.2733492090769971E-2</v>
      </c>
    </row>
    <row r="55" spans="1:8" hidden="1" x14ac:dyDescent="0.25">
      <c r="A55" s="85" t="s">
        <v>59</v>
      </c>
      <c r="B55" s="13">
        <v>837.4</v>
      </c>
      <c r="C55" s="13">
        <v>994.46</v>
      </c>
      <c r="D55" s="13">
        <v>600.16</v>
      </c>
      <c r="E55" s="18">
        <f t="shared" si="1"/>
        <v>2432.02</v>
      </c>
      <c r="F55" s="94">
        <f>Table1[[#This Row],[1st Flush]]/Table1[[#This Row],[Total]]</f>
        <v>0.3443228262925469</v>
      </c>
      <c r="G55" s="94">
        <f>Table1[[#This Row],[2nd Flush]]/Table1[[#This Row],[Total]]</f>
        <v>0.40890288731178198</v>
      </c>
      <c r="H55" s="94">
        <f>Table1[[#This Row],[3rd Flush]]/Table1[[#This Row],[Total]]</f>
        <v>0.24677428639567109</v>
      </c>
    </row>
    <row r="56" spans="1:8" x14ac:dyDescent="0.25">
      <c r="A56" s="104" t="s">
        <v>60</v>
      </c>
      <c r="B56" s="13">
        <v>996.9</v>
      </c>
      <c r="C56" s="13">
        <v>1096</v>
      </c>
      <c r="D56" s="13">
        <v>480.9</v>
      </c>
      <c r="E56" s="34">
        <f t="shared" si="1"/>
        <v>2573.8000000000002</v>
      </c>
      <c r="F56" s="94">
        <f>Table1[[#This Row],[1st Flush]]/Table1[[#This Row],[Total]]</f>
        <v>0.38732613256663295</v>
      </c>
      <c r="G56" s="94">
        <f>Table1[[#This Row],[2nd Flush]]/Table1[[#This Row],[Total]]</f>
        <v>0.42582951278265596</v>
      </c>
      <c r="H56" s="94">
        <f>Table1[[#This Row],[3rd Flush]]/Table1[[#This Row],[Total]]</f>
        <v>0.18684435465071098</v>
      </c>
    </row>
    <row r="57" spans="1:8" hidden="1" x14ac:dyDescent="0.25">
      <c r="A57" s="85" t="s">
        <v>63</v>
      </c>
      <c r="B57" s="13">
        <v>495.6</v>
      </c>
      <c r="C57" s="13">
        <v>864.8</v>
      </c>
      <c r="D57" s="13">
        <v>389.2</v>
      </c>
      <c r="E57" s="18">
        <f t="shared" ref="E57:E63" si="2">B57+C57+D57</f>
        <v>1749.6000000000001</v>
      </c>
      <c r="F57" s="94">
        <f>Table1[[#This Row],[1st Flush]]/Table1[[#This Row],[Total]]</f>
        <v>0.2832647462277092</v>
      </c>
      <c r="G57" s="94">
        <f>Table1[[#This Row],[2nd Flush]]/Table1[[#This Row],[Total]]</f>
        <v>0.49428440786465472</v>
      </c>
      <c r="H57" s="94">
        <f>Table1[[#This Row],[3rd Flush]]/Table1[[#This Row],[Total]]</f>
        <v>0.222450845907636</v>
      </c>
    </row>
    <row r="58" spans="1:8" x14ac:dyDescent="0.25">
      <c r="A58" s="104" t="s">
        <v>64</v>
      </c>
      <c r="B58" s="13">
        <v>874.6</v>
      </c>
      <c r="C58" s="13">
        <v>1016.4</v>
      </c>
      <c r="D58" s="13">
        <v>1431.3</v>
      </c>
      <c r="E58" s="34">
        <f t="shared" si="2"/>
        <v>3322.3</v>
      </c>
      <c r="F58" s="94">
        <f>Table1[[#This Row],[1st Flush]]/Table1[[#This Row],[Total]]</f>
        <v>0.26325136200824728</v>
      </c>
      <c r="G58" s="94">
        <f>Table1[[#This Row],[2nd Flush]]/Table1[[#This Row],[Total]]</f>
        <v>0.30593263702856455</v>
      </c>
      <c r="H58" s="94">
        <f>Table1[[#This Row],[3rd Flush]]/Table1[[#This Row],[Total]]</f>
        <v>0.43081600096318812</v>
      </c>
    </row>
    <row r="59" spans="1:8" hidden="1" x14ac:dyDescent="0.25">
      <c r="A59" s="85" t="s">
        <v>88</v>
      </c>
      <c r="B59" s="12">
        <v>898.4</v>
      </c>
      <c r="C59" s="12">
        <v>1442.5</v>
      </c>
      <c r="D59" s="12">
        <v>495.8</v>
      </c>
      <c r="E59" s="18">
        <f t="shared" si="2"/>
        <v>2836.7000000000003</v>
      </c>
      <c r="F59" s="94">
        <f>Table1[[#This Row],[1st Flush]]/Table1[[#This Row],[Total]]</f>
        <v>0.31670603165650224</v>
      </c>
      <c r="G59" s="94">
        <f>Table1[[#This Row],[2nd Flush]]/Table1[[#This Row],[Total]]</f>
        <v>0.50851341347340218</v>
      </c>
      <c r="H59" s="94">
        <f>Table1[[#This Row],[3rd Flush]]/Table1[[#This Row],[Total]]</f>
        <v>0.17478055487009553</v>
      </c>
    </row>
    <row r="60" spans="1:8" x14ac:dyDescent="0.25">
      <c r="A60" s="104" t="s">
        <v>89</v>
      </c>
      <c r="B60" s="12">
        <v>1624.8</v>
      </c>
      <c r="C60" s="12">
        <v>1444.5</v>
      </c>
      <c r="D60" s="12">
        <v>594</v>
      </c>
      <c r="E60" s="34">
        <f t="shared" si="2"/>
        <v>3663.3</v>
      </c>
      <c r="F60" s="94">
        <f>Table1[[#This Row],[1st Flush]]/Table1[[#This Row],[Total]]</f>
        <v>0.44353451805748911</v>
      </c>
      <c r="G60" s="94">
        <f>Table1[[#This Row],[2nd Flush]]/Table1[[#This Row],[Total]]</f>
        <v>0.39431659978707723</v>
      </c>
      <c r="H60" s="94">
        <f>Table1[[#This Row],[3rd Flush]]/Table1[[#This Row],[Total]]</f>
        <v>0.1621488821554336</v>
      </c>
    </row>
    <row r="61" spans="1:8" hidden="1" x14ac:dyDescent="0.25">
      <c r="A61" s="90" t="s">
        <v>251</v>
      </c>
      <c r="B61" s="57">
        <v>1717.1</v>
      </c>
      <c r="C61" s="57">
        <v>1243.5</v>
      </c>
      <c r="D61" s="57">
        <v>646</v>
      </c>
      <c r="E61" s="91">
        <f t="shared" si="2"/>
        <v>3606.6</v>
      </c>
      <c r="F61" s="94">
        <f>Table1[[#This Row],[1st Flush]]/Table1[[#This Row],[Total]]</f>
        <v>0.47609937337104197</v>
      </c>
      <c r="G61" s="94">
        <f>Table1[[#This Row],[2nd Flush]]/Table1[[#This Row],[Total]]</f>
        <v>0.34478456163699883</v>
      </c>
      <c r="H61" s="94">
        <f>Table1[[#This Row],[3rd Flush]]/Table1[[#This Row],[Total]]</f>
        <v>0.1791160649919592</v>
      </c>
    </row>
    <row r="62" spans="1:8" x14ac:dyDescent="0.25">
      <c r="A62" s="105" t="s">
        <v>215</v>
      </c>
      <c r="B62" s="65">
        <v>1857.4</v>
      </c>
      <c r="C62" s="65">
        <v>1244.9000000000001</v>
      </c>
      <c r="D62" s="65">
        <v>1017.1</v>
      </c>
      <c r="E62" s="91">
        <f t="shared" si="2"/>
        <v>4119.4000000000005</v>
      </c>
      <c r="F62" s="95">
        <f>Table1[[#This Row],[1st Flush]]/Table1[[#This Row],[Total]]</f>
        <v>0.45089090644268581</v>
      </c>
      <c r="G62" s="95">
        <f>Table1[[#This Row],[2nd Flush]]/Table1[[#This Row],[Total]]</f>
        <v>0.30220420449580032</v>
      </c>
      <c r="H62" s="95">
        <f>Table1[[#This Row],[3rd Flush]]/Table1[[#This Row],[Total]]</f>
        <v>0.24690488906151378</v>
      </c>
    </row>
    <row r="63" spans="1:8" x14ac:dyDescent="0.25">
      <c r="A63" s="96"/>
      <c r="B63" s="98"/>
      <c r="C63" s="98"/>
      <c r="D63" s="98"/>
      <c r="E63" s="99">
        <f t="shared" si="2"/>
        <v>0</v>
      </c>
      <c r="F63" s="96"/>
      <c r="G63" s="96"/>
      <c r="H63" s="96"/>
    </row>
    <row r="64" spans="1:8" x14ac:dyDescent="0.25">
      <c r="A64" s="97"/>
      <c r="B64" s="100"/>
      <c r="C64" s="100"/>
      <c r="D64" s="100"/>
      <c r="E64" s="102" t="s">
        <v>255</v>
      </c>
      <c r="F64" s="101">
        <f>AVERAGE(F3:F62)</f>
        <v>0.39980324010421081</v>
      </c>
      <c r="G64" s="101">
        <f>AVERAGE(G3:G62)</f>
        <v>0.38082334967805814</v>
      </c>
      <c r="H64" s="101">
        <f>AVERAGE(H3:H62)</f>
        <v>0.21937341021773121</v>
      </c>
    </row>
    <row r="65" spans="1:1" x14ac:dyDescent="0.25">
      <c r="A65" s="97"/>
    </row>
  </sheetData>
  <mergeCells count="1">
    <mergeCell ref="B1:D1"/>
  </mergeCells>
  <phoneticPr fontId="14" type="noConversion"/>
  <pageMargins left="0.75" right="0.75" top="1" bottom="1" header="0.5" footer="0.5"/>
  <pageSetup paperSize="9" orientation="portrait" horizontalDpi="4294967292" verticalDpi="4294967292"/>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H23" sqref="H23"/>
    </sheetView>
  </sheetViews>
  <sheetFormatPr defaultColWidth="8.85546875" defaultRowHeight="15" x14ac:dyDescent="0.25"/>
  <sheetData>
    <row r="1" spans="1:19" x14ac:dyDescent="0.25">
      <c r="B1">
        <v>16</v>
      </c>
      <c r="C1">
        <v>17</v>
      </c>
      <c r="D1">
        <v>18</v>
      </c>
      <c r="E1">
        <v>19</v>
      </c>
      <c r="F1">
        <v>20</v>
      </c>
      <c r="G1">
        <v>21</v>
      </c>
      <c r="H1">
        <v>22</v>
      </c>
      <c r="I1">
        <v>23</v>
      </c>
      <c r="J1">
        <v>24</v>
      </c>
      <c r="K1">
        <v>25</v>
      </c>
      <c r="L1">
        <v>26</v>
      </c>
      <c r="M1">
        <v>1</v>
      </c>
      <c r="N1">
        <v>2</v>
      </c>
      <c r="O1">
        <v>3</v>
      </c>
      <c r="P1">
        <v>4</v>
      </c>
      <c r="Q1">
        <v>5</v>
      </c>
      <c r="R1">
        <v>6</v>
      </c>
      <c r="S1">
        <v>7</v>
      </c>
    </row>
    <row r="2" spans="1:19" x14ac:dyDescent="0.25">
      <c r="A2" t="s">
        <v>92</v>
      </c>
      <c r="C2">
        <v>0.89</v>
      </c>
      <c r="D2">
        <v>0.9</v>
      </c>
      <c r="E2">
        <v>1.1000000000000001</v>
      </c>
      <c r="F2">
        <v>1</v>
      </c>
      <c r="G2">
        <v>0.9</v>
      </c>
      <c r="H2">
        <v>0.9</v>
      </c>
      <c r="L2">
        <v>0</v>
      </c>
    </row>
    <row r="3" spans="1:19" x14ac:dyDescent="0.25">
      <c r="A3" t="s">
        <v>93</v>
      </c>
      <c r="C3">
        <v>0.94</v>
      </c>
      <c r="D3">
        <v>0.53</v>
      </c>
      <c r="E3">
        <v>0.9</v>
      </c>
      <c r="F3">
        <v>1</v>
      </c>
      <c r="G3">
        <v>0.8</v>
      </c>
    </row>
    <row r="4" spans="1:19" x14ac:dyDescent="0.25">
      <c r="A4" t="s">
        <v>94</v>
      </c>
      <c r="C4">
        <v>0.67</v>
      </c>
      <c r="D4">
        <v>0.7</v>
      </c>
      <c r="E4">
        <v>0.5</v>
      </c>
      <c r="F4">
        <v>1</v>
      </c>
      <c r="G4">
        <v>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Batch 2018</vt:lpstr>
      <vt:lpstr>Batches</vt:lpstr>
      <vt:lpstr>yield over time</vt:lpstr>
      <vt:lpstr>Yearly data</vt:lpstr>
      <vt:lpstr>yield per dry straw</vt:lpstr>
      <vt:lpstr>yields in kg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2019-09-04T09:29:16Z</cp:lastPrinted>
  <dcterms:created xsi:type="dcterms:W3CDTF">2019-06-27T09:08:13Z</dcterms:created>
  <dcterms:modified xsi:type="dcterms:W3CDTF">2023-01-03T12:30:14Z</dcterms:modified>
</cp:coreProperties>
</file>