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codeName="ThisWorkbook"/>
  <mc:AlternateContent xmlns:mc="http://schemas.openxmlformats.org/markup-compatibility/2006">
    <mc:Choice Requires="x15">
      <x15ac:absPath xmlns:x15ac="http://schemas.microsoft.com/office/spreadsheetml/2010/11/ac" url="M:\Theresa\Intrnet\Underwriters\"/>
    </mc:Choice>
  </mc:AlternateContent>
  <bookViews>
    <workbookView xWindow="0" yWindow="0" windowWidth="11220" windowHeight="5850" tabRatio="601"/>
  </bookViews>
  <sheets>
    <sheet name="Approval" sheetId="1" r:id="rId1"/>
    <sheet name="Add'l Debt" sheetId="2" r:id="rId2"/>
    <sheet name="ASSETS" sheetId="36" r:id="rId3"/>
    <sheet name="Wage Earner" sheetId="31" r:id="rId4"/>
    <sheet name="Bnk Stmts" sheetId="8" r:id="rId5"/>
    <sheet name="Appraisal Checklist" sheetId="38" r:id="rId6"/>
    <sheet name="REO Schedule" sheetId="16" r:id="rId7"/>
    <sheet name="Wage Earner (2)" sheetId="39" r:id="rId8"/>
    <sheet name="REO Schedule (2)" sheetId="37" r:id="rId9"/>
    <sheet name="Appraisal Analysis" sheetId="29" r:id="rId10"/>
    <sheet name="Exception Request" sheetId="30" r:id="rId11"/>
    <sheet name="UW Notes" sheetId="34" r:id="rId12"/>
    <sheet name="Income-Brw" sheetId="12" r:id="rId13"/>
    <sheet name="ADD-ON" sheetId="18" r:id="rId14"/>
    <sheet name="Mtg History" sheetId="9" r:id="rId15"/>
    <sheet name="E-2 Analysis" sheetId="10" r:id="rId16"/>
    <sheet name="Income-CB" sheetId="13" r:id="rId17"/>
  </sheets>
  <externalReferences>
    <externalReference r:id="rId18"/>
  </externalReferences>
  <definedNames>
    <definedName name="Broker_Compensation">'ADD-ON'!$M$12:$M$15</definedName>
    <definedName name="Broker_Compensation_TBD">'ADD-ON'!$M$11:$M$14</definedName>
    <definedName name="Condo?">'ADD-ON'!$M$3:$M$5</definedName>
    <definedName name="ODFList">'ADD-ON'!$N$3:$N$9</definedName>
    <definedName name="_xlnm.Print_Area" localSheetId="1">'Add''l Debt'!$A$1:$G$44</definedName>
    <definedName name="_xlnm.Print_Area" localSheetId="5">'Appraisal Checklist'!$A$1:$P$46</definedName>
    <definedName name="_xlnm.Print_Area" localSheetId="0">Approval!$A$1:$AO$90</definedName>
    <definedName name="_xlnm.Print_Area" localSheetId="2">ASSETS!$A$1:$X$66</definedName>
    <definedName name="_xlnm.Print_Area" localSheetId="4">'Bnk Stmts'!$A$1:$N$48</definedName>
    <definedName name="_xlnm.Print_Area" localSheetId="12">'Income-Brw'!$B$2:$L$111</definedName>
    <definedName name="_xlnm.Print_Area" localSheetId="16">'Income-CB'!$B$2:$L$111</definedName>
    <definedName name="_xlnm.Print_Area" localSheetId="6">'REO Schedule'!$A$1:$N$56</definedName>
    <definedName name="_xlnm.Print_Area" localSheetId="8">'REO Schedule (2)'!$A$1:$N$56</definedName>
    <definedName name="_xlnm.Print_Area" localSheetId="3">'Wage Earner'!$A$1:$E$63</definedName>
    <definedName name="_xlnm.Print_Area" localSheetId="7">'Wage Earner (2)'!$A$1:$E$64</definedName>
    <definedName name="RETAIL_LENDER_CREDIT">'ADD-ON'!$P$12:$P$16</definedName>
    <definedName name="UnitList" localSheetId="7">'[1]ADD-ON'!$P$3:$P$6</definedName>
    <definedName name="UnitList">'ADD-ON'!$P$3:$P$6</definedName>
  </definedNames>
  <calcPr calcId="162913"/>
</workbook>
</file>

<file path=xl/calcChain.xml><?xml version="1.0" encoding="utf-8"?>
<calcChain xmlns="http://schemas.openxmlformats.org/spreadsheetml/2006/main">
  <c r="T36" i="1" l="1"/>
  <c r="G39" i="2"/>
  <c r="L45" i="37"/>
  <c r="L46" i="37" s="1"/>
  <c r="L43" i="37"/>
  <c r="L44" i="37" s="1"/>
  <c r="L41" i="37"/>
  <c r="L42" i="37" s="1"/>
  <c r="L39" i="37"/>
  <c r="L40" i="37" s="1"/>
  <c r="L37" i="37"/>
  <c r="L38" i="37" s="1"/>
  <c r="L35" i="37"/>
  <c r="L36" i="37" s="1"/>
  <c r="L33" i="37"/>
  <c r="L34" i="37" s="1"/>
  <c r="L31" i="37"/>
  <c r="L32" i="37" s="1"/>
  <c r="L29" i="37"/>
  <c r="L30" i="37" s="1"/>
  <c r="L27" i="37"/>
  <c r="L28" i="37" s="1"/>
  <c r="L25" i="37"/>
  <c r="L26" i="37" s="1"/>
  <c r="L23" i="37"/>
  <c r="L24" i="37" s="1"/>
  <c r="L21" i="37"/>
  <c r="L22" i="37" s="1"/>
  <c r="L19" i="37"/>
  <c r="L20" i="37" s="1"/>
  <c r="L17" i="37"/>
  <c r="L18" i="37" s="1"/>
  <c r="L15" i="37"/>
  <c r="L16" i="37" s="1"/>
  <c r="L13" i="37"/>
  <c r="L14" i="37" s="1"/>
  <c r="L11" i="37"/>
  <c r="L12" i="37" s="1"/>
  <c r="L9" i="37"/>
  <c r="L10" i="37" s="1"/>
  <c r="L7" i="37"/>
  <c r="L8" i="37" s="1"/>
  <c r="L45" i="16"/>
  <c r="L43" i="16"/>
  <c r="L41" i="16"/>
  <c r="L39" i="16"/>
  <c r="L37" i="16"/>
  <c r="L35" i="16"/>
  <c r="L33" i="16"/>
  <c r="L31" i="16"/>
  <c r="L29" i="16"/>
  <c r="L27" i="16"/>
  <c r="L25" i="16"/>
  <c r="L23" i="16"/>
  <c r="L21" i="16"/>
  <c r="L19" i="16"/>
  <c r="L17" i="16"/>
  <c r="L15" i="16"/>
  <c r="L13" i="16"/>
  <c r="L11" i="16"/>
  <c r="L9" i="16"/>
  <c r="L10" i="16" s="1"/>
  <c r="L7" i="16"/>
  <c r="L8" i="16" s="1"/>
  <c r="AB69" i="1"/>
  <c r="AF73" i="1"/>
  <c r="L47" i="37" l="1"/>
  <c r="L48" i="16" s="1"/>
  <c r="G66" i="1" l="1"/>
  <c r="K69" i="1"/>
  <c r="G76" i="1" l="1"/>
  <c r="D66" i="1"/>
  <c r="D74" i="1"/>
  <c r="AG14" i="1"/>
  <c r="A83" i="1" l="1"/>
  <c r="K87" i="1"/>
  <c r="X87" i="1"/>
  <c r="Y26" i="1"/>
  <c r="D83" i="1"/>
  <c r="Z3" i="36" l="1"/>
  <c r="Y3" i="36"/>
  <c r="H49" i="36"/>
  <c r="H47" i="36"/>
  <c r="H45" i="36"/>
  <c r="H43" i="36"/>
  <c r="H41" i="36"/>
  <c r="H25" i="36"/>
  <c r="H23" i="36"/>
  <c r="H21" i="36"/>
  <c r="H19" i="36"/>
  <c r="H17" i="36"/>
  <c r="H27" i="36"/>
  <c r="AA3" i="36" l="1"/>
  <c r="A82" i="1"/>
  <c r="G82" i="1"/>
  <c r="U5" i="1"/>
  <c r="AG5" i="1"/>
  <c r="AB88" i="1" l="1"/>
  <c r="X88" i="1"/>
  <c r="AO87" i="1" l="1"/>
  <c r="AO24" i="1"/>
  <c r="Q87" i="1" l="1"/>
  <c r="AL86" i="1"/>
  <c r="AO23" i="1" l="1"/>
  <c r="AI26" i="1"/>
  <c r="D67" i="1"/>
  <c r="D70" i="1"/>
  <c r="D69" i="1"/>
  <c r="A75" i="1"/>
  <c r="Q31" i="8" l="1"/>
  <c r="M2" i="8" l="1"/>
  <c r="H10" i="8"/>
  <c r="Q27" i="8"/>
  <c r="B27" i="8" s="1"/>
  <c r="D36" i="8"/>
  <c r="AL6" i="1" l="1"/>
  <c r="D68" i="1" l="1"/>
  <c r="A66" i="1"/>
  <c r="D73" i="1"/>
  <c r="D76" i="1" l="1"/>
  <c r="W71" i="1"/>
  <c r="B19" i="38"/>
  <c r="U27" i="38"/>
  <c r="AK70" i="1" s="1"/>
  <c r="A60" i="1" l="1"/>
  <c r="G75" i="1"/>
  <c r="AG35" i="1"/>
  <c r="AG34" i="1"/>
  <c r="AG33" i="1"/>
  <c r="AE89" i="1" l="1"/>
  <c r="D71" i="1" l="1"/>
  <c r="AA15" i="1"/>
  <c r="K90" i="1"/>
  <c r="P88" i="1" s="1"/>
  <c r="O28" i="38" l="1"/>
  <c r="B65" i="36"/>
  <c r="M54" i="36"/>
  <c r="O51" i="36"/>
  <c r="O49" i="36"/>
  <c r="O47" i="36"/>
  <c r="O45" i="36"/>
  <c r="O43" i="36"/>
  <c r="O41" i="36"/>
  <c r="O39" i="36"/>
  <c r="O37" i="36"/>
  <c r="M37" i="36"/>
  <c r="K72" i="1" l="1"/>
  <c r="N47" i="36" l="1"/>
  <c r="N45" i="36"/>
  <c r="M47" i="36"/>
  <c r="M45" i="36"/>
  <c r="M56" i="36"/>
  <c r="F56" i="36" s="1"/>
  <c r="M55" i="36"/>
  <c r="F54" i="36" s="1"/>
  <c r="Q54" i="36" s="1"/>
  <c r="N51" i="36"/>
  <c r="N49" i="36"/>
  <c r="N43" i="36"/>
  <c r="N41" i="36"/>
  <c r="N39" i="36"/>
  <c r="N37" i="36"/>
  <c r="K54" i="36" l="1"/>
  <c r="AO14" i="1"/>
  <c r="B3" i="37" l="1"/>
  <c r="B3" i="16"/>
  <c r="Q28" i="8" l="1"/>
  <c r="E29" i="8"/>
  <c r="V9" i="1" l="1"/>
  <c r="D72" i="1" s="1"/>
  <c r="S5" i="38" l="1"/>
  <c r="S4" i="38"/>
  <c r="S3" i="38"/>
  <c r="S2" i="38"/>
  <c r="R8" i="38"/>
  <c r="S6" i="38" l="1"/>
  <c r="O26" i="38" s="1"/>
  <c r="M51" i="36"/>
  <c r="M49" i="36"/>
  <c r="M43" i="36"/>
  <c r="M41" i="36"/>
  <c r="M39" i="36"/>
  <c r="D56" i="36"/>
  <c r="H13" i="8"/>
  <c r="I13" i="8" s="1"/>
  <c r="J13" i="8" s="1"/>
  <c r="E13" i="8"/>
  <c r="F13" i="8" s="1"/>
  <c r="D39" i="8"/>
  <c r="B37" i="8"/>
  <c r="K56" i="36" l="1"/>
  <c r="B46" i="39" l="1"/>
  <c r="E47" i="39"/>
  <c r="D47" i="39" s="1"/>
  <c r="E45" i="39" s="1"/>
  <c r="B31" i="39"/>
  <c r="A62" i="39"/>
  <c r="E5" i="39"/>
  <c r="B29" i="39"/>
  <c r="B6" i="39"/>
  <c r="E62" i="39"/>
  <c r="D53" i="39"/>
  <c r="D54" i="39" s="1"/>
  <c r="C53" i="39"/>
  <c r="B53" i="39"/>
  <c r="E51" i="39"/>
  <c r="E50" i="39"/>
  <c r="E49" i="39"/>
  <c r="D38" i="39"/>
  <c r="D39" i="39" s="1"/>
  <c r="C38" i="39"/>
  <c r="B38" i="39"/>
  <c r="E36" i="39"/>
  <c r="E38" i="39" s="1"/>
  <c r="E35" i="39"/>
  <c r="E34" i="39"/>
  <c r="E32" i="39"/>
  <c r="D32" i="39" s="1"/>
  <c r="E30" i="39" s="1"/>
  <c r="D27" i="39"/>
  <c r="C27" i="39"/>
  <c r="E26" i="39"/>
  <c r="E25" i="39"/>
  <c r="E24" i="39"/>
  <c r="C21" i="39"/>
  <c r="E21" i="39" s="1"/>
  <c r="E19" i="39"/>
  <c r="D15" i="39"/>
  <c r="D16" i="39" s="1"/>
  <c r="C15" i="39"/>
  <c r="C16" i="39" s="1"/>
  <c r="B15" i="39"/>
  <c r="E13" i="39"/>
  <c r="E12" i="39"/>
  <c r="E11" i="39"/>
  <c r="E9" i="39"/>
  <c r="D9" i="39" s="1"/>
  <c r="E7" i="39" s="1"/>
  <c r="E8" i="39" s="1"/>
  <c r="B8" i="39"/>
  <c r="E15" i="39" l="1"/>
  <c r="E55" i="39"/>
  <c r="E57" i="39"/>
  <c r="E53" i="39"/>
  <c r="E56" i="39"/>
  <c r="E46" i="39"/>
  <c r="E42" i="39"/>
  <c r="E18" i="39"/>
  <c r="E31" i="39"/>
  <c r="E41" i="39" s="1"/>
  <c r="E40" i="39"/>
  <c r="B39" i="39"/>
  <c r="C54" i="39"/>
  <c r="B54" i="39"/>
  <c r="E17" i="39"/>
  <c r="C39" i="39"/>
  <c r="B16" i="39"/>
  <c r="G69" i="1"/>
  <c r="G70" i="1"/>
  <c r="O20" i="38"/>
  <c r="P36" i="8" l="1"/>
  <c r="C5" i="2" l="1"/>
  <c r="E30" i="8" a="1"/>
  <c r="E30" i="8" s="1"/>
  <c r="AI40" i="1" l="1" a="1"/>
  <c r="AI40" i="1" s="1"/>
  <c r="O31" i="38"/>
  <c r="H44" i="1" l="1"/>
  <c r="AI45" i="1" a="1"/>
  <c r="AI45" i="1" s="1"/>
  <c r="M2" i="38" l="1"/>
  <c r="R14" i="1"/>
  <c r="O34" i="38"/>
  <c r="L39" i="38"/>
  <c r="O38" i="38"/>
  <c r="O37" i="38"/>
  <c r="O36" i="38"/>
  <c r="O33" i="38"/>
  <c r="O32" i="38"/>
  <c r="O29" i="38"/>
  <c r="O27" i="38"/>
  <c r="O25" i="38"/>
  <c r="O22" i="38"/>
  <c r="O24" i="38"/>
  <c r="O23" i="38" l="1"/>
  <c r="O21" i="38"/>
  <c r="O19" i="38"/>
  <c r="O11" i="38"/>
  <c r="O12" i="38"/>
  <c r="O13" i="38"/>
  <c r="O14" i="38"/>
  <c r="B16" i="38"/>
  <c r="O16" i="38" s="1"/>
  <c r="H9" i="38"/>
  <c r="F9" i="38" s="1"/>
  <c r="S40" i="38"/>
  <c r="L7" i="38"/>
  <c r="H7" i="38"/>
  <c r="O7" i="38" s="1"/>
  <c r="C7" i="38"/>
  <c r="B44" i="38" l="1"/>
  <c r="G6" i="38"/>
  <c r="G25" i="38" s="1"/>
  <c r="L5" i="38"/>
  <c r="J5" i="38"/>
  <c r="O35" i="38" s="1"/>
  <c r="P2" i="38"/>
  <c r="J3" i="38"/>
  <c r="C3" i="38"/>
  <c r="C2" i="38"/>
  <c r="A6" i="38"/>
  <c r="A5" i="38"/>
  <c r="H6" i="38"/>
  <c r="P15" i="1"/>
  <c r="O17" i="38" l="1"/>
  <c r="B18" i="38"/>
  <c r="O18" i="38" s="1"/>
  <c r="A70" i="1"/>
  <c r="W13" i="1"/>
  <c r="A67" i="1"/>
  <c r="AB9" i="1" l="1"/>
  <c r="H11" i="36" l="1"/>
  <c r="Y6" i="36" s="1"/>
  <c r="H13" i="36"/>
  <c r="H15" i="36"/>
  <c r="AG36" i="1" l="1"/>
  <c r="C45" i="31"/>
  <c r="C21" i="31"/>
  <c r="AJ88" i="1" l="1"/>
  <c r="H43" i="1" l="1"/>
  <c r="AI48" i="1" l="1"/>
  <c r="J5" i="8" l="1"/>
  <c r="F47" i="37" l="1"/>
  <c r="F48" i="16" s="1"/>
  <c r="F47" i="16"/>
  <c r="K47" i="37"/>
  <c r="K48" i="16" s="1"/>
  <c r="J47" i="37"/>
  <c r="J48" i="16" s="1"/>
  <c r="I47" i="37"/>
  <c r="I48" i="16" s="1"/>
  <c r="H47" i="37"/>
  <c r="H48" i="16" s="1"/>
  <c r="G47" i="37"/>
  <c r="G48" i="16" s="1"/>
  <c r="K2" i="37"/>
  <c r="B2" i="37"/>
  <c r="H9" i="2" l="1"/>
  <c r="H39" i="36"/>
  <c r="E15" i="10" l="1"/>
  <c r="E9" i="10"/>
  <c r="E10" i="10" s="1"/>
  <c r="E11" i="10" s="1"/>
  <c r="E6" i="10"/>
  <c r="E5" i="10"/>
  <c r="L95" i="13"/>
  <c r="G94" i="13"/>
  <c r="G93" i="13"/>
  <c r="C89" i="13"/>
  <c r="C88" i="13"/>
  <c r="J86" i="13"/>
  <c r="J85" i="13"/>
  <c r="J80" i="13"/>
  <c r="C78" i="13"/>
  <c r="C77" i="13"/>
  <c r="J74" i="13"/>
  <c r="J73" i="13"/>
  <c r="J72" i="13"/>
  <c r="C76" i="13" s="1"/>
  <c r="C80" i="13" s="1"/>
  <c r="J67" i="13"/>
  <c r="K64" i="13"/>
  <c r="K63" i="13"/>
  <c r="K65" i="13" s="1"/>
  <c r="I53" i="13" s="1"/>
  <c r="C57" i="13" s="1"/>
  <c r="C63" i="13"/>
  <c r="C62" i="13"/>
  <c r="I59" i="13"/>
  <c r="C59" i="13"/>
  <c r="I58" i="13"/>
  <c r="C58" i="13"/>
  <c r="I57" i="13"/>
  <c r="C61" i="13" s="1"/>
  <c r="J48" i="13"/>
  <c r="C46" i="13"/>
  <c r="C45" i="13"/>
  <c r="J42" i="13"/>
  <c r="J41" i="13"/>
  <c r="J40" i="13"/>
  <c r="C44" i="13" s="1"/>
  <c r="C48" i="13" s="1"/>
  <c r="C35" i="13"/>
  <c r="J33" i="13"/>
  <c r="J32" i="13"/>
  <c r="J31" i="13"/>
  <c r="J29" i="13"/>
  <c r="J28" i="13"/>
  <c r="J27" i="13"/>
  <c r="J26" i="13"/>
  <c r="J21" i="13"/>
  <c r="C19" i="13"/>
  <c r="C18" i="13"/>
  <c r="J14" i="13"/>
  <c r="J13" i="13"/>
  <c r="J12" i="13"/>
  <c r="C17" i="13" s="1"/>
  <c r="J11" i="13"/>
  <c r="C16" i="13" s="1"/>
  <c r="J7" i="13"/>
  <c r="J6" i="13"/>
  <c r="L95" i="12"/>
  <c r="G94" i="12"/>
  <c r="G93" i="12"/>
  <c r="C89" i="12"/>
  <c r="C88" i="12"/>
  <c r="J86" i="12"/>
  <c r="J85" i="12"/>
  <c r="J80" i="12"/>
  <c r="C78" i="12"/>
  <c r="C77" i="12"/>
  <c r="J74" i="12"/>
  <c r="J73" i="12"/>
  <c r="J72" i="12"/>
  <c r="C76" i="12" s="1"/>
  <c r="J67" i="12"/>
  <c r="K64" i="12"/>
  <c r="K63" i="12"/>
  <c r="K65" i="12" s="1"/>
  <c r="I53" i="12" s="1"/>
  <c r="C57" i="12" s="1"/>
  <c r="C63" i="12"/>
  <c r="C62" i="12"/>
  <c r="I59" i="12"/>
  <c r="C59" i="12"/>
  <c r="I58" i="12"/>
  <c r="C58" i="12"/>
  <c r="I57" i="12"/>
  <c r="C61" i="12" s="1"/>
  <c r="J48" i="12"/>
  <c r="C46" i="12"/>
  <c r="C45" i="12"/>
  <c r="J42" i="12"/>
  <c r="J41" i="12"/>
  <c r="J40" i="12"/>
  <c r="C44" i="12" s="1"/>
  <c r="C48" i="12" s="1"/>
  <c r="C35" i="12"/>
  <c r="J33" i="12"/>
  <c r="J32" i="12"/>
  <c r="J31" i="12"/>
  <c r="J29" i="12"/>
  <c r="J28" i="12"/>
  <c r="J27" i="12"/>
  <c r="J26" i="12"/>
  <c r="C19" i="12"/>
  <c r="J21" i="12" s="1"/>
  <c r="K21" i="12" s="1"/>
  <c r="C18" i="12"/>
  <c r="J14" i="12"/>
  <c r="J13" i="12"/>
  <c r="J12" i="12"/>
  <c r="C17" i="12" s="1"/>
  <c r="J11" i="12"/>
  <c r="C16" i="12" s="1"/>
  <c r="J7" i="12"/>
  <c r="J6" i="12"/>
  <c r="K47" i="16"/>
  <c r="K48" i="37" s="1"/>
  <c r="K49" i="37" s="1"/>
  <c r="J47" i="16"/>
  <c r="I47" i="16"/>
  <c r="I48" i="37" s="1"/>
  <c r="I49" i="37" s="1"/>
  <c r="H47" i="16"/>
  <c r="G47" i="16"/>
  <c r="G48" i="37" s="1"/>
  <c r="G49" i="37" s="1"/>
  <c r="L46" i="16"/>
  <c r="L44" i="16"/>
  <c r="L42" i="16"/>
  <c r="L40" i="16"/>
  <c r="L38" i="16"/>
  <c r="L36" i="16"/>
  <c r="L34" i="16"/>
  <c r="L32" i="16"/>
  <c r="L30" i="16"/>
  <c r="L28" i="16"/>
  <c r="L26" i="16"/>
  <c r="L24" i="16"/>
  <c r="L22" i="16"/>
  <c r="L20" i="16"/>
  <c r="L18" i="16"/>
  <c r="L16" i="16"/>
  <c r="L14" i="16"/>
  <c r="L12" i="16"/>
  <c r="K2" i="16"/>
  <c r="B2" i="16"/>
  <c r="I45" i="8"/>
  <c r="L31" i="8"/>
  <c r="L27" i="8"/>
  <c r="J7" i="8"/>
  <c r="D7" i="8"/>
  <c r="E61" i="31"/>
  <c r="A61" i="31"/>
  <c r="D51" i="31"/>
  <c r="C51" i="31"/>
  <c r="E50" i="31"/>
  <c r="E49" i="31"/>
  <c r="E48" i="31"/>
  <c r="E45" i="31"/>
  <c r="D39" i="31"/>
  <c r="D40" i="31" s="1"/>
  <c r="C39" i="31"/>
  <c r="B39" i="31"/>
  <c r="E37" i="31"/>
  <c r="E36" i="31"/>
  <c r="E35" i="31"/>
  <c r="E33" i="31"/>
  <c r="D33" i="31" s="1"/>
  <c r="E31" i="31" s="1"/>
  <c r="B32" i="31"/>
  <c r="B30" i="31"/>
  <c r="D27" i="31"/>
  <c r="C27" i="31"/>
  <c r="E26" i="31"/>
  <c r="E25" i="31"/>
  <c r="E24" i="31"/>
  <c r="E21" i="31"/>
  <c r="D15" i="31"/>
  <c r="D16" i="31" s="1"/>
  <c r="C15" i="31"/>
  <c r="C16" i="31" s="1"/>
  <c r="B15" i="31"/>
  <c r="E13" i="31"/>
  <c r="E12" i="31"/>
  <c r="E11" i="31"/>
  <c r="E9" i="31"/>
  <c r="D9" i="31" s="1"/>
  <c r="E7" i="31" s="1"/>
  <c r="B8" i="31"/>
  <c r="B6" i="31"/>
  <c r="E5" i="31"/>
  <c r="A44" i="2"/>
  <c r="A43" i="2"/>
  <c r="D42" i="2"/>
  <c r="T37" i="1"/>
  <c r="E39" i="2" a="1"/>
  <c r="E39" i="2" s="1"/>
  <c r="G4" i="2"/>
  <c r="C4" i="2"/>
  <c r="H51" i="36"/>
  <c r="H37" i="36"/>
  <c r="Y5" i="36" s="1"/>
  <c r="Y4" i="36" s="1"/>
  <c r="AI46" i="1" s="1"/>
  <c r="F30" i="36"/>
  <c r="N65" i="1" s="1"/>
  <c r="C7" i="36"/>
  <c r="F5" i="36"/>
  <c r="F4" i="36"/>
  <c r="T89" i="1"/>
  <c r="C88" i="1"/>
  <c r="AG68" i="1"/>
  <c r="A68" i="1"/>
  <c r="AH61" i="1"/>
  <c r="AH60" i="1"/>
  <c r="AC47" i="1"/>
  <c r="AI44" i="1"/>
  <c r="AI43" i="1"/>
  <c r="M36" i="1"/>
  <c r="AI19" i="1"/>
  <c r="R13" i="1"/>
  <c r="AG11" i="1"/>
  <c r="V10" i="1"/>
  <c r="U8" i="1" s="1"/>
  <c r="C80" i="12" l="1"/>
  <c r="K80" i="12" s="1"/>
  <c r="E19" i="31"/>
  <c r="C21" i="12"/>
  <c r="K48" i="13"/>
  <c r="L47" i="16"/>
  <c r="L48" i="37" s="1"/>
  <c r="L49" i="37" s="1"/>
  <c r="D75" i="1"/>
  <c r="J58" i="36"/>
  <c r="K59" i="36" s="1"/>
  <c r="G67" i="1"/>
  <c r="B59" i="36"/>
  <c r="M8" i="38"/>
  <c r="G42" i="2"/>
  <c r="I44" i="38"/>
  <c r="B16" i="31"/>
  <c r="C67" i="12"/>
  <c r="K80" i="13"/>
  <c r="E39" i="31"/>
  <c r="E43" i="31"/>
  <c r="C67" i="13"/>
  <c r="K67" i="13" s="1"/>
  <c r="AK11" i="1"/>
  <c r="P8" i="38" s="1"/>
  <c r="H49" i="16"/>
  <c r="H48" i="37"/>
  <c r="H49" i="37" s="1"/>
  <c r="I49" i="16"/>
  <c r="J49" i="16"/>
  <c r="J48" i="37"/>
  <c r="J49" i="37" s="1"/>
  <c r="K49" i="16"/>
  <c r="F49" i="16"/>
  <c r="F48" i="37"/>
  <c r="F49" i="37" s="1"/>
  <c r="G49" i="16"/>
  <c r="E8" i="31"/>
  <c r="E18" i="31" s="1"/>
  <c r="E31" i="8"/>
  <c r="E33" i="8" s="1"/>
  <c r="H8" i="2"/>
  <c r="AO38" i="1" s="1"/>
  <c r="A37" i="1" s="1"/>
  <c r="AI21" i="1"/>
  <c r="B44" i="2"/>
  <c r="AO40" i="1" s="1"/>
  <c r="AI20" i="1"/>
  <c r="B43" i="2"/>
  <c r="AO41" i="1" s="1"/>
  <c r="R12" i="1"/>
  <c r="O5" i="38" s="1"/>
  <c r="M37" i="1"/>
  <c r="M38" i="1" s="1"/>
  <c r="V48" i="1" s="1"/>
  <c r="T38" i="1"/>
  <c r="E15" i="31"/>
  <c r="E17" i="31"/>
  <c r="I47" i="8"/>
  <c r="E32" i="31"/>
  <c r="E42" i="31" s="1"/>
  <c r="E41" i="31"/>
  <c r="B40" i="31"/>
  <c r="K48" i="12"/>
  <c r="K67" i="12"/>
  <c r="C21" i="13"/>
  <c r="K21" i="13" s="1"/>
  <c r="D97" i="13" s="1"/>
  <c r="E12" i="10"/>
  <c r="C40" i="31"/>
  <c r="D97" i="12" l="1"/>
  <c r="G85" i="1"/>
  <c r="E35" i="8"/>
  <c r="E37" i="8"/>
  <c r="F39" i="8" s="1"/>
  <c r="E40" i="8" s="1"/>
  <c r="L3" i="38"/>
  <c r="E30" i="38"/>
  <c r="O30" i="38"/>
  <c r="B15" i="38"/>
  <c r="O15" i="38" s="1"/>
  <c r="G81" i="1"/>
  <c r="D85" i="1"/>
  <c r="AK14" i="1" s="1"/>
  <c r="L49" i="16"/>
  <c r="T88" i="1" l="1"/>
  <c r="AI23" i="1" s="1"/>
  <c r="AI27" i="1" s="1"/>
  <c r="H40" i="1"/>
  <c r="H41" i="1"/>
  <c r="F56" i="1"/>
  <c r="AH56" i="1"/>
  <c r="V42" i="1"/>
  <c r="E13" i="10"/>
  <c r="E14" i="10" s="1"/>
  <c r="E16" i="10" s="1"/>
  <c r="AA27" i="1" l="1"/>
  <c r="AC27" i="1"/>
  <c r="F31" i="36"/>
  <c r="F32" i="36" s="1"/>
  <c r="X68" i="1" s="1"/>
  <c r="H49" i="1"/>
  <c r="AA59" i="1" s="1"/>
  <c r="C32" i="36" l="1"/>
  <c r="G30" i="36"/>
  <c r="D59" i="36"/>
  <c r="AH59" i="1"/>
  <c r="V41" i="1" s="1"/>
  <c r="K68" i="1"/>
  <c r="K66" i="1" l="1"/>
  <c r="D62" i="36"/>
  <c r="E62" i="36" s="1"/>
  <c r="E59" i="36"/>
  <c r="F57" i="1"/>
  <c r="AH57" i="1"/>
  <c r="AH58" i="1" s="1"/>
  <c r="B62" i="36"/>
  <c r="K67" i="1"/>
  <c r="V49" i="1"/>
  <c r="R70" i="1" l="1"/>
  <c r="AL48" i="1"/>
</calcChain>
</file>

<file path=xl/sharedStrings.xml><?xml version="1.0" encoding="utf-8"?>
<sst xmlns="http://schemas.openxmlformats.org/spreadsheetml/2006/main" count="972" uniqueCount="545">
  <si>
    <t>Loan Approval Worksheet</t>
  </si>
  <si>
    <t>Borrower(s):</t>
  </si>
  <si>
    <t>Loan #:</t>
  </si>
  <si>
    <t>Property Address:</t>
  </si>
  <si>
    <t>Loan Type:</t>
  </si>
  <si>
    <t>Term (mos):</t>
  </si>
  <si>
    <t>Balloon</t>
  </si>
  <si>
    <t>Lien:</t>
  </si>
  <si>
    <t>Loan Amt:</t>
  </si>
  <si>
    <t>LTV:</t>
  </si>
  <si>
    <t>Margin:</t>
  </si>
  <si>
    <t>CLTV:</t>
  </si>
  <si>
    <t>Doc Type:</t>
  </si>
  <si>
    <t>Purpose:</t>
  </si>
  <si>
    <t>Property Type:</t>
  </si>
  <si>
    <t>Creditor</t>
  </si>
  <si>
    <t>P/O</t>
  </si>
  <si>
    <t>Payment</t>
  </si>
  <si>
    <t>Mortgage</t>
  </si>
  <si>
    <t>Balance</t>
  </si>
  <si>
    <t>Date</t>
  </si>
  <si>
    <t>Total All Obligations:</t>
  </si>
  <si>
    <t>Purchase Price</t>
  </si>
  <si>
    <t>Lien Payoffs</t>
  </si>
  <si>
    <t>Other Payoffs</t>
  </si>
  <si>
    <t>Closing Costs/Prepaids</t>
  </si>
  <si>
    <t>Subject Loan Amount</t>
  </si>
  <si>
    <t>+</t>
  </si>
  <si>
    <t>-</t>
  </si>
  <si>
    <t>Type/Derog</t>
  </si>
  <si>
    <t>Other</t>
  </si>
  <si>
    <t>Total:</t>
  </si>
  <si>
    <t>INCOME</t>
  </si>
  <si>
    <t>Time/Job</t>
  </si>
  <si>
    <t>Borrower</t>
  </si>
  <si>
    <t>Total Qualifying Income:</t>
  </si>
  <si>
    <t>Prelim</t>
  </si>
  <si>
    <t>Appraisal</t>
  </si>
  <si>
    <t>Underwriter:</t>
  </si>
  <si>
    <t>Date:</t>
  </si>
  <si>
    <t>PROPOSED HOUSING EXP</t>
  </si>
  <si>
    <t>Loan #</t>
  </si>
  <si>
    <t>TOTAL</t>
  </si>
  <si>
    <t>LOAN #:</t>
  </si>
  <si>
    <t>BORROWER:</t>
  </si>
  <si>
    <t>REVIEWED BY:</t>
  </si>
  <si>
    <t>DATE:</t>
  </si>
  <si>
    <t>Total</t>
  </si>
  <si>
    <t>BANK NAME:</t>
  </si>
  <si>
    <t>JANUARY</t>
  </si>
  <si>
    <t>FEBRUARY</t>
  </si>
  <si>
    <t>MARCH</t>
  </si>
  <si>
    <t>APRIL</t>
  </si>
  <si>
    <t>MAY</t>
  </si>
  <si>
    <t>JUNE</t>
  </si>
  <si>
    <t>JULY</t>
  </si>
  <si>
    <t>AUGUST</t>
  </si>
  <si>
    <t>SEPTEMBER</t>
  </si>
  <si>
    <t>OCTOBER</t>
  </si>
  <si>
    <t>NOVEMBER</t>
  </si>
  <si>
    <t>DECEMBER</t>
  </si>
  <si>
    <t>DEPOSITS</t>
  </si>
  <si>
    <t>NSF COUNT</t>
  </si>
  <si>
    <t>$ TOTAL DEPOSITS:</t>
  </si>
  <si>
    <t>-  NON-CONSIDERED:</t>
  </si>
  <si>
    <t>= QUALIFYING DEPOSITS:</t>
  </si>
  <si>
    <t>MONTHLY AVG INCOME:</t>
  </si>
  <si>
    <t>MONTH OF</t>
  </si>
  <si>
    <t>ACCT HOLDER:</t>
  </si>
  <si>
    <t>TOTAL:</t>
  </si>
  <si>
    <t>Mortgage History</t>
  </si>
  <si>
    <t>Acct #:</t>
  </si>
  <si>
    <t>Lender:</t>
  </si>
  <si>
    <t>Property:</t>
  </si>
  <si>
    <t>Credit Report</t>
  </si>
  <si>
    <t>Credit Supplement</t>
  </si>
  <si>
    <t>Lender History</t>
  </si>
  <si>
    <t>Canceled Checks</t>
  </si>
  <si>
    <t>HISTORY DOCUMENTATION USED:</t>
  </si>
  <si>
    <t>#</t>
  </si>
  <si>
    <t>Month/Date Due</t>
  </si>
  <si>
    <t>Date Paid</t>
  </si>
  <si>
    <t>Comments</t>
  </si>
  <si>
    <t>Lien Pos:</t>
  </si>
  <si>
    <t>Complete Rating:</t>
  </si>
  <si>
    <t>X 30</t>
  </si>
  <si>
    <t>X 60</t>
  </si>
  <si>
    <t>X 90</t>
  </si>
  <si>
    <t>X 120</t>
  </si>
  <si>
    <t>OBLIGATIONS</t>
  </si>
  <si>
    <t>ARM</t>
  </si>
  <si>
    <t>Amort</t>
  </si>
  <si>
    <t>1st</t>
  </si>
  <si>
    <t>2nd</t>
  </si>
  <si>
    <t>Purchase</t>
  </si>
  <si>
    <t>Rate/Term Refi</t>
  </si>
  <si>
    <t>Detached SFR</t>
  </si>
  <si>
    <t>Detached PUD</t>
  </si>
  <si>
    <t>Occupancy:</t>
  </si>
  <si>
    <t>Primary Residence</t>
  </si>
  <si>
    <t>Second Home</t>
  </si>
  <si>
    <t>ASSET ANALYSIS</t>
  </si>
  <si>
    <t>PAYMENT</t>
  </si>
  <si>
    <t>MTG</t>
  </si>
  <si>
    <t>BALANCE</t>
  </si>
  <si>
    <t xml:space="preserve">Amt </t>
  </si>
  <si>
    <t xml:space="preserve">To </t>
  </si>
  <si>
    <t>From Bor</t>
  </si>
  <si>
    <t>CREDIT ANALYSIS</t>
  </si>
  <si>
    <t>Sub-total This Section:</t>
  </si>
  <si>
    <t>90+</t>
  </si>
  <si>
    <t>Judgments</t>
  </si>
  <si>
    <t>Charge Off/Coll/Repo</t>
  </si>
  <si>
    <t>DEBT RATIO ANALYSIS</t>
  </si>
  <si>
    <t>APPRAISAL</t>
  </si>
  <si>
    <t>Subject P&amp;I Full</t>
  </si>
  <si>
    <t>Subject P&amp;I I/O</t>
  </si>
  <si>
    <t>Other P&amp;I (@____)</t>
  </si>
  <si>
    <t>Hazard Insurance</t>
  </si>
  <si>
    <t>Property Taxes</t>
  </si>
  <si>
    <t>HOA Dues</t>
  </si>
  <si>
    <t xml:space="preserve">Other  </t>
  </si>
  <si>
    <t>Total Housing:</t>
  </si>
  <si>
    <t>Subject Property</t>
  </si>
  <si>
    <t>Negative Rents</t>
  </si>
  <si>
    <t>Monthly Obligations</t>
  </si>
  <si>
    <t>Total Debt:</t>
  </si>
  <si>
    <t>Expiration Dates:</t>
  </si>
  <si>
    <t>Appraised Value</t>
  </si>
  <si>
    <t>Review Value</t>
  </si>
  <si>
    <t>Qualifying Income</t>
  </si>
  <si>
    <t>Rental Income:</t>
  </si>
  <si>
    <t>$</t>
  </si>
  <si>
    <t>U/W GUIDELINE COMMENTS/EXCEPTIONS</t>
  </si>
  <si>
    <t>Underwriter</t>
  </si>
  <si>
    <t>=</t>
  </si>
  <si>
    <t xml:space="preserve"> </t>
  </si>
  <si>
    <t>Int. Rate</t>
  </si>
  <si>
    <t xml:space="preserve">Debt Ratio </t>
  </si>
  <si>
    <t>Signed:</t>
  </si>
  <si>
    <t>COLLATERAL VALUE (REVIEWED)</t>
  </si>
  <si>
    <t>NET COLLATERAL VALUE</t>
  </si>
  <si>
    <t>DISPOSITION COSTS (FC/SALE,ETC.)</t>
  </si>
  <si>
    <t>ONE YEAR INTEREST INCOME</t>
  </si>
  <si>
    <t>NET EQUITY 2 VALUE</t>
  </si>
  <si>
    <t>LOAN AMOUNT</t>
  </si>
  <si>
    <t>NET PROTECTIVE EQUITY</t>
  </si>
  <si>
    <t>Equity 2 Analysis</t>
  </si>
  <si>
    <t>Worksheet</t>
  </si>
  <si>
    <t>CREDITOR</t>
  </si>
  <si>
    <t>Bank Stmts</t>
  </si>
  <si>
    <t>COLLATERAL REPAIR COST</t>
  </si>
  <si>
    <t>PRICING:</t>
  </si>
  <si>
    <t>Credit</t>
  </si>
  <si>
    <t>Grade</t>
  </si>
  <si>
    <t>ADJ</t>
  </si>
  <si>
    <t>POINTS</t>
  </si>
  <si>
    <t xml:space="preserve">EMD </t>
  </si>
  <si>
    <t>Rate</t>
  </si>
  <si>
    <t>Fee</t>
  </si>
  <si>
    <t>Start</t>
  </si>
  <si>
    <t>Rural</t>
  </si>
  <si>
    <t>EST</t>
  </si>
  <si>
    <t xml:space="preserve">SECTION 32:      NA                                </t>
  </si>
  <si>
    <t xml:space="preserve">Title Company:                  </t>
  </si>
  <si>
    <t xml:space="preserve">COE </t>
  </si>
  <si>
    <t xml:space="preserve">COH </t>
  </si>
  <si>
    <t>REO WORKSHEET</t>
  </si>
  <si>
    <t>HIGHLIGHT AREAS WHERE WE STILL NEED DOCUMENTATION</t>
  </si>
  <si>
    <t>PROPERTY</t>
  </si>
  <si>
    <t>DEPARTURE OR</t>
  </si>
  <si>
    <t>PROP.</t>
  </si>
  <si>
    <t xml:space="preserve">MTG RATING </t>
  </si>
  <si>
    <t xml:space="preserve">$$ RENTS PER </t>
  </si>
  <si>
    <t>PMT</t>
  </si>
  <si>
    <t>TAX</t>
  </si>
  <si>
    <t xml:space="preserve">INS </t>
  </si>
  <si>
    <t>HOA</t>
  </si>
  <si>
    <t>NET</t>
  </si>
  <si>
    <t>RENTAL</t>
  </si>
  <si>
    <t>TYPE</t>
  </si>
  <si>
    <t>HOLDER</t>
  </si>
  <si>
    <t>PER ???</t>
  </si>
  <si>
    <t>1003/LEASE/1040</t>
  </si>
  <si>
    <r>
      <t>(</t>
    </r>
    <r>
      <rPr>
        <b/>
        <sz val="8"/>
        <color theme="1"/>
        <rFont val="Calibri"/>
        <family val="2"/>
        <scheme val="minor"/>
      </rPr>
      <t>OMIT IF O/O</t>
    </r>
    <r>
      <rPr>
        <b/>
        <sz val="12"/>
        <color theme="1"/>
        <rFont val="Calibri"/>
        <family val="2"/>
        <scheme val="minor"/>
      </rPr>
      <t>)</t>
    </r>
  </si>
  <si>
    <t>"INCL" IF IMP</t>
  </si>
  <si>
    <t>SEE UW WORKSHEET FOR SUBJECT PROPERTY</t>
  </si>
  <si>
    <t>2ND PAGE</t>
  </si>
  <si>
    <t xml:space="preserve">TOTAL </t>
  </si>
  <si>
    <t>Income Calculation Worksheet</t>
  </si>
  <si>
    <t>Borrower Name</t>
  </si>
  <si>
    <t>Loan Number</t>
  </si>
  <si>
    <t>Employer</t>
  </si>
  <si>
    <t>Pay Type</t>
  </si>
  <si>
    <t>Hourly</t>
  </si>
  <si>
    <t>Per Hour</t>
  </si>
  <si>
    <t># of hours</t>
  </si>
  <si>
    <t>X52/12</t>
  </si>
  <si>
    <t>Income</t>
  </si>
  <si>
    <t>YTD Earnings</t>
  </si>
  <si>
    <t># months</t>
  </si>
  <si>
    <t>W2 for Tax Year:</t>
  </si>
  <si>
    <t>YTD Avg</t>
  </si>
  <si>
    <t>YTD + 1 W2 Avg</t>
  </si>
  <si>
    <t>YTD + 2 Yr W2 Avg</t>
  </si>
  <si>
    <t>Use lowest income</t>
  </si>
  <si>
    <t>or check the income you wish to use</t>
  </si>
  <si>
    <t>Salary</t>
  </si>
  <si>
    <t>Type of Salary</t>
  </si>
  <si>
    <t>Monthly</t>
  </si>
  <si>
    <t>X1</t>
  </si>
  <si>
    <t>Bi Weekly</t>
  </si>
  <si>
    <t>X26/12</t>
  </si>
  <si>
    <t>Semi Monthly</t>
  </si>
  <si>
    <t>X24/12</t>
  </si>
  <si>
    <t>Weekly</t>
  </si>
  <si>
    <t>YTD Salary (paytsub)</t>
  </si>
  <si>
    <t>Monthly Avg</t>
  </si>
  <si>
    <t>W2 income</t>
  </si>
  <si>
    <t>W2 Income</t>
  </si>
  <si>
    <t>Base Used to Qualify</t>
  </si>
  <si>
    <t>check the salary you wish to use</t>
  </si>
  <si>
    <r>
      <t>I</t>
    </r>
    <r>
      <rPr>
        <sz val="9"/>
        <rFont val="Tahoma"/>
        <family val="2"/>
      </rPr>
      <t xml:space="preserve">f YTD or past year is lower, confirm why. </t>
    </r>
  </si>
  <si>
    <t>Othewise, lower of YTD and W2 is required</t>
  </si>
  <si>
    <t>Overtime/Bonus</t>
  </si>
  <si>
    <t>Break out OT/Bonus from base salary</t>
  </si>
  <si>
    <t>YTD Overtime / Bonus*</t>
  </si>
  <si>
    <t>Past year OT breakout</t>
  </si>
  <si>
    <t>Additional year OT / Bonus</t>
  </si>
  <si>
    <t>*If DU requires only a YTD paystub, OT/Bonus must be annualized. 
 Divide YTD OT/Bonus by 12 months</t>
  </si>
  <si>
    <t>YTD + 1 year Avg</t>
  </si>
  <si>
    <t>YTD + 2 Year Avg</t>
  </si>
  <si>
    <t>Use lower of calculations</t>
  </si>
  <si>
    <t>Commission</t>
  </si>
  <si>
    <t>Break out commission from base salary</t>
  </si>
  <si>
    <t>YTD Commission</t>
  </si>
  <si>
    <t>minus Expenses</t>
  </si>
  <si>
    <t>expenses (based upon 2106 expenses)</t>
  </si>
  <si>
    <t>Past year commission</t>
  </si>
  <si>
    <t>2106 Expenses</t>
  </si>
  <si>
    <t>Additional year commission</t>
  </si>
  <si>
    <t>2106 expenses</t>
  </si>
  <si>
    <t xml:space="preserve"> = Net income</t>
  </si>
  <si>
    <t>monthly income</t>
  </si>
  <si>
    <t xml:space="preserve"> = Net Income</t>
  </si>
  <si>
    <t>YTD Avg using net income</t>
  </si>
  <si>
    <t>2106 YTD Expense Estimate</t>
  </si>
  <si>
    <t>YTD + 1 year using Net Income</t>
  </si>
  <si>
    <t>2 year Commission Vs 2106 Expenses</t>
  </si>
  <si>
    <t>YTD + 2 year using net income</t>
  </si>
  <si>
    <t>Expenses</t>
  </si>
  <si>
    <t>Expense factor</t>
  </si>
  <si>
    <t>Use Lower of calculations</t>
  </si>
  <si>
    <t>Other Income</t>
  </si>
  <si>
    <t>Type of income</t>
  </si>
  <si>
    <t>YTD income</t>
  </si>
  <si>
    <t>W2 for year:</t>
  </si>
  <si>
    <t>YTD Income</t>
  </si>
  <si>
    <t>YTD + 1 Year</t>
  </si>
  <si>
    <t>YTD + 2 Year</t>
  </si>
  <si>
    <t>use lowest income average</t>
  </si>
  <si>
    <t>Non Taxable Income</t>
  </si>
  <si>
    <t>Monthly check or Direct Deposit</t>
  </si>
  <si>
    <t>Income from 1099</t>
  </si>
  <si>
    <t>Annual amount of income not subject to tax (Income not on tax transcripts)</t>
  </si>
  <si>
    <t xml:space="preserve">Additional Non taxable Income to be used for qualifying (income not taxed x125%) </t>
  </si>
  <si>
    <t>Total Non Taxable Income</t>
  </si>
  <si>
    <t>Deduction from Income</t>
  </si>
  <si>
    <t>(non commission borrower with business expenses or other income deduction)</t>
  </si>
  <si>
    <t>Expense/deduction</t>
  </si>
  <si>
    <t>12 month average</t>
  </si>
  <si>
    <t>(the box that is checked is a negative number and reduces total income)</t>
  </si>
  <si>
    <t>24 month average</t>
  </si>
  <si>
    <t>Total Income to Qualify</t>
  </si>
  <si>
    <t>Complete the Red Flag Reminders (click here to access Red Flag Reminders tab)</t>
  </si>
  <si>
    <t>YES</t>
  </si>
  <si>
    <t>Underwriter Comments</t>
  </si>
  <si>
    <t>wonder</t>
  </si>
  <si>
    <t>MAX DTI</t>
  </si>
  <si>
    <t>PAYMENT SHOCK</t>
  </si>
  <si>
    <t xml:space="preserve"> EST HUD1 </t>
  </si>
  <si>
    <t xml:space="preserve">Bankruptcy </t>
  </si>
  <si>
    <t xml:space="preserve">Foreclosure </t>
  </si>
  <si>
    <t xml:space="preserve">Short Sale </t>
  </si>
  <si>
    <t>NA</t>
  </si>
  <si>
    <t>DISC FEE</t>
  </si>
  <si>
    <t>%</t>
  </si>
  <si>
    <t>COMMENT</t>
  </si>
  <si>
    <t>X</t>
  </si>
  <si>
    <t>NON- PRIME ADD ON</t>
  </si>
  <si>
    <t>Alt Doc - Bk Stmnts</t>
  </si>
  <si>
    <t>30 Year Fixed</t>
  </si>
  <si>
    <t>Non Owner (NOO)</t>
  </si>
  <si>
    <t>LA &gt; $ 1,000,000</t>
  </si>
  <si>
    <t>LA &gt; $ 1,500,000</t>
  </si>
  <si>
    <t>LA &gt; $ 750,000</t>
  </si>
  <si>
    <t>LA &lt; $ 150,000</t>
  </si>
  <si>
    <t>LA &lt; $ 100,000</t>
  </si>
  <si>
    <t>RATE</t>
  </si>
  <si>
    <t>FEE</t>
  </si>
  <si>
    <t>NOTES</t>
  </si>
  <si>
    <t>O/O - CREDIT GRADES A/A-/B</t>
  </si>
  <si>
    <t>NOO - ALL CREDIT GRADES</t>
  </si>
  <si>
    <t>PRICING ABOVE IS A 7/1 HYBRID ARM</t>
  </si>
  <si>
    <t>LTV'S LIMITED TO GRAY SHADED AREA (MAX 70% FOR REFINANCE)</t>
  </si>
  <si>
    <t>LTV @ -5% PURCH &amp; R/T, -10% C/O, NO "C" GRADE</t>
  </si>
  <si>
    <t>OO ONLY, LTV @ - 10% PURCH &amp; R/T, -15% C/O, (A, A-, &amp; B ONLY)</t>
  </si>
  <si>
    <t>MAX CASH-IN-HAND &gt; 65% LTV IS $300,000 FOR LOAN AMOUNT &gt; $1MM</t>
  </si>
  <si>
    <t>MINIMUM LOAN AMOUNT</t>
  </si>
  <si>
    <t>2-4 UNIT PROPERTY</t>
  </si>
  <si>
    <t>CONDOTEL</t>
  </si>
  <si>
    <t>NON-WARR CONDO</t>
  </si>
  <si>
    <t>RURAL PROPERTY</t>
  </si>
  <si>
    <t>PURCHASE: MAX 75% LTV  &amp; REFINANCE: 70% MAX LTV</t>
  </si>
  <si>
    <t>REDUCE 10% LTV OR 65% MAX LTV, MAXIMUM $400,000 LOAN AMOUNT</t>
  </si>
  <si>
    <t>- PITI</t>
  </si>
  <si>
    <t>Loan Number:</t>
  </si>
  <si>
    <t>Appraisal Value:</t>
  </si>
  <si>
    <t>Appraisal Details:</t>
  </si>
  <si>
    <t>AMC:</t>
  </si>
  <si>
    <t>Property Sq. Ft:</t>
  </si>
  <si>
    <t># Bedrooms</t>
  </si>
  <si>
    <t>Special Features (FP, Pool, Spa, Guesthouse, etc.)</t>
  </si>
  <si>
    <t xml:space="preserve">Property Rating: </t>
  </si>
  <si>
    <t>SiteX &amp; Other Reports (Property Types/Sale Ages/Proximity, etc.):</t>
  </si>
  <si>
    <t>BPO recommended?</t>
  </si>
  <si>
    <t>Underwriter / Reviewer:</t>
  </si>
  <si>
    <t>Date of Analysis:</t>
  </si>
  <si>
    <t>Appraisal Review Analysis</t>
  </si>
  <si>
    <t>Lot Size Sq. Ft:</t>
  </si>
  <si>
    <t># Baths</t>
  </si>
  <si>
    <t>Listed for Sale (DOM):</t>
  </si>
  <si>
    <t>Original/Final List Price:</t>
  </si>
  <si>
    <t>Transaction Details:</t>
  </si>
  <si>
    <t>Borrower(s) Last Name:</t>
  </si>
  <si>
    <t>Parking</t>
  </si>
  <si>
    <t>C</t>
  </si>
  <si>
    <t>Property Condition/Updates:</t>
  </si>
  <si>
    <t>NO</t>
  </si>
  <si>
    <t>EXCEPTION REQUEST FORM</t>
  </si>
  <si>
    <t>Borrower:</t>
  </si>
  <si>
    <t>Co-Borrower:</t>
  </si>
  <si>
    <t>Loan Amount:</t>
  </si>
  <si>
    <t>Guideline in Question:</t>
  </si>
  <si>
    <t>Compensating Factors:</t>
  </si>
  <si>
    <t>Submitted By:</t>
  </si>
  <si>
    <t>Approved By:</t>
  </si>
  <si>
    <t>Signature:</t>
  </si>
  <si>
    <t>LTV</t>
  </si>
  <si>
    <t>CLTV</t>
  </si>
  <si>
    <t>BPO Value:</t>
  </si>
  <si>
    <t>Credit Gade:</t>
  </si>
  <si>
    <t>15707 Rockfield Blvd, Suite 320, Irvine, CA 92618</t>
  </si>
  <si>
    <t>Telephone:  (949) 900-6630     Fax:  (949) 900-6631</t>
  </si>
  <si>
    <t>www.citadelservicing.com</t>
  </si>
  <si>
    <t>Appraisal Report Quality (Comps/Adjustments/Opinions etc):</t>
  </si>
  <si>
    <t>Other Finance on Subject:</t>
  </si>
  <si>
    <t>WIRE TO:</t>
  </si>
  <si>
    <t>Wage Earner Income</t>
  </si>
  <si>
    <t>Borrowers Name:</t>
  </si>
  <si>
    <t>Pay end date:</t>
  </si>
  <si>
    <t>Total months:</t>
  </si>
  <si>
    <t>Employer(s)</t>
  </si>
  <si>
    <t>YTD</t>
  </si>
  <si>
    <t>Average:</t>
  </si>
  <si>
    <t>YTD + Previous</t>
  </si>
  <si>
    <t>YTD + 2 Yrs Avg</t>
  </si>
  <si>
    <t>Previous 2 years Avg</t>
  </si>
  <si>
    <t>Co borrower Name:</t>
  </si>
  <si>
    <t>Total Months</t>
  </si>
  <si>
    <t>COMMENT SECTION:</t>
  </si>
  <si>
    <t xml:space="preserve">Underwriter Signature: </t>
  </si>
  <si>
    <t>LOAN #</t>
  </si>
  <si>
    <t>NON-CONSIDERED DEPOSITS</t>
  </si>
  <si>
    <t>Assets</t>
  </si>
  <si>
    <t>BORROWER NAME:</t>
  </si>
  <si>
    <t>N/A</t>
  </si>
  <si>
    <t>FLAT FEE</t>
  </si>
  <si>
    <t>PLUS</t>
  </si>
  <si>
    <t>Underwriter notes:</t>
  </si>
  <si>
    <t>Additional Notes:</t>
  </si>
  <si>
    <t>Loan Info Details:</t>
  </si>
  <si>
    <t>AE:</t>
  </si>
  <si>
    <t>Transaction Manager:</t>
  </si>
  <si>
    <t>Initial Review:</t>
  </si>
  <si>
    <r>
      <t xml:space="preserve">
</t>
    </r>
    <r>
      <rPr>
        <b/>
        <u/>
        <sz val="10"/>
        <rFont val="Arial"/>
        <family val="2"/>
      </rPr>
      <t>PTD:</t>
    </r>
    <r>
      <rPr>
        <sz val="10"/>
        <rFont val="Arial"/>
        <family val="2"/>
      </rPr>
      <t xml:space="preserve">
1) 
2) 
3) 
4)
5)
6)
</t>
    </r>
    <r>
      <rPr>
        <b/>
        <u/>
        <sz val="10"/>
        <rFont val="Arial"/>
        <family val="2"/>
      </rPr>
      <t>PTF:</t>
    </r>
    <r>
      <rPr>
        <sz val="10"/>
        <rFont val="Arial"/>
        <family val="2"/>
      </rPr>
      <t xml:space="preserve">
1)
2)
</t>
    </r>
  </si>
  <si>
    <t>COMMENT:</t>
  </si>
  <si>
    <t>ASSETS DOCS GOOD FOR 45 DAYS FROM ENDING DATE</t>
  </si>
  <si>
    <t>FUNDS REQUIRED TO CLOSE</t>
  </si>
  <si>
    <t>CoBorrower</t>
  </si>
  <si>
    <t>LOAN NUMBER:</t>
  </si>
  <si>
    <t xml:space="preserve">APPROVED LIQUID ASSETS </t>
  </si>
  <si>
    <t>MAGGI RESERVES</t>
  </si>
  <si>
    <t>FUNDS TO CLOSE NOT TO EXCEED</t>
  </si>
  <si>
    <t xml:space="preserve">ASSET DEPLETION </t>
  </si>
  <si>
    <t>STATEMENT CLOSING DATE</t>
  </si>
  <si>
    <t>EXPIRATION DATE</t>
  </si>
  <si>
    <t>ENDING BALANCE</t>
  </si>
  <si>
    <t>LAST FOUR DIGITS ACCOUNT NUMBER</t>
  </si>
  <si>
    <t>TYPE OF ACCOUNT</t>
  </si>
  <si>
    <t>ACCOUNT HOLDER'S NAME</t>
  </si>
  <si>
    <t>INSTITUTION NAME</t>
  </si>
  <si>
    <t>PAY STUB EXPIRATION DATE</t>
  </si>
  <si>
    <t>Statement Closing Date:</t>
  </si>
  <si>
    <t xml:space="preserve">   Statement Expiration Date: </t>
  </si>
  <si>
    <t>Prelim Effective Date:</t>
  </si>
  <si>
    <t>Credit Report Pull Date:</t>
  </si>
  <si>
    <t>TBD</t>
  </si>
  <si>
    <t>2016 NSF</t>
  </si>
  <si>
    <t>2 MO BNK STMT Y/N</t>
  </si>
  <si>
    <t>ASSET SUMMARY REPORT</t>
  </si>
  <si>
    <t>ASSETS FOR RESERVES/DEPLETION</t>
  </si>
  <si>
    <t>PAY DATE</t>
  </si>
  <si>
    <t>2015 1099</t>
  </si>
  <si>
    <t>Fixed Income</t>
  </si>
  <si>
    <t>Curr Award Letter</t>
  </si>
  <si>
    <t>BASE PAY CALCULATION</t>
  </si>
  <si>
    <t>Monthly Income</t>
  </si>
  <si>
    <t>COMMENT/NOTES</t>
  </si>
  <si>
    <t>Additional Debt Obligations</t>
  </si>
  <si>
    <t>BUYDWN</t>
  </si>
  <si>
    <t>FINAL</t>
  </si>
  <si>
    <t>CSC ADD-ON FEE</t>
  </si>
  <si>
    <t>CSE  FEE</t>
  </si>
  <si>
    <t>UW</t>
  </si>
  <si>
    <t>?</t>
  </si>
  <si>
    <t>:</t>
  </si>
  <si>
    <t>MAX CLTV</t>
  </si>
  <si>
    <t>Employer/Business Name</t>
  </si>
  <si>
    <t>Position/Job Title</t>
  </si>
  <si>
    <t>Doc Used to Qualify</t>
  </si>
  <si>
    <t>Yes</t>
  </si>
  <si>
    <t>Business Ln</t>
  </si>
  <si>
    <t>Condo?</t>
  </si>
  <si>
    <t>No</t>
  </si>
  <si>
    <t>CDO SF/FL</t>
  </si>
  <si>
    <t>ODF</t>
  </si>
  <si>
    <t>Foreign Nat'l</t>
  </si>
  <si>
    <t>Fix &amp; Flip/Keep</t>
  </si>
  <si>
    <t>DSCR+</t>
  </si>
  <si>
    <t>Units:</t>
  </si>
  <si>
    <t>UnitList</t>
  </si>
  <si>
    <t>ODFList</t>
  </si>
  <si>
    <t>Loan Amt</t>
  </si>
  <si>
    <t>TRID Compliance - Cond #4411</t>
  </si>
  <si>
    <t>Home Inspection - Is the property in bad shape?  Health/safety issues?  Cond #4403</t>
  </si>
  <si>
    <t>C5 Condition - Escalate, possible ODF</t>
  </si>
  <si>
    <t>Is value AS-IS?  If not, need 442</t>
  </si>
  <si>
    <t>Transactions in last 2 years (pg 2 under comps, check SiteX)</t>
  </si>
  <si>
    <t>Deferred Maintenance - will need to provide cost-to-cure</t>
  </si>
  <si>
    <t>Verify appraiser reviewed contract - check for big changes</t>
  </si>
  <si>
    <t>Marketing time &gt; 6 months - Add cond asking why, what effect does this have on marketability</t>
  </si>
  <si>
    <t>Is zoning legal nonconforming- Add cond for 100% rebuild letter if appraiser does not state that it can be rebuilt to its current footprint and useage</t>
  </si>
  <si>
    <t>Flood zone - Add cond for insurance and use an est for DTI</t>
  </si>
  <si>
    <t>FICO</t>
  </si>
  <si>
    <t>Program:</t>
  </si>
  <si>
    <t>U/W APPRAISAL CHECKLIST</t>
  </si>
  <si>
    <t>Appraisal Invoice?</t>
  </si>
  <si>
    <t>AMC ? - If no, Cond #4402 &amp; 4409 / BPO required</t>
  </si>
  <si>
    <t>Private Road</t>
  </si>
  <si>
    <t>May need the lease agreement with terms</t>
  </si>
  <si>
    <t>Purpose: Purchase/Refi match BytePro/1003/UW sheet?</t>
  </si>
  <si>
    <t>Arms LengthTransactions? If FSBO, please request payoffs</t>
  </si>
  <si>
    <t>Urban/Suburban Location?( If rural, Drop to 65% and add rural adjustment, google map subject and check proximity to larger cities and Starbucks)</t>
  </si>
  <si>
    <t>Solar ?</t>
  </si>
  <si>
    <t>***</t>
  </si>
  <si>
    <t xml:space="preserve">Borrower's name match? </t>
  </si>
  <si>
    <t xml:space="preserve">Fee Simple? </t>
  </si>
  <si>
    <t>-  Maintenance Road Agreement if applicable</t>
  </si>
  <si>
    <t>If Leasehold estate, escalate to Manger</t>
  </si>
  <si>
    <t>DO NOT TOUCH THIS COLUMNS</t>
  </si>
  <si>
    <t>Effective Date:</t>
  </si>
  <si>
    <t>Sale Price:</t>
  </si>
  <si>
    <t>Credit Grade:</t>
  </si>
  <si>
    <t xml:space="preserve"> Estimate of Cost-New:</t>
  </si>
  <si>
    <t>All utilities on and working properly?</t>
  </si>
  <si>
    <t>Economic Life &gt;=30Yrs?</t>
  </si>
  <si>
    <t>Cost Approach:</t>
  </si>
  <si>
    <t>URAR 6pages / Addendum/ 3 comps / 2 active listing / Photos &amp; Sketch map      Location map / Appraisal License&amp;Liability Insurance?</t>
  </si>
  <si>
    <t>Please answer only highlighted items</t>
  </si>
  <si>
    <t>1007/Rental Survey</t>
  </si>
  <si>
    <t>Has Underwriter make corrections /or conditions all highlighted items above?</t>
  </si>
  <si>
    <t>Gross Residual Income:</t>
  </si>
  <si>
    <t>1-500; 4-1250; 4+ 250</t>
  </si>
  <si>
    <t>Full</t>
  </si>
  <si>
    <t>2ND JOB for Co Borrower</t>
  </si>
  <si>
    <t xml:space="preserve">Loan Approval
Worksheet                              </t>
  </si>
  <si>
    <t>A maximum of 6 NSFs are allowed in the last 12 months</t>
  </si>
  <si>
    <t>Initial RateSheet Date:</t>
  </si>
  <si>
    <t>COMMENT/NOTES:</t>
  </si>
  <si>
    <t>Personal Checking, Personal Savings, Business Checking, Business Savings, Brokerage, CD/Time Deposit, Gift Funds From Family/Relative, Gift of Equity, Net Proceeds from Sale of Property</t>
  </si>
  <si>
    <t>PURPOSE</t>
  </si>
  <si>
    <t>ACCT USE FOR</t>
  </si>
  <si>
    <t>DEPLETION</t>
  </si>
  <si>
    <t>TOTAL ASSETS AVAILABLE FOR RESERVES:</t>
  </si>
  <si>
    <t>/mo.</t>
  </si>
  <si>
    <t>Assets Depletion Monthly Income</t>
  </si>
  <si>
    <t>Payout Monthly</t>
  </si>
  <si>
    <t>Payout over</t>
  </si>
  <si>
    <t>years w/ 1% interest rate</t>
  </si>
  <si>
    <t>2017 NSF</t>
  </si>
  <si>
    <t>CO2</t>
  </si>
  <si>
    <t>Smoke Detectors</t>
  </si>
  <si>
    <t>Water Heaters DDL Strp</t>
  </si>
  <si>
    <t>Bar/Quick Latches</t>
  </si>
  <si>
    <t>Check if missing</t>
  </si>
  <si>
    <t>2017 months:</t>
  </si>
  <si>
    <t>2016 1099</t>
  </si>
  <si>
    <t>I/O</t>
  </si>
  <si>
    <t>Fixed</t>
  </si>
  <si>
    <t>Lease Option-Purch SP</t>
  </si>
  <si>
    <t>Cash/Out Refi</t>
  </si>
  <si>
    <t>Condo Type</t>
  </si>
  <si>
    <t>YES OR NO, IS BORROWER(S) FIRST TIME HOME BUYER?</t>
  </si>
  <si>
    <t>ATR-IN-FULL</t>
  </si>
  <si>
    <t>DSCR DEPLETION</t>
  </si>
  <si>
    <t>OTHER</t>
  </si>
  <si>
    <t>(Max $750,000 combined loan amount &amp; &lt;=70% LTV/CLTV if more than 6NSF)</t>
  </si>
  <si>
    <t>Credit Score</t>
  </si>
  <si>
    <t>B:</t>
  </si>
  <si>
    <t>CB:</t>
  </si>
  <si>
    <t>B3/B4:</t>
  </si>
  <si>
    <t>Loan Modification</t>
  </si>
  <si>
    <t>Qualifying Credit Score</t>
  </si>
  <si>
    <t>NOO Business</t>
  </si>
  <si>
    <t>none missing</t>
  </si>
  <si>
    <r>
      <t>COMMENT:</t>
    </r>
    <r>
      <rPr>
        <sz val="10"/>
        <color theme="1"/>
        <rFont val="Calibri"/>
        <family val="2"/>
        <scheme val="minor"/>
      </rPr>
      <t xml:space="preserve"> </t>
    </r>
  </si>
  <si>
    <t>INCOME LOE</t>
  </si>
  <si>
    <t>Appraisal Estimate Cost-to-New</t>
  </si>
  <si>
    <t>Seller/Owner's name match title? APN # &amp; Legal description match Title?</t>
  </si>
  <si>
    <t>CURR ACCT #:</t>
  </si>
  <si>
    <t>Mixed Use (Res)</t>
  </si>
  <si>
    <t>Broker Compensation</t>
  </si>
  <si>
    <t>Borrower Paid</t>
  </si>
  <si>
    <t>RETAIL LENDER CREDIT</t>
  </si>
  <si>
    <t xml:space="preserve">Seller's Credit </t>
  </si>
  <si>
    <t>Approval!Z14&lt;&gt;"X",Approval!AB6&lt;&gt;"ODF"</t>
  </si>
  <si>
    <t>Lender Paid 1.25%</t>
  </si>
  <si>
    <t>Lender Paid 2.00%</t>
  </si>
  <si>
    <t>Yes - 1.25%</t>
  </si>
  <si>
    <t>Yes - 2.00%</t>
  </si>
  <si>
    <t>Location Type:</t>
  </si>
  <si>
    <t>VOE Program</t>
  </si>
  <si>
    <t>V-12052017</t>
  </si>
  <si>
    <t>1ST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</si>
</sst>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6" formatCode="&quot;$&quot;#,##0_);[Red]\(&quot;$&quot;#,##0\)"/>
    <numFmt numFmtId="7" formatCode="&quot;$&quot;#,##0.00_);\(&quot;$&quot;#,##0.00\)"/>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0.000%"/>
    <numFmt numFmtId="165" formatCode="&quot;$&quot;#,##0.00"/>
    <numFmt numFmtId="166" formatCode="0.000"/>
    <numFmt numFmtId="167" formatCode="0.00&quot; Yr&quot;"/>
    <numFmt numFmtId="168" formatCode="mmm\-yyyy"/>
    <numFmt numFmtId="169" formatCode="m/d/yy;@"/>
    <numFmt numFmtId="170" formatCode="&quot;$&quot;#,##0.00;[Red]&quot;$&quot;#,##0.00"/>
    <numFmt numFmtId="171" formatCode="&quot;$&quot;#,##0"/>
    <numFmt numFmtId="172" formatCode="_(&quot;$&quot;* #,##0.000_);_(&quot;$&quot;* \(#,##0.000\);_(&quot;$&quot;* &quot;-&quot;???_);_(@_)"/>
  </numFmts>
  <fonts count="8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6"/>
      <name val="Arial"/>
      <family val="2"/>
    </font>
    <font>
      <sz val="10"/>
      <name val="Arial"/>
      <family val="2"/>
    </font>
    <font>
      <u/>
      <sz val="10"/>
      <color indexed="12"/>
      <name val="Arial"/>
      <family val="2"/>
    </font>
    <font>
      <b/>
      <sz val="10"/>
      <name val="Arial"/>
      <family val="2"/>
    </font>
    <font>
      <b/>
      <sz val="16"/>
      <name val="Arial"/>
      <family val="2"/>
    </font>
    <font>
      <b/>
      <sz val="12"/>
      <name val="Arial"/>
      <family val="2"/>
    </font>
    <font>
      <sz val="12"/>
      <name val="Arial"/>
      <family val="2"/>
    </font>
    <font>
      <sz val="10"/>
      <name val="Maiandra GD"/>
      <family val="2"/>
    </font>
    <font>
      <sz val="8"/>
      <name val="Maiandra GD"/>
      <family val="2"/>
    </font>
    <font>
      <sz val="10"/>
      <name val="Lucida Handwriting"/>
      <family val="4"/>
    </font>
    <font>
      <sz val="10"/>
      <color indexed="12"/>
      <name val="Arial"/>
      <family val="2"/>
    </font>
    <font>
      <sz val="11"/>
      <name val="Arial"/>
      <family val="2"/>
    </font>
    <font>
      <sz val="9"/>
      <name val="Arial"/>
      <family val="2"/>
    </font>
    <font>
      <sz val="8"/>
      <name val="Arial"/>
      <family val="2"/>
    </font>
    <font>
      <b/>
      <sz val="17"/>
      <name val="Imprint MT Shadow"/>
      <family val="5"/>
    </font>
    <font>
      <sz val="17"/>
      <name val="Imprint MT Shadow"/>
      <family val="5"/>
    </font>
    <font>
      <b/>
      <sz val="12"/>
      <color rgb="FFFF0000"/>
      <name val="Arial"/>
      <family val="2"/>
    </font>
    <font>
      <b/>
      <sz val="17"/>
      <name val="Cambria"/>
      <family val="1"/>
      <scheme val="major"/>
    </font>
    <font>
      <b/>
      <sz val="11"/>
      <name val="Arial"/>
      <family val="2"/>
    </font>
    <font>
      <b/>
      <sz val="9"/>
      <name val="Arial"/>
      <family val="2"/>
    </font>
    <font>
      <sz val="10"/>
      <name val="Arial"/>
      <family val="2"/>
    </font>
    <font>
      <b/>
      <sz val="11"/>
      <color theme="1"/>
      <name val="Calibri"/>
      <family val="2"/>
      <scheme val="minor"/>
    </font>
    <font>
      <b/>
      <sz val="16"/>
      <color theme="1"/>
      <name val="Calibri"/>
      <family val="2"/>
      <scheme val="minor"/>
    </font>
    <font>
      <b/>
      <sz val="8"/>
      <color theme="1"/>
      <name val="Calibri"/>
      <family val="2"/>
      <scheme val="minor"/>
    </font>
    <font>
      <b/>
      <sz val="12"/>
      <color theme="1"/>
      <name val="Calibri"/>
      <family val="2"/>
      <scheme val="minor"/>
    </font>
    <font>
      <b/>
      <sz val="14"/>
      <name val="Tahoma"/>
      <family val="2"/>
    </font>
    <font>
      <b/>
      <sz val="11"/>
      <name val="Tahoma"/>
      <family val="2"/>
    </font>
    <font>
      <b/>
      <sz val="12"/>
      <name val="Tahoma"/>
      <family val="2"/>
    </font>
    <font>
      <b/>
      <sz val="10"/>
      <name val="Tahoma"/>
      <family val="2"/>
    </font>
    <font>
      <sz val="10"/>
      <name val="Tahoma"/>
      <family val="2"/>
    </font>
    <font>
      <sz val="10"/>
      <color indexed="9"/>
      <name val="Tahoma"/>
      <family val="2"/>
    </font>
    <font>
      <sz val="9"/>
      <name val="Tahoma"/>
      <family val="2"/>
    </font>
    <font>
      <b/>
      <u/>
      <sz val="10"/>
      <color indexed="12"/>
      <name val="Arial"/>
      <family val="2"/>
    </font>
    <font>
      <sz val="10"/>
      <name val="Times New Roman"/>
      <family val="1"/>
    </font>
    <font>
      <sz val="10"/>
      <color indexed="22"/>
      <name val="Arial"/>
      <family val="2"/>
    </font>
    <font>
      <sz val="12"/>
      <name val="Lucida Handwriting"/>
      <family val="4"/>
    </font>
    <font>
      <b/>
      <sz val="12"/>
      <color theme="0"/>
      <name val="Arial"/>
      <family val="2"/>
    </font>
    <font>
      <b/>
      <sz val="14"/>
      <name val="Arial"/>
      <family val="2"/>
    </font>
    <font>
      <b/>
      <sz val="16"/>
      <name val="Imprint MT Shadow"/>
      <family val="5"/>
    </font>
    <font>
      <b/>
      <sz val="14"/>
      <name val="Imprint MT Shadow"/>
      <family val="5"/>
    </font>
    <font>
      <sz val="10"/>
      <name val="Imprint MT Shadow"/>
      <family val="5"/>
    </font>
    <font>
      <sz val="11"/>
      <name val="Imprint MT Shadow"/>
      <family val="5"/>
    </font>
    <font>
      <sz val="12"/>
      <name val="Batang"/>
      <family val="1"/>
    </font>
    <font>
      <b/>
      <i/>
      <sz val="10"/>
      <name val="Arial"/>
      <family val="2"/>
    </font>
    <font>
      <b/>
      <u/>
      <sz val="10"/>
      <name val="Arial"/>
      <family val="2"/>
    </font>
    <font>
      <b/>
      <sz val="18"/>
      <name val="Arial"/>
      <family val="2"/>
    </font>
    <font>
      <b/>
      <sz val="18"/>
      <color theme="1"/>
      <name val="Calibri"/>
      <family val="2"/>
      <scheme val="minor"/>
    </font>
    <font>
      <i/>
      <sz val="10"/>
      <name val="Arial"/>
      <family val="2"/>
    </font>
    <font>
      <sz val="13"/>
      <name val="Monotype Corsiva"/>
      <family val="4"/>
    </font>
    <font>
      <sz val="10"/>
      <color theme="0"/>
      <name val="Arial"/>
      <family val="2"/>
    </font>
    <font>
      <sz val="11"/>
      <color theme="0"/>
      <name val="Arial"/>
      <family val="2"/>
    </font>
    <font>
      <sz val="12"/>
      <color theme="0"/>
      <name val="Arial"/>
      <family val="2"/>
    </font>
    <font>
      <b/>
      <sz val="10"/>
      <color theme="1"/>
      <name val="Arial"/>
      <family val="2"/>
    </font>
    <font>
      <sz val="11"/>
      <color theme="0"/>
      <name val="Calibri"/>
      <family val="2"/>
      <scheme val="minor"/>
    </font>
    <font>
      <sz val="10"/>
      <color theme="1"/>
      <name val="Arial"/>
      <family val="2"/>
    </font>
    <font>
      <b/>
      <sz val="8"/>
      <name val="Arial"/>
      <family val="2"/>
    </font>
    <font>
      <sz val="8"/>
      <color theme="0"/>
      <name val="Arial"/>
      <family val="2"/>
    </font>
    <font>
      <sz val="7.5"/>
      <name val="Arial"/>
      <family val="2"/>
    </font>
    <font>
      <sz val="11"/>
      <name val="Calibri"/>
      <family val="2"/>
      <scheme val="minor"/>
    </font>
    <font>
      <b/>
      <u/>
      <sz val="11"/>
      <name val="Calibri"/>
      <family val="2"/>
      <scheme val="minor"/>
    </font>
    <font>
      <sz val="10"/>
      <color theme="1"/>
      <name val="Calibri"/>
      <family val="2"/>
      <scheme val="minor"/>
    </font>
    <font>
      <b/>
      <sz val="10"/>
      <color theme="1"/>
      <name val="Calibri"/>
      <family val="2"/>
      <scheme val="minor"/>
    </font>
    <font>
      <b/>
      <sz val="10"/>
      <name val="Calibri"/>
      <family val="2"/>
      <scheme val="minor"/>
    </font>
    <font>
      <b/>
      <sz val="9"/>
      <name val="Calibri"/>
      <family val="2"/>
      <scheme val="minor"/>
    </font>
    <font>
      <sz val="8"/>
      <color theme="1"/>
      <name val="Arial"/>
      <family val="2"/>
    </font>
    <font>
      <sz val="9"/>
      <color theme="1"/>
      <name val="Arial"/>
      <family val="2"/>
    </font>
    <font>
      <sz val="8"/>
      <name val="Arial Narrow"/>
      <family val="2"/>
    </font>
    <font>
      <sz val="7"/>
      <name val="Arial"/>
      <family val="2"/>
    </font>
    <font>
      <b/>
      <sz val="15.5"/>
      <name val="Arial"/>
      <family val="2"/>
    </font>
    <font>
      <sz val="9"/>
      <color theme="0"/>
      <name val="Arial"/>
      <family val="2"/>
    </font>
  </fonts>
  <fills count="14">
    <fill>
      <patternFill patternType="none"/>
    </fill>
    <fill>
      <patternFill patternType="gray125"/>
    </fill>
    <fill>
      <patternFill patternType="solid">
        <fgColor indexed="8"/>
        <bgColor indexed="64"/>
      </patternFill>
    </fill>
    <fill>
      <patternFill patternType="solid">
        <fgColor indexed="44"/>
        <bgColor indexed="64"/>
      </patternFill>
    </fill>
    <fill>
      <patternFill patternType="solid">
        <fgColor indexed="13"/>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theme="0" tint="-0.14996795556505021"/>
        <bgColor indexed="64"/>
      </patternFill>
    </fill>
    <fill>
      <patternFill patternType="solid">
        <fgColor rgb="FF00B0F0"/>
        <bgColor indexed="64"/>
      </patternFill>
    </fill>
    <fill>
      <patternFill patternType="solid">
        <fgColor rgb="FF00B050"/>
        <bgColor indexed="64"/>
      </patternFill>
    </fill>
  </fills>
  <borders count="75">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uble">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bottom/>
      <diagonal/>
    </border>
    <border>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thin">
        <color theme="0" tint="-0.24994659260841701"/>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17">
    <xf numFmtId="0" fontId="0" fillId="0" borderId="0"/>
    <xf numFmtId="44" fontId="12" fillId="0" borderId="0" applyFont="0" applyFill="0" applyBorder="0" applyAlignment="0" applyProtection="0"/>
    <xf numFmtId="0" fontId="15" fillId="0" borderId="0" applyNumberFormat="0" applyFill="0" applyBorder="0" applyAlignment="0" applyProtection="0">
      <alignment vertical="top"/>
      <protection locked="0"/>
    </xf>
    <xf numFmtId="9" fontId="12" fillId="0" borderId="0" applyFont="0" applyFill="0" applyBorder="0" applyAlignment="0" applyProtection="0"/>
    <xf numFmtId="0" fontId="11" fillId="0" borderId="0"/>
    <xf numFmtId="44" fontId="11" fillId="0" borderId="0" applyFont="0" applyFill="0" applyBorder="0" applyAlignment="0" applyProtection="0"/>
    <xf numFmtId="44" fontId="33" fillId="0" borderId="0" applyFont="0" applyFill="0" applyBorder="0" applyAlignment="0" applyProtection="0"/>
    <xf numFmtId="0" fontId="10" fillId="0" borderId="0"/>
    <xf numFmtId="44" fontId="10" fillId="0" borderId="0" applyFont="0" applyFill="0" applyBorder="0" applyAlignment="0" applyProtection="0"/>
    <xf numFmtId="0" fontId="12" fillId="0" borderId="0"/>
    <xf numFmtId="0" fontId="6" fillId="0" borderId="0"/>
    <xf numFmtId="0" fontId="3" fillId="0" borderId="0"/>
    <xf numFmtId="44" fontId="3" fillId="0" borderId="0" applyFont="0" applyFill="0" applyBorder="0" applyAlignment="0" applyProtection="0"/>
    <xf numFmtId="44" fontId="12" fillId="0" borderId="0" applyFont="0" applyFill="0" applyBorder="0" applyAlignment="0" applyProtection="0"/>
    <xf numFmtId="0" fontId="3" fillId="0" borderId="0"/>
    <xf numFmtId="44" fontId="3" fillId="0" borderId="0" applyFont="0" applyFill="0" applyBorder="0" applyAlignment="0" applyProtection="0"/>
    <xf numFmtId="0" fontId="3" fillId="0" borderId="0"/>
  </cellStyleXfs>
  <cellXfs count="1690">
    <xf numFmtId="0" fontId="0" fillId="0" borderId="0" xfId="0"/>
    <xf numFmtId="0" fontId="13" fillId="0" borderId="0" xfId="0" applyFont="1"/>
    <xf numFmtId="0" fontId="14" fillId="0" borderId="0" xfId="0" applyFont="1"/>
    <xf numFmtId="0" fontId="16" fillId="0" borderId="0" xfId="0" applyFont="1" applyBorder="1"/>
    <xf numFmtId="0" fontId="16" fillId="0" borderId="3" xfId="0" applyFont="1" applyBorder="1"/>
    <xf numFmtId="0" fontId="16" fillId="0" borderId="4" xfId="0" applyFont="1" applyBorder="1"/>
    <xf numFmtId="0" fontId="16" fillId="0" borderId="0" xfId="0" applyFont="1" applyBorder="1" applyAlignment="1">
      <alignment horizontal="center"/>
    </xf>
    <xf numFmtId="0" fontId="16" fillId="0" borderId="0" xfId="0" applyFont="1"/>
    <xf numFmtId="0" fontId="16" fillId="0" borderId="0" xfId="0" applyFont="1" applyAlignment="1">
      <alignment horizontal="center"/>
    </xf>
    <xf numFmtId="0" fontId="17" fillId="0" borderId="0" xfId="0" applyFont="1"/>
    <xf numFmtId="0" fontId="18" fillId="0" borderId="2" xfId="0" applyFont="1" applyBorder="1"/>
    <xf numFmtId="0" fontId="18" fillId="0" borderId="1" xfId="0" applyFont="1" applyBorder="1" applyAlignment="1">
      <alignment horizontal="center"/>
    </xf>
    <xf numFmtId="0" fontId="18" fillId="0" borderId="1" xfId="0" applyFont="1" applyBorder="1"/>
    <xf numFmtId="0" fontId="16" fillId="0" borderId="6" xfId="0" applyFont="1" applyBorder="1" applyAlignment="1">
      <alignment horizontal="center"/>
    </xf>
    <xf numFmtId="0" fontId="18" fillId="0" borderId="5" xfId="0" applyFont="1" applyBorder="1"/>
    <xf numFmtId="0" fontId="18" fillId="0" borderId="4" xfId="0" applyFont="1" applyBorder="1" applyAlignment="1">
      <alignment horizontal="center"/>
    </xf>
    <xf numFmtId="0" fontId="18" fillId="0" borderId="0" xfId="0" applyFont="1"/>
    <xf numFmtId="0" fontId="19" fillId="0" borderId="0" xfId="0" applyFont="1"/>
    <xf numFmtId="0" fontId="18" fillId="0" borderId="0" xfId="0" applyFont="1" applyBorder="1"/>
    <xf numFmtId="0" fontId="16" fillId="0" borderId="8" xfId="0" applyFont="1" applyBorder="1"/>
    <xf numFmtId="0" fontId="16" fillId="0" borderId="4" xfId="0" applyFont="1" applyBorder="1" applyAlignment="1">
      <alignment horizontal="center"/>
    </xf>
    <xf numFmtId="0" fontId="17" fillId="0" borderId="0" xfId="0" applyFont="1" applyAlignment="1">
      <alignment horizontal="right"/>
    </xf>
    <xf numFmtId="0" fontId="20" fillId="0" borderId="0" xfId="0" applyFont="1" applyFill="1" applyProtection="1"/>
    <xf numFmtId="4" fontId="20" fillId="0" borderId="0" xfId="0" applyNumberFormat="1" applyFont="1" applyFill="1" applyProtection="1"/>
    <xf numFmtId="0" fontId="16" fillId="0" borderId="0" xfId="0" applyFont="1" applyFill="1"/>
    <xf numFmtId="0" fontId="17" fillId="0" borderId="0" xfId="0" applyFont="1" applyFill="1"/>
    <xf numFmtId="0" fontId="0" fillId="0" borderId="0" xfId="0" applyFill="1"/>
    <xf numFmtId="0" fontId="21" fillId="0" borderId="0" xfId="0" applyFont="1" applyFill="1" applyAlignment="1" applyProtection="1">
      <alignment horizontal="left"/>
    </xf>
    <xf numFmtId="0" fontId="0" fillId="0" borderId="1" xfId="0" applyBorder="1"/>
    <xf numFmtId="0" fontId="18" fillId="0" borderId="0" xfId="0" applyFont="1" applyBorder="1" applyAlignment="1">
      <alignment horizontal="right"/>
    </xf>
    <xf numFmtId="0" fontId="0" fillId="0" borderId="0" xfId="0" applyAlignment="1">
      <alignment horizontal="left"/>
    </xf>
    <xf numFmtId="49" fontId="23" fillId="0" borderId="1" xfId="2" applyNumberFormat="1" applyFont="1" applyBorder="1" applyAlignment="1" applyProtection="1">
      <alignment horizontal="left"/>
    </xf>
    <xf numFmtId="0" fontId="16" fillId="0" borderId="0" xfId="0" quotePrefix="1" applyFont="1"/>
    <xf numFmtId="0" fontId="0" fillId="2" borderId="0" xfId="0" applyFill="1"/>
    <xf numFmtId="0" fontId="16" fillId="2" borderId="0" xfId="0" applyFont="1" applyFill="1"/>
    <xf numFmtId="0" fontId="0" fillId="0" borderId="0" xfId="0" applyAlignment="1">
      <alignment horizontal="right"/>
    </xf>
    <xf numFmtId="1" fontId="0" fillId="0" borderId="16" xfId="0" applyNumberFormat="1" applyFill="1" applyBorder="1" applyAlignment="1">
      <alignment horizontal="center"/>
    </xf>
    <xf numFmtId="0" fontId="16" fillId="0" borderId="0" xfId="0" applyFont="1" applyFill="1" applyAlignment="1">
      <alignment horizontal="right"/>
    </xf>
    <xf numFmtId="0" fontId="19" fillId="0" borderId="8" xfId="0" applyFont="1" applyBorder="1"/>
    <xf numFmtId="0" fontId="19" fillId="0" borderId="1" xfId="0" applyFont="1" applyBorder="1"/>
    <xf numFmtId="0" fontId="19" fillId="0" borderId="17" xfId="0" applyFont="1" applyBorder="1"/>
    <xf numFmtId="0" fontId="18" fillId="0" borderId="0" xfId="0" applyFont="1" applyAlignment="1">
      <alignment horizontal="right"/>
    </xf>
    <xf numFmtId="0" fontId="0" fillId="0" borderId="0" xfId="0" applyBorder="1"/>
    <xf numFmtId="49" fontId="16" fillId="0" borderId="0" xfId="0" applyNumberFormat="1" applyFont="1" applyBorder="1" applyAlignment="1">
      <alignment horizontal="left"/>
    </xf>
    <xf numFmtId="49" fontId="23" fillId="0" borderId="8" xfId="2" applyNumberFormat="1" applyFont="1" applyBorder="1" applyAlignment="1" applyProtection="1">
      <alignment horizontal="left"/>
    </xf>
    <xf numFmtId="0" fontId="0" fillId="0" borderId="8" xfId="0" applyBorder="1"/>
    <xf numFmtId="0" fontId="19" fillId="0" borderId="0" xfId="0" applyFont="1" applyBorder="1"/>
    <xf numFmtId="0" fontId="18" fillId="0" borderId="2" xfId="0" applyFont="1" applyBorder="1" applyAlignment="1">
      <alignment horizontal="center"/>
    </xf>
    <xf numFmtId="0" fontId="19" fillId="0" borderId="14" xfId="0" applyFont="1" applyBorder="1" applyAlignment="1">
      <alignment horizontal="center"/>
    </xf>
    <xf numFmtId="0" fontId="19" fillId="0" borderId="7" xfId="0" applyFont="1" applyBorder="1"/>
    <xf numFmtId="0" fontId="19" fillId="0" borderId="15" xfId="0" applyFont="1" applyBorder="1"/>
    <xf numFmtId="0" fontId="16" fillId="0" borderId="0" xfId="0" applyFont="1" applyFill="1" applyProtection="1"/>
    <xf numFmtId="4" fontId="0" fillId="0" borderId="8" xfId="0" applyNumberFormat="1" applyBorder="1" applyAlignment="1">
      <alignment horizontal="right"/>
    </xf>
    <xf numFmtId="4" fontId="0" fillId="0" borderId="1" xfId="0" applyNumberFormat="1" applyBorder="1" applyAlignment="1">
      <alignment horizontal="right"/>
    </xf>
    <xf numFmtId="1" fontId="0" fillId="0" borderId="0" xfId="0" applyNumberFormat="1" applyFill="1" applyBorder="1" applyAlignment="1">
      <alignment horizontal="center"/>
    </xf>
    <xf numFmtId="0" fontId="16" fillId="0" borderId="0" xfId="0" applyFont="1" applyAlignment="1">
      <alignment horizontal="right"/>
    </xf>
    <xf numFmtId="0" fontId="14" fillId="0" borderId="0" xfId="0" applyFont="1" applyBorder="1" applyAlignment="1">
      <alignment horizontal="center"/>
    </xf>
    <xf numFmtId="0" fontId="13" fillId="0" borderId="0" xfId="0" applyFont="1" applyAlignment="1"/>
    <xf numFmtId="0" fontId="14" fillId="0" borderId="0" xfId="0" applyFont="1" applyAlignment="1"/>
    <xf numFmtId="0" fontId="14" fillId="0" borderId="0" xfId="0" applyFont="1" applyBorder="1" applyAlignment="1"/>
    <xf numFmtId="0" fontId="14" fillId="0" borderId="12" xfId="0" applyFont="1" applyBorder="1" applyAlignment="1"/>
    <xf numFmtId="0" fontId="14" fillId="0" borderId="8" xfId="0" applyFont="1" applyBorder="1" applyAlignment="1"/>
    <xf numFmtId="0" fontId="14" fillId="0" borderId="13" xfId="0" applyFont="1" applyBorder="1" applyAlignment="1"/>
    <xf numFmtId="0" fontId="14" fillId="0" borderId="0" xfId="0" applyFont="1" applyFill="1" applyBorder="1" applyAlignment="1"/>
    <xf numFmtId="44" fontId="14" fillId="0" borderId="0" xfId="1" applyFont="1" applyBorder="1" applyAlignment="1"/>
    <xf numFmtId="0" fontId="14" fillId="0" borderId="0" xfId="0" applyFont="1" applyBorder="1" applyAlignment="1">
      <alignment horizontal="left"/>
    </xf>
    <xf numFmtId="0" fontId="14" fillId="0" borderId="0" xfId="0" applyFont="1" applyBorder="1" applyAlignment="1">
      <alignment horizontal="right"/>
    </xf>
    <xf numFmtId="44" fontId="14" fillId="0" borderId="0" xfId="1" applyFont="1" applyBorder="1" applyAlignment="1">
      <alignment horizontal="left"/>
    </xf>
    <xf numFmtId="44" fontId="14" fillId="0" borderId="0" xfId="0" applyNumberFormat="1" applyFont="1" applyFill="1" applyBorder="1" applyAlignment="1">
      <alignment horizontal="left"/>
    </xf>
    <xf numFmtId="44" fontId="14" fillId="0" borderId="0" xfId="1" applyFont="1" applyFill="1" applyBorder="1" applyAlignment="1"/>
    <xf numFmtId="0" fontId="14" fillId="0" borderId="6" xfId="0" applyFont="1" applyBorder="1" applyAlignment="1"/>
    <xf numFmtId="0" fontId="14" fillId="0" borderId="20" xfId="0" applyFont="1" applyBorder="1" applyAlignment="1"/>
    <xf numFmtId="0" fontId="14" fillId="0" borderId="22" xfId="0" applyFont="1" applyBorder="1" applyAlignment="1"/>
    <xf numFmtId="0" fontId="14" fillId="0" borderId="25" xfId="0" applyFont="1" applyBorder="1" applyAlignment="1">
      <alignment horizontal="left"/>
    </xf>
    <xf numFmtId="0" fontId="14" fillId="0" borderId="28" xfId="0" applyFont="1" applyBorder="1" applyAlignment="1"/>
    <xf numFmtId="0" fontId="14" fillId="0" borderId="1" xfId="0" applyFont="1" applyBorder="1" applyAlignment="1"/>
    <xf numFmtId="0" fontId="14" fillId="0" borderId="5" xfId="0" applyFont="1" applyBorder="1" applyAlignment="1"/>
    <xf numFmtId="0" fontId="14" fillId="0" borderId="25" xfId="0" applyFont="1" applyBorder="1" applyAlignment="1"/>
    <xf numFmtId="0" fontId="14" fillId="0" borderId="27" xfId="0" applyFont="1" applyBorder="1" applyAlignment="1"/>
    <xf numFmtId="0" fontId="14" fillId="0" borderId="33" xfId="0" applyFont="1" applyBorder="1" applyAlignment="1"/>
    <xf numFmtId="0" fontId="14" fillId="0" borderId="34" xfId="0" applyFont="1" applyBorder="1" applyAlignment="1"/>
    <xf numFmtId="0" fontId="26" fillId="0" borderId="28" xfId="0" applyFont="1" applyBorder="1" applyAlignment="1"/>
    <xf numFmtId="0" fontId="26" fillId="0" borderId="29" xfId="0" applyFont="1" applyBorder="1" applyAlignment="1"/>
    <xf numFmtId="0" fontId="14" fillId="3" borderId="3" xfId="0" applyFont="1" applyFill="1" applyBorder="1" applyAlignment="1"/>
    <xf numFmtId="0" fontId="14" fillId="3" borderId="6" xfId="0" applyFont="1" applyFill="1" applyBorder="1" applyAlignment="1"/>
    <xf numFmtId="0" fontId="14" fillId="3" borderId="2" xfId="0" applyFont="1" applyFill="1" applyBorder="1" applyAlignment="1"/>
    <xf numFmtId="0" fontId="14" fillId="3" borderId="5" xfId="0" applyFont="1" applyFill="1" applyBorder="1" applyAlignment="1"/>
    <xf numFmtId="0" fontId="14" fillId="3" borderId="35" xfId="0" applyFont="1" applyFill="1" applyBorder="1" applyAlignment="1"/>
    <xf numFmtId="0" fontId="14" fillId="3" borderId="36" xfId="0" applyFont="1" applyFill="1" applyBorder="1" applyAlignment="1"/>
    <xf numFmtId="164" fontId="14" fillId="0" borderId="25" xfId="3" applyNumberFormat="1" applyFont="1" applyBorder="1" applyAlignment="1"/>
    <xf numFmtId="44" fontId="14" fillId="0" borderId="28" xfId="1" applyFont="1" applyFill="1" applyBorder="1" applyAlignment="1"/>
    <xf numFmtId="0" fontId="14" fillId="0" borderId="41" xfId="0" applyFont="1" applyBorder="1" applyAlignment="1"/>
    <xf numFmtId="164" fontId="14" fillId="0" borderId="41" xfId="3" applyNumberFormat="1" applyFont="1" applyBorder="1" applyAlignment="1"/>
    <xf numFmtId="0" fontId="16" fillId="0" borderId="25" xfId="0" applyFont="1" applyBorder="1" applyAlignment="1"/>
    <xf numFmtId="44" fontId="14" fillId="0" borderId="1" xfId="1" applyFont="1" applyFill="1" applyBorder="1" applyAlignment="1"/>
    <xf numFmtId="44" fontId="29" fillId="0" borderId="0" xfId="1" applyNumberFormat="1" applyFont="1" applyFill="1"/>
    <xf numFmtId="44" fontId="18" fillId="0" borderId="0" xfId="1" applyNumberFormat="1" applyFont="1"/>
    <xf numFmtId="10" fontId="18" fillId="0" borderId="0" xfId="0" applyNumberFormat="1" applyFont="1"/>
    <xf numFmtId="44" fontId="29" fillId="0" borderId="0" xfId="1" applyNumberFormat="1" applyFont="1"/>
    <xf numFmtId="44" fontId="18" fillId="5" borderId="0" xfId="1" applyNumberFormat="1" applyFont="1" applyFill="1"/>
    <xf numFmtId="0" fontId="0" fillId="0" borderId="0" xfId="0" applyFont="1" applyFill="1" applyBorder="1" applyAlignment="1"/>
    <xf numFmtId="0" fontId="27" fillId="0" borderId="0" xfId="0" applyFont="1" applyAlignment="1">
      <alignment wrapText="1"/>
    </xf>
    <xf numFmtId="0" fontId="30" fillId="0" borderId="0" xfId="0" applyFont="1" applyAlignment="1"/>
    <xf numFmtId="0" fontId="27" fillId="0" borderId="0" xfId="0" applyFont="1" applyAlignment="1"/>
    <xf numFmtId="0" fontId="16" fillId="0" borderId="0" xfId="0" applyFont="1" applyBorder="1" applyAlignment="1"/>
    <xf numFmtId="0" fontId="16" fillId="0" borderId="25" xfId="0" applyFont="1" applyBorder="1" applyAlignment="1">
      <alignment horizontal="left"/>
    </xf>
    <xf numFmtId="0" fontId="16" fillId="0" borderId="0" xfId="0" applyFont="1" applyBorder="1" applyAlignment="1">
      <alignment horizontal="left"/>
    </xf>
    <xf numFmtId="0" fontId="12" fillId="0" borderId="25" xfId="0" applyFont="1" applyBorder="1" applyAlignment="1"/>
    <xf numFmtId="0" fontId="12" fillId="0" borderId="0" xfId="0" applyFont="1"/>
    <xf numFmtId="4" fontId="0" fillId="0" borderId="0" xfId="0" applyNumberFormat="1"/>
    <xf numFmtId="0" fontId="16" fillId="0" borderId="30" xfId="0" applyFont="1" applyBorder="1" applyAlignment="1"/>
    <xf numFmtId="0" fontId="12" fillId="0" borderId="33" xfId="0" applyFont="1" applyBorder="1" applyAlignment="1"/>
    <xf numFmtId="0" fontId="16" fillId="0" borderId="1" xfId="0" applyFont="1" applyBorder="1" applyAlignment="1">
      <alignment horizontal="left"/>
    </xf>
    <xf numFmtId="0" fontId="12" fillId="0" borderId="34" xfId="0" applyFont="1" applyBorder="1" applyAlignment="1">
      <alignment horizontal="left"/>
    </xf>
    <xf numFmtId="0" fontId="16" fillId="0" borderId="37" xfId="0" applyFont="1" applyBorder="1" applyAlignment="1">
      <alignment horizontal="left"/>
    </xf>
    <xf numFmtId="0" fontId="16" fillId="0" borderId="38" xfId="0" applyFont="1" applyBorder="1" applyAlignment="1">
      <alignment horizontal="left"/>
    </xf>
    <xf numFmtId="0" fontId="16" fillId="0" borderId="39" xfId="0" applyFont="1" applyBorder="1" applyAlignment="1">
      <alignment horizontal="left"/>
    </xf>
    <xf numFmtId="0" fontId="0" fillId="8" borderId="0" xfId="0" applyFill="1" applyAlignment="1">
      <alignment horizontal="center"/>
    </xf>
    <xf numFmtId="0" fontId="0" fillId="8" borderId="28" xfId="0" applyFill="1" applyBorder="1" applyAlignment="1"/>
    <xf numFmtId="0" fontId="0" fillId="8" borderId="0" xfId="0" applyFill="1" applyAlignment="1"/>
    <xf numFmtId="0" fontId="0" fillId="8" borderId="18" xfId="0" applyFill="1" applyBorder="1"/>
    <xf numFmtId="0" fontId="0" fillId="8" borderId="19" xfId="0" applyFill="1" applyBorder="1"/>
    <xf numFmtId="0" fontId="0" fillId="8" borderId="50" xfId="0" applyFill="1" applyBorder="1"/>
    <xf numFmtId="0" fontId="0" fillId="8" borderId="0" xfId="0" applyFill="1" applyBorder="1"/>
    <xf numFmtId="0" fontId="0" fillId="8" borderId="0" xfId="0" applyFill="1"/>
    <xf numFmtId="0" fontId="0" fillId="8" borderId="25" xfId="0" applyFill="1" applyBorder="1"/>
    <xf numFmtId="0" fontId="0" fillId="8" borderId="47" xfId="0" applyFill="1" applyBorder="1"/>
    <xf numFmtId="0" fontId="39" fillId="8" borderId="25" xfId="0" applyFont="1" applyFill="1" applyBorder="1" applyAlignment="1"/>
    <xf numFmtId="0" fontId="24" fillId="8" borderId="0" xfId="0" applyFont="1" applyFill="1" applyBorder="1" applyAlignment="1" applyProtection="1">
      <alignment horizontal="center"/>
      <protection locked="0"/>
    </xf>
    <xf numFmtId="0" fontId="39" fillId="8" borderId="0" xfId="0" applyFont="1" applyFill="1" applyBorder="1"/>
    <xf numFmtId="0" fontId="41" fillId="4" borderId="43" xfId="0" applyFont="1" applyFill="1" applyBorder="1"/>
    <xf numFmtId="44" fontId="42" fillId="9" borderId="17" xfId="6" applyFont="1" applyFill="1" applyBorder="1" applyProtection="1">
      <protection locked="0"/>
    </xf>
    <xf numFmtId="0" fontId="42" fillId="8" borderId="11" xfId="0" applyFont="1" applyFill="1" applyBorder="1"/>
    <xf numFmtId="0" fontId="42" fillId="8" borderId="12" xfId="0" applyFont="1" applyFill="1" applyBorder="1"/>
    <xf numFmtId="0" fontId="42" fillId="8" borderId="0" xfId="0" applyFont="1" applyFill="1" applyBorder="1"/>
    <xf numFmtId="0" fontId="42" fillId="9" borderId="17" xfId="0" applyFont="1" applyFill="1" applyBorder="1" applyAlignment="1" applyProtection="1">
      <alignment horizontal="center"/>
      <protection locked="0"/>
    </xf>
    <xf numFmtId="0" fontId="42" fillId="8" borderId="12" xfId="0" applyFont="1" applyFill="1" applyBorder="1" applyAlignment="1">
      <alignment horizontal="center"/>
    </xf>
    <xf numFmtId="0" fontId="42" fillId="8" borderId="0" xfId="0" applyFont="1" applyFill="1" applyBorder="1" applyAlignment="1">
      <alignment horizontal="center"/>
    </xf>
    <xf numFmtId="44" fontId="42" fillId="9" borderId="17" xfId="6" applyFont="1" applyFill="1" applyBorder="1"/>
    <xf numFmtId="0" fontId="42" fillId="9" borderId="17" xfId="0" applyFont="1" applyFill="1" applyBorder="1" applyAlignment="1">
      <alignment horizontal="center"/>
    </xf>
    <xf numFmtId="0" fontId="42" fillId="8" borderId="47" xfId="0" applyFont="1" applyFill="1" applyBorder="1"/>
    <xf numFmtId="0" fontId="42" fillId="8" borderId="25" xfId="0" applyFont="1" applyFill="1" applyBorder="1"/>
    <xf numFmtId="0" fontId="42" fillId="8" borderId="29" xfId="0" applyFont="1" applyFill="1" applyBorder="1"/>
    <xf numFmtId="0" fontId="42" fillId="8" borderId="6" xfId="0" applyFont="1" applyFill="1" applyBorder="1" applyAlignment="1">
      <alignment horizontal="center"/>
    </xf>
    <xf numFmtId="0" fontId="42" fillId="9" borderId="17" xfId="0" applyFont="1" applyFill="1" applyBorder="1" applyProtection="1">
      <protection locked="0"/>
    </xf>
    <xf numFmtId="0" fontId="42" fillId="8" borderId="22" xfId="0" applyFont="1" applyFill="1" applyBorder="1"/>
    <xf numFmtId="0" fontId="42" fillId="8" borderId="13" xfId="0" applyFont="1" applyFill="1" applyBorder="1" applyAlignment="1">
      <alignment horizontal="center"/>
    </xf>
    <xf numFmtId="0" fontId="0" fillId="8" borderId="25" xfId="0" applyFill="1" applyBorder="1" applyProtection="1">
      <protection locked="0"/>
    </xf>
    <xf numFmtId="0" fontId="42" fillId="8" borderId="23" xfId="0" applyFont="1" applyFill="1" applyBorder="1"/>
    <xf numFmtId="0" fontId="43" fillId="8" borderId="0" xfId="0" applyFont="1" applyFill="1" applyBorder="1" applyProtection="1">
      <protection locked="0"/>
    </xf>
    <xf numFmtId="0" fontId="42" fillId="8" borderId="6" xfId="0" applyFont="1" applyFill="1" applyBorder="1"/>
    <xf numFmtId="0" fontId="42" fillId="8" borderId="13" xfId="0" applyFont="1" applyFill="1" applyBorder="1"/>
    <xf numFmtId="44" fontId="42" fillId="9" borderId="17" xfId="0" applyNumberFormat="1" applyFont="1" applyFill="1" applyBorder="1" applyProtection="1"/>
    <xf numFmtId="0" fontId="41" fillId="8" borderId="26" xfId="0" applyFont="1" applyFill="1" applyBorder="1"/>
    <xf numFmtId="0" fontId="41" fillId="8" borderId="5" xfId="0" applyFont="1" applyFill="1" applyBorder="1"/>
    <xf numFmtId="44" fontId="42" fillId="9" borderId="17" xfId="6" applyNumberFormat="1" applyFont="1" applyFill="1" applyBorder="1"/>
    <xf numFmtId="44" fontId="43" fillId="8" borderId="0" xfId="6" applyFont="1" applyFill="1" applyBorder="1"/>
    <xf numFmtId="0" fontId="41" fillId="4" borderId="17" xfId="0" applyFont="1" applyFill="1" applyBorder="1"/>
    <xf numFmtId="0" fontId="42" fillId="10" borderId="4" xfId="0" applyFont="1" applyFill="1" applyBorder="1" applyAlignment="1">
      <alignment horizontal="center"/>
    </xf>
    <xf numFmtId="0" fontId="42" fillId="0" borderId="0" xfId="0" applyFont="1" applyFill="1" applyBorder="1" applyAlignment="1">
      <alignment horizontal="center"/>
    </xf>
    <xf numFmtId="0" fontId="42" fillId="8" borderId="11" xfId="0" applyFont="1" applyFill="1" applyBorder="1" applyAlignment="1"/>
    <xf numFmtId="0" fontId="42" fillId="8" borderId="11" xfId="0" applyFont="1" applyFill="1" applyBorder="1" applyAlignment="1">
      <alignment horizontal="left"/>
    </xf>
    <xf numFmtId="0" fontId="42" fillId="8" borderId="0" xfId="0" applyFont="1" applyFill="1" applyBorder="1" applyAlignment="1"/>
    <xf numFmtId="0" fontId="42" fillId="8" borderId="0" xfId="0" applyFont="1" applyFill="1" applyBorder="1" applyAlignment="1">
      <alignment horizontal="left"/>
    </xf>
    <xf numFmtId="0" fontId="42" fillId="8" borderId="8" xfId="0" applyFont="1" applyFill="1" applyBorder="1"/>
    <xf numFmtId="0" fontId="42" fillId="8" borderId="8" xfId="0" applyFont="1" applyFill="1" applyBorder="1" applyAlignment="1"/>
    <xf numFmtId="0" fontId="42" fillId="8" borderId="8" xfId="0" applyFont="1" applyFill="1" applyBorder="1" applyAlignment="1">
      <alignment horizontal="left"/>
    </xf>
    <xf numFmtId="0" fontId="42" fillId="8" borderId="24" xfId="0" applyFont="1" applyFill="1" applyBorder="1"/>
    <xf numFmtId="0" fontId="42" fillId="8" borderId="48" xfId="0" applyFont="1" applyFill="1" applyBorder="1"/>
    <xf numFmtId="0" fontId="0" fillId="8" borderId="25" xfId="0" applyFill="1" applyBorder="1" applyAlignment="1">
      <alignment horizontal="left"/>
    </xf>
    <xf numFmtId="0" fontId="0" fillId="8" borderId="0" xfId="0" applyFill="1" applyAlignment="1">
      <alignment horizontal="left"/>
    </xf>
    <xf numFmtId="0" fontId="42" fillId="8" borderId="55" xfId="0" applyFont="1" applyFill="1" applyBorder="1" applyAlignment="1">
      <alignment horizontal="center"/>
    </xf>
    <xf numFmtId="0" fontId="42" fillId="8" borderId="56" xfId="0" applyFont="1" applyFill="1" applyBorder="1" applyAlignment="1">
      <alignment horizontal="center"/>
    </xf>
    <xf numFmtId="0" fontId="42" fillId="8" borderId="57" xfId="0" applyFont="1" applyFill="1" applyBorder="1" applyAlignment="1">
      <alignment horizontal="center"/>
    </xf>
    <xf numFmtId="0" fontId="42" fillId="8" borderId="5" xfId="0" applyFont="1" applyFill="1" applyBorder="1"/>
    <xf numFmtId="44" fontId="42" fillId="9" borderId="17" xfId="6" applyFont="1" applyFill="1" applyBorder="1" applyProtection="1"/>
    <xf numFmtId="0" fontId="42" fillId="8" borderId="47" xfId="0" applyFont="1" applyFill="1" applyBorder="1" applyAlignment="1">
      <alignment horizontal="left"/>
    </xf>
    <xf numFmtId="0" fontId="0" fillId="8" borderId="0" xfId="0" applyFill="1" applyBorder="1" applyAlignment="1">
      <alignment horizontal="left"/>
    </xf>
    <xf numFmtId="0" fontId="12" fillId="8" borderId="25" xfId="0" applyFont="1" applyFill="1" applyBorder="1"/>
    <xf numFmtId="0" fontId="0" fillId="9" borderId="17" xfId="0" applyFill="1" applyBorder="1" applyAlignment="1" applyProtection="1">
      <alignment horizontal="center"/>
      <protection locked="0"/>
    </xf>
    <xf numFmtId="0" fontId="0" fillId="8" borderId="11" xfId="0" applyFill="1" applyBorder="1" applyAlignment="1">
      <alignment horizontal="center"/>
    </xf>
    <xf numFmtId="44" fontId="0" fillId="9" borderId="17" xfId="6" applyFont="1" applyFill="1" applyBorder="1"/>
    <xf numFmtId="0" fontId="0" fillId="8" borderId="12" xfId="0" applyFill="1" applyBorder="1" applyAlignment="1">
      <alignment horizontal="right"/>
    </xf>
    <xf numFmtId="0" fontId="0" fillId="8" borderId="0" xfId="0" applyFill="1" applyBorder="1" applyAlignment="1">
      <alignment horizontal="center"/>
    </xf>
    <xf numFmtId="0" fontId="0" fillId="8" borderId="6" xfId="0" applyFill="1" applyBorder="1" applyAlignment="1">
      <alignment horizontal="right"/>
    </xf>
    <xf numFmtId="0" fontId="0" fillId="8" borderId="8" xfId="0" applyFill="1" applyBorder="1" applyAlignment="1">
      <alignment horizontal="center"/>
    </xf>
    <xf numFmtId="0" fontId="0" fillId="8" borderId="13" xfId="0" applyFill="1" applyBorder="1" applyAlignment="1">
      <alignment horizontal="right"/>
    </xf>
    <xf numFmtId="0" fontId="42" fillId="8" borderId="55" xfId="0" applyFont="1" applyFill="1" applyBorder="1"/>
    <xf numFmtId="0" fontId="42" fillId="8" borderId="9" xfId="0" applyFont="1" applyFill="1" applyBorder="1" applyAlignment="1">
      <alignment horizontal="left"/>
    </xf>
    <xf numFmtId="0" fontId="42" fillId="8" borderId="12" xfId="0" applyFont="1" applyFill="1" applyBorder="1" applyAlignment="1">
      <alignment horizontal="left"/>
    </xf>
    <xf numFmtId="0" fontId="42" fillId="8" borderId="56" xfId="0" applyFont="1" applyFill="1" applyBorder="1"/>
    <xf numFmtId="0" fontId="42" fillId="8" borderId="3" xfId="0" applyFont="1" applyFill="1" applyBorder="1" applyAlignment="1">
      <alignment horizontal="left"/>
    </xf>
    <xf numFmtId="0" fontId="42" fillId="8" borderId="6" xfId="0" applyFont="1" applyFill="1" applyBorder="1" applyAlignment="1">
      <alignment horizontal="left"/>
    </xf>
    <xf numFmtId="0" fontId="42" fillId="8" borderId="57" xfId="0" applyFont="1" applyFill="1" applyBorder="1"/>
    <xf numFmtId="0" fontId="42" fillId="8" borderId="10" xfId="0" applyFont="1" applyFill="1" applyBorder="1" applyAlignment="1">
      <alignment horizontal="left"/>
    </xf>
    <xf numFmtId="44" fontId="42" fillId="8" borderId="0" xfId="6" applyFont="1" applyFill="1" applyBorder="1"/>
    <xf numFmtId="44" fontId="42" fillId="9" borderId="17" xfId="0" applyNumberFormat="1" applyFont="1" applyFill="1" applyBorder="1" applyProtection="1">
      <protection locked="0"/>
    </xf>
    <xf numFmtId="0" fontId="42" fillId="10" borderId="2" xfId="0" applyFont="1" applyFill="1" applyBorder="1"/>
    <xf numFmtId="0" fontId="42" fillId="9" borderId="43" xfId="0" applyFont="1" applyFill="1" applyBorder="1" applyAlignment="1" applyProtection="1">
      <alignment horizontal="center"/>
      <protection locked="0"/>
    </xf>
    <xf numFmtId="44" fontId="42" fillId="9" borderId="45" xfId="6" applyFont="1" applyFill="1" applyBorder="1"/>
    <xf numFmtId="0" fontId="41" fillId="4" borderId="17" xfId="0" applyFont="1" applyFill="1" applyBorder="1" applyAlignment="1"/>
    <xf numFmtId="0" fontId="43" fillId="8" borderId="47" xfId="0" applyFont="1" applyFill="1" applyBorder="1" applyProtection="1">
      <protection locked="0"/>
    </xf>
    <xf numFmtId="0" fontId="42" fillId="8" borderId="6" xfId="0" applyFont="1" applyFill="1" applyBorder="1" applyAlignment="1">
      <alignment horizontal="right"/>
    </xf>
    <xf numFmtId="0" fontId="42" fillId="8" borderId="0" xfId="0" applyFont="1" applyFill="1" applyBorder="1" applyAlignment="1">
      <alignment horizontal="right"/>
    </xf>
    <xf numFmtId="0" fontId="0" fillId="8" borderId="8" xfId="0" applyFill="1" applyBorder="1"/>
    <xf numFmtId="0" fontId="42" fillId="8" borderId="13" xfId="0" applyFont="1" applyFill="1" applyBorder="1" applyAlignment="1">
      <alignment horizontal="right"/>
    </xf>
    <xf numFmtId="0" fontId="41" fillId="4" borderId="17" xfId="0" applyFont="1" applyFill="1" applyBorder="1" applyAlignment="1">
      <alignment horizontal="left"/>
    </xf>
    <xf numFmtId="0" fontId="42" fillId="8" borderId="23" xfId="0" applyFont="1" applyFill="1" applyBorder="1" applyAlignment="1" applyProtection="1">
      <protection locked="0"/>
    </xf>
    <xf numFmtId="0" fontId="42" fillId="8" borderId="22" xfId="0" applyFont="1" applyFill="1" applyBorder="1" applyAlignment="1" applyProtection="1">
      <protection locked="0"/>
    </xf>
    <xf numFmtId="44" fontId="43" fillId="8" borderId="47" xfId="6" applyFont="1" applyFill="1" applyBorder="1"/>
    <xf numFmtId="0" fontId="41" fillId="8" borderId="25" xfId="0" applyFont="1" applyFill="1" applyBorder="1" applyAlignment="1">
      <alignment horizontal="left"/>
    </xf>
    <xf numFmtId="0" fontId="41" fillId="8" borderId="0" xfId="0" applyFont="1" applyFill="1" applyBorder="1" applyAlignment="1">
      <alignment horizontal="left"/>
    </xf>
    <xf numFmtId="44" fontId="42" fillId="8" borderId="0" xfId="6" applyFont="1" applyFill="1" applyBorder="1" applyProtection="1"/>
    <xf numFmtId="0" fontId="16" fillId="8" borderId="0" xfId="0" applyFont="1" applyFill="1" applyAlignment="1">
      <alignment horizontal="center"/>
    </xf>
    <xf numFmtId="0" fontId="46" fillId="8" borderId="0" xfId="0" applyFont="1" applyFill="1" applyBorder="1" applyAlignment="1" applyProtection="1"/>
    <xf numFmtId="0" fontId="46" fillId="8" borderId="0" xfId="0" applyFont="1" applyFill="1" applyBorder="1" applyProtection="1"/>
    <xf numFmtId="0" fontId="41" fillId="8" borderId="0" xfId="0" applyFont="1" applyFill="1" applyBorder="1" applyAlignment="1">
      <alignment horizontal="right"/>
    </xf>
    <xf numFmtId="0" fontId="41" fillId="8" borderId="0" xfId="0" applyFont="1" applyFill="1" applyBorder="1"/>
    <xf numFmtId="0" fontId="41" fillId="8" borderId="47" xfId="0" applyFont="1" applyFill="1" applyBorder="1"/>
    <xf numFmtId="0" fontId="16" fillId="8" borderId="0" xfId="0" applyFont="1" applyFill="1"/>
    <xf numFmtId="0" fontId="0" fillId="8" borderId="27" xfId="0" applyFill="1" applyBorder="1"/>
    <xf numFmtId="0" fontId="42" fillId="8" borderId="28" xfId="0" applyFont="1" applyFill="1" applyBorder="1"/>
    <xf numFmtId="0" fontId="42" fillId="8" borderId="32" xfId="0" applyFont="1" applyFill="1" applyBorder="1"/>
    <xf numFmtId="0" fontId="47" fillId="8" borderId="0" xfId="0" applyFont="1" applyFill="1"/>
    <xf numFmtId="0" fontId="42" fillId="9" borderId="43" xfId="0" applyFont="1" applyFill="1" applyBorder="1" applyAlignment="1" applyProtection="1">
      <alignment horizontal="center"/>
      <protection locked="0"/>
    </xf>
    <xf numFmtId="0" fontId="42" fillId="8" borderId="12" xfId="0" applyFont="1" applyFill="1" applyBorder="1" applyAlignment="1">
      <alignment horizontal="center"/>
    </xf>
    <xf numFmtId="0" fontId="42" fillId="8" borderId="13" xfId="0" applyFont="1" applyFill="1" applyBorder="1" applyAlignment="1">
      <alignment horizontal="center"/>
    </xf>
    <xf numFmtId="0" fontId="42" fillId="8" borderId="0" xfId="0" applyFont="1" applyFill="1" applyBorder="1" applyAlignment="1">
      <alignment horizontal="center"/>
    </xf>
    <xf numFmtId="0" fontId="42" fillId="8" borderId="0" xfId="0" applyFont="1" applyFill="1" applyBorder="1" applyAlignment="1">
      <alignment horizontal="left"/>
    </xf>
    <xf numFmtId="0" fontId="42" fillId="8" borderId="6" xfId="0" applyFont="1" applyFill="1" applyBorder="1" applyAlignment="1">
      <alignment horizontal="left"/>
    </xf>
    <xf numFmtId="0" fontId="42" fillId="8" borderId="8" xfId="0" applyFont="1" applyFill="1" applyBorder="1" applyAlignment="1">
      <alignment horizontal="left"/>
    </xf>
    <xf numFmtId="0" fontId="42" fillId="8" borderId="12" xfId="0" applyFont="1" applyFill="1" applyBorder="1" applyAlignment="1">
      <alignment horizontal="left"/>
    </xf>
    <xf numFmtId="0" fontId="42" fillId="8" borderId="47" xfId="0" applyFont="1" applyFill="1" applyBorder="1" applyAlignment="1">
      <alignment horizontal="left"/>
    </xf>
    <xf numFmtId="0" fontId="14" fillId="0" borderId="18" xfId="0" applyFont="1" applyBorder="1" applyAlignment="1" applyProtection="1"/>
    <xf numFmtId="0" fontId="14" fillId="0" borderId="19" xfId="0" applyFont="1" applyBorder="1" applyAlignment="1" applyProtection="1"/>
    <xf numFmtId="49" fontId="14" fillId="0" borderId="19" xfId="0" applyNumberFormat="1" applyFont="1" applyBorder="1" applyAlignment="1" applyProtection="1">
      <alignment horizontal="left"/>
    </xf>
    <xf numFmtId="0" fontId="14" fillId="0" borderId="21" xfId="0" applyFont="1" applyBorder="1" applyAlignment="1" applyProtection="1"/>
    <xf numFmtId="0" fontId="14" fillId="0" borderId="22" xfId="0" applyFont="1" applyBorder="1" applyAlignment="1" applyProtection="1"/>
    <xf numFmtId="0" fontId="14" fillId="0" borderId="8" xfId="0" applyFont="1" applyBorder="1" applyAlignment="1" applyProtection="1"/>
    <xf numFmtId="0" fontId="14" fillId="0" borderId="10" xfId="0" applyFont="1" applyBorder="1" applyAlignment="1" applyProtection="1"/>
    <xf numFmtId="0" fontId="14" fillId="0" borderId="23" xfId="0" applyFont="1" applyBorder="1" applyAlignment="1" applyProtection="1"/>
    <xf numFmtId="0" fontId="14" fillId="0" borderId="11" xfId="0" applyFont="1" applyBorder="1" applyAlignment="1" applyProtection="1"/>
    <xf numFmtId="0" fontId="14" fillId="0" borderId="11" xfId="0" applyFont="1" applyFill="1" applyBorder="1" applyAlignment="1" applyProtection="1"/>
    <xf numFmtId="0" fontId="14" fillId="0" borderId="12" xfId="0" applyFont="1" applyBorder="1" applyAlignment="1" applyProtection="1"/>
    <xf numFmtId="0" fontId="14" fillId="0" borderId="9" xfId="0" applyFont="1" applyBorder="1" applyAlignment="1" applyProtection="1"/>
    <xf numFmtId="0" fontId="14" fillId="0" borderId="11" xfId="0" applyFont="1" applyBorder="1" applyAlignment="1" applyProtection="1">
      <alignment horizontal="center"/>
    </xf>
    <xf numFmtId="0" fontId="14" fillId="0" borderId="24" xfId="0" applyFont="1" applyBorder="1" applyAlignment="1" applyProtection="1"/>
    <xf numFmtId="0" fontId="14" fillId="0" borderId="0" xfId="0" applyFont="1" applyBorder="1" applyAlignment="1" applyProtection="1"/>
    <xf numFmtId="0" fontId="14" fillId="0" borderId="6" xfId="0" applyFont="1" applyBorder="1" applyAlignment="1" applyProtection="1"/>
    <xf numFmtId="0" fontId="14" fillId="0" borderId="3" xfId="0" applyFont="1" applyBorder="1" applyAlignment="1" applyProtection="1"/>
    <xf numFmtId="0" fontId="12" fillId="0" borderId="10" xfId="0" applyFont="1" applyBorder="1" applyAlignment="1" applyProtection="1"/>
    <xf numFmtId="0" fontId="14" fillId="0" borderId="9" xfId="0" applyFont="1" applyBorder="1" applyAlignment="1" applyProtection="1">
      <alignment horizontal="left"/>
    </xf>
    <xf numFmtId="0" fontId="14" fillId="0" borderId="11" xfId="0" applyFont="1" applyBorder="1" applyAlignment="1" applyProtection="1">
      <alignment horizontal="left"/>
    </xf>
    <xf numFmtId="0" fontId="24" fillId="0" borderId="11" xfId="0" applyFont="1" applyFill="1" applyBorder="1" applyAlignment="1" applyProtection="1">
      <alignment horizontal="center"/>
    </xf>
    <xf numFmtId="9" fontId="14" fillId="0" borderId="11" xfId="3" applyFont="1" applyBorder="1" applyAlignment="1" applyProtection="1">
      <alignment horizontal="center"/>
    </xf>
    <xf numFmtId="0" fontId="14" fillId="0" borderId="0" xfId="0" applyFont="1" applyFill="1" applyBorder="1" applyAlignment="1" applyProtection="1"/>
    <xf numFmtId="0" fontId="12" fillId="0" borderId="0" xfId="0" applyFont="1" applyBorder="1" applyAlignment="1" applyProtection="1"/>
    <xf numFmtId="0" fontId="14" fillId="0" borderId="31" xfId="0" applyFont="1" applyBorder="1" applyAlignment="1" applyProtection="1"/>
    <xf numFmtId="0" fontId="16" fillId="0" borderId="4" xfId="0" applyFont="1" applyBorder="1" applyAlignment="1" applyProtection="1">
      <protection locked="0"/>
    </xf>
    <xf numFmtId="0" fontId="14" fillId="0" borderId="0" xfId="0" applyFont="1" applyBorder="1" applyAlignment="1" applyProtection="1">
      <protection hidden="1"/>
    </xf>
    <xf numFmtId="0" fontId="12" fillId="0" borderId="0" xfId="0" applyFont="1" applyBorder="1" applyAlignment="1" applyProtection="1">
      <protection locked="0"/>
    </xf>
    <xf numFmtId="0" fontId="14" fillId="0" borderId="0" xfId="0" applyFont="1" applyBorder="1" applyAlignment="1" applyProtection="1">
      <protection locked="0"/>
    </xf>
    <xf numFmtId="0" fontId="14" fillId="0" borderId="28" xfId="0" applyFont="1" applyBorder="1" applyAlignment="1" applyProtection="1">
      <protection locked="0"/>
    </xf>
    <xf numFmtId="0" fontId="12" fillId="0" borderId="40" xfId="0" applyFont="1" applyBorder="1" applyAlignment="1" applyProtection="1">
      <protection locked="0"/>
    </xf>
    <xf numFmtId="0" fontId="12" fillId="0" borderId="41" xfId="0" applyFont="1" applyBorder="1" applyAlignment="1" applyProtection="1">
      <protection locked="0"/>
    </xf>
    <xf numFmtId="0" fontId="16" fillId="0" borderId="1" xfId="0" applyFont="1" applyBorder="1" applyAlignment="1" applyProtection="1">
      <protection locked="0"/>
    </xf>
    <xf numFmtId="0" fontId="14" fillId="0" borderId="0" xfId="0" applyFont="1" applyFill="1" applyBorder="1" applyAlignment="1" applyProtection="1">
      <protection locked="0"/>
    </xf>
    <xf numFmtId="10" fontId="16" fillId="0" borderId="1" xfId="0" applyNumberFormat="1" applyFont="1" applyBorder="1" applyAlignment="1" applyProtection="1">
      <protection locked="0"/>
    </xf>
    <xf numFmtId="0" fontId="14" fillId="0" borderId="32" xfId="0" applyFont="1" applyBorder="1" applyAlignment="1" applyProtection="1">
      <protection locked="0"/>
    </xf>
    <xf numFmtId="44" fontId="18" fillId="5" borderId="4" xfId="1" applyNumberFormat="1" applyFont="1" applyFill="1" applyBorder="1" applyAlignment="1" applyProtection="1">
      <alignment horizontal="center"/>
      <protection hidden="1"/>
    </xf>
    <xf numFmtId="44" fontId="18" fillId="5" borderId="4" xfId="1" applyFont="1" applyFill="1" applyBorder="1" applyAlignment="1" applyProtection="1">
      <alignment horizontal="center"/>
      <protection hidden="1"/>
    </xf>
    <xf numFmtId="0" fontId="18" fillId="0" borderId="2" xfId="0" applyFont="1" applyBorder="1" applyProtection="1">
      <protection locked="0"/>
    </xf>
    <xf numFmtId="0" fontId="18" fillId="0" borderId="1" xfId="0" applyFont="1" applyBorder="1" applyAlignment="1" applyProtection="1">
      <alignment horizontal="center"/>
      <protection locked="0"/>
    </xf>
    <xf numFmtId="0" fontId="16" fillId="0" borderId="0" xfId="0" applyFont="1" applyProtection="1">
      <protection locked="0"/>
    </xf>
    <xf numFmtId="0" fontId="16" fillId="0" borderId="0" xfId="0" applyFont="1" applyAlignment="1" applyProtection="1">
      <alignment horizontal="center"/>
      <protection locked="0"/>
    </xf>
    <xf numFmtId="0" fontId="18" fillId="0" borderId="0" xfId="0" applyFont="1" applyProtection="1">
      <protection locked="0"/>
    </xf>
    <xf numFmtId="0" fontId="18" fillId="0" borderId="0" xfId="0" applyFont="1" applyAlignment="1" applyProtection="1">
      <alignment horizontal="center"/>
      <protection locked="0"/>
    </xf>
    <xf numFmtId="14" fontId="18" fillId="0" borderId="0" xfId="0" applyNumberFormat="1" applyFont="1" applyAlignment="1" applyProtection="1">
      <alignment horizontal="center"/>
      <protection hidden="1"/>
    </xf>
    <xf numFmtId="0" fontId="16" fillId="0" borderId="5" xfId="0" applyFont="1" applyBorder="1" applyAlignment="1" applyProtection="1">
      <alignment horizontal="center"/>
      <protection hidden="1"/>
    </xf>
    <xf numFmtId="4" fontId="0" fillId="0" borderId="4" xfId="0" applyNumberFormat="1" applyBorder="1" applyAlignment="1" applyProtection="1">
      <alignment horizontal="right"/>
      <protection locked="0"/>
    </xf>
    <xf numFmtId="0" fontId="0" fillId="2" borderId="0" xfId="0" applyFill="1" applyProtection="1">
      <protection locked="0"/>
    </xf>
    <xf numFmtId="1" fontId="0" fillId="0" borderId="4" xfId="0" applyNumberFormat="1" applyBorder="1" applyAlignment="1" applyProtection="1">
      <alignment horizontal="center"/>
      <protection locked="0"/>
    </xf>
    <xf numFmtId="4" fontId="16" fillId="0" borderId="0" xfId="0" applyNumberFormat="1" applyFont="1" applyFill="1" applyAlignment="1" applyProtection="1">
      <alignment horizontal="left"/>
      <protection locked="0"/>
    </xf>
    <xf numFmtId="0" fontId="14" fillId="0" borderId="0" xfId="0" applyFont="1" applyProtection="1">
      <protection locked="0"/>
    </xf>
    <xf numFmtId="0" fontId="0" fillId="0" borderId="0" xfId="0" applyProtection="1">
      <protection locked="0"/>
    </xf>
    <xf numFmtId="4" fontId="0" fillId="0" borderId="8" xfId="0" applyNumberFormat="1" applyBorder="1" applyProtection="1">
      <protection locked="0"/>
    </xf>
    <xf numFmtId="4" fontId="0" fillId="0" borderId="1" xfId="0" applyNumberFormat="1" applyBorder="1" applyProtection="1">
      <protection locked="0"/>
    </xf>
    <xf numFmtId="0" fontId="14" fillId="0" borderId="25" xfId="0" applyFont="1" applyBorder="1" applyAlignment="1" applyProtection="1">
      <protection locked="0"/>
    </xf>
    <xf numFmtId="0" fontId="14" fillId="0" borderId="0" xfId="0" applyFont="1" applyBorder="1" applyAlignment="1" applyProtection="1">
      <protection locked="0"/>
    </xf>
    <xf numFmtId="0" fontId="49" fillId="0" borderId="0" xfId="0" applyFont="1" applyProtection="1">
      <protection hidden="1"/>
    </xf>
    <xf numFmtId="44" fontId="19" fillId="0" borderId="0" xfId="0" applyNumberFormat="1" applyFont="1"/>
    <xf numFmtId="0" fontId="14" fillId="0" borderId="13" xfId="0" applyFont="1" applyBorder="1" applyAlignment="1" applyProtection="1">
      <protection locked="0"/>
    </xf>
    <xf numFmtId="0" fontId="10" fillId="0" borderId="0" xfId="7" applyFont="1" applyFill="1" applyBorder="1"/>
    <xf numFmtId="0" fontId="10" fillId="0" borderId="3" xfId="7" applyBorder="1"/>
    <xf numFmtId="0" fontId="10" fillId="0" borderId="7" xfId="7" applyBorder="1"/>
    <xf numFmtId="0" fontId="10" fillId="0" borderId="7" xfId="7" applyBorder="1" applyAlignment="1">
      <alignment horizontal="center" vertical="center"/>
    </xf>
    <xf numFmtId="0" fontId="10" fillId="0" borderId="6" xfId="7" applyBorder="1"/>
    <xf numFmtId="0" fontId="10" fillId="0" borderId="0" xfId="7" applyBorder="1"/>
    <xf numFmtId="0" fontId="10" fillId="0" borderId="0" xfId="7" applyBorder="1" applyAlignment="1">
      <alignment horizontal="center" vertical="center"/>
    </xf>
    <xf numFmtId="0" fontId="34" fillId="0" borderId="0" xfId="7" applyFont="1" applyBorder="1" applyAlignment="1">
      <alignment horizontal="center"/>
    </xf>
    <xf numFmtId="0" fontId="10" fillId="0" borderId="0" xfId="7" applyBorder="1" applyAlignment="1">
      <alignment horizontal="center"/>
    </xf>
    <xf numFmtId="0" fontId="10" fillId="0" borderId="0" xfId="7" applyFont="1" applyBorder="1" applyAlignment="1">
      <alignment horizontal="left"/>
    </xf>
    <xf numFmtId="165" fontId="10" fillId="11" borderId="44" xfId="7" applyNumberFormat="1" applyFill="1" applyBorder="1" applyAlignment="1">
      <alignment horizontal="center"/>
    </xf>
    <xf numFmtId="165" fontId="10" fillId="11" borderId="44" xfId="7" applyNumberFormat="1" applyFill="1" applyBorder="1" applyAlignment="1">
      <alignment horizontal="center" vertical="center"/>
    </xf>
    <xf numFmtId="0" fontId="34" fillId="11" borderId="43" xfId="7" applyFont="1" applyFill="1" applyBorder="1" applyAlignment="1">
      <alignment horizontal="center"/>
    </xf>
    <xf numFmtId="165" fontId="10" fillId="0" borderId="0" xfId="7" applyNumberFormat="1" applyBorder="1" applyAlignment="1">
      <alignment horizontal="center" vertical="center"/>
    </xf>
    <xf numFmtId="0" fontId="34" fillId="0" borderId="0" xfId="7" applyFont="1" applyBorder="1" applyAlignment="1">
      <alignment horizontal="center" vertical="center"/>
    </xf>
    <xf numFmtId="0" fontId="36" fillId="0" borderId="15" xfId="7" applyFont="1" applyBorder="1" applyAlignment="1">
      <alignment horizontal="center" vertical="center"/>
    </xf>
    <xf numFmtId="0" fontId="34" fillId="0" borderId="15" xfId="7" applyFont="1" applyBorder="1" applyAlignment="1">
      <alignment horizontal="center" vertical="center"/>
    </xf>
    <xf numFmtId="0" fontId="36" fillId="0" borderId="13" xfId="7" applyFont="1" applyBorder="1" applyAlignment="1">
      <alignment horizontal="center" vertical="center"/>
    </xf>
    <xf numFmtId="0" fontId="34" fillId="0" borderId="13" xfId="7" applyFont="1" applyBorder="1" applyAlignment="1">
      <alignment horizontal="center" vertical="center"/>
    </xf>
    <xf numFmtId="0" fontId="34" fillId="0" borderId="10" xfId="7" applyFont="1" applyBorder="1" applyAlignment="1">
      <alignment horizontal="center" vertical="center"/>
    </xf>
    <xf numFmtId="0" fontId="34" fillId="0" borderId="7" xfId="7" applyFont="1" applyBorder="1" applyAlignment="1">
      <alignment horizontal="center" vertical="center"/>
    </xf>
    <xf numFmtId="0" fontId="34" fillId="0" borderId="6" xfId="7" applyFont="1" applyBorder="1" applyAlignment="1">
      <alignment horizontal="center" vertical="center"/>
    </xf>
    <xf numFmtId="0" fontId="34" fillId="0" borderId="14" xfId="7" applyFont="1" applyBorder="1" applyAlignment="1">
      <alignment horizontal="center" vertical="center"/>
    </xf>
    <xf numFmtId="0" fontId="34" fillId="0" borderId="9" xfId="7" applyFont="1" applyBorder="1" applyAlignment="1">
      <alignment horizontal="center" vertical="center"/>
    </xf>
    <xf numFmtId="0" fontId="10" fillId="5" borderId="4" xfId="7" applyFill="1" applyBorder="1"/>
    <xf numFmtId="0" fontId="10" fillId="5" borderId="1" xfId="7" applyFill="1" applyBorder="1" applyAlignment="1">
      <alignment horizontal="center" vertical="center"/>
    </xf>
    <xf numFmtId="0" fontId="10" fillId="5" borderId="4" xfId="7" applyFill="1" applyBorder="1" applyAlignment="1">
      <alignment horizontal="center" vertical="center"/>
    </xf>
    <xf numFmtId="0" fontId="10" fillId="5" borderId="5" xfId="7" applyFill="1" applyBorder="1" applyAlignment="1">
      <alignment horizontal="center" vertical="center"/>
    </xf>
    <xf numFmtId="0" fontId="10" fillId="5" borderId="1" xfId="7" applyFill="1" applyBorder="1"/>
    <xf numFmtId="0" fontId="10" fillId="5" borderId="9" xfId="7" applyFill="1" applyBorder="1" applyAlignment="1">
      <alignment horizontal="center" vertical="center"/>
    </xf>
    <xf numFmtId="0" fontId="10" fillId="0" borderId="8" xfId="7" applyBorder="1" applyAlignment="1">
      <alignment horizontal="center" vertical="center"/>
    </xf>
    <xf numFmtId="0" fontId="35" fillId="0" borderId="0" xfId="7" applyFont="1" applyBorder="1" applyAlignment="1">
      <alignment horizontal="center" vertical="center"/>
    </xf>
    <xf numFmtId="0" fontId="10" fillId="0" borderId="45" xfId="7" applyBorder="1"/>
    <xf numFmtId="0" fontId="35" fillId="0" borderId="44" xfId="7" applyFont="1" applyBorder="1" applyAlignment="1">
      <alignment horizontal="center"/>
    </xf>
    <xf numFmtId="0" fontId="10" fillId="0" borderId="43" xfId="7" applyBorder="1" applyAlignment="1">
      <alignment horizontal="center" vertical="center"/>
    </xf>
    <xf numFmtId="164" fontId="0" fillId="0" borderId="0" xfId="0" applyNumberFormat="1" applyAlignment="1">
      <alignment horizontal="right"/>
    </xf>
    <xf numFmtId="164" fontId="12" fillId="0" borderId="0" xfId="0" quotePrefix="1" applyNumberFormat="1" applyFont="1" applyAlignment="1">
      <alignment horizontal="center"/>
    </xf>
    <xf numFmtId="0" fontId="12" fillId="0" borderId="0" xfId="0" applyFont="1" applyAlignment="1">
      <alignment horizontal="right"/>
    </xf>
    <xf numFmtId="6" fontId="12" fillId="0" borderId="0" xfId="0" applyNumberFormat="1" applyFont="1"/>
    <xf numFmtId="164" fontId="0" fillId="0" borderId="0" xfId="0" applyNumberFormat="1"/>
    <xf numFmtId="0" fontId="12" fillId="0" borderId="1" xfId="0" applyFont="1" applyBorder="1" applyAlignment="1" applyProtection="1">
      <alignment horizontal="right"/>
      <protection locked="0"/>
    </xf>
    <xf numFmtId="0" fontId="12" fillId="0" borderId="1" xfId="0" quotePrefix="1" applyFont="1" applyBorder="1" applyAlignment="1" applyProtection="1">
      <alignment horizontal="right"/>
      <protection locked="0"/>
    </xf>
    <xf numFmtId="0" fontId="12" fillId="0" borderId="38" xfId="0" applyFont="1" applyBorder="1" applyAlignment="1" applyProtection="1">
      <alignment horizontal="right"/>
      <protection locked="0"/>
    </xf>
    <xf numFmtId="0" fontId="12" fillId="0" borderId="28" xfId="0" applyFont="1" applyBorder="1" applyAlignment="1" applyProtection="1">
      <alignment horizontal="right"/>
      <protection locked="0"/>
    </xf>
    <xf numFmtId="2" fontId="14" fillId="0" borderId="41" xfId="0" applyNumberFormat="1" applyFont="1" applyBorder="1" applyAlignment="1" applyProtection="1">
      <protection locked="0"/>
    </xf>
    <xf numFmtId="2" fontId="14" fillId="0" borderId="38" xfId="0" applyNumberFormat="1" applyFont="1" applyBorder="1" applyAlignment="1" applyProtection="1">
      <protection locked="0"/>
    </xf>
    <xf numFmtId="2" fontId="12" fillId="0" borderId="1" xfId="0" quotePrefix="1" applyNumberFormat="1" applyFont="1" applyBorder="1" applyAlignment="1" applyProtection="1">
      <protection locked="0"/>
    </xf>
    <xf numFmtId="2" fontId="12" fillId="0" borderId="1" xfId="0" applyNumberFormat="1" applyFont="1" applyBorder="1" applyAlignment="1" applyProtection="1">
      <protection locked="0"/>
    </xf>
    <xf numFmtId="2" fontId="12" fillId="0" borderId="38" xfId="0" quotePrefix="1" applyNumberFormat="1" applyFont="1" applyBorder="1" applyAlignment="1" applyProtection="1">
      <protection locked="0"/>
    </xf>
    <xf numFmtId="0" fontId="16" fillId="0" borderId="37" xfId="0" applyFont="1" applyBorder="1" applyAlignment="1" applyProtection="1">
      <alignment horizontal="left"/>
      <protection locked="0"/>
    </xf>
    <xf numFmtId="0" fontId="16" fillId="0" borderId="38" xfId="0" applyFont="1" applyBorder="1" applyAlignment="1" applyProtection="1">
      <alignment horizontal="left"/>
      <protection locked="0"/>
    </xf>
    <xf numFmtId="0" fontId="12" fillId="0" borderId="0" xfId="0" applyFont="1" applyAlignment="1">
      <alignment horizontal="left"/>
    </xf>
    <xf numFmtId="49" fontId="16" fillId="0" borderId="0" xfId="0" applyNumberFormat="1" applyFont="1" applyFill="1" applyBorder="1" applyAlignment="1" applyProtection="1">
      <protection locked="0"/>
    </xf>
    <xf numFmtId="0" fontId="14" fillId="0" borderId="0" xfId="0" applyFont="1" applyBorder="1" applyProtection="1">
      <protection locked="0"/>
    </xf>
    <xf numFmtId="0" fontId="0" fillId="0" borderId="0" xfId="0" applyAlignment="1">
      <alignment horizontal="center"/>
    </xf>
    <xf numFmtId="0" fontId="0" fillId="0" borderId="0" xfId="0" applyBorder="1" applyAlignment="1"/>
    <xf numFmtId="0" fontId="0" fillId="0" borderId="0" xfId="0" applyBorder="1" applyAlignment="1">
      <alignment horizontal="center"/>
    </xf>
    <xf numFmtId="0" fontId="12" fillId="0" borderId="0" xfId="0" applyFont="1" applyAlignment="1"/>
    <xf numFmtId="0" fontId="12" fillId="0" borderId="0" xfId="0" applyFont="1" applyBorder="1" applyAlignment="1">
      <alignment horizontal="center"/>
    </xf>
    <xf numFmtId="0" fontId="12" fillId="0" borderId="0" xfId="0" applyFont="1" applyBorder="1"/>
    <xf numFmtId="0" fontId="0" fillId="0" borderId="0" xfId="0" applyAlignment="1"/>
    <xf numFmtId="0" fontId="12" fillId="0" borderId="0" xfId="0" applyFont="1" applyBorder="1" applyAlignment="1"/>
    <xf numFmtId="0" fontId="0" fillId="0" borderId="0" xfId="0" applyProtection="1">
      <protection hidden="1"/>
    </xf>
    <xf numFmtId="0" fontId="50" fillId="0" borderId="0" xfId="0" applyFont="1" applyAlignment="1"/>
    <xf numFmtId="0" fontId="12" fillId="0" borderId="0" xfId="0" applyFont="1" applyProtection="1">
      <protection hidden="1"/>
    </xf>
    <xf numFmtId="0" fontId="0" fillId="0" borderId="0" xfId="0" applyBorder="1" applyProtection="1">
      <protection hidden="1"/>
    </xf>
    <xf numFmtId="0" fontId="0" fillId="0" borderId="8" xfId="0" applyBorder="1" applyProtection="1">
      <protection locked="0"/>
    </xf>
    <xf numFmtId="0" fontId="12" fillId="0" borderId="0" xfId="0" applyFont="1" applyBorder="1" applyAlignment="1" applyProtection="1">
      <alignment horizontal="center"/>
      <protection hidden="1"/>
    </xf>
    <xf numFmtId="0" fontId="0" fillId="0" borderId="9" xfId="0" applyBorder="1"/>
    <xf numFmtId="0" fontId="0" fillId="0" borderId="11" xfId="0" applyBorder="1"/>
    <xf numFmtId="0" fontId="0" fillId="0" borderId="12" xfId="0" applyBorder="1"/>
    <xf numFmtId="0" fontId="0" fillId="0" borderId="3" xfId="0" applyBorder="1"/>
    <xf numFmtId="0" fontId="0" fillId="0" borderId="6" xfId="0" applyBorder="1"/>
    <xf numFmtId="0" fontId="0" fillId="0" borderId="10" xfId="0" applyBorder="1"/>
    <xf numFmtId="0" fontId="0" fillId="0" borderId="13" xfId="0" applyBorder="1"/>
    <xf numFmtId="0" fontId="53" fillId="0" borderId="0" xfId="0" applyFont="1" applyBorder="1"/>
    <xf numFmtId="0" fontId="54" fillId="0" borderId="3" xfId="0" applyFont="1" applyBorder="1"/>
    <xf numFmtId="0" fontId="54" fillId="0" borderId="0" xfId="0" applyFont="1" applyBorder="1"/>
    <xf numFmtId="0" fontId="54" fillId="0" borderId="0" xfId="0" applyFont="1" applyBorder="1" applyAlignment="1">
      <alignment horizontal="right"/>
    </xf>
    <xf numFmtId="0" fontId="0" fillId="0" borderId="6" xfId="0" applyBorder="1" applyAlignment="1">
      <alignment horizontal="center"/>
    </xf>
    <xf numFmtId="0" fontId="52" fillId="0" borderId="0" xfId="0" applyFont="1" applyAlignment="1">
      <alignment horizontal="center"/>
    </xf>
    <xf numFmtId="0" fontId="0" fillId="0" borderId="41" xfId="0" applyBorder="1"/>
    <xf numFmtId="0" fontId="18" fillId="0" borderId="1" xfId="0" applyFont="1" applyBorder="1" applyProtection="1">
      <protection locked="0"/>
    </xf>
    <xf numFmtId="0" fontId="16" fillId="0" borderId="1" xfId="0" applyFont="1" applyBorder="1" applyAlignment="1" applyProtection="1">
      <alignment horizontal="left"/>
      <protection locked="0"/>
    </xf>
    <xf numFmtId="0" fontId="16" fillId="0" borderId="0" xfId="0" applyFont="1" applyBorder="1" applyAlignment="1" applyProtection="1">
      <alignment horizontal="left"/>
      <protection locked="0"/>
    </xf>
    <xf numFmtId="0" fontId="12" fillId="0" borderId="34" xfId="0" applyFont="1" applyBorder="1" applyAlignment="1" applyProtection="1">
      <protection locked="0"/>
    </xf>
    <xf numFmtId="0" fontId="26" fillId="0" borderId="21" xfId="0" applyFont="1" applyBorder="1" applyAlignment="1" applyProtection="1"/>
    <xf numFmtId="0" fontId="14" fillId="0" borderId="41" xfId="0" applyFont="1" applyBorder="1" applyAlignment="1" applyProtection="1">
      <protection locked="0"/>
    </xf>
    <xf numFmtId="0" fontId="10" fillId="0" borderId="3" xfId="7" applyFont="1" applyBorder="1" applyAlignment="1" applyProtection="1">
      <alignment horizontal="center" vertical="center"/>
      <protection locked="0"/>
    </xf>
    <xf numFmtId="0" fontId="10" fillId="0" borderId="14" xfId="7" applyFont="1" applyBorder="1" applyAlignment="1" applyProtection="1">
      <alignment horizontal="center" vertical="center"/>
      <protection locked="0"/>
    </xf>
    <xf numFmtId="0" fontId="10" fillId="0" borderId="6" xfId="7" applyFont="1" applyBorder="1" applyAlignment="1" applyProtection="1">
      <alignment horizontal="center" vertical="center"/>
      <protection locked="0"/>
    </xf>
    <xf numFmtId="0" fontId="10" fillId="0" borderId="6" xfId="7" applyFont="1" applyFill="1" applyBorder="1" applyAlignment="1" applyProtection="1">
      <alignment horizontal="center" vertical="center"/>
      <protection locked="0"/>
    </xf>
    <xf numFmtId="165" fontId="0" fillId="0" borderId="6" xfId="8" applyNumberFormat="1" applyFont="1" applyFill="1" applyBorder="1" applyAlignment="1" applyProtection="1">
      <alignment horizontal="center" vertical="center"/>
      <protection locked="0"/>
    </xf>
    <xf numFmtId="165" fontId="0" fillId="7" borderId="7" xfId="8" applyNumberFormat="1" applyFont="1" applyFill="1" applyBorder="1" applyAlignment="1" applyProtection="1">
      <alignment horizontal="center" vertical="center"/>
      <protection locked="0"/>
    </xf>
    <xf numFmtId="165" fontId="10" fillId="7" borderId="7" xfId="7" applyNumberFormat="1" applyFill="1" applyBorder="1" applyAlignment="1" applyProtection="1">
      <alignment horizontal="center" vertical="center"/>
      <protection locked="0"/>
    </xf>
    <xf numFmtId="0" fontId="10" fillId="0" borderId="10" xfId="7" applyFont="1" applyBorder="1" applyAlignment="1" applyProtection="1">
      <alignment horizontal="center" vertical="center"/>
      <protection locked="0"/>
    </xf>
    <xf numFmtId="0" fontId="10" fillId="0" borderId="15" xfId="7" applyFont="1" applyBorder="1" applyAlignment="1" applyProtection="1">
      <alignment horizontal="center" vertical="center"/>
      <protection locked="0"/>
    </xf>
    <xf numFmtId="0" fontId="10" fillId="0" borderId="13" xfId="7" applyFont="1" applyBorder="1" applyAlignment="1" applyProtection="1">
      <alignment horizontal="left" vertical="center"/>
      <protection locked="0"/>
    </xf>
    <xf numFmtId="0" fontId="10" fillId="0" borderId="13" xfId="7" applyFill="1" applyBorder="1" applyAlignment="1" applyProtection="1">
      <alignment horizontal="center" vertical="center"/>
      <protection locked="0"/>
    </xf>
    <xf numFmtId="49" fontId="0" fillId="0" borderId="13" xfId="8" applyNumberFormat="1" applyFont="1" applyFill="1" applyBorder="1" applyAlignment="1" applyProtection="1">
      <alignment horizontal="center" vertical="center"/>
      <protection locked="0"/>
    </xf>
    <xf numFmtId="49" fontId="10" fillId="0" borderId="15" xfId="7" applyNumberFormat="1" applyFont="1" applyFill="1" applyBorder="1" applyAlignment="1" applyProtection="1">
      <alignment horizontal="center" vertical="center"/>
      <protection locked="0"/>
    </xf>
    <xf numFmtId="49" fontId="10" fillId="0" borderId="15" xfId="7" applyNumberFormat="1" applyFill="1" applyBorder="1" applyAlignment="1" applyProtection="1">
      <alignment horizontal="center" vertical="center"/>
      <protection locked="0"/>
    </xf>
    <xf numFmtId="165" fontId="0" fillId="7" borderId="7" xfId="8" applyNumberFormat="1" applyFont="1" applyFill="1" applyBorder="1" applyAlignment="1" applyProtection="1">
      <alignment horizontal="center"/>
      <protection locked="0"/>
    </xf>
    <xf numFmtId="0" fontId="10" fillId="0" borderId="13" xfId="7" applyFill="1" applyBorder="1" applyAlignment="1" applyProtection="1">
      <alignment horizontal="left" vertical="center"/>
      <protection locked="0"/>
    </xf>
    <xf numFmtId="0" fontId="10" fillId="0" borderId="13" xfId="7" applyFont="1" applyFill="1" applyBorder="1" applyAlignment="1" applyProtection="1">
      <alignment horizontal="center" vertical="center"/>
      <protection locked="0"/>
    </xf>
    <xf numFmtId="0" fontId="10" fillId="0" borderId="6" xfId="7" applyFill="1" applyBorder="1" applyAlignment="1" applyProtection="1">
      <alignment horizontal="center" vertical="center"/>
      <protection locked="0"/>
    </xf>
    <xf numFmtId="0" fontId="10" fillId="0" borderId="13" xfId="7" applyFont="1" applyBorder="1" applyAlignment="1" applyProtection="1">
      <alignment horizontal="left" vertical="top"/>
      <protection locked="0"/>
    </xf>
    <xf numFmtId="0" fontId="10" fillId="0" borderId="13" xfId="7" applyFont="1" applyBorder="1" applyAlignment="1" applyProtection="1">
      <alignment horizontal="center" vertical="center"/>
      <protection locked="0"/>
    </xf>
    <xf numFmtId="49" fontId="0" fillId="0" borderId="13" xfId="8" applyNumberFormat="1" applyFont="1" applyBorder="1" applyAlignment="1" applyProtection="1">
      <alignment horizontal="center" vertical="center"/>
      <protection locked="0"/>
    </xf>
    <xf numFmtId="49" fontId="10" fillId="0" borderId="15" xfId="7" applyNumberFormat="1" applyFont="1" applyBorder="1" applyAlignment="1" applyProtection="1">
      <alignment horizontal="center" vertical="center"/>
      <protection locked="0"/>
    </xf>
    <xf numFmtId="49" fontId="10" fillId="0" borderId="15" xfId="7" applyNumberFormat="1" applyBorder="1" applyAlignment="1" applyProtection="1">
      <alignment horizontal="center" vertical="center"/>
      <protection locked="0"/>
    </xf>
    <xf numFmtId="165" fontId="0" fillId="0" borderId="6" xfId="8" applyNumberFormat="1" applyFont="1" applyBorder="1" applyAlignment="1" applyProtection="1">
      <alignment horizontal="center" vertical="center"/>
      <protection locked="0"/>
    </xf>
    <xf numFmtId="0" fontId="10" fillId="0" borderId="13" xfId="7" applyBorder="1" applyAlignment="1" applyProtection="1">
      <alignment horizontal="center" vertical="center"/>
      <protection locked="0"/>
    </xf>
    <xf numFmtId="49" fontId="12" fillId="0" borderId="13" xfId="8" applyNumberFormat="1" applyFont="1" applyBorder="1" applyAlignment="1" applyProtection="1">
      <alignment horizontal="center" vertical="center"/>
      <protection locked="0"/>
    </xf>
    <xf numFmtId="165" fontId="0" fillId="7" borderId="58" xfId="8" applyNumberFormat="1" applyFont="1" applyFill="1" applyBorder="1" applyAlignment="1" applyProtection="1">
      <alignment horizontal="center" vertical="center"/>
      <protection locked="0"/>
    </xf>
    <xf numFmtId="165" fontId="10" fillId="7" borderId="58" xfId="7" applyNumberFormat="1" applyFill="1" applyBorder="1" applyAlignment="1" applyProtection="1">
      <alignment horizontal="center" vertical="center"/>
      <protection locked="0"/>
    </xf>
    <xf numFmtId="49" fontId="0" fillId="0" borderId="15" xfId="8" applyNumberFormat="1" applyFont="1" applyFill="1" applyBorder="1" applyAlignment="1" applyProtection="1">
      <alignment horizontal="center" vertical="center"/>
      <protection locked="0"/>
    </xf>
    <xf numFmtId="49" fontId="12" fillId="0" borderId="15" xfId="8" applyNumberFormat="1" applyFont="1" applyFill="1" applyBorder="1" applyAlignment="1" applyProtection="1">
      <alignment horizontal="center" vertical="center"/>
      <protection locked="0"/>
    </xf>
    <xf numFmtId="0" fontId="10" fillId="0" borderId="7" xfId="7" applyFont="1" applyBorder="1" applyAlignment="1" applyProtection="1">
      <alignment horizontal="center" vertical="center"/>
      <protection locked="0"/>
    </xf>
    <xf numFmtId="0" fontId="10" fillId="0" borderId="31" xfId="7" applyFont="1" applyBorder="1" applyAlignment="1" applyProtection="1">
      <alignment horizontal="center" vertical="center"/>
      <protection locked="0"/>
    </xf>
    <xf numFmtId="0" fontId="10" fillId="0" borderId="53" xfId="7" applyBorder="1" applyAlignment="1" applyProtection="1">
      <alignment horizontal="left" vertical="top"/>
      <protection locked="0"/>
    </xf>
    <xf numFmtId="0" fontId="10" fillId="0" borderId="29" xfId="7" applyFont="1" applyBorder="1" applyAlignment="1" applyProtection="1">
      <alignment horizontal="left" vertical="center"/>
      <protection locked="0"/>
    </xf>
    <xf numFmtId="0" fontId="10" fillId="0" borderId="29" xfId="7" applyBorder="1" applyAlignment="1" applyProtection="1">
      <alignment horizontal="center" vertical="center"/>
      <protection locked="0"/>
    </xf>
    <xf numFmtId="49" fontId="0" fillId="0" borderId="29" xfId="8" applyNumberFormat="1" applyFont="1" applyBorder="1" applyAlignment="1" applyProtection="1">
      <alignment horizontal="center" vertical="center"/>
      <protection locked="0"/>
    </xf>
    <xf numFmtId="49" fontId="10" fillId="0" borderId="53" xfId="7" applyNumberFormat="1" applyBorder="1" applyAlignment="1" applyProtection="1">
      <alignment horizontal="center" vertical="center"/>
      <protection locked="0"/>
    </xf>
    <xf numFmtId="0" fontId="10" fillId="0" borderId="9" xfId="7" applyFont="1" applyBorder="1" applyAlignment="1" applyProtection="1">
      <protection locked="0"/>
    </xf>
    <xf numFmtId="0" fontId="10" fillId="0" borderId="11" xfId="7" applyBorder="1" applyAlignment="1" applyProtection="1">
      <protection locked="0"/>
    </xf>
    <xf numFmtId="0" fontId="10" fillId="0" borderId="12" xfId="7" applyBorder="1" applyAlignment="1" applyProtection="1">
      <protection locked="0"/>
    </xf>
    <xf numFmtId="0" fontId="10" fillId="0" borderId="3" xfId="7" applyFont="1" applyBorder="1" applyAlignment="1" applyProtection="1">
      <protection locked="0"/>
    </xf>
    <xf numFmtId="0" fontId="10" fillId="0" borderId="0" xfId="7" applyBorder="1" applyAlignment="1" applyProtection="1">
      <protection locked="0"/>
    </xf>
    <xf numFmtId="0" fontId="10" fillId="0" borderId="6" xfId="7" applyBorder="1" applyAlignment="1" applyProtection="1">
      <protection locked="0"/>
    </xf>
    <xf numFmtId="0" fontId="10" fillId="0" borderId="3" xfId="7" applyBorder="1" applyAlignment="1" applyProtection="1">
      <protection locked="0"/>
    </xf>
    <xf numFmtId="0" fontId="10" fillId="0" borderId="10" xfId="7" applyBorder="1" applyAlignment="1" applyProtection="1">
      <protection locked="0"/>
    </xf>
    <xf numFmtId="0" fontId="10" fillId="0" borderId="8" xfId="7" applyBorder="1" applyAlignment="1" applyProtection="1">
      <protection locked="0"/>
    </xf>
    <xf numFmtId="0" fontId="10" fillId="0" borderId="13" xfId="7" applyBorder="1" applyAlignment="1" applyProtection="1">
      <protection locked="0"/>
    </xf>
    <xf numFmtId="0" fontId="16" fillId="0" borderId="8" xfId="0" applyNumberFormat="1" applyFont="1" applyBorder="1"/>
    <xf numFmtId="0" fontId="55" fillId="0" borderId="8" xfId="0" applyFont="1" applyBorder="1"/>
    <xf numFmtId="14" fontId="19" fillId="0" borderId="8" xfId="0" applyNumberFormat="1" applyFont="1" applyBorder="1" applyAlignment="1">
      <alignment horizontal="left"/>
    </xf>
    <xf numFmtId="0" fontId="19" fillId="0" borderId="0" xfId="0" applyFont="1" applyAlignment="1">
      <alignment horizontal="left"/>
    </xf>
    <xf numFmtId="0" fontId="0" fillId="0" borderId="0" xfId="0" applyBorder="1" applyAlignment="1" applyProtection="1">
      <protection locked="0"/>
    </xf>
    <xf numFmtId="0" fontId="12" fillId="0" borderId="0" xfId="9"/>
    <xf numFmtId="0" fontId="0" fillId="0" borderId="0" xfId="0" applyAlignment="1" applyProtection="1">
      <alignment horizontal="left"/>
      <protection locked="0"/>
    </xf>
    <xf numFmtId="0" fontId="0" fillId="0" borderId="0" xfId="0" applyAlignment="1" applyProtection="1">
      <alignment horizontal="right"/>
      <protection locked="0"/>
    </xf>
    <xf numFmtId="0" fontId="0" fillId="0" borderId="0" xfId="0" applyFill="1" applyAlignment="1" applyProtection="1">
      <alignment horizontal="left"/>
      <protection locked="0"/>
    </xf>
    <xf numFmtId="0" fontId="0" fillId="0" borderId="0" xfId="0" applyFill="1" applyAlignment="1" applyProtection="1">
      <alignment horizontal="right"/>
      <protection locked="0"/>
    </xf>
    <xf numFmtId="0" fontId="0" fillId="0" borderId="0" xfId="0" applyAlignment="1" applyProtection="1">
      <alignment horizontal="left"/>
      <protection locked="0" hidden="1"/>
    </xf>
    <xf numFmtId="0" fontId="16" fillId="0" borderId="4" xfId="0" applyFont="1" applyBorder="1" applyProtection="1">
      <protection locked="0"/>
    </xf>
    <xf numFmtId="0" fontId="16" fillId="2" borderId="0" xfId="0" applyFont="1" applyFill="1" applyProtection="1">
      <protection locked="0"/>
    </xf>
    <xf numFmtId="44" fontId="0" fillId="0" borderId="8" xfId="0" applyNumberFormat="1" applyBorder="1"/>
    <xf numFmtId="44" fontId="0" fillId="5" borderId="1" xfId="0" applyNumberFormat="1" applyFill="1" applyBorder="1"/>
    <xf numFmtId="44" fontId="0" fillId="0" borderId="0" xfId="0" applyNumberFormat="1"/>
    <xf numFmtId="44" fontId="0" fillId="6" borderId="0" xfId="0" applyNumberFormat="1" applyFill="1"/>
    <xf numFmtId="44" fontId="0" fillId="5" borderId="0" xfId="0" applyNumberFormat="1" applyFill="1"/>
    <xf numFmtId="44" fontId="0" fillId="0" borderId="0" xfId="0" applyNumberFormat="1" applyProtection="1">
      <protection locked="0"/>
    </xf>
    <xf numFmtId="0" fontId="10" fillId="0" borderId="0" xfId="7" applyBorder="1" applyAlignment="1" applyProtection="1">
      <alignment horizontal="center"/>
      <protection locked="0"/>
    </xf>
    <xf numFmtId="0" fontId="9" fillId="0" borderId="0" xfId="7" applyFont="1" applyBorder="1" applyAlignment="1">
      <alignment horizontal="center" vertical="center"/>
    </xf>
    <xf numFmtId="49" fontId="10" fillId="0" borderId="0" xfId="7" applyNumberFormat="1" applyFont="1" applyFill="1" applyBorder="1"/>
    <xf numFmtId="0" fontId="9" fillId="0" borderId="0" xfId="7" applyFont="1" applyBorder="1" applyAlignment="1">
      <alignment horizontal="right" vertical="center"/>
    </xf>
    <xf numFmtId="0" fontId="18" fillId="0" borderId="0" xfId="0" applyFont="1" applyBorder="1" applyProtection="1">
      <protection locked="0"/>
    </xf>
    <xf numFmtId="0" fontId="18" fillId="0" borderId="0" xfId="0" applyFont="1" applyBorder="1" applyAlignment="1" applyProtection="1">
      <alignment horizontal="center"/>
      <protection locked="0"/>
    </xf>
    <xf numFmtId="44" fontId="18" fillId="0" borderId="0" xfId="1" applyFont="1" applyBorder="1" applyAlignment="1" applyProtection="1">
      <alignment horizontal="center"/>
      <protection locked="0"/>
    </xf>
    <xf numFmtId="0" fontId="48" fillId="0" borderId="0" xfId="0" applyNumberFormat="1" applyFont="1" applyAlignment="1" applyProtection="1">
      <alignment horizontal="left"/>
      <protection locked="0"/>
    </xf>
    <xf numFmtId="49" fontId="12" fillId="0" borderId="8" xfId="0" applyNumberFormat="1" applyFont="1" applyBorder="1" applyAlignment="1" applyProtection="1">
      <alignment vertical="top"/>
      <protection locked="0"/>
    </xf>
    <xf numFmtId="0" fontId="12" fillId="0" borderId="0" xfId="9" applyFont="1"/>
    <xf numFmtId="169" fontId="12" fillId="0" borderId="17" xfId="9" applyNumberFormat="1" applyFont="1" applyFill="1" applyBorder="1" applyAlignment="1">
      <alignment horizontal="center"/>
    </xf>
    <xf numFmtId="0" fontId="0" fillId="0" borderId="0" xfId="0" applyFont="1" applyFill="1" applyBorder="1"/>
    <xf numFmtId="0" fontId="0" fillId="0" borderId="0" xfId="0" applyBorder="1" applyAlignment="1">
      <alignment horizontal="center" vertical="center"/>
    </xf>
    <xf numFmtId="0" fontId="12" fillId="0" borderId="0" xfId="0" applyFont="1" applyBorder="1" applyAlignment="1">
      <alignment horizontal="center" wrapText="1"/>
    </xf>
    <xf numFmtId="0" fontId="60" fillId="0" borderId="0" xfId="0" applyFont="1" applyBorder="1"/>
    <xf numFmtId="49" fontId="0" fillId="0" borderId="0" xfId="0" applyNumberFormat="1" applyBorder="1" applyAlignment="1">
      <alignment horizontal="center" vertical="center"/>
    </xf>
    <xf numFmtId="169" fontId="0" fillId="0" borderId="0" xfId="0" applyNumberFormat="1" applyBorder="1" applyAlignment="1">
      <alignment horizontal="center" vertical="center"/>
    </xf>
    <xf numFmtId="165" fontId="0" fillId="0" borderId="0" xfId="1" applyNumberFormat="1" applyFont="1" applyBorder="1" applyAlignment="1">
      <alignment horizontal="center" vertical="center"/>
    </xf>
    <xf numFmtId="165" fontId="31" fillId="0" borderId="0" xfId="0" applyNumberFormat="1" applyFont="1" applyBorder="1" applyAlignment="1">
      <alignment horizontal="center"/>
    </xf>
    <xf numFmtId="165" fontId="31" fillId="0" borderId="0" xfId="0" applyNumberFormat="1" applyFont="1" applyBorder="1" applyAlignment="1"/>
    <xf numFmtId="0" fontId="31" fillId="0" borderId="0" xfId="0" applyFont="1"/>
    <xf numFmtId="0" fontId="25" fillId="0" borderId="0" xfId="0" applyFont="1" applyAlignment="1">
      <alignment horizontal="right"/>
    </xf>
    <xf numFmtId="0" fontId="12" fillId="0" borderId="0" xfId="0" applyFont="1" applyProtection="1">
      <protection locked="0"/>
    </xf>
    <xf numFmtId="0" fontId="25" fillId="0" borderId="40" xfId="0" applyFont="1" applyBorder="1" applyAlignment="1"/>
    <xf numFmtId="0" fontId="24" fillId="0" borderId="0" xfId="0" applyFont="1"/>
    <xf numFmtId="0" fontId="12" fillId="0" borderId="1" xfId="0" applyFont="1" applyBorder="1" applyAlignment="1" applyProtection="1">
      <protection locked="0"/>
    </xf>
    <xf numFmtId="4" fontId="0" fillId="0" borderId="0" xfId="0" applyNumberFormat="1" applyBorder="1" applyAlignment="1"/>
    <xf numFmtId="44" fontId="0" fillId="0" borderId="1" xfId="0" applyNumberFormat="1" applyBorder="1" applyProtection="1">
      <protection hidden="1"/>
    </xf>
    <xf numFmtId="44" fontId="12" fillId="0" borderId="0" xfId="0" applyNumberFormat="1" applyFont="1" applyProtection="1">
      <protection locked="0"/>
    </xf>
    <xf numFmtId="4" fontId="0" fillId="0" borderId="8" xfId="0" applyNumberFormat="1" applyBorder="1" applyAlignment="1"/>
    <xf numFmtId="2" fontId="0" fillId="0" borderId="0" xfId="0" applyNumberFormat="1"/>
    <xf numFmtId="0" fontId="62" fillId="6" borderId="0" xfId="0" applyFont="1" applyFill="1" applyProtection="1">
      <protection hidden="1"/>
    </xf>
    <xf numFmtId="2" fontId="62" fillId="0" borderId="0" xfId="0" applyNumberFormat="1" applyFont="1" applyFill="1" applyProtection="1">
      <protection hidden="1"/>
    </xf>
    <xf numFmtId="14" fontId="12" fillId="0" borderId="0" xfId="0" applyNumberFormat="1" applyFont="1" applyProtection="1">
      <protection hidden="1"/>
    </xf>
    <xf numFmtId="0" fontId="31" fillId="0" borderId="0" xfId="0" applyFont="1" applyBorder="1" applyAlignment="1">
      <alignment horizontal="right"/>
    </xf>
    <xf numFmtId="0" fontId="24" fillId="0" borderId="0" xfId="0" applyFont="1" applyAlignment="1">
      <alignment horizontal="right"/>
    </xf>
    <xf numFmtId="44" fontId="24" fillId="0" borderId="0" xfId="0" applyNumberFormat="1" applyFont="1"/>
    <xf numFmtId="14" fontId="12" fillId="5" borderId="0" xfId="0" applyNumberFormat="1" applyFont="1" applyFill="1" applyProtection="1">
      <protection locked="0"/>
    </xf>
    <xf numFmtId="0" fontId="0" fillId="0" borderId="0" xfId="0" applyFill="1" applyBorder="1"/>
    <xf numFmtId="0" fontId="64" fillId="0" borderId="0" xfId="0" applyFont="1" applyProtection="1">
      <protection hidden="1"/>
    </xf>
    <xf numFmtId="0" fontId="62" fillId="0" borderId="0" xfId="0" applyFont="1" applyAlignment="1" applyProtection="1">
      <protection hidden="1"/>
    </xf>
    <xf numFmtId="166" fontId="16" fillId="0" borderId="41" xfId="0" applyNumberFormat="1" applyFont="1" applyBorder="1" applyAlignment="1"/>
    <xf numFmtId="166" fontId="16" fillId="0" borderId="42" xfId="0" applyNumberFormat="1" applyFont="1" applyBorder="1" applyAlignment="1"/>
    <xf numFmtId="44" fontId="0" fillId="0" borderId="28" xfId="0" applyNumberFormat="1" applyBorder="1" applyAlignment="1" applyProtection="1">
      <alignment horizontal="right"/>
      <protection locked="0" hidden="1"/>
    </xf>
    <xf numFmtId="0" fontId="24" fillId="0" borderId="8" xfId="0" applyFont="1" applyBorder="1" applyProtection="1">
      <protection hidden="1"/>
    </xf>
    <xf numFmtId="0" fontId="31" fillId="0" borderId="8" xfId="0" applyFont="1" applyBorder="1" applyProtection="1">
      <protection hidden="1"/>
    </xf>
    <xf numFmtId="0" fontId="31" fillId="0" borderId="0" xfId="0" applyFont="1" applyBorder="1" applyProtection="1">
      <protection hidden="1"/>
    </xf>
    <xf numFmtId="165" fontId="0" fillId="0" borderId="0" xfId="0" applyNumberFormat="1" applyBorder="1" applyAlignment="1" applyProtection="1">
      <alignment horizontal="left"/>
      <protection hidden="1"/>
    </xf>
    <xf numFmtId="0" fontId="31" fillId="0" borderId="0" xfId="0" applyFont="1" applyProtection="1">
      <protection hidden="1"/>
    </xf>
    <xf numFmtId="7" fontId="0" fillId="0" borderId="0" xfId="0" applyNumberFormat="1" applyAlignment="1" applyProtection="1">
      <alignment horizontal="left"/>
      <protection hidden="1"/>
    </xf>
    <xf numFmtId="0" fontId="24" fillId="0" borderId="0" xfId="0" applyFont="1" applyProtection="1">
      <protection hidden="1"/>
    </xf>
    <xf numFmtId="0" fontId="0" fillId="0" borderId="0" xfId="0" applyProtection="1">
      <protection locked="0" hidden="1"/>
    </xf>
    <xf numFmtId="165" fontId="0" fillId="0" borderId="0" xfId="0" applyNumberFormat="1" applyBorder="1" applyAlignment="1" applyProtection="1">
      <alignment horizontal="right"/>
      <protection locked="0"/>
    </xf>
    <xf numFmtId="0" fontId="31" fillId="0" borderId="0" xfId="0" applyFont="1" applyBorder="1" applyAlignment="1" applyProtection="1">
      <protection locked="0"/>
    </xf>
    <xf numFmtId="165" fontId="18" fillId="0" borderId="0" xfId="0" applyNumberFormat="1" applyFont="1" applyBorder="1" applyAlignment="1" applyProtection="1">
      <alignment horizontal="right"/>
      <protection locked="0"/>
    </xf>
    <xf numFmtId="0" fontId="0" fillId="0" borderId="0" xfId="0" applyFill="1" applyProtection="1">
      <protection locked="0"/>
    </xf>
    <xf numFmtId="14" fontId="24" fillId="0" borderId="8" xfId="0" applyNumberFormat="1" applyFont="1" applyFill="1" applyBorder="1" applyProtection="1">
      <protection locked="0"/>
    </xf>
    <xf numFmtId="2" fontId="24" fillId="0" borderId="1" xfId="0" applyNumberFormat="1" applyFont="1" applyBorder="1" applyProtection="1">
      <protection locked="0" hidden="1"/>
    </xf>
    <xf numFmtId="0" fontId="24" fillId="0" borderId="2" xfId="0" applyFont="1" applyBorder="1" applyProtection="1">
      <protection locked="0" hidden="1"/>
    </xf>
    <xf numFmtId="44" fontId="24" fillId="0" borderId="4" xfId="1" applyFont="1" applyBorder="1" applyProtection="1">
      <protection locked="0" hidden="1"/>
    </xf>
    <xf numFmtId="44" fontId="24" fillId="0" borderId="2" xfId="1" applyFont="1" applyBorder="1" applyProtection="1">
      <protection locked="0" hidden="1"/>
    </xf>
    <xf numFmtId="0" fontId="24" fillId="0" borderId="10" xfId="0" applyFont="1" applyBorder="1" applyProtection="1">
      <protection locked="0" hidden="1"/>
    </xf>
    <xf numFmtId="0" fontId="24" fillId="0" borderId="3" xfId="0" applyFont="1" applyBorder="1" applyProtection="1">
      <protection locked="0" hidden="1"/>
    </xf>
    <xf numFmtId="0" fontId="24" fillId="0" borderId="0" xfId="0" applyFont="1" applyBorder="1" applyProtection="1">
      <protection locked="0" hidden="1"/>
    </xf>
    <xf numFmtId="0" fontId="24" fillId="0" borderId="4" xfId="0" applyFont="1" applyBorder="1" applyProtection="1">
      <protection locked="0" hidden="1"/>
    </xf>
    <xf numFmtId="44" fontId="24" fillId="0" borderId="4" xfId="0" applyNumberFormat="1" applyFont="1" applyBorder="1" applyProtection="1">
      <protection locked="0" hidden="1"/>
    </xf>
    <xf numFmtId="44" fontId="24" fillId="0" borderId="0" xfId="0" applyNumberFormat="1" applyFont="1" applyBorder="1" applyProtection="1">
      <protection locked="0" hidden="1"/>
    </xf>
    <xf numFmtId="44" fontId="24" fillId="0" borderId="5" xfId="1" applyFont="1" applyBorder="1" applyProtection="1">
      <protection locked="0" hidden="1"/>
    </xf>
    <xf numFmtId="44" fontId="24" fillId="0" borderId="5" xfId="0" applyNumberFormat="1" applyFont="1" applyBorder="1" applyProtection="1">
      <protection locked="0" hidden="1"/>
    </xf>
    <xf numFmtId="0" fontId="25" fillId="0" borderId="3" xfId="0" applyFont="1" applyBorder="1" applyProtection="1">
      <protection locked="0" hidden="1"/>
    </xf>
    <xf numFmtId="0" fontId="24" fillId="0" borderId="8" xfId="0" applyFont="1" applyBorder="1" applyProtection="1">
      <protection locked="0" hidden="1"/>
    </xf>
    <xf numFmtId="0" fontId="24" fillId="0" borderId="8" xfId="0" applyFont="1" applyBorder="1" applyAlignment="1" applyProtection="1">
      <alignment horizontal="right"/>
      <protection locked="0" hidden="1"/>
    </xf>
    <xf numFmtId="44" fontId="24" fillId="0" borderId="1" xfId="0" applyNumberFormat="1" applyFont="1" applyBorder="1" applyProtection="1">
      <protection locked="0" hidden="1"/>
    </xf>
    <xf numFmtId="44" fontId="24" fillId="0" borderId="15" xfId="1" applyFont="1" applyBorder="1" applyProtection="1">
      <protection locked="0" hidden="1"/>
    </xf>
    <xf numFmtId="0" fontId="24" fillId="0" borderId="1" xfId="0" applyFont="1" applyBorder="1" applyProtection="1">
      <protection locked="0" hidden="1"/>
    </xf>
    <xf numFmtId="44" fontId="24" fillId="0" borderId="1" xfId="1" applyFont="1" applyBorder="1" applyProtection="1">
      <protection locked="0" hidden="1"/>
    </xf>
    <xf numFmtId="0" fontId="24" fillId="0" borderId="15" xfId="0" applyFont="1" applyBorder="1" applyProtection="1">
      <protection locked="0" hidden="1"/>
    </xf>
    <xf numFmtId="0" fontId="24" fillId="0" borderId="9" xfId="0" applyFont="1" applyBorder="1" applyProtection="1">
      <protection locked="0" hidden="1"/>
    </xf>
    <xf numFmtId="0" fontId="24" fillId="0" borderId="4" xfId="0" applyFont="1" applyBorder="1" applyAlignment="1" applyProtection="1">
      <alignment horizontal="right"/>
      <protection locked="0" hidden="1"/>
    </xf>
    <xf numFmtId="0" fontId="12" fillId="0" borderId="3" xfId="0" applyFont="1" applyBorder="1" applyProtection="1">
      <protection locked="0" hidden="1"/>
    </xf>
    <xf numFmtId="0" fontId="24" fillId="0" borderId="0" xfId="0" applyFont="1" applyProtection="1">
      <protection locked="0" hidden="1"/>
    </xf>
    <xf numFmtId="0" fontId="24" fillId="0" borderId="0" xfId="0" applyFont="1" applyAlignment="1" applyProtection="1">
      <alignment horizontal="right"/>
      <protection locked="0" hidden="1"/>
    </xf>
    <xf numFmtId="44" fontId="24" fillId="0" borderId="0" xfId="0" applyNumberFormat="1" applyFont="1" applyProtection="1">
      <protection locked="0" hidden="1"/>
    </xf>
    <xf numFmtId="49" fontId="24" fillId="0" borderId="8" xfId="0" applyNumberFormat="1" applyFont="1" applyBorder="1" applyProtection="1">
      <protection locked="0" hidden="1"/>
    </xf>
    <xf numFmtId="14" fontId="24" fillId="0" borderId="8" xfId="0" applyNumberFormat="1" applyFont="1" applyFill="1" applyBorder="1" applyProtection="1">
      <protection locked="0" hidden="1"/>
    </xf>
    <xf numFmtId="0" fontId="25" fillId="0" borderId="0" xfId="0" applyFont="1" applyFill="1" applyBorder="1" applyAlignment="1" applyProtection="1">
      <alignment horizontal="right"/>
      <protection locked="0" hidden="1"/>
    </xf>
    <xf numFmtId="14" fontId="12" fillId="6" borderId="0" xfId="0" applyNumberFormat="1" applyFont="1" applyFill="1" applyProtection="1">
      <protection locked="0" hidden="1"/>
    </xf>
    <xf numFmtId="0" fontId="25" fillId="0" borderId="0" xfId="0" applyFont="1" applyAlignment="1" applyProtection="1">
      <alignment horizontal="right"/>
      <protection locked="0" hidden="1"/>
    </xf>
    <xf numFmtId="14" fontId="12" fillId="0" borderId="0" xfId="0" applyNumberFormat="1" applyFont="1" applyProtection="1">
      <protection locked="0" hidden="1"/>
    </xf>
    <xf numFmtId="2" fontId="63" fillId="0" borderId="0" xfId="0" applyNumberFormat="1" applyFont="1" applyProtection="1">
      <protection locked="0" hidden="1"/>
    </xf>
    <xf numFmtId="0" fontId="63" fillId="0" borderId="0" xfId="0" applyFont="1" applyProtection="1">
      <protection locked="0" hidden="1"/>
    </xf>
    <xf numFmtId="0" fontId="12" fillId="0" borderId="0" xfId="0" applyFont="1" applyFill="1" applyBorder="1" applyProtection="1">
      <protection locked="0" hidden="1"/>
    </xf>
    <xf numFmtId="0" fontId="0" fillId="0" borderId="9" xfId="0" applyBorder="1" applyAlignment="1" applyProtection="1">
      <protection locked="0" hidden="1"/>
    </xf>
    <xf numFmtId="0" fontId="0" fillId="0" borderId="11" xfId="0" applyBorder="1" applyAlignment="1" applyProtection="1">
      <protection locked="0" hidden="1"/>
    </xf>
    <xf numFmtId="0" fontId="0" fillId="0" borderId="12" xfId="0" applyBorder="1" applyAlignment="1" applyProtection="1">
      <protection locked="0" hidden="1"/>
    </xf>
    <xf numFmtId="0" fontId="0" fillId="0" borderId="3" xfId="0" applyBorder="1" applyAlignment="1" applyProtection="1">
      <protection locked="0" hidden="1"/>
    </xf>
    <xf numFmtId="0" fontId="0" fillId="0" borderId="0" xfId="0" applyBorder="1" applyAlignment="1" applyProtection="1">
      <protection locked="0" hidden="1"/>
    </xf>
    <xf numFmtId="0" fontId="0" fillId="0" borderId="6" xfId="0" applyBorder="1" applyAlignment="1" applyProtection="1">
      <protection locked="0" hidden="1"/>
    </xf>
    <xf numFmtId="0" fontId="0" fillId="0" borderId="10" xfId="0" applyBorder="1" applyAlignment="1" applyProtection="1">
      <protection locked="0" hidden="1"/>
    </xf>
    <xf numFmtId="0" fontId="0" fillId="0" borderId="8" xfId="0" applyBorder="1" applyAlignment="1" applyProtection="1">
      <protection locked="0" hidden="1"/>
    </xf>
    <xf numFmtId="0" fontId="0" fillId="0" borderId="13" xfId="0" applyBorder="1" applyAlignment="1" applyProtection="1">
      <protection locked="0" hidden="1"/>
    </xf>
    <xf numFmtId="49" fontId="8" fillId="0" borderId="15" xfId="7" applyNumberFormat="1" applyFont="1" applyBorder="1" applyAlignment="1" applyProtection="1">
      <alignment horizontal="center" vertical="center"/>
      <protection locked="0"/>
    </xf>
    <xf numFmtId="165" fontId="8" fillId="0" borderId="0" xfId="7" applyNumberFormat="1" applyFont="1" applyBorder="1" applyAlignment="1">
      <alignment horizontal="center" vertical="center"/>
    </xf>
    <xf numFmtId="7" fontId="10" fillId="0" borderId="0" xfId="7" applyNumberFormat="1" applyBorder="1" applyAlignment="1" applyProtection="1">
      <alignment horizontal="center"/>
      <protection locked="0"/>
    </xf>
    <xf numFmtId="4" fontId="10" fillId="0" borderId="0" xfId="7" applyNumberFormat="1" applyBorder="1" applyAlignment="1" applyProtection="1">
      <alignment horizontal="center"/>
      <protection locked="0"/>
    </xf>
    <xf numFmtId="4" fontId="10" fillId="0" borderId="0" xfId="7" applyNumberFormat="1" applyBorder="1" applyAlignment="1" applyProtection="1">
      <alignment horizontal="center" vertical="center"/>
      <protection locked="0"/>
    </xf>
    <xf numFmtId="0" fontId="12" fillId="0" borderId="2" xfId="0" applyFont="1" applyBorder="1" applyProtection="1">
      <protection locked="0" hidden="1"/>
    </xf>
    <xf numFmtId="0" fontId="12" fillId="0" borderId="10" xfId="0" applyFont="1" applyBorder="1" applyProtection="1">
      <protection locked="0" hidden="1"/>
    </xf>
    <xf numFmtId="0" fontId="12" fillId="0" borderId="24" xfId="0" applyFont="1" applyBorder="1" applyAlignment="1">
      <alignment horizontal="left"/>
    </xf>
    <xf numFmtId="0" fontId="12" fillId="0" borderId="1" xfId="0" applyFont="1" applyBorder="1" applyAlignment="1">
      <alignment horizontal="left"/>
    </xf>
    <xf numFmtId="0" fontId="12" fillId="0" borderId="5" xfId="0" applyFont="1" applyBorder="1" applyAlignment="1">
      <alignment horizontal="left"/>
    </xf>
    <xf numFmtId="0" fontId="32" fillId="0" borderId="33" xfId="0" applyFont="1" applyBorder="1" applyAlignment="1" applyProtection="1">
      <protection locked="0"/>
    </xf>
    <xf numFmtId="0" fontId="32" fillId="0" borderId="1" xfId="0" applyFont="1" applyBorder="1" applyAlignment="1" applyProtection="1">
      <protection locked="0"/>
    </xf>
    <xf numFmtId="164" fontId="32" fillId="6" borderId="34" xfId="3" applyNumberFormat="1" applyFont="1" applyFill="1" applyBorder="1" applyAlignment="1"/>
    <xf numFmtId="0" fontId="32" fillId="0" borderId="2" xfId="0" applyFont="1" applyBorder="1" applyAlignment="1">
      <alignment horizontal="left"/>
    </xf>
    <xf numFmtId="0" fontId="16" fillId="5" borderId="25" xfId="0" applyFont="1" applyFill="1" applyBorder="1" applyAlignment="1">
      <alignment horizontal="left"/>
    </xf>
    <xf numFmtId="0" fontId="12" fillId="5" borderId="0" xfId="0" applyFont="1" applyFill="1" applyBorder="1" applyAlignment="1">
      <alignment horizontal="left"/>
    </xf>
    <xf numFmtId="42" fontId="16" fillId="0" borderId="1" xfId="0" quotePrefix="1" applyNumberFormat="1" applyFont="1" applyBorder="1" applyAlignment="1" applyProtection="1">
      <alignment horizontal="center"/>
      <protection locked="0"/>
    </xf>
    <xf numFmtId="42" fontId="65" fillId="0" borderId="1" xfId="0" applyNumberFormat="1" applyFont="1" applyBorder="1" applyAlignment="1" applyProtection="1">
      <protection locked="0"/>
    </xf>
    <xf numFmtId="164" fontId="25" fillId="0" borderId="2" xfId="0" quotePrefix="1" applyNumberFormat="1" applyFont="1" applyBorder="1" applyAlignment="1" applyProtection="1">
      <protection locked="0"/>
    </xf>
    <xf numFmtId="44" fontId="25" fillId="0" borderId="1" xfId="0" applyNumberFormat="1" applyFont="1" applyBorder="1" applyAlignment="1" applyProtection="1">
      <protection locked="0"/>
    </xf>
    <xf numFmtId="0" fontId="25" fillId="0" borderId="1" xfId="0" applyFont="1" applyBorder="1" applyAlignment="1" applyProtection="1">
      <protection locked="0"/>
    </xf>
    <xf numFmtId="44" fontId="24" fillId="0" borderId="4" xfId="0" applyNumberFormat="1" applyFont="1" applyBorder="1" applyProtection="1">
      <protection hidden="1"/>
    </xf>
    <xf numFmtId="0" fontId="12" fillId="0" borderId="33" xfId="0" applyFont="1" applyBorder="1" applyAlignment="1" applyProtection="1">
      <protection locked="0"/>
    </xf>
    <xf numFmtId="0" fontId="14" fillId="0" borderId="1" xfId="0" applyFont="1" applyBorder="1" applyAlignment="1" applyProtection="1">
      <protection locked="0"/>
    </xf>
    <xf numFmtId="10" fontId="16" fillId="0" borderId="38" xfId="0" applyNumberFormat="1" applyFont="1" applyBorder="1" applyAlignment="1" applyProtection="1">
      <protection locked="0"/>
    </xf>
    <xf numFmtId="8" fontId="16" fillId="6" borderId="38" xfId="0" applyNumberFormat="1" applyFont="1" applyFill="1" applyBorder="1" applyAlignment="1" applyProtection="1">
      <protection locked="0"/>
    </xf>
    <xf numFmtId="0" fontId="16" fillId="6" borderId="38" xfId="0" applyFont="1" applyFill="1" applyBorder="1" applyAlignment="1" applyProtection="1">
      <protection locked="0"/>
    </xf>
    <xf numFmtId="0" fontId="7" fillId="0" borderId="3" xfId="7" applyFont="1" applyBorder="1" applyAlignment="1" applyProtection="1">
      <alignment horizontal="center" vertical="center"/>
      <protection locked="0"/>
    </xf>
    <xf numFmtId="0" fontId="7" fillId="0" borderId="10" xfId="7" applyFont="1" applyBorder="1" applyAlignment="1" applyProtection="1">
      <alignment horizontal="center" vertical="center"/>
      <protection locked="0"/>
    </xf>
    <xf numFmtId="0" fontId="7" fillId="0" borderId="14" xfId="7" applyFont="1" applyBorder="1" applyAlignment="1" applyProtection="1">
      <alignment horizontal="center" vertical="center"/>
      <protection locked="0"/>
    </xf>
    <xf numFmtId="0" fontId="7" fillId="0" borderId="6" xfId="7" applyFont="1" applyBorder="1" applyAlignment="1" applyProtection="1">
      <alignment horizontal="center" vertical="center"/>
      <protection locked="0"/>
    </xf>
    <xf numFmtId="0" fontId="7" fillId="0" borderId="6" xfId="7" applyFont="1" applyFill="1" applyBorder="1" applyAlignment="1" applyProtection="1">
      <alignment horizontal="center" vertical="center"/>
      <protection locked="0"/>
    </xf>
    <xf numFmtId="0" fontId="7" fillId="0" borderId="15" xfId="7" applyFont="1" applyBorder="1" applyAlignment="1" applyProtection="1">
      <alignment horizontal="center" vertical="center"/>
      <protection locked="0"/>
    </xf>
    <xf numFmtId="49" fontId="7" fillId="0" borderId="15" xfId="7" applyNumberFormat="1" applyFont="1" applyFill="1" applyBorder="1" applyAlignment="1" applyProtection="1">
      <alignment horizontal="center" vertical="center"/>
      <protection locked="0"/>
    </xf>
    <xf numFmtId="49" fontId="7" fillId="0" borderId="15" xfId="7" applyNumberFormat="1" applyFont="1" applyBorder="1" applyAlignment="1" applyProtection="1">
      <alignment horizontal="center" vertical="center"/>
      <protection locked="0"/>
    </xf>
    <xf numFmtId="49" fontId="12" fillId="0" borderId="13" xfId="8" applyNumberFormat="1" applyFont="1" applyFill="1" applyBorder="1" applyAlignment="1" applyProtection="1">
      <alignment horizontal="center" vertical="center"/>
      <protection locked="0"/>
    </xf>
    <xf numFmtId="0" fontId="14" fillId="0" borderId="0" xfId="0" applyFont="1" applyBorder="1" applyAlignment="1" applyProtection="1">
      <alignment horizontal="left"/>
    </xf>
    <xf numFmtId="0" fontId="16" fillId="0" borderId="1" xfId="0" applyFont="1" applyBorder="1" applyAlignment="1" applyProtection="1">
      <alignment horizontal="left"/>
      <protection locked="0"/>
    </xf>
    <xf numFmtId="0" fontId="32" fillId="0" borderId="4" xfId="0" applyFont="1" applyBorder="1" applyAlignment="1" applyProtection="1">
      <alignment horizontal="left"/>
      <protection locked="0"/>
    </xf>
    <xf numFmtId="0" fontId="16" fillId="0" borderId="5" xfId="0" applyFont="1" applyBorder="1" applyAlignment="1" applyProtection="1">
      <alignment horizontal="left"/>
      <protection locked="0"/>
    </xf>
    <xf numFmtId="0" fontId="68" fillId="0" borderId="33" xfId="0" applyFont="1" applyBorder="1" applyAlignment="1" applyProtection="1">
      <alignment horizontal="left"/>
      <protection locked="0"/>
    </xf>
    <xf numFmtId="0" fontId="32" fillId="0" borderId="33" xfId="0" applyFont="1" applyBorder="1" applyAlignment="1" applyProtection="1">
      <alignment horizontal="left"/>
      <protection locked="0"/>
    </xf>
    <xf numFmtId="0" fontId="32" fillId="0" borderId="25" xfId="0" applyFont="1" applyBorder="1" applyAlignment="1" applyProtection="1">
      <alignment horizontal="left"/>
      <protection locked="0"/>
    </xf>
    <xf numFmtId="0" fontId="69" fillId="0" borderId="0" xfId="0" applyFont="1" applyBorder="1" applyAlignment="1" applyProtection="1">
      <protection hidden="1"/>
    </xf>
    <xf numFmtId="0" fontId="12" fillId="0" borderId="3" xfId="0" applyFont="1" applyBorder="1" applyAlignment="1" applyProtection="1">
      <protection locked="0"/>
    </xf>
    <xf numFmtId="0" fontId="14" fillId="0" borderId="6" xfId="0" applyFont="1" applyBorder="1" applyAlignment="1" applyProtection="1">
      <protection locked="0"/>
    </xf>
    <xf numFmtId="0" fontId="26" fillId="0" borderId="28" xfId="0" applyFont="1" applyBorder="1" applyAlignment="1" applyProtection="1">
      <protection locked="0"/>
    </xf>
    <xf numFmtId="0" fontId="14" fillId="0" borderId="19" xfId="0" applyFont="1" applyBorder="1" applyAlignment="1" applyProtection="1">
      <protection hidden="1"/>
    </xf>
    <xf numFmtId="0" fontId="14" fillId="0" borderId="20" xfId="0" applyFont="1" applyBorder="1" applyAlignment="1" applyProtection="1">
      <protection hidden="1"/>
    </xf>
    <xf numFmtId="0" fontId="14" fillId="0" borderId="21" xfId="0" applyFont="1" applyBorder="1" applyAlignment="1" applyProtection="1">
      <protection hidden="1"/>
    </xf>
    <xf numFmtId="0" fontId="6" fillId="0" borderId="0" xfId="10"/>
    <xf numFmtId="0" fontId="6" fillId="0" borderId="0" xfId="10" applyBorder="1"/>
    <xf numFmtId="0" fontId="16" fillId="0" borderId="19" xfId="0" applyFont="1" applyBorder="1" applyAlignment="1" applyProtection="1">
      <alignment vertical="center"/>
      <protection hidden="1"/>
    </xf>
    <xf numFmtId="0" fontId="14" fillId="0" borderId="22" xfId="0" applyFont="1" applyBorder="1" applyAlignment="1" applyProtection="1">
      <protection hidden="1"/>
    </xf>
    <xf numFmtId="49" fontId="12" fillId="0" borderId="8" xfId="0" applyNumberFormat="1" applyFont="1" applyBorder="1" applyAlignment="1" applyProtection="1">
      <alignment vertical="top"/>
      <protection hidden="1"/>
    </xf>
    <xf numFmtId="0" fontId="16" fillId="0" borderId="8" xfId="0" applyFont="1" applyBorder="1" applyAlignment="1" applyProtection="1">
      <alignment vertical="center"/>
      <protection hidden="1"/>
    </xf>
    <xf numFmtId="0" fontId="14" fillId="0" borderId="11" xfId="0" applyFont="1" applyBorder="1" applyAlignment="1" applyProtection="1">
      <protection hidden="1"/>
    </xf>
    <xf numFmtId="0" fontId="14" fillId="0" borderId="12" xfId="0" applyFont="1" applyBorder="1" applyAlignment="1" applyProtection="1">
      <protection hidden="1"/>
    </xf>
    <xf numFmtId="0" fontId="14" fillId="0" borderId="11" xfId="0" applyFont="1" applyBorder="1" applyAlignment="1" applyProtection="1">
      <alignment horizontal="center"/>
      <protection hidden="1"/>
    </xf>
    <xf numFmtId="0" fontId="14" fillId="0" borderId="6" xfId="0" applyFont="1" applyBorder="1" applyAlignment="1" applyProtection="1">
      <protection hidden="1"/>
    </xf>
    <xf numFmtId="0" fontId="16" fillId="0" borderId="20" xfId="0" applyFont="1" applyBorder="1" applyAlignment="1" applyProtection="1">
      <alignment vertical="center"/>
      <protection hidden="1"/>
    </xf>
    <xf numFmtId="0" fontId="6" fillId="0" borderId="24" xfId="10" applyBorder="1" applyProtection="1">
      <protection hidden="1"/>
    </xf>
    <xf numFmtId="0" fontId="12" fillId="0" borderId="28" xfId="0" applyFont="1" applyBorder="1" applyAlignment="1" applyProtection="1">
      <protection hidden="1"/>
    </xf>
    <xf numFmtId="0" fontId="14" fillId="0" borderId="29" xfId="0" applyFont="1" applyBorder="1" applyAlignment="1" applyProtection="1">
      <protection hidden="1"/>
    </xf>
    <xf numFmtId="0" fontId="12" fillId="0" borderId="0" xfId="0" applyFont="1" applyBorder="1" applyAlignment="1" applyProtection="1">
      <alignment horizontal="left"/>
      <protection hidden="1"/>
    </xf>
    <xf numFmtId="0" fontId="6" fillId="0" borderId="0" xfId="10" applyBorder="1" applyAlignment="1" applyProtection="1">
      <alignment horizontal="center" vertical="center" wrapText="1"/>
      <protection hidden="1"/>
    </xf>
    <xf numFmtId="0" fontId="14" fillId="0" borderId="0" xfId="0" applyFont="1" applyBorder="1" applyAlignment="1" applyProtection="1">
      <alignment horizontal="center" vertical="center" wrapText="1"/>
      <protection hidden="1"/>
    </xf>
    <xf numFmtId="0" fontId="12" fillId="0" borderId="0" xfId="0" applyFont="1" applyBorder="1" applyAlignment="1" applyProtection="1">
      <alignment horizontal="right"/>
    </xf>
    <xf numFmtId="0" fontId="12" fillId="0" borderId="0" xfId="0" applyFont="1" applyBorder="1" applyAlignment="1" applyProtection="1">
      <alignment horizontal="right" vertical="center"/>
    </xf>
    <xf numFmtId="0" fontId="6" fillId="0" borderId="0" xfId="10" applyAlignment="1">
      <alignment horizontal="right" vertical="center"/>
    </xf>
    <xf numFmtId="0" fontId="12" fillId="0" borderId="2" xfId="0" applyFont="1" applyBorder="1" applyAlignment="1" applyProtection="1"/>
    <xf numFmtId="0" fontId="16" fillId="0" borderId="1" xfId="0" applyFont="1" applyBorder="1" applyAlignment="1" applyProtection="1">
      <alignment horizontal="center"/>
      <protection locked="0"/>
    </xf>
    <xf numFmtId="0" fontId="12" fillId="0" borderId="1" xfId="0" applyFont="1" applyBorder="1" applyAlignment="1" applyProtection="1"/>
    <xf numFmtId="0" fontId="67" fillId="0" borderId="2" xfId="10" applyFont="1" applyBorder="1"/>
    <xf numFmtId="0" fontId="67" fillId="0" borderId="1" xfId="10" applyFont="1" applyBorder="1"/>
    <xf numFmtId="0" fontId="6" fillId="0" borderId="1" xfId="10" applyBorder="1"/>
    <xf numFmtId="0" fontId="6" fillId="0" borderId="5" xfId="10" applyBorder="1"/>
    <xf numFmtId="0" fontId="67" fillId="0" borderId="2" xfId="10" applyFont="1" applyBorder="1" applyAlignment="1">
      <alignment horizontal="left"/>
    </xf>
    <xf numFmtId="0" fontId="14" fillId="0" borderId="4" xfId="0" applyFont="1" applyBorder="1" applyAlignment="1" applyProtection="1">
      <alignment vertical="center"/>
      <protection hidden="1"/>
    </xf>
    <xf numFmtId="0" fontId="6" fillId="0" borderId="4" xfId="10" applyBorder="1" applyAlignment="1" applyProtection="1">
      <alignment vertical="center"/>
      <protection hidden="1"/>
    </xf>
    <xf numFmtId="0" fontId="14" fillId="0" borderId="44" xfId="0" applyFont="1" applyBorder="1" applyAlignment="1" applyProtection="1">
      <protection hidden="1"/>
    </xf>
    <xf numFmtId="10" fontId="12" fillId="0" borderId="45" xfId="0" applyNumberFormat="1" applyFont="1" applyBorder="1" applyAlignment="1" applyProtection="1">
      <alignment horizontal="center" vertical="center" wrapText="1"/>
      <protection hidden="1"/>
    </xf>
    <xf numFmtId="10" fontId="14" fillId="0" borderId="45" xfId="0" applyNumberFormat="1" applyFont="1" applyBorder="1" applyAlignment="1" applyProtection="1">
      <alignment horizontal="center" vertical="center" wrapText="1"/>
      <protection hidden="1"/>
    </xf>
    <xf numFmtId="0" fontId="12" fillId="0" borderId="19" xfId="0" applyFont="1" applyBorder="1" applyAlignment="1" applyProtection="1">
      <alignment horizontal="left"/>
      <protection hidden="1"/>
    </xf>
    <xf numFmtId="0" fontId="14" fillId="0" borderId="3" xfId="0" applyFont="1" applyBorder="1" applyAlignment="1" applyProtection="1">
      <alignment vertical="center"/>
      <protection hidden="1"/>
    </xf>
    <xf numFmtId="0" fontId="71" fillId="0" borderId="0" xfId="10" applyFont="1" applyProtection="1">
      <protection hidden="1"/>
    </xf>
    <xf numFmtId="0" fontId="66" fillId="0" borderId="0" xfId="10" applyFont="1" applyProtection="1">
      <protection hidden="1"/>
    </xf>
    <xf numFmtId="0" fontId="6" fillId="0" borderId="0" xfId="10" applyBorder="1" applyAlignment="1">
      <alignment horizontal="left"/>
    </xf>
    <xf numFmtId="0" fontId="5" fillId="0" borderId="1" xfId="10" applyFont="1" applyBorder="1"/>
    <xf numFmtId="0" fontId="67" fillId="0" borderId="1" xfId="10" applyFont="1" applyBorder="1" applyAlignment="1"/>
    <xf numFmtId="0" fontId="67" fillId="0" borderId="5" xfId="10" applyFont="1" applyBorder="1" applyAlignment="1"/>
    <xf numFmtId="0" fontId="72" fillId="0" borderId="0" xfId="10" applyFont="1" applyProtection="1">
      <protection hidden="1"/>
    </xf>
    <xf numFmtId="0" fontId="31" fillId="0" borderId="4" xfId="0" applyFont="1" applyBorder="1" applyAlignment="1" applyProtection="1">
      <alignment horizontal="center"/>
      <protection locked="0" hidden="1"/>
    </xf>
    <xf numFmtId="0" fontId="31" fillId="0" borderId="26" xfId="0" applyFont="1" applyBorder="1" applyAlignment="1" applyProtection="1">
      <alignment horizontal="center"/>
      <protection locked="0" hidden="1"/>
    </xf>
    <xf numFmtId="0" fontId="14" fillId="0" borderId="1" xfId="0" applyFont="1" applyBorder="1" applyAlignment="1" applyProtection="1">
      <alignment horizontal="center"/>
    </xf>
    <xf numFmtId="0" fontId="14" fillId="0" borderId="0" xfId="0" applyFont="1" applyBorder="1" applyAlignment="1" applyProtection="1">
      <alignment horizontal="left"/>
    </xf>
    <xf numFmtId="0" fontId="12" fillId="0" borderId="28" xfId="0" applyFont="1" applyBorder="1" applyAlignment="1" applyProtection="1">
      <alignment horizontal="left"/>
      <protection hidden="1"/>
    </xf>
    <xf numFmtId="0" fontId="67" fillId="0" borderId="0" xfId="10" applyFont="1" applyBorder="1"/>
    <xf numFmtId="0" fontId="67" fillId="0" borderId="0" xfId="10" applyFont="1" applyBorder="1" applyAlignment="1">
      <alignment horizontal="left"/>
    </xf>
    <xf numFmtId="0" fontId="6" fillId="0" borderId="44" xfId="10" applyBorder="1"/>
    <xf numFmtId="0" fontId="12" fillId="0" borderId="44" xfId="0" applyFont="1" applyBorder="1" applyAlignment="1" applyProtection="1">
      <protection hidden="1"/>
    </xf>
    <xf numFmtId="0" fontId="75" fillId="0" borderId="27" xfId="0" applyFont="1" applyBorder="1" applyAlignment="1" applyProtection="1">
      <alignment horizontal="left"/>
      <protection hidden="1"/>
    </xf>
    <xf numFmtId="0" fontId="75" fillId="0" borderId="23" xfId="0" applyFont="1" applyBorder="1" applyAlignment="1" applyProtection="1">
      <protection hidden="1"/>
    </xf>
    <xf numFmtId="0" fontId="75" fillId="0" borderId="18" xfId="0" applyFont="1" applyBorder="1" applyAlignment="1" applyProtection="1">
      <protection hidden="1"/>
    </xf>
    <xf numFmtId="0" fontId="75" fillId="0" borderId="21" xfId="0" applyFont="1" applyBorder="1" applyAlignment="1" applyProtection="1">
      <protection hidden="1"/>
    </xf>
    <xf numFmtId="0" fontId="75" fillId="0" borderId="9" xfId="0" applyFont="1" applyBorder="1" applyAlignment="1" applyProtection="1">
      <protection hidden="1"/>
    </xf>
    <xf numFmtId="0" fontId="76" fillId="0" borderId="43" xfId="0" applyNumberFormat="1" applyFont="1" applyBorder="1" applyAlignment="1" applyProtection="1">
      <alignment horizontal="center" vertical="center" wrapText="1"/>
      <protection hidden="1"/>
    </xf>
    <xf numFmtId="0" fontId="76" fillId="0" borderId="43" xfId="0" applyFont="1" applyBorder="1" applyAlignment="1" applyProtection="1">
      <alignment horizontal="center" vertical="center" wrapText="1"/>
      <protection hidden="1"/>
    </xf>
    <xf numFmtId="0" fontId="75" fillId="0" borderId="43" xfId="0" applyFont="1" applyBorder="1" applyAlignment="1" applyProtection="1">
      <alignment horizontal="left"/>
      <protection hidden="1"/>
    </xf>
    <xf numFmtId="0" fontId="75" fillId="0" borderId="44" xfId="0" applyFont="1" applyBorder="1" applyAlignment="1" applyProtection="1">
      <alignment vertical="center" wrapText="1"/>
      <protection hidden="1"/>
    </xf>
    <xf numFmtId="0" fontId="25" fillId="0" borderId="0" xfId="0" applyFont="1" applyBorder="1" applyAlignment="1" applyProtection="1">
      <alignment horizontal="left"/>
      <protection hidden="1"/>
    </xf>
    <xf numFmtId="0" fontId="67" fillId="0" borderId="1" xfId="10" applyFont="1" applyBorder="1" applyAlignment="1">
      <alignment vertical="center" wrapText="1"/>
    </xf>
    <xf numFmtId="0" fontId="77" fillId="0" borderId="1" xfId="10" applyFont="1" applyBorder="1" applyAlignment="1">
      <alignment horizontal="left" vertical="center"/>
    </xf>
    <xf numFmtId="165" fontId="12" fillId="0" borderId="19" xfId="0" applyNumberFormat="1" applyFont="1" applyBorder="1" applyAlignment="1" applyProtection="1">
      <protection hidden="1"/>
    </xf>
    <xf numFmtId="0" fontId="67" fillId="0" borderId="2" xfId="10" applyFont="1" applyBorder="1" applyProtection="1">
      <protection hidden="1"/>
    </xf>
    <xf numFmtId="0" fontId="73" fillId="0" borderId="0" xfId="10" applyFont="1" applyBorder="1"/>
    <xf numFmtId="0" fontId="71" fillId="0" borderId="0" xfId="10" applyFont="1" applyProtection="1">
      <protection locked="0" hidden="1"/>
    </xf>
    <xf numFmtId="0" fontId="6" fillId="0" borderId="0" xfId="10" applyProtection="1">
      <protection locked="0"/>
    </xf>
    <xf numFmtId="0" fontId="71" fillId="0" borderId="0" xfId="10" applyFont="1" applyAlignment="1" applyProtection="1">
      <alignment horizontal="center" vertical="center"/>
      <protection locked="0" hidden="1"/>
    </xf>
    <xf numFmtId="0" fontId="6" fillId="0" borderId="0" xfId="10" applyAlignment="1" applyProtection="1">
      <alignment horizontal="center" vertical="center"/>
      <protection locked="0"/>
    </xf>
    <xf numFmtId="0" fontId="66" fillId="0" borderId="0" xfId="10" applyFont="1" applyProtection="1">
      <protection locked="0" hidden="1"/>
    </xf>
    <xf numFmtId="14" fontId="6" fillId="0" borderId="0" xfId="10" applyNumberFormat="1"/>
    <xf numFmtId="14" fontId="0" fillId="0" borderId="0" xfId="0" applyNumberFormat="1" applyFont="1" applyFill="1" applyBorder="1" applyAlignment="1"/>
    <xf numFmtId="0" fontId="67" fillId="0" borderId="1" xfId="10" quotePrefix="1" applyFont="1" applyBorder="1" applyAlignment="1"/>
    <xf numFmtId="9" fontId="0" fillId="0" borderId="0" xfId="0" applyNumberFormat="1" applyFont="1" applyFill="1" applyBorder="1" applyAlignment="1"/>
    <xf numFmtId="0" fontId="25" fillId="0" borderId="0" xfId="0" applyFont="1"/>
    <xf numFmtId="2" fontId="12" fillId="0" borderId="5" xfId="0" applyNumberFormat="1" applyFont="1" applyBorder="1" applyProtection="1">
      <protection locked="0"/>
    </xf>
    <xf numFmtId="2" fontId="12" fillId="0" borderId="0" xfId="0" applyNumberFormat="1" applyFont="1" applyProtection="1">
      <protection locked="0"/>
    </xf>
    <xf numFmtId="0" fontId="24" fillId="0" borderId="8" xfId="0" applyFont="1" applyBorder="1" applyAlignment="1" applyProtection="1">
      <alignment horizontal="right"/>
      <protection locked="0" hidden="1"/>
    </xf>
    <xf numFmtId="0" fontId="24" fillId="0" borderId="0" xfId="0" applyFont="1" applyBorder="1" applyAlignment="1" applyProtection="1">
      <alignment horizontal="right"/>
      <protection locked="0" hidden="1"/>
    </xf>
    <xf numFmtId="0" fontId="25" fillId="0" borderId="0" xfId="0" applyFont="1" applyBorder="1" applyAlignment="1">
      <alignment horizontal="right"/>
    </xf>
    <xf numFmtId="0" fontId="25" fillId="0" borderId="0" xfId="0" applyFont="1" applyBorder="1" applyAlignment="1" applyProtection="1">
      <alignment horizontal="right"/>
      <protection locked="0" hidden="1"/>
    </xf>
    <xf numFmtId="0" fontId="25" fillId="0" borderId="0" xfId="0" applyFont="1" applyBorder="1" applyProtection="1">
      <protection locked="0" hidden="1"/>
    </xf>
    <xf numFmtId="0" fontId="16" fillId="0" borderId="0" xfId="0" applyFont="1" applyBorder="1" applyAlignment="1" applyProtection="1">
      <alignment horizontal="center" vertical="center"/>
      <protection locked="0" hidden="1"/>
    </xf>
    <xf numFmtId="0" fontId="58" fillId="0" borderId="0" xfId="0" applyFont="1" applyAlignment="1">
      <alignment horizontal="right"/>
    </xf>
    <xf numFmtId="49" fontId="0" fillId="0" borderId="0" xfId="0" applyNumberFormat="1" applyBorder="1" applyAlignment="1">
      <alignment horizontal="left"/>
    </xf>
    <xf numFmtId="0" fontId="32" fillId="0" borderId="59" xfId="0" applyFont="1" applyBorder="1" applyAlignment="1">
      <alignment horizontal="center" vertical="center" wrapText="1"/>
    </xf>
    <xf numFmtId="4" fontId="0" fillId="0" borderId="0" xfId="0" applyNumberFormat="1" applyBorder="1" applyAlignment="1">
      <alignment horizontal="right"/>
    </xf>
    <xf numFmtId="44" fontId="0" fillId="0" borderId="0" xfId="0" applyNumberFormat="1" applyFill="1" applyBorder="1"/>
    <xf numFmtId="9" fontId="16" fillId="0" borderId="0" xfId="0" applyNumberFormat="1" applyFont="1" applyAlignment="1">
      <alignment horizontal="right"/>
    </xf>
    <xf numFmtId="0" fontId="0" fillId="0" borderId="0" xfId="0" applyBorder="1" applyAlignment="1" applyProtection="1">
      <alignment horizontal="right"/>
      <protection locked="0" hidden="1"/>
    </xf>
    <xf numFmtId="0" fontId="12" fillId="0" borderId="0" xfId="0" applyFont="1" applyAlignment="1" applyProtection="1">
      <alignment horizontal="right"/>
      <protection locked="0"/>
    </xf>
    <xf numFmtId="0" fontId="0" fillId="0" borderId="0" xfId="0" applyBorder="1" applyAlignment="1" applyProtection="1">
      <alignment shrinkToFit="1"/>
      <protection locked="0"/>
    </xf>
    <xf numFmtId="0" fontId="0" fillId="0" borderId="0" xfId="0" applyBorder="1" applyAlignment="1" applyProtection="1">
      <alignment horizontal="center" shrinkToFit="1"/>
      <protection locked="0"/>
    </xf>
    <xf numFmtId="0" fontId="80" fillId="0" borderId="0" xfId="0" applyFont="1" applyFill="1" applyAlignment="1">
      <alignment wrapText="1"/>
    </xf>
    <xf numFmtId="0" fontId="32" fillId="0" borderId="0" xfId="0" applyFont="1" applyBorder="1" applyAlignment="1">
      <alignment horizontal="center" vertical="center" wrapText="1"/>
    </xf>
    <xf numFmtId="0" fontId="0" fillId="0" borderId="0" xfId="0" applyBorder="1" applyAlignment="1" applyProtection="1">
      <alignment horizontal="center" wrapText="1"/>
      <protection locked="0" hidden="1"/>
    </xf>
    <xf numFmtId="0" fontId="59" fillId="0" borderId="0" xfId="0" applyFont="1" applyFill="1" applyBorder="1" applyAlignment="1">
      <alignment horizontal="center" vertical="center"/>
    </xf>
    <xf numFmtId="0" fontId="32" fillId="0" borderId="63" xfId="0" applyFont="1" applyBorder="1" applyAlignment="1">
      <alignment horizontal="center" vertical="center" wrapText="1"/>
    </xf>
    <xf numFmtId="0" fontId="0" fillId="0" borderId="25" xfId="0" applyFill="1" applyBorder="1"/>
    <xf numFmtId="0" fontId="0" fillId="0" borderId="25" xfId="0" applyBorder="1" applyAlignment="1" applyProtection="1">
      <alignment shrinkToFit="1"/>
      <protection locked="0"/>
    </xf>
    <xf numFmtId="8" fontId="26" fillId="0" borderId="0" xfId="0" applyNumberFormat="1" applyFont="1" applyProtection="1">
      <protection locked="0"/>
    </xf>
    <xf numFmtId="0" fontId="26" fillId="0" borderId="0" xfId="0" applyFont="1"/>
    <xf numFmtId="8" fontId="12" fillId="0" borderId="0" xfId="0" applyNumberFormat="1" applyFont="1"/>
    <xf numFmtId="7" fontId="0" fillId="0" borderId="0" xfId="0" applyNumberFormat="1" applyBorder="1" applyAlignment="1" applyProtection="1">
      <alignment horizontal="center" shrinkToFit="1"/>
      <protection locked="0"/>
    </xf>
    <xf numFmtId="0" fontId="12" fillId="0" borderId="0" xfId="0" applyFont="1" applyBorder="1" applyAlignment="1" applyProtection="1">
      <alignment shrinkToFit="1"/>
      <protection locked="0"/>
    </xf>
    <xf numFmtId="0" fontId="26" fillId="0" borderId="8" xfId="0" applyFont="1" applyBorder="1" applyProtection="1">
      <protection hidden="1"/>
    </xf>
    <xf numFmtId="8" fontId="31" fillId="0" borderId="2" xfId="0" applyNumberFormat="1" applyFont="1" applyBorder="1" applyProtection="1">
      <protection hidden="1"/>
    </xf>
    <xf numFmtId="0" fontId="16" fillId="0" borderId="5" xfId="0" quotePrefix="1" applyFont="1" applyBorder="1" applyProtection="1">
      <protection hidden="1"/>
    </xf>
    <xf numFmtId="0" fontId="12" fillId="0" borderId="0" xfId="0" applyFont="1" applyBorder="1" applyAlignment="1" applyProtection="1">
      <protection hidden="1"/>
    </xf>
    <xf numFmtId="0" fontId="26" fillId="0" borderId="0" xfId="0" applyFont="1" applyBorder="1" applyAlignment="1" applyProtection="1">
      <protection hidden="1"/>
    </xf>
    <xf numFmtId="8" fontId="26" fillId="0" borderId="0" xfId="0" applyNumberFormat="1" applyFont="1" applyBorder="1" applyProtection="1">
      <protection hidden="1"/>
    </xf>
    <xf numFmtId="0" fontId="12" fillId="0" borderId="6" xfId="0" quotePrefix="1" applyFont="1" applyBorder="1" applyProtection="1">
      <protection hidden="1"/>
    </xf>
    <xf numFmtId="0" fontId="12" fillId="0" borderId="3" xfId="0" applyFont="1" applyBorder="1" applyAlignment="1" applyProtection="1">
      <alignment vertical="center"/>
      <protection hidden="1"/>
    </xf>
    <xf numFmtId="0" fontId="32" fillId="0" borderId="33" xfId="0" applyFont="1" applyBorder="1" applyAlignment="1" applyProtection="1">
      <alignment horizontal="left"/>
      <protection locked="0"/>
    </xf>
    <xf numFmtId="0" fontId="16" fillId="0" borderId="1" xfId="0" applyFont="1" applyBorder="1" applyAlignment="1" applyProtection="1">
      <alignment horizontal="left"/>
      <protection locked="0"/>
    </xf>
    <xf numFmtId="0" fontId="62" fillId="0" borderId="0" xfId="0" applyFont="1" applyFill="1" applyProtection="1">
      <protection hidden="1"/>
    </xf>
    <xf numFmtId="0" fontId="31" fillId="0" borderId="30" xfId="0" applyFont="1" applyBorder="1" applyAlignment="1" applyProtection="1">
      <alignment horizontal="center"/>
      <protection locked="0" hidden="1"/>
    </xf>
    <xf numFmtId="0" fontId="16" fillId="0" borderId="8" xfId="0" applyFont="1" applyBorder="1" applyAlignment="1" applyProtection="1">
      <alignment horizontal="right"/>
      <protection locked="0"/>
    </xf>
    <xf numFmtId="0" fontId="10" fillId="0" borderId="0" xfId="7" applyBorder="1" applyAlignment="1">
      <alignment vertical="center"/>
    </xf>
    <xf numFmtId="49" fontId="10" fillId="0" borderId="0" xfId="7" applyNumberFormat="1" applyFont="1" applyFill="1" applyBorder="1" applyAlignment="1">
      <alignment vertical="center"/>
    </xf>
    <xf numFmtId="49" fontId="10" fillId="0" borderId="0" xfId="7" applyNumberFormat="1" applyBorder="1" applyAlignment="1">
      <alignment vertical="center"/>
    </xf>
    <xf numFmtId="0" fontId="62" fillId="6" borderId="0" xfId="0" applyFont="1" applyFill="1" applyAlignment="1"/>
    <xf numFmtId="0" fontId="0" fillId="0" borderId="0" xfId="0" applyBorder="1" applyAlignment="1" applyProtection="1">
      <alignment horizontal="left" vertical="center" shrinkToFit="1"/>
      <protection locked="0"/>
    </xf>
    <xf numFmtId="0" fontId="26" fillId="0" borderId="10" xfId="0" applyFont="1" applyBorder="1" applyAlignment="1" applyProtection="1">
      <alignment horizontal="right"/>
      <protection hidden="1"/>
    </xf>
    <xf numFmtId="44" fontId="12" fillId="0" borderId="0" xfId="0" applyNumberFormat="1" applyFont="1"/>
    <xf numFmtId="49" fontId="12" fillId="0" borderId="0" xfId="0" applyNumberFormat="1" applyFont="1" applyBorder="1" applyAlignment="1" applyProtection="1">
      <alignment horizontal="center" vertical="center" wrapText="1"/>
      <protection locked="0" hidden="1"/>
    </xf>
    <xf numFmtId="49" fontId="12" fillId="0" borderId="0" xfId="0" applyNumberFormat="1" applyFont="1" applyFill="1" applyBorder="1" applyAlignment="1" applyProtection="1">
      <alignment horizontal="center" vertical="center" wrapText="1"/>
      <protection locked="0" hidden="1"/>
    </xf>
    <xf numFmtId="49" fontId="12" fillId="0" borderId="0" xfId="0" applyNumberFormat="1" applyFont="1" applyFill="1" applyBorder="1" applyAlignment="1" applyProtection="1">
      <alignment horizontal="center" vertical="center"/>
      <protection locked="0" hidden="1"/>
    </xf>
    <xf numFmtId="1" fontId="0" fillId="0" borderId="0" xfId="0" applyNumberFormat="1" applyFill="1" applyBorder="1" applyAlignment="1" applyProtection="1">
      <alignment horizontal="center" vertical="center"/>
      <protection locked="0" hidden="1"/>
    </xf>
    <xf numFmtId="7" fontId="0" fillId="0" borderId="0" xfId="0" applyNumberFormat="1" applyFill="1" applyBorder="1" applyAlignment="1" applyProtection="1">
      <alignment horizontal="center" vertical="center"/>
      <protection locked="0" hidden="1"/>
    </xf>
    <xf numFmtId="14" fontId="0" fillId="0" borderId="0" xfId="0" applyNumberFormat="1" applyFill="1" applyBorder="1" applyAlignment="1" applyProtection="1">
      <alignment horizontal="right" vertical="center"/>
      <protection locked="0" hidden="1"/>
    </xf>
    <xf numFmtId="14" fontId="0" fillId="0" borderId="0" xfId="1" applyNumberFormat="1" applyFont="1" applyFill="1" applyBorder="1" applyAlignment="1" applyProtection="1">
      <alignment horizontal="right" vertical="center"/>
      <protection hidden="1"/>
    </xf>
    <xf numFmtId="14" fontId="0" fillId="0" borderId="0" xfId="1" applyNumberFormat="1" applyFont="1" applyFill="1" applyBorder="1" applyAlignment="1" applyProtection="1">
      <alignment horizontal="center" vertical="center"/>
      <protection locked="0" hidden="1"/>
    </xf>
    <xf numFmtId="0" fontId="12" fillId="0" borderId="0" xfId="0" applyFont="1" applyBorder="1" applyAlignment="1" applyProtection="1">
      <alignment horizontal="center" wrapText="1"/>
      <protection locked="0" hidden="1"/>
    </xf>
    <xf numFmtId="0" fontId="0" fillId="0" borderId="0" xfId="0" applyBorder="1" applyAlignment="1" applyProtection="1">
      <alignment horizontal="center"/>
      <protection locked="0" hidden="1"/>
    </xf>
    <xf numFmtId="0" fontId="26" fillId="0" borderId="0" xfId="0" applyFont="1" applyProtection="1">
      <protection locked="0"/>
    </xf>
    <xf numFmtId="49" fontId="12" fillId="0" borderId="0" xfId="0" applyNumberFormat="1" applyFont="1" applyBorder="1" applyAlignment="1" applyProtection="1">
      <alignment horizontal="center" vertical="center" wrapText="1"/>
      <protection hidden="1"/>
    </xf>
    <xf numFmtId="49" fontId="12" fillId="0" borderId="0" xfId="0" applyNumberFormat="1" applyFont="1" applyFill="1" applyBorder="1" applyAlignment="1" applyProtection="1">
      <alignment horizontal="center" vertical="center" wrapText="1"/>
      <protection hidden="1"/>
    </xf>
    <xf numFmtId="49" fontId="12" fillId="0" borderId="0" xfId="0" applyNumberFormat="1" applyFont="1" applyFill="1" applyBorder="1" applyAlignment="1" applyProtection="1">
      <alignment horizontal="center" vertical="center"/>
      <protection hidden="1"/>
    </xf>
    <xf numFmtId="1" fontId="0" fillId="0" borderId="0" xfId="0" applyNumberFormat="1" applyFill="1" applyBorder="1" applyAlignment="1" applyProtection="1">
      <alignment horizontal="center" vertical="center"/>
      <protection hidden="1"/>
    </xf>
    <xf numFmtId="44" fontId="31" fillId="0" borderId="5" xfId="0" applyNumberFormat="1" applyFont="1" applyBorder="1" applyAlignment="1" applyProtection="1">
      <protection hidden="1"/>
    </xf>
    <xf numFmtId="0" fontId="0" fillId="0" borderId="0" xfId="0" applyAlignment="1" applyProtection="1">
      <alignment horizontal="right"/>
      <protection hidden="1"/>
    </xf>
    <xf numFmtId="0" fontId="0" fillId="0" borderId="11" xfId="0" applyBorder="1" applyProtection="1">
      <protection hidden="1"/>
    </xf>
    <xf numFmtId="0" fontId="24" fillId="0" borderId="11" xfId="0" applyFont="1" applyBorder="1" applyProtection="1">
      <protection hidden="1"/>
    </xf>
    <xf numFmtId="0" fontId="24" fillId="0" borderId="9" xfId="0" applyFont="1" applyBorder="1" applyProtection="1">
      <protection hidden="1"/>
    </xf>
    <xf numFmtId="0" fontId="24" fillId="0" borderId="0" xfId="0" applyFont="1" applyBorder="1" applyProtection="1">
      <protection hidden="1"/>
    </xf>
    <xf numFmtId="0" fontId="0" fillId="0" borderId="6" xfId="0" applyBorder="1" applyProtection="1">
      <protection hidden="1"/>
    </xf>
    <xf numFmtId="44" fontId="18" fillId="0" borderId="0" xfId="0" applyNumberFormat="1" applyFont="1" applyBorder="1" applyAlignment="1" applyProtection="1">
      <alignment vertical="center"/>
      <protection hidden="1"/>
    </xf>
    <xf numFmtId="165" fontId="31" fillId="0" borderId="0" xfId="0" applyNumberFormat="1" applyFont="1" applyBorder="1" applyAlignment="1" applyProtection="1">
      <alignment horizontal="right"/>
      <protection hidden="1"/>
    </xf>
    <xf numFmtId="8" fontId="26" fillId="0" borderId="0" xfId="0" applyNumberFormat="1" applyFont="1"/>
    <xf numFmtId="0" fontId="4" fillId="0" borderId="9" xfId="10" applyFont="1" applyBorder="1" applyAlignment="1">
      <alignment vertical="center"/>
    </xf>
    <xf numFmtId="0" fontId="6" fillId="0" borderId="11" xfId="10" applyBorder="1"/>
    <xf numFmtId="0" fontId="6" fillId="0" borderId="12" xfId="10" applyBorder="1"/>
    <xf numFmtId="0" fontId="14" fillId="0" borderId="14" xfId="0" applyFont="1" applyBorder="1" applyAlignment="1" applyProtection="1">
      <alignment vertical="center"/>
      <protection hidden="1"/>
    </xf>
    <xf numFmtId="0" fontId="73" fillId="0" borderId="0" xfId="10" applyFont="1" applyBorder="1" applyAlignment="1" applyProtection="1">
      <alignment horizontal="left" vertical="top" shrinkToFit="1"/>
      <protection locked="0"/>
    </xf>
    <xf numFmtId="0" fontId="12" fillId="0" borderId="2" xfId="0" applyFont="1" applyBorder="1" applyProtection="1">
      <protection locked="0"/>
    </xf>
    <xf numFmtId="0" fontId="12" fillId="0" borderId="3" xfId="0" applyFont="1" applyBorder="1" applyProtection="1">
      <protection locked="0"/>
    </xf>
    <xf numFmtId="0" fontId="12" fillId="0" borderId="1" xfId="0" applyFont="1" applyBorder="1" applyProtection="1">
      <protection locked="0"/>
    </xf>
    <xf numFmtId="0" fontId="12" fillId="0" borderId="5" xfId="0" applyFont="1" applyBorder="1" applyProtection="1">
      <protection locked="0"/>
    </xf>
    <xf numFmtId="0" fontId="12" fillId="0" borderId="4" xfId="0" applyFont="1" applyBorder="1" applyAlignment="1" applyProtection="1">
      <alignment horizontal="center"/>
      <protection locked="0"/>
    </xf>
    <xf numFmtId="7" fontId="12" fillId="0" borderId="4" xfId="0" applyNumberFormat="1" applyFont="1" applyBorder="1" applyAlignment="1" applyProtection="1">
      <alignment horizontal="centerContinuous"/>
      <protection locked="0"/>
    </xf>
    <xf numFmtId="44" fontId="12" fillId="0" borderId="4" xfId="0" applyNumberFormat="1" applyFont="1" applyBorder="1" applyAlignment="1" applyProtection="1">
      <alignment horizontal="centerContinuous"/>
      <protection locked="0"/>
    </xf>
    <xf numFmtId="7" fontId="12" fillId="0" borderId="4" xfId="1" applyNumberFormat="1" applyFont="1" applyBorder="1" applyAlignment="1" applyProtection="1">
      <alignment horizontal="centerContinuous"/>
      <protection locked="0"/>
    </xf>
    <xf numFmtId="44" fontId="12" fillId="0" borderId="4" xfId="1" applyNumberFormat="1" applyFont="1" applyBorder="1" applyAlignment="1" applyProtection="1">
      <alignment horizontal="centerContinuous"/>
      <protection locked="0"/>
    </xf>
    <xf numFmtId="0" fontId="12" fillId="0" borderId="0" xfId="0" applyFont="1" applyBorder="1" applyProtection="1">
      <protection locked="0"/>
    </xf>
    <xf numFmtId="0" fontId="12" fillId="0" borderId="6" xfId="0" applyFont="1" applyBorder="1" applyProtection="1">
      <protection locked="0"/>
    </xf>
    <xf numFmtId="7" fontId="12" fillId="0" borderId="7" xfId="1" applyNumberFormat="1" applyFont="1" applyBorder="1" applyAlignment="1" applyProtection="1">
      <alignment horizontal="centerContinuous"/>
      <protection locked="0"/>
    </xf>
    <xf numFmtId="0" fontId="16" fillId="0" borderId="41" xfId="0" applyFont="1" applyBorder="1" applyAlignment="1"/>
    <xf numFmtId="0" fontId="62" fillId="0" borderId="0" xfId="0" applyFont="1" applyFill="1" applyBorder="1" applyAlignment="1" applyProtection="1">
      <protection hidden="1"/>
    </xf>
    <xf numFmtId="0" fontId="32" fillId="0" borderId="33" xfId="0" applyFont="1" applyBorder="1" applyAlignment="1" applyProtection="1">
      <alignment horizontal="left"/>
      <protection locked="0"/>
    </xf>
    <xf numFmtId="0" fontId="16" fillId="0" borderId="1" xfId="0" applyFont="1" applyBorder="1" applyAlignment="1" applyProtection="1">
      <alignment horizontal="left"/>
      <protection locked="0"/>
    </xf>
    <xf numFmtId="0" fontId="25" fillId="0" borderId="3" xfId="0" applyFont="1" applyBorder="1" applyAlignment="1">
      <alignment horizontal="left"/>
    </xf>
    <xf numFmtId="0" fontId="25" fillId="0" borderId="3" xfId="0" applyFont="1" applyBorder="1" applyAlignment="1" applyProtection="1">
      <alignment horizontal="left"/>
      <protection locked="0"/>
    </xf>
    <xf numFmtId="0" fontId="25" fillId="0" borderId="7" xfId="0" applyFont="1" applyFill="1" applyBorder="1" applyAlignment="1" applyProtection="1">
      <alignment horizontal="left"/>
      <protection locked="0"/>
    </xf>
    <xf numFmtId="0" fontId="24" fillId="0" borderId="3" xfId="0" applyFont="1" applyBorder="1" applyAlignment="1" applyProtection="1">
      <protection locked="0"/>
    </xf>
    <xf numFmtId="0" fontId="12" fillId="0" borderId="3" xfId="0" applyFont="1" applyBorder="1" applyAlignment="1" applyProtection="1">
      <alignment vertical="center" wrapText="1"/>
      <protection hidden="1"/>
    </xf>
    <xf numFmtId="0" fontId="77" fillId="0" borderId="2" xfId="10" applyFont="1" applyBorder="1" applyAlignment="1" applyProtection="1">
      <alignment wrapText="1"/>
      <protection locked="0"/>
    </xf>
    <xf numFmtId="0" fontId="78" fillId="0" borderId="1" xfId="10" applyFont="1" applyBorder="1" applyAlignment="1" applyProtection="1">
      <alignment horizontal="left"/>
      <protection locked="0"/>
    </xf>
    <xf numFmtId="0" fontId="73" fillId="0" borderId="11" xfId="7" applyFont="1" applyBorder="1" applyAlignment="1" applyProtection="1">
      <protection locked="0"/>
    </xf>
    <xf numFmtId="0" fontId="73" fillId="0" borderId="12" xfId="7" applyFont="1" applyBorder="1" applyAlignment="1" applyProtection="1">
      <protection locked="0"/>
    </xf>
    <xf numFmtId="0" fontId="73" fillId="0" borderId="0" xfId="7" applyFont="1" applyBorder="1" applyAlignment="1" applyProtection="1">
      <protection locked="0"/>
    </xf>
    <xf numFmtId="0" fontId="73" fillId="0" borderId="6" xfId="7" applyFont="1" applyBorder="1" applyAlignment="1" applyProtection="1">
      <protection locked="0"/>
    </xf>
    <xf numFmtId="0" fontId="73" fillId="0" borderId="8" xfId="7" applyFont="1" applyBorder="1" applyAlignment="1" applyProtection="1">
      <protection locked="0"/>
    </xf>
    <xf numFmtId="0" fontId="73" fillId="0" borderId="13" xfId="7" applyFont="1" applyBorder="1" applyAlignment="1" applyProtection="1">
      <protection locked="0"/>
    </xf>
    <xf numFmtId="0" fontId="73" fillId="0" borderId="9" xfId="7" applyFont="1" applyBorder="1" applyAlignment="1" applyProtection="1">
      <alignment horizontal="left" vertical="center"/>
      <protection locked="0"/>
    </xf>
    <xf numFmtId="0" fontId="73" fillId="0" borderId="3" xfId="7" applyFont="1" applyBorder="1" applyAlignment="1" applyProtection="1">
      <alignment horizontal="left" vertical="center"/>
      <protection locked="0"/>
    </xf>
    <xf numFmtId="0" fontId="73" fillId="0" borderId="10" xfId="7" applyFont="1" applyBorder="1" applyAlignment="1" applyProtection="1">
      <alignment horizontal="left" vertical="center"/>
      <protection locked="0"/>
    </xf>
    <xf numFmtId="0" fontId="62" fillId="0" borderId="0" xfId="0" applyNumberFormat="1" applyFont="1" applyFill="1" applyBorder="1" applyProtection="1">
      <protection hidden="1"/>
    </xf>
    <xf numFmtId="0" fontId="16" fillId="0" borderId="0" xfId="0" applyFont="1" applyAlignment="1" applyProtection="1">
      <alignment horizontal="right"/>
      <protection locked="0"/>
    </xf>
    <xf numFmtId="44" fontId="62" fillId="0" borderId="0" xfId="0" applyNumberFormat="1" applyFont="1" applyProtection="1">
      <protection hidden="1"/>
    </xf>
    <xf numFmtId="0" fontId="2" fillId="0" borderId="6" xfId="7" applyFont="1" applyFill="1" applyBorder="1" applyAlignment="1" applyProtection="1">
      <alignment horizontal="center" vertical="center"/>
      <protection locked="0"/>
    </xf>
    <xf numFmtId="0" fontId="14" fillId="0" borderId="0" xfId="0" applyFont="1" applyBorder="1" applyAlignment="1" applyProtection="1">
      <alignment horizontal="left"/>
      <protection locked="0"/>
    </xf>
    <xf numFmtId="44" fontId="14" fillId="0" borderId="0" xfId="1" applyFont="1" applyBorder="1" applyAlignment="1" applyProtection="1">
      <alignment horizontal="center"/>
      <protection locked="0"/>
    </xf>
    <xf numFmtId="0" fontId="12" fillId="0" borderId="0" xfId="0" applyFont="1" applyBorder="1" applyAlignment="1" applyProtection="1">
      <alignment horizontal="left"/>
      <protection locked="0"/>
    </xf>
    <xf numFmtId="0" fontId="14" fillId="0" borderId="0" xfId="0" applyFont="1" applyBorder="1" applyAlignment="1" applyProtection="1">
      <alignment horizontal="center"/>
      <protection locked="0"/>
    </xf>
    <xf numFmtId="0" fontId="24" fillId="0" borderId="9" xfId="0" applyFont="1" applyBorder="1" applyProtection="1">
      <protection locked="0"/>
    </xf>
    <xf numFmtId="0" fontId="24" fillId="0" borderId="4" xfId="0" applyFont="1" applyBorder="1" applyProtection="1">
      <protection locked="0"/>
    </xf>
    <xf numFmtId="0" fontId="24" fillId="0" borderId="2" xfId="0" applyFont="1" applyBorder="1" applyProtection="1">
      <protection locked="0"/>
    </xf>
    <xf numFmtId="44" fontId="24" fillId="0" borderId="4" xfId="1" applyFont="1" applyBorder="1" applyProtection="1">
      <protection locked="0"/>
    </xf>
    <xf numFmtId="44" fontId="24" fillId="0" borderId="2" xfId="1" applyFont="1" applyBorder="1" applyProtection="1">
      <protection locked="0"/>
    </xf>
    <xf numFmtId="0" fontId="24" fillId="0" borderId="0" xfId="0" applyFont="1" applyBorder="1" applyProtection="1">
      <protection locked="0"/>
    </xf>
    <xf numFmtId="0" fontId="24" fillId="0" borderId="0" xfId="0" applyFont="1" applyProtection="1">
      <protection locked="0"/>
    </xf>
    <xf numFmtId="44" fontId="24" fillId="0" borderId="15" xfId="1" applyFont="1" applyBorder="1" applyProtection="1">
      <protection locked="0"/>
    </xf>
    <xf numFmtId="44" fontId="0" fillId="5" borderId="8" xfId="0" applyNumberFormat="1" applyFill="1" applyBorder="1" applyProtection="1">
      <protection locked="0" hidden="1"/>
    </xf>
    <xf numFmtId="172" fontId="24" fillId="0" borderId="15" xfId="1" applyNumberFormat="1" applyFont="1" applyBorder="1" applyProtection="1">
      <protection locked="0" hidden="1"/>
    </xf>
    <xf numFmtId="2" fontId="0" fillId="0" borderId="0" xfId="0" applyNumberFormat="1" applyAlignment="1" applyProtection="1">
      <alignment horizontal="left"/>
      <protection locked="0"/>
    </xf>
    <xf numFmtId="171" fontId="6" fillId="0" borderId="0" xfId="10" applyNumberFormat="1"/>
    <xf numFmtId="0" fontId="26" fillId="0" borderId="0" xfId="0" applyFont="1" applyBorder="1" applyAlignment="1" applyProtection="1">
      <alignment horizontal="left"/>
      <protection locked="0"/>
    </xf>
    <xf numFmtId="0" fontId="32" fillId="0" borderId="33" xfId="0" applyFont="1" applyBorder="1" applyAlignment="1" applyProtection="1">
      <alignment horizontal="left"/>
      <protection locked="0"/>
    </xf>
    <xf numFmtId="0" fontId="16" fillId="0" borderId="1" xfId="0" applyFont="1" applyBorder="1" applyAlignment="1" applyProtection="1">
      <alignment horizontal="left"/>
      <protection locked="0"/>
    </xf>
    <xf numFmtId="0" fontId="5" fillId="0" borderId="0" xfId="10" applyFont="1" applyProtection="1">
      <protection locked="0"/>
    </xf>
    <xf numFmtId="0" fontId="6" fillId="0" borderId="0" xfId="10" applyNumberFormat="1" applyProtection="1">
      <protection locked="0"/>
    </xf>
    <xf numFmtId="14" fontId="6" fillId="0" borderId="0" xfId="10" applyNumberFormat="1" applyProtection="1">
      <protection locked="0"/>
    </xf>
    <xf numFmtId="0" fontId="0" fillId="0" borderId="11" xfId="0" applyBorder="1" applyAlignment="1" applyProtection="1">
      <protection locked="0"/>
    </xf>
    <xf numFmtId="0" fontId="81" fillId="0" borderId="0" xfId="0" applyFont="1" applyAlignment="1">
      <alignment horizontal="right"/>
    </xf>
    <xf numFmtId="0" fontId="32" fillId="0" borderId="0" xfId="0" applyFont="1" applyAlignment="1" applyProtection="1">
      <alignment horizontal="right"/>
      <protection locked="0"/>
    </xf>
    <xf numFmtId="0" fontId="62" fillId="0" borderId="0" xfId="0" applyFont="1" applyBorder="1" applyAlignment="1"/>
    <xf numFmtId="0" fontId="12" fillId="0" borderId="28" xfId="0" applyFont="1" applyBorder="1" applyAlignment="1"/>
    <xf numFmtId="0" fontId="82" fillId="0" borderId="28" xfId="0" applyFont="1" applyFill="1" applyBorder="1" applyAlignment="1" applyProtection="1">
      <protection hidden="1"/>
    </xf>
    <xf numFmtId="0" fontId="12" fillId="0" borderId="2" xfId="0" applyFont="1" applyBorder="1" applyAlignment="1" applyProtection="1">
      <alignment shrinkToFit="1"/>
      <protection locked="0"/>
    </xf>
    <xf numFmtId="0" fontId="12" fillId="0" borderId="10" xfId="0" applyFont="1" applyBorder="1" applyAlignment="1" applyProtection="1">
      <alignment shrinkToFit="1"/>
      <protection locked="0"/>
    </xf>
    <xf numFmtId="0" fontId="24" fillId="0" borderId="3" xfId="0" applyFont="1" applyBorder="1" applyAlignment="1" applyProtection="1">
      <alignment shrinkToFit="1"/>
      <protection locked="0"/>
    </xf>
    <xf numFmtId="0" fontId="24" fillId="0" borderId="15" xfId="0" applyFont="1" applyBorder="1" applyAlignment="1" applyProtection="1">
      <alignment shrinkToFit="1"/>
      <protection locked="0" hidden="1"/>
    </xf>
    <xf numFmtId="0" fontId="24" fillId="0" borderId="4" xfId="0" applyFont="1" applyBorder="1" applyAlignment="1" applyProtection="1">
      <alignment shrinkToFit="1"/>
      <protection locked="0" hidden="1"/>
    </xf>
    <xf numFmtId="0" fontId="24" fillId="0" borderId="10" xfId="0" applyFont="1" applyBorder="1" applyAlignment="1" applyProtection="1">
      <alignment shrinkToFit="1"/>
      <protection locked="0" hidden="1"/>
    </xf>
    <xf numFmtId="0" fontId="12" fillId="0" borderId="15" xfId="0" applyFont="1" applyBorder="1" applyAlignment="1" applyProtection="1">
      <alignment shrinkToFit="1"/>
      <protection locked="0"/>
    </xf>
    <xf numFmtId="0" fontId="12" fillId="0" borderId="4" xfId="0" applyFont="1" applyBorder="1" applyAlignment="1" applyProtection="1">
      <alignment shrinkToFit="1"/>
      <protection locked="0"/>
    </xf>
    <xf numFmtId="14" fontId="12" fillId="0" borderId="0" xfId="0" applyNumberFormat="1" applyFont="1"/>
    <xf numFmtId="14" fontId="0" fillId="0" borderId="0" xfId="0" applyNumberFormat="1"/>
    <xf numFmtId="0" fontId="25" fillId="0" borderId="28" xfId="0" applyFont="1" applyBorder="1" applyAlignment="1" applyProtection="1">
      <alignment horizontal="center" vertical="center"/>
      <protection locked="0"/>
    </xf>
    <xf numFmtId="0" fontId="12" fillId="0" borderId="28" xfId="0" applyFont="1" applyBorder="1" applyAlignment="1" applyProtection="1">
      <alignment horizontal="left"/>
    </xf>
    <xf numFmtId="0" fontId="31" fillId="0" borderId="27" xfId="0" applyFont="1" applyBorder="1" applyAlignment="1" applyProtection="1">
      <alignment horizontal="center"/>
      <protection locked="0" hidden="1"/>
    </xf>
    <xf numFmtId="0" fontId="70" fillId="0" borderId="28" xfId="0" applyFont="1" applyBorder="1" applyAlignment="1" applyProtection="1">
      <protection locked="0"/>
    </xf>
    <xf numFmtId="0" fontId="26" fillId="0" borderId="0" xfId="0" applyFont="1" applyBorder="1" applyAlignment="1" applyProtection="1">
      <protection locked="0"/>
    </xf>
    <xf numFmtId="0" fontId="70" fillId="0" borderId="6" xfId="0" applyFont="1" applyBorder="1" applyAlignment="1" applyProtection="1">
      <protection locked="0"/>
    </xf>
    <xf numFmtId="0" fontId="12" fillId="0" borderId="28" xfId="0" applyFont="1" applyBorder="1" applyAlignment="1" applyProtection="1">
      <alignment vertical="center"/>
      <protection locked="0" hidden="1"/>
    </xf>
    <xf numFmtId="0" fontId="12" fillId="0" borderId="34" xfId="0" applyFont="1" applyBorder="1" applyAlignment="1" applyProtection="1">
      <alignment shrinkToFit="1"/>
      <protection locked="0" hidden="1"/>
    </xf>
    <xf numFmtId="0" fontId="26" fillId="0" borderId="34" xfId="0" applyFont="1" applyBorder="1" applyAlignment="1" applyProtection="1">
      <alignment shrinkToFit="1"/>
      <protection locked="0" hidden="1"/>
    </xf>
    <xf numFmtId="0" fontId="10" fillId="5" borderId="2" xfId="7" applyFill="1" applyBorder="1"/>
    <xf numFmtId="0" fontId="10" fillId="5" borderId="34" xfId="7" applyFill="1" applyBorder="1"/>
    <xf numFmtId="10" fontId="73" fillId="0" borderId="48" xfId="7" applyNumberFormat="1" applyFont="1" applyBorder="1" applyAlignment="1" applyProtection="1">
      <alignment horizontal="center" vertical="center"/>
      <protection locked="0"/>
    </xf>
    <xf numFmtId="10" fontId="73" fillId="0" borderId="32" xfId="7" applyNumberFormat="1" applyFont="1" applyBorder="1" applyAlignment="1" applyProtection="1">
      <alignment horizontal="center" vertical="center"/>
      <protection locked="0"/>
    </xf>
    <xf numFmtId="49" fontId="1" fillId="0" borderId="15" xfId="7" applyNumberFormat="1" applyFont="1" applyFill="1" applyBorder="1" applyAlignment="1" applyProtection="1">
      <alignment horizontal="center" vertical="center"/>
      <protection locked="0"/>
    </xf>
    <xf numFmtId="0" fontId="73" fillId="0" borderId="10" xfId="7" applyNumberFormat="1" applyFont="1" applyFill="1" applyBorder="1" applyAlignment="1" applyProtection="1">
      <alignment horizontal="center" vertical="center"/>
      <protection hidden="1"/>
    </xf>
    <xf numFmtId="0" fontId="1" fillId="0" borderId="0" xfId="7" applyFont="1" applyBorder="1" applyAlignment="1" applyProtection="1">
      <alignment horizontal="center"/>
      <protection locked="0"/>
    </xf>
    <xf numFmtId="0" fontId="12" fillId="0" borderId="28" xfId="0" applyFont="1" applyBorder="1" applyAlignment="1" applyProtection="1">
      <alignment horizontal="left" vertical="center"/>
      <protection locked="0" hidden="1"/>
    </xf>
    <xf numFmtId="0" fontId="12" fillId="0" borderId="31" xfId="0" applyFont="1" applyBorder="1" applyAlignment="1" applyProtection="1">
      <alignment horizontal="left" vertical="center"/>
      <protection locked="0" hidden="1"/>
    </xf>
    <xf numFmtId="164" fontId="12" fillId="0" borderId="3" xfId="0" applyNumberFormat="1" applyFont="1" applyBorder="1" applyAlignment="1" applyProtection="1">
      <alignment horizontal="center" vertical="center" wrapText="1"/>
      <protection hidden="1"/>
    </xf>
    <xf numFmtId="164" fontId="12" fillId="0" borderId="0" xfId="0" applyNumberFormat="1" applyFont="1" applyBorder="1" applyAlignment="1" applyProtection="1">
      <alignment horizontal="center" vertical="center" wrapText="1"/>
      <protection hidden="1"/>
    </xf>
    <xf numFmtId="164" fontId="12" fillId="0" borderId="6" xfId="0" applyNumberFormat="1" applyFont="1" applyBorder="1" applyAlignment="1" applyProtection="1">
      <alignment horizontal="center" vertical="center" wrapText="1"/>
      <protection hidden="1"/>
    </xf>
    <xf numFmtId="164" fontId="12" fillId="0" borderId="31" xfId="0" applyNumberFormat="1" applyFont="1" applyBorder="1" applyAlignment="1" applyProtection="1">
      <alignment horizontal="center" vertical="center" wrapText="1"/>
      <protection hidden="1"/>
    </xf>
    <xf numFmtId="164" fontId="12" fillId="0" borderId="28" xfId="0" applyNumberFormat="1" applyFont="1" applyBorder="1" applyAlignment="1" applyProtection="1">
      <alignment horizontal="center" vertical="center" wrapText="1"/>
      <protection hidden="1"/>
    </xf>
    <xf numFmtId="164" fontId="12" fillId="0" borderId="29" xfId="0" applyNumberFormat="1" applyFont="1" applyBorder="1" applyAlignment="1" applyProtection="1">
      <alignment horizontal="center" vertical="center" wrapText="1"/>
      <protection hidden="1"/>
    </xf>
    <xf numFmtId="164" fontId="16" fillId="4" borderId="3" xfId="3" applyNumberFormat="1" applyFont="1" applyFill="1" applyBorder="1" applyAlignment="1" applyProtection="1">
      <alignment horizontal="center" vertical="center"/>
    </xf>
    <xf numFmtId="164" fontId="16" fillId="4" borderId="0" xfId="3" applyNumberFormat="1" applyFont="1" applyFill="1" applyBorder="1" applyAlignment="1" applyProtection="1">
      <alignment horizontal="center" vertical="center"/>
    </xf>
    <xf numFmtId="164" fontId="16" fillId="4" borderId="47" xfId="3" applyNumberFormat="1" applyFont="1" applyFill="1" applyBorder="1" applyAlignment="1" applyProtection="1">
      <alignment horizontal="center" vertical="center"/>
    </xf>
    <xf numFmtId="164" fontId="16" fillId="4" borderId="31" xfId="3" applyNumberFormat="1" applyFont="1" applyFill="1" applyBorder="1" applyAlignment="1" applyProtection="1">
      <alignment horizontal="center" vertical="center"/>
    </xf>
    <xf numFmtId="164" fontId="16" fillId="4" borderId="28" xfId="3" applyNumberFormat="1" applyFont="1" applyFill="1" applyBorder="1" applyAlignment="1" applyProtection="1">
      <alignment horizontal="center" vertical="center"/>
    </xf>
    <xf numFmtId="164" fontId="16" fillId="4" borderId="32" xfId="3" applyNumberFormat="1" applyFont="1" applyFill="1" applyBorder="1" applyAlignment="1" applyProtection="1">
      <alignment horizontal="center" vertical="center"/>
    </xf>
    <xf numFmtId="0" fontId="12" fillId="0" borderId="31" xfId="0" applyFont="1" applyBorder="1" applyAlignment="1" applyProtection="1">
      <alignment horizontal="left" vertical="center"/>
    </xf>
    <xf numFmtId="0" fontId="12" fillId="0" borderId="28" xfId="0" applyFont="1" applyBorder="1" applyAlignment="1" applyProtection="1">
      <alignment horizontal="left" vertical="center"/>
    </xf>
    <xf numFmtId="0" fontId="26" fillId="0" borderId="1" xfId="0" applyFont="1" applyBorder="1" applyAlignment="1" applyProtection="1">
      <alignment horizontal="center"/>
      <protection hidden="1"/>
    </xf>
    <xf numFmtId="0" fontId="25" fillId="0" borderId="1" xfId="0" applyFont="1" applyBorder="1" applyAlignment="1" applyProtection="1">
      <alignment horizontal="center"/>
      <protection hidden="1"/>
    </xf>
    <xf numFmtId="0" fontId="12" fillId="0" borderId="33" xfId="0" applyNumberFormat="1" applyFont="1" applyBorder="1" applyAlignment="1" applyProtection="1">
      <alignment horizontal="center" vertical="center" shrinkToFit="1"/>
      <protection locked="0"/>
    </xf>
    <xf numFmtId="0" fontId="12" fillId="0" borderId="1" xfId="0" applyNumberFormat="1" applyFont="1" applyBorder="1" applyAlignment="1" applyProtection="1">
      <alignment horizontal="center" vertical="center" shrinkToFit="1"/>
      <protection locked="0"/>
    </xf>
    <xf numFmtId="0" fontId="68" fillId="0" borderId="2" xfId="0" applyFont="1" applyBorder="1" applyAlignment="1" applyProtection="1">
      <alignment horizontal="left"/>
      <protection hidden="1"/>
    </xf>
    <xf numFmtId="0" fontId="68" fillId="0" borderId="1" xfId="0" applyFont="1" applyBorder="1" applyAlignment="1" applyProtection="1">
      <alignment horizontal="left"/>
      <protection hidden="1"/>
    </xf>
    <xf numFmtId="0" fontId="68" fillId="0" borderId="5" xfId="0" applyFont="1" applyBorder="1" applyAlignment="1" applyProtection="1">
      <alignment horizontal="left"/>
      <protection hidden="1"/>
    </xf>
    <xf numFmtId="164" fontId="32" fillId="6" borderId="2" xfId="3" applyNumberFormat="1" applyFont="1" applyFill="1" applyBorder="1" applyAlignment="1" applyProtection="1">
      <alignment horizontal="center"/>
      <protection hidden="1"/>
    </xf>
    <xf numFmtId="164" fontId="32" fillId="6" borderId="1" xfId="3" applyNumberFormat="1" applyFont="1" applyFill="1" applyBorder="1" applyAlignment="1" applyProtection="1">
      <alignment horizontal="center"/>
      <protection hidden="1"/>
    </xf>
    <xf numFmtId="164" fontId="32" fillId="6" borderId="5" xfId="3" applyNumberFormat="1" applyFont="1" applyFill="1" applyBorder="1" applyAlignment="1" applyProtection="1">
      <alignment horizontal="center"/>
      <protection hidden="1"/>
    </xf>
    <xf numFmtId="0" fontId="12" fillId="0" borderId="33" xfId="0" applyNumberFormat="1" applyFont="1" applyBorder="1" applyAlignment="1" applyProtection="1">
      <alignment vertical="center" shrinkToFit="1"/>
      <protection locked="0"/>
    </xf>
    <xf numFmtId="0" fontId="12" fillId="0" borderId="1" xfId="0" applyNumberFormat="1" applyFont="1" applyBorder="1" applyAlignment="1" applyProtection="1">
      <alignment vertical="center" shrinkToFit="1"/>
      <protection locked="0"/>
    </xf>
    <xf numFmtId="0" fontId="12" fillId="0" borderId="34" xfId="0" applyNumberFormat="1" applyFont="1" applyBorder="1" applyAlignment="1" applyProtection="1">
      <alignment vertical="center" shrinkToFit="1"/>
      <protection locked="0"/>
    </xf>
    <xf numFmtId="8" fontId="14" fillId="4" borderId="38" xfId="1" applyNumberFormat="1" applyFont="1" applyFill="1" applyBorder="1" applyAlignment="1">
      <alignment horizontal="right"/>
    </xf>
    <xf numFmtId="44" fontId="14" fillId="4" borderId="38" xfId="1" applyFont="1" applyFill="1" applyBorder="1" applyAlignment="1">
      <alignment horizontal="right"/>
    </xf>
    <xf numFmtId="44" fontId="14" fillId="4" borderId="39" xfId="1" applyFont="1" applyFill="1" applyBorder="1" applyAlignment="1">
      <alignment horizontal="right"/>
    </xf>
    <xf numFmtId="44" fontId="12" fillId="0" borderId="10" xfId="1" applyFont="1" applyBorder="1" applyAlignment="1">
      <alignment horizontal="center"/>
    </xf>
    <xf numFmtId="44" fontId="14" fillId="0" borderId="8" xfId="1" applyFont="1" applyBorder="1" applyAlignment="1">
      <alignment horizontal="center"/>
    </xf>
    <xf numFmtId="44" fontId="14" fillId="0" borderId="13" xfId="1" applyFont="1" applyBorder="1" applyAlignment="1">
      <alignment horizontal="center"/>
    </xf>
    <xf numFmtId="164" fontId="32" fillId="0" borderId="40" xfId="3" applyNumberFormat="1" applyFont="1" applyBorder="1" applyAlignment="1" applyProtection="1">
      <alignment horizontal="center"/>
      <protection locked="0"/>
    </xf>
    <xf numFmtId="164" fontId="32" fillId="0" borderId="41" xfId="3" applyNumberFormat="1" applyFont="1" applyBorder="1" applyAlignment="1" applyProtection="1">
      <alignment horizontal="center"/>
      <protection locked="0"/>
    </xf>
    <xf numFmtId="0" fontId="14" fillId="0" borderId="2" xfId="0" applyFont="1" applyBorder="1" applyAlignment="1" applyProtection="1">
      <alignment horizontal="center" shrinkToFit="1"/>
      <protection locked="0"/>
    </xf>
    <xf numFmtId="0" fontId="14" fillId="0" borderId="1" xfId="0" applyFont="1" applyBorder="1" applyAlignment="1" applyProtection="1">
      <alignment horizontal="center" shrinkToFit="1"/>
      <protection locked="0"/>
    </xf>
    <xf numFmtId="0" fontId="14" fillId="0" borderId="5" xfId="0" applyFont="1" applyBorder="1" applyAlignment="1" applyProtection="1">
      <alignment horizontal="center" shrinkToFit="1"/>
      <protection locked="0"/>
    </xf>
    <xf numFmtId="2" fontId="14" fillId="0" borderId="1" xfId="0" applyNumberFormat="1" applyFont="1" applyBorder="1" applyAlignment="1" applyProtection="1">
      <alignment horizontal="right"/>
      <protection locked="0"/>
    </xf>
    <xf numFmtId="0" fontId="12" fillId="0" borderId="1" xfId="0" applyFont="1" applyBorder="1" applyAlignment="1" applyProtection="1">
      <alignment horizontal="center" shrinkToFit="1"/>
      <protection locked="0"/>
    </xf>
    <xf numFmtId="7" fontId="12" fillId="0" borderId="1" xfId="0" applyNumberFormat="1" applyFont="1" applyBorder="1" applyAlignment="1" applyProtection="1">
      <alignment horizontal="center" shrinkToFit="1"/>
      <protection locked="0"/>
    </xf>
    <xf numFmtId="7" fontId="12" fillId="0" borderId="34" xfId="0" applyNumberFormat="1" applyFont="1" applyBorder="1" applyAlignment="1" applyProtection="1">
      <alignment horizontal="center" shrinkToFit="1"/>
      <protection locked="0"/>
    </xf>
    <xf numFmtId="0" fontId="16" fillId="5" borderId="33" xfId="0" applyFont="1" applyFill="1" applyBorder="1" applyAlignment="1" applyProtection="1">
      <alignment horizontal="center" shrinkToFit="1"/>
      <protection locked="0"/>
    </xf>
    <xf numFmtId="0" fontId="0" fillId="0" borderId="1" xfId="0" applyBorder="1" applyAlignment="1" applyProtection="1">
      <alignment horizontal="center" shrinkToFit="1"/>
      <protection locked="0"/>
    </xf>
    <xf numFmtId="164" fontId="32" fillId="0" borderId="4" xfId="3" applyNumberFormat="1" applyFont="1" applyBorder="1" applyAlignment="1" applyProtection="1">
      <alignment horizontal="center"/>
      <protection locked="0" hidden="1"/>
    </xf>
    <xf numFmtId="0" fontId="12" fillId="0" borderId="33" xfId="0" applyFont="1" applyBorder="1" applyAlignment="1" applyProtection="1">
      <alignment horizontal="left" vertical="center" shrinkToFit="1"/>
      <protection locked="0"/>
    </xf>
    <xf numFmtId="0" fontId="12" fillId="0" borderId="1" xfId="0" applyFont="1" applyBorder="1" applyAlignment="1" applyProtection="1">
      <alignment horizontal="left" vertical="center" shrinkToFit="1"/>
      <protection locked="0"/>
    </xf>
    <xf numFmtId="0" fontId="12" fillId="0" borderId="1" xfId="0" applyFont="1" applyBorder="1" applyAlignment="1" applyProtection="1">
      <alignment horizontal="right"/>
      <protection locked="0"/>
    </xf>
    <xf numFmtId="2" fontId="14" fillId="0" borderId="38" xfId="0" applyNumberFormat="1" applyFont="1" applyBorder="1" applyAlignment="1" applyProtection="1">
      <alignment horizontal="left"/>
      <protection locked="0"/>
    </xf>
    <xf numFmtId="165" fontId="12" fillId="0" borderId="1" xfId="0" applyNumberFormat="1" applyFont="1" applyBorder="1" applyAlignment="1" applyProtection="1">
      <alignment horizontal="right"/>
      <protection locked="0"/>
    </xf>
    <xf numFmtId="0" fontId="14" fillId="0" borderId="2" xfId="1" applyNumberFormat="1" applyFont="1" applyBorder="1" applyAlignment="1" applyProtection="1">
      <alignment horizontal="center" shrinkToFit="1"/>
      <protection locked="0"/>
    </xf>
    <xf numFmtId="0" fontId="14" fillId="0" borderId="1" xfId="1" applyNumberFormat="1" applyFont="1" applyBorder="1" applyAlignment="1" applyProtection="1">
      <alignment horizontal="center" shrinkToFit="1"/>
      <protection locked="0"/>
    </xf>
    <xf numFmtId="0" fontId="14" fillId="0" borderId="5" xfId="1" applyNumberFormat="1" applyFont="1" applyBorder="1" applyAlignment="1" applyProtection="1">
      <alignment horizontal="center" shrinkToFit="1"/>
      <protection locked="0"/>
    </xf>
    <xf numFmtId="44" fontId="12" fillId="0" borderId="2" xfId="1" applyFont="1" applyBorder="1" applyAlignment="1" applyProtection="1">
      <alignment horizontal="center" shrinkToFit="1"/>
      <protection hidden="1"/>
    </xf>
    <xf numFmtId="44" fontId="14" fillId="0" borderId="1" xfId="1" applyFont="1" applyBorder="1" applyAlignment="1" applyProtection="1">
      <alignment horizontal="center" shrinkToFit="1"/>
      <protection hidden="1"/>
    </xf>
    <xf numFmtId="44" fontId="14" fillId="0" borderId="5" xfId="1" applyFont="1" applyBorder="1" applyAlignment="1" applyProtection="1">
      <alignment horizontal="center" shrinkToFit="1"/>
      <protection hidden="1"/>
    </xf>
    <xf numFmtId="44" fontId="14" fillId="0" borderId="41" xfId="0" applyNumberFormat="1" applyFont="1" applyBorder="1" applyAlignment="1" applyProtection="1">
      <alignment horizontal="right"/>
      <protection hidden="1"/>
    </xf>
    <xf numFmtId="0" fontId="14" fillId="0" borderId="41" xfId="0" applyFont="1" applyBorder="1" applyAlignment="1" applyProtection="1">
      <alignment horizontal="right"/>
      <protection hidden="1"/>
    </xf>
    <xf numFmtId="0" fontId="14" fillId="0" borderId="42" xfId="0" applyFont="1" applyBorder="1" applyAlignment="1" applyProtection="1">
      <alignment horizontal="right"/>
      <protection hidden="1"/>
    </xf>
    <xf numFmtId="44" fontId="12" fillId="0" borderId="2" xfId="1" applyFont="1" applyBorder="1" applyAlignment="1" applyProtection="1">
      <alignment horizontal="right"/>
      <protection locked="0"/>
    </xf>
    <xf numFmtId="44" fontId="14" fillId="0" borderId="1" xfId="1" applyFont="1" applyBorder="1" applyAlignment="1" applyProtection="1">
      <alignment horizontal="right"/>
      <protection locked="0"/>
    </xf>
    <xf numFmtId="44" fontId="14" fillId="0" borderId="34" xfId="1" applyFont="1" applyBorder="1" applyAlignment="1" applyProtection="1">
      <alignment horizontal="right"/>
      <protection locked="0"/>
    </xf>
    <xf numFmtId="44" fontId="12" fillId="0" borderId="33" xfId="1" applyFont="1" applyBorder="1" applyAlignment="1" applyProtection="1">
      <alignment horizontal="center" shrinkToFit="1"/>
      <protection locked="0"/>
    </xf>
    <xf numFmtId="44" fontId="14" fillId="0" borderId="1" xfId="1" applyFont="1" applyBorder="1" applyAlignment="1" applyProtection="1">
      <alignment horizontal="center" shrinkToFit="1"/>
      <protection locked="0"/>
    </xf>
    <xf numFmtId="44" fontId="12" fillId="0" borderId="37" xfId="1" applyFont="1" applyBorder="1" applyAlignment="1" applyProtection="1">
      <alignment horizontal="center" shrinkToFit="1"/>
      <protection locked="0"/>
    </xf>
    <xf numFmtId="44" fontId="14" fillId="0" borderId="38" xfId="1" applyFont="1" applyBorder="1" applyAlignment="1" applyProtection="1">
      <alignment horizontal="center" shrinkToFit="1"/>
      <protection locked="0"/>
    </xf>
    <xf numFmtId="164" fontId="16" fillId="0" borderId="22" xfId="3" applyNumberFormat="1" applyFont="1" applyBorder="1" applyAlignment="1">
      <alignment horizontal="center"/>
    </xf>
    <xf numFmtId="164" fontId="16" fillId="0" borderId="8" xfId="3" applyNumberFormat="1" applyFont="1" applyBorder="1" applyAlignment="1">
      <alignment horizontal="center"/>
    </xf>
    <xf numFmtId="44" fontId="14" fillId="0" borderId="2" xfId="1" applyFont="1" applyBorder="1" applyAlignment="1" applyProtection="1">
      <alignment horizontal="center" shrinkToFit="1"/>
      <protection locked="0"/>
    </xf>
    <xf numFmtId="44" fontId="14" fillId="0" borderId="5" xfId="1" applyFont="1" applyBorder="1" applyAlignment="1" applyProtection="1">
      <alignment horizontal="center" shrinkToFit="1"/>
      <protection locked="0"/>
    </xf>
    <xf numFmtId="44" fontId="14" fillId="0" borderId="2" xfId="1" applyFont="1" applyBorder="1" applyAlignment="1" applyProtection="1">
      <alignment horizontal="right"/>
      <protection locked="0"/>
    </xf>
    <xf numFmtId="0" fontId="12" fillId="0" borderId="2" xfId="0" applyFont="1" applyBorder="1" applyAlignment="1" applyProtection="1">
      <alignment horizontal="center" shrinkToFit="1"/>
      <protection locked="0"/>
    </xf>
    <xf numFmtId="2" fontId="14" fillId="0" borderId="41" xfId="0" applyNumberFormat="1" applyFont="1" applyBorder="1" applyAlignment="1" applyProtection="1">
      <alignment horizontal="center"/>
      <protection locked="0"/>
    </xf>
    <xf numFmtId="44" fontId="12" fillId="0" borderId="2" xfId="1" applyFont="1" applyBorder="1" applyAlignment="1" applyProtection="1">
      <alignment horizontal="center" shrinkToFit="1"/>
      <protection locked="0"/>
    </xf>
    <xf numFmtId="0" fontId="14" fillId="0" borderId="1" xfId="0" applyFont="1" applyBorder="1" applyAlignment="1" applyProtection="1">
      <alignment horizontal="right"/>
      <protection hidden="1"/>
    </xf>
    <xf numFmtId="0" fontId="14" fillId="0" borderId="34" xfId="0" applyFont="1" applyBorder="1" applyAlignment="1" applyProtection="1">
      <alignment horizontal="right"/>
      <protection hidden="1"/>
    </xf>
    <xf numFmtId="165" fontId="14" fillId="0" borderId="38" xfId="0" applyNumberFormat="1" applyFont="1" applyBorder="1" applyAlignment="1" applyProtection="1">
      <alignment horizontal="right"/>
      <protection locked="0"/>
    </xf>
    <xf numFmtId="8" fontId="12" fillId="5" borderId="33" xfId="0" applyNumberFormat="1" applyFont="1" applyFill="1" applyBorder="1" applyAlignment="1" applyProtection="1">
      <alignment horizontal="left" shrinkToFit="1"/>
      <protection locked="0"/>
    </xf>
    <xf numFmtId="8" fontId="12" fillId="5" borderId="1" xfId="0" applyNumberFormat="1" applyFont="1" applyFill="1" applyBorder="1" applyAlignment="1" applyProtection="1">
      <alignment horizontal="left" shrinkToFit="1"/>
      <protection locked="0"/>
    </xf>
    <xf numFmtId="44" fontId="12" fillId="0" borderId="1" xfId="0" applyNumberFormat="1" applyFont="1" applyBorder="1" applyAlignment="1" applyProtection="1">
      <alignment horizontal="center" shrinkToFit="1"/>
      <protection locked="0"/>
    </xf>
    <xf numFmtId="8" fontId="12" fillId="0" borderId="1" xfId="0" applyNumberFormat="1" applyFont="1" applyBorder="1" applyAlignment="1" applyProtection="1">
      <alignment horizontal="center" shrinkToFit="1"/>
      <protection locked="0"/>
    </xf>
    <xf numFmtId="165" fontId="16" fillId="5" borderId="1" xfId="0" applyNumberFormat="1" applyFont="1" applyFill="1" applyBorder="1" applyAlignment="1" applyProtection="1">
      <alignment horizontal="center"/>
      <protection locked="0"/>
    </xf>
    <xf numFmtId="165" fontId="12" fillId="0" borderId="1" xfId="0" applyNumberFormat="1" applyFont="1" applyBorder="1" applyAlignment="1" applyProtection="1">
      <alignment horizontal="center"/>
      <protection locked="0"/>
    </xf>
    <xf numFmtId="165" fontId="12" fillId="0" borderId="34" xfId="0" applyNumberFormat="1" applyFont="1" applyBorder="1" applyAlignment="1" applyProtection="1">
      <alignment horizontal="center"/>
      <protection locked="0"/>
    </xf>
    <xf numFmtId="0" fontId="12" fillId="0" borderId="1" xfId="0" applyFont="1" applyBorder="1" applyAlignment="1" applyProtection="1">
      <alignment horizontal="center"/>
      <protection locked="0" hidden="1"/>
    </xf>
    <xf numFmtId="164" fontId="32" fillId="5" borderId="2" xfId="3" applyNumberFormat="1" applyFont="1" applyFill="1" applyBorder="1" applyAlignment="1">
      <alignment horizontal="center"/>
    </xf>
    <xf numFmtId="164" fontId="32" fillId="5" borderId="1" xfId="3" applyNumberFormat="1" applyFont="1" applyFill="1" applyBorder="1" applyAlignment="1">
      <alignment horizontal="center"/>
    </xf>
    <xf numFmtId="164" fontId="32" fillId="5" borderId="5" xfId="3" applyNumberFormat="1" applyFont="1" applyFill="1" applyBorder="1" applyAlignment="1">
      <alignment horizontal="center"/>
    </xf>
    <xf numFmtId="164" fontId="32" fillId="0" borderId="4" xfId="3" applyNumberFormat="1" applyFont="1" applyBorder="1" applyAlignment="1" applyProtection="1">
      <alignment horizontal="center" wrapText="1"/>
      <protection locked="0" hidden="1"/>
    </xf>
    <xf numFmtId="0" fontId="12" fillId="0" borderId="1" xfId="0" applyNumberFormat="1" applyFont="1" applyBorder="1" applyAlignment="1" applyProtection="1">
      <alignment horizontal="center" vertical="center" shrinkToFit="1"/>
      <protection hidden="1"/>
    </xf>
    <xf numFmtId="0" fontId="16" fillId="0" borderId="38" xfId="0" applyFont="1" applyBorder="1" applyAlignment="1" applyProtection="1">
      <alignment horizontal="right"/>
      <protection locked="0"/>
    </xf>
    <xf numFmtId="10" fontId="16" fillId="0" borderId="38" xfId="0" applyNumberFormat="1" applyFont="1" applyBorder="1" applyAlignment="1" applyProtection="1">
      <alignment horizontal="center"/>
      <protection hidden="1"/>
    </xf>
    <xf numFmtId="9" fontId="16" fillId="6" borderId="38" xfId="0" applyNumberFormat="1" applyFont="1" applyFill="1" applyBorder="1" applyAlignment="1" applyProtection="1">
      <alignment horizontal="center"/>
      <protection locked="0"/>
    </xf>
    <xf numFmtId="9" fontId="16" fillId="6" borderId="39" xfId="0" applyNumberFormat="1" applyFont="1" applyFill="1" applyBorder="1" applyAlignment="1" applyProtection="1">
      <alignment horizontal="center"/>
      <protection locked="0"/>
    </xf>
    <xf numFmtId="44" fontId="25" fillId="0" borderId="1" xfId="0" applyNumberFormat="1" applyFont="1" applyBorder="1" applyAlignment="1" applyProtection="1">
      <alignment horizontal="center"/>
      <protection locked="0" hidden="1"/>
    </xf>
    <xf numFmtId="44" fontId="25" fillId="0" borderId="34" xfId="0" applyNumberFormat="1" applyFont="1" applyBorder="1" applyAlignment="1" applyProtection="1">
      <alignment horizontal="center"/>
      <protection locked="0" hidden="1"/>
    </xf>
    <xf numFmtId="0" fontId="12" fillId="0" borderId="1" xfId="0" applyFont="1" applyBorder="1" applyAlignment="1" applyProtection="1">
      <alignment horizontal="center" shrinkToFit="1"/>
      <protection locked="0" hidden="1"/>
    </xf>
    <xf numFmtId="38" fontId="25" fillId="0" borderId="1" xfId="0" applyNumberFormat="1" applyFont="1" applyBorder="1" applyAlignment="1" applyProtection="1">
      <alignment horizontal="center" shrinkToFit="1"/>
      <protection locked="0"/>
    </xf>
    <xf numFmtId="0" fontId="16" fillId="0" borderId="37" xfId="0" applyFont="1" applyBorder="1" applyAlignment="1" applyProtection="1">
      <alignment horizontal="center"/>
      <protection locked="0"/>
    </xf>
    <xf numFmtId="0" fontId="16" fillId="0" borderId="38" xfId="0" applyFont="1" applyBorder="1" applyAlignment="1" applyProtection="1">
      <alignment horizontal="center"/>
      <protection locked="0"/>
    </xf>
    <xf numFmtId="9" fontId="16" fillId="0" borderId="38" xfId="0" applyNumberFormat="1" applyFont="1" applyBorder="1" applyAlignment="1" applyProtection="1">
      <alignment horizontal="center"/>
      <protection locked="0"/>
    </xf>
    <xf numFmtId="0" fontId="25" fillId="0" borderId="2" xfId="0" quotePrefix="1" applyFont="1" applyBorder="1" applyAlignment="1" applyProtection="1">
      <alignment horizontal="center"/>
      <protection locked="0" hidden="1"/>
    </xf>
    <xf numFmtId="0" fontId="25" fillId="0" borderId="1" xfId="0" quotePrefix="1" applyFont="1" applyBorder="1" applyAlignment="1" applyProtection="1">
      <alignment horizontal="center"/>
      <protection locked="0" hidden="1"/>
    </xf>
    <xf numFmtId="0" fontId="25" fillId="0" borderId="1" xfId="0" applyFont="1" applyBorder="1" applyAlignment="1" applyProtection="1">
      <alignment horizontal="center"/>
      <protection locked="0"/>
    </xf>
    <xf numFmtId="0" fontId="25" fillId="0" borderId="33" xfId="0" applyFont="1" applyBorder="1" applyAlignment="1" applyProtection="1">
      <alignment horizontal="center" wrapText="1"/>
      <protection hidden="1"/>
    </xf>
    <xf numFmtId="0" fontId="25" fillId="0" borderId="1" xfId="0" applyFont="1" applyBorder="1" applyAlignment="1" applyProtection="1">
      <alignment horizontal="center" wrapText="1"/>
      <protection hidden="1"/>
    </xf>
    <xf numFmtId="44" fontId="25" fillId="0" borderId="2" xfId="0" applyNumberFormat="1" applyFont="1" applyBorder="1" applyAlignment="1" applyProtection="1">
      <alignment horizontal="center"/>
      <protection hidden="1"/>
    </xf>
    <xf numFmtId="44" fontId="25" fillId="0" borderId="1" xfId="0" applyNumberFormat="1" applyFont="1" applyBorder="1" applyAlignment="1" applyProtection="1">
      <alignment horizontal="center"/>
      <protection hidden="1"/>
    </xf>
    <xf numFmtId="44" fontId="25" fillId="0" borderId="5" xfId="0" applyNumberFormat="1" applyFont="1" applyBorder="1" applyAlignment="1" applyProtection="1">
      <alignment horizontal="center"/>
      <protection hidden="1"/>
    </xf>
    <xf numFmtId="10" fontId="16" fillId="0" borderId="1" xfId="0" applyNumberFormat="1" applyFont="1" applyBorder="1" applyAlignment="1" applyProtection="1">
      <alignment horizontal="center"/>
      <protection locked="0"/>
    </xf>
    <xf numFmtId="10" fontId="16" fillId="0" borderId="34" xfId="0" applyNumberFormat="1" applyFont="1" applyBorder="1" applyAlignment="1" applyProtection="1">
      <alignment horizontal="center"/>
      <protection locked="0"/>
    </xf>
    <xf numFmtId="44" fontId="32" fillId="0" borderId="1" xfId="0" applyNumberFormat="1" applyFont="1" applyBorder="1" applyAlignment="1" applyProtection="1">
      <alignment horizontal="center"/>
      <protection hidden="1"/>
    </xf>
    <xf numFmtId="165" fontId="32" fillId="0" borderId="1" xfId="0" applyNumberFormat="1" applyFont="1" applyBorder="1" applyAlignment="1" applyProtection="1">
      <alignment horizontal="center"/>
      <protection hidden="1"/>
    </xf>
    <xf numFmtId="165" fontId="32" fillId="0" borderId="34" xfId="0" applyNumberFormat="1" applyFont="1" applyBorder="1" applyAlignment="1" applyProtection="1">
      <alignment horizontal="center"/>
      <protection hidden="1"/>
    </xf>
    <xf numFmtId="10" fontId="32" fillId="0" borderId="1" xfId="0" applyNumberFormat="1" applyFont="1" applyBorder="1" applyAlignment="1" applyProtection="1">
      <alignment horizontal="center"/>
      <protection hidden="1"/>
    </xf>
    <xf numFmtId="42" fontId="32" fillId="0" borderId="1" xfId="0" applyNumberFormat="1" applyFont="1" applyBorder="1" applyAlignment="1" applyProtection="1">
      <alignment horizontal="center"/>
      <protection hidden="1"/>
    </xf>
    <xf numFmtId="171" fontId="32" fillId="0" borderId="1" xfId="0" applyNumberFormat="1" applyFont="1" applyBorder="1" applyAlignment="1" applyProtection="1">
      <alignment horizontal="left"/>
      <protection locked="0"/>
    </xf>
    <xf numFmtId="14" fontId="12" fillId="0" borderId="1" xfId="0" applyNumberFormat="1" applyFont="1" applyBorder="1" applyAlignment="1" applyProtection="1">
      <alignment horizontal="left"/>
      <protection locked="0"/>
    </xf>
    <xf numFmtId="14" fontId="12" fillId="0" borderId="34" xfId="0" applyNumberFormat="1" applyFont="1" applyBorder="1" applyAlignment="1" applyProtection="1">
      <alignment horizontal="left"/>
      <protection locked="0"/>
    </xf>
    <xf numFmtId="14" fontId="14" fillId="0" borderId="1" xfId="0" applyNumberFormat="1" applyFont="1" applyBorder="1" applyAlignment="1" applyProtection="1">
      <alignment horizontal="center"/>
      <protection locked="0"/>
    </xf>
    <xf numFmtId="0" fontId="61" fillId="0" borderId="41" xfId="0" applyFont="1" applyBorder="1" applyAlignment="1" applyProtection="1">
      <alignment horizontal="center"/>
      <protection locked="0"/>
    </xf>
    <xf numFmtId="0" fontId="61" fillId="0" borderId="42" xfId="0" applyFont="1" applyBorder="1" applyAlignment="1" applyProtection="1">
      <alignment horizontal="center"/>
      <protection locked="0"/>
    </xf>
    <xf numFmtId="0" fontId="26" fillId="0" borderId="41" xfId="0" applyFont="1" applyBorder="1" applyAlignment="1" applyProtection="1">
      <alignment horizontal="left"/>
      <protection locked="0"/>
    </xf>
    <xf numFmtId="0" fontId="26" fillId="0" borderId="42" xfId="0" applyFont="1" applyBorder="1" applyAlignment="1" applyProtection="1">
      <alignment horizontal="left"/>
      <protection locked="0"/>
    </xf>
    <xf numFmtId="0" fontId="32" fillId="0" borderId="33" xfId="0" applyFont="1" applyBorder="1" applyAlignment="1" applyProtection="1">
      <alignment horizontal="left"/>
      <protection locked="0"/>
    </xf>
    <xf numFmtId="0" fontId="32" fillId="0" borderId="1" xfId="0" applyFont="1" applyBorder="1" applyAlignment="1" applyProtection="1">
      <alignment horizontal="left"/>
      <protection locked="0"/>
    </xf>
    <xf numFmtId="0" fontId="32" fillId="0" borderId="5" xfId="0" applyFont="1" applyBorder="1" applyAlignment="1" applyProtection="1">
      <alignment horizontal="left"/>
      <protection locked="0"/>
    </xf>
    <xf numFmtId="164" fontId="32" fillId="5" borderId="4" xfId="3" applyNumberFormat="1" applyFont="1" applyFill="1" applyBorder="1" applyAlignment="1">
      <alignment horizontal="center"/>
    </xf>
    <xf numFmtId="0" fontId="25" fillId="0" borderId="33" xfId="0" applyFont="1" applyBorder="1" applyAlignment="1">
      <alignment horizontal="right"/>
    </xf>
    <xf numFmtId="0" fontId="25" fillId="0" borderId="1" xfId="0" applyFont="1" applyBorder="1" applyAlignment="1">
      <alignment horizontal="right"/>
    </xf>
    <xf numFmtId="0" fontId="25" fillId="0" borderId="5" xfId="0" applyFont="1" applyBorder="1" applyAlignment="1">
      <alignment horizontal="right"/>
    </xf>
    <xf numFmtId="164" fontId="32" fillId="0" borderId="46" xfId="3" applyNumberFormat="1" applyFont="1" applyBorder="1" applyAlignment="1" applyProtection="1">
      <alignment horizontal="center"/>
      <protection locked="0" hidden="1"/>
    </xf>
    <xf numFmtId="164" fontId="32" fillId="0" borderId="41" xfId="3" applyNumberFormat="1" applyFont="1" applyBorder="1" applyAlignment="1" applyProtection="1">
      <alignment horizontal="center"/>
      <protection locked="0" hidden="1"/>
    </xf>
    <xf numFmtId="164" fontId="32" fillId="0" borderId="49" xfId="3" applyNumberFormat="1" applyFont="1" applyBorder="1" applyAlignment="1" applyProtection="1">
      <alignment horizontal="center"/>
      <protection locked="0" hidden="1"/>
    </xf>
    <xf numFmtId="164" fontId="32" fillId="0" borderId="15" xfId="3" applyNumberFormat="1" applyFont="1" applyBorder="1" applyAlignment="1" applyProtection="1">
      <alignment horizontal="center"/>
      <protection locked="0" hidden="1"/>
    </xf>
    <xf numFmtId="165" fontId="14" fillId="0" borderId="37" xfId="0" applyNumberFormat="1" applyFont="1" applyBorder="1" applyAlignment="1">
      <alignment horizontal="left"/>
    </xf>
    <xf numFmtId="0" fontId="14" fillId="0" borderId="38" xfId="0" applyFont="1" applyBorder="1" applyAlignment="1">
      <alignment horizontal="left"/>
    </xf>
    <xf numFmtId="0" fontId="14" fillId="0" borderId="39" xfId="0" applyFont="1" applyBorder="1" applyAlignment="1">
      <alignment horizontal="left"/>
    </xf>
    <xf numFmtId="0" fontId="14" fillId="0" borderId="33" xfId="0" applyFont="1" applyBorder="1" applyAlignment="1" applyProtection="1">
      <alignment horizontal="left"/>
      <protection locked="0"/>
    </xf>
    <xf numFmtId="0" fontId="14" fillId="0" borderId="1" xfId="0" applyFont="1" applyBorder="1" applyAlignment="1" applyProtection="1">
      <alignment horizontal="left"/>
      <protection locked="0"/>
    </xf>
    <xf numFmtId="0" fontId="12" fillId="0" borderId="33" xfId="0" applyFont="1" applyBorder="1" applyAlignment="1" applyProtection="1">
      <alignment horizontal="left"/>
      <protection locked="0"/>
    </xf>
    <xf numFmtId="8" fontId="12" fillId="6" borderId="41" xfId="1" applyNumberFormat="1" applyFont="1" applyFill="1" applyBorder="1" applyAlignment="1">
      <alignment horizontal="right"/>
    </xf>
    <xf numFmtId="44" fontId="14" fillId="6" borderId="41" xfId="1" applyFont="1" applyFill="1" applyBorder="1" applyAlignment="1">
      <alignment horizontal="right"/>
    </xf>
    <xf numFmtId="44" fontId="14" fillId="6" borderId="42" xfId="1" applyFont="1" applyFill="1" applyBorder="1" applyAlignment="1">
      <alignment horizontal="right"/>
    </xf>
    <xf numFmtId="14" fontId="12" fillId="0" borderId="2" xfId="0" applyNumberFormat="1" applyFont="1" applyBorder="1" applyAlignment="1" applyProtection="1">
      <alignment horizontal="right" vertical="center"/>
      <protection locked="0"/>
    </xf>
    <xf numFmtId="14" fontId="12" fillId="0" borderId="1" xfId="0" applyNumberFormat="1" applyFont="1" applyBorder="1" applyAlignment="1" applyProtection="1">
      <alignment horizontal="right" vertical="center"/>
      <protection locked="0"/>
    </xf>
    <xf numFmtId="14" fontId="12" fillId="0" borderId="34" xfId="0" applyNumberFormat="1" applyFont="1" applyBorder="1" applyAlignment="1" applyProtection="1">
      <alignment horizontal="right" vertical="center"/>
      <protection locked="0"/>
    </xf>
    <xf numFmtId="0" fontId="16" fillId="0" borderId="27" xfId="0" applyFont="1" applyFill="1" applyBorder="1" applyAlignment="1">
      <alignment horizontal="right"/>
    </xf>
    <xf numFmtId="0" fontId="16" fillId="0" borderId="28" xfId="0" applyFont="1" applyFill="1" applyBorder="1" applyAlignment="1">
      <alignment horizontal="right"/>
    </xf>
    <xf numFmtId="44" fontId="14" fillId="0" borderId="1" xfId="1" applyFont="1" applyBorder="1" applyAlignment="1" applyProtection="1">
      <alignment horizontal="right"/>
      <protection hidden="1"/>
    </xf>
    <xf numFmtId="44" fontId="14" fillId="0" borderId="34" xfId="1" applyFont="1" applyBorder="1" applyAlignment="1" applyProtection="1">
      <alignment horizontal="right"/>
      <protection hidden="1"/>
    </xf>
    <xf numFmtId="14" fontId="12" fillId="0" borderId="2" xfId="0" applyNumberFormat="1" applyFont="1" applyBorder="1" applyAlignment="1" applyProtection="1">
      <alignment horizontal="right" vertical="center"/>
      <protection locked="0" hidden="1"/>
    </xf>
    <xf numFmtId="14" fontId="12" fillId="0" borderId="1" xfId="0" applyNumberFormat="1" applyFont="1" applyBorder="1" applyAlignment="1" applyProtection="1">
      <alignment horizontal="right" vertical="center"/>
      <protection locked="0" hidden="1"/>
    </xf>
    <xf numFmtId="14" fontId="12" fillId="0" borderId="34" xfId="0" applyNumberFormat="1" applyFont="1" applyBorder="1" applyAlignment="1" applyProtection="1">
      <alignment horizontal="right" vertical="center"/>
      <protection locked="0" hidden="1"/>
    </xf>
    <xf numFmtId="0" fontId="14" fillId="0" borderId="25" xfId="0" applyFont="1" applyBorder="1" applyAlignment="1" applyProtection="1">
      <alignment horizontal="left"/>
      <protection locked="0"/>
    </xf>
    <xf numFmtId="0" fontId="14" fillId="0" borderId="0" xfId="0" applyFont="1" applyBorder="1" applyAlignment="1" applyProtection="1">
      <alignment horizontal="left"/>
      <protection locked="0"/>
    </xf>
    <xf numFmtId="0" fontId="12" fillId="0" borderId="25" xfId="0" applyFont="1" applyBorder="1" applyAlignment="1" applyProtection="1">
      <alignment horizontal="left"/>
      <protection locked="0"/>
    </xf>
    <xf numFmtId="0" fontId="12" fillId="0" borderId="33" xfId="0" applyNumberFormat="1" applyFont="1" applyBorder="1" applyAlignment="1" applyProtection="1">
      <alignment horizontal="right" vertical="center" shrinkToFit="1"/>
      <protection locked="0"/>
    </xf>
    <xf numFmtId="0" fontId="12" fillId="0" borderId="1" xfId="0" applyNumberFormat="1" applyFont="1" applyBorder="1" applyAlignment="1" applyProtection="1">
      <alignment horizontal="right" vertical="center" shrinkToFit="1"/>
      <protection locked="0"/>
    </xf>
    <xf numFmtId="164" fontId="32" fillId="6" borderId="2" xfId="3" applyNumberFormat="1" applyFont="1" applyFill="1" applyBorder="1" applyAlignment="1" applyProtection="1">
      <alignment horizontal="center"/>
      <protection locked="0" hidden="1"/>
    </xf>
    <xf numFmtId="164" fontId="32" fillId="6" borderId="1" xfId="3" applyNumberFormat="1" applyFont="1" applyFill="1" applyBorder="1" applyAlignment="1" applyProtection="1">
      <alignment horizontal="center"/>
      <protection locked="0" hidden="1"/>
    </xf>
    <xf numFmtId="164" fontId="32" fillId="6" borderId="5" xfId="3" applyNumberFormat="1" applyFont="1" applyFill="1" applyBorder="1" applyAlignment="1" applyProtection="1">
      <alignment horizontal="center"/>
      <protection locked="0" hidden="1"/>
    </xf>
    <xf numFmtId="0" fontId="16" fillId="0" borderId="37" xfId="0" applyFont="1" applyBorder="1" applyAlignment="1">
      <alignment horizontal="right"/>
    </xf>
    <xf numFmtId="0" fontId="16" fillId="0" borderId="38" xfId="0" applyFont="1" applyBorder="1" applyAlignment="1">
      <alignment horizontal="right"/>
    </xf>
    <xf numFmtId="0" fontId="16" fillId="0" borderId="36" xfId="0" applyFont="1" applyBorder="1" applyAlignment="1">
      <alignment horizontal="right"/>
    </xf>
    <xf numFmtId="0" fontId="25" fillId="0" borderId="33" xfId="0" applyNumberFormat="1" applyFont="1" applyBorder="1" applyAlignment="1" applyProtection="1">
      <alignment horizontal="center" vertical="center"/>
      <protection locked="0"/>
    </xf>
    <xf numFmtId="0" fontId="25" fillId="0" borderId="1" xfId="0" applyNumberFormat="1" applyFont="1" applyBorder="1" applyAlignment="1" applyProtection="1">
      <alignment horizontal="center" vertical="center"/>
      <protection locked="0"/>
    </xf>
    <xf numFmtId="14" fontId="12" fillId="0" borderId="1" xfId="0" applyNumberFormat="1" applyFont="1" applyBorder="1" applyAlignment="1" applyProtection="1">
      <alignment horizontal="center" vertical="center" shrinkToFit="1"/>
      <protection locked="0"/>
    </xf>
    <xf numFmtId="0" fontId="12" fillId="0" borderId="33" xfId="0" applyNumberFormat="1" applyFont="1" applyBorder="1" applyAlignment="1" applyProtection="1">
      <alignment vertical="center" shrinkToFit="1"/>
      <protection hidden="1"/>
    </xf>
    <xf numFmtId="0" fontId="12" fillId="0" borderId="1" xfId="0" applyNumberFormat="1" applyFont="1" applyBorder="1" applyAlignment="1" applyProtection="1">
      <alignment vertical="center" shrinkToFit="1"/>
      <protection hidden="1"/>
    </xf>
    <xf numFmtId="0" fontId="12" fillId="0" borderId="34" xfId="0" applyNumberFormat="1" applyFont="1" applyBorder="1" applyAlignment="1" applyProtection="1">
      <alignment vertical="center" shrinkToFit="1"/>
      <protection hidden="1"/>
    </xf>
    <xf numFmtId="164" fontId="32" fillId="0" borderId="2" xfId="0" applyNumberFormat="1" applyFont="1" applyFill="1" applyBorder="1" applyAlignment="1" applyProtection="1">
      <alignment horizontal="center"/>
      <protection locked="0" hidden="1"/>
    </xf>
    <xf numFmtId="164" fontId="32" fillId="0" borderId="1" xfId="0" applyNumberFormat="1" applyFont="1" applyFill="1" applyBorder="1" applyAlignment="1" applyProtection="1">
      <alignment horizontal="center"/>
      <protection locked="0" hidden="1"/>
    </xf>
    <xf numFmtId="164" fontId="32" fillId="0" borderId="5" xfId="0" applyNumberFormat="1" applyFont="1" applyFill="1" applyBorder="1" applyAlignment="1" applyProtection="1">
      <alignment horizontal="center"/>
      <protection locked="0" hidden="1"/>
    </xf>
    <xf numFmtId="0" fontId="32" fillId="0" borderId="22" xfId="0" applyFont="1" applyBorder="1" applyAlignment="1" applyProtection="1">
      <alignment horizontal="left"/>
      <protection locked="0"/>
    </xf>
    <xf numFmtId="0" fontId="32" fillId="0" borderId="8" xfId="0" applyFont="1" applyBorder="1" applyAlignment="1" applyProtection="1">
      <alignment horizontal="left"/>
      <protection locked="0"/>
    </xf>
    <xf numFmtId="0" fontId="32" fillId="0" borderId="13" xfId="0" applyFont="1" applyBorder="1" applyAlignment="1" applyProtection="1">
      <alignment horizontal="left"/>
      <protection locked="0"/>
    </xf>
    <xf numFmtId="0" fontId="12" fillId="0" borderId="33" xfId="0" applyFont="1" applyBorder="1" applyAlignment="1" applyProtection="1">
      <alignment horizontal="left"/>
      <protection locked="0" hidden="1"/>
    </xf>
    <xf numFmtId="0" fontId="14" fillId="0" borderId="1" xfId="0" applyFont="1" applyBorder="1" applyAlignment="1" applyProtection="1">
      <alignment horizontal="left"/>
      <protection locked="0" hidden="1"/>
    </xf>
    <xf numFmtId="0" fontId="12" fillId="0" borderId="33" xfId="0" applyFont="1" applyBorder="1" applyAlignment="1" applyProtection="1">
      <alignment horizontal="center"/>
      <protection locked="0" hidden="1"/>
    </xf>
    <xf numFmtId="0" fontId="14" fillId="0" borderId="1" xfId="0" applyFont="1" applyBorder="1" applyAlignment="1" applyProtection="1">
      <alignment horizontal="center"/>
      <protection locked="0" hidden="1"/>
    </xf>
    <xf numFmtId="0" fontId="12" fillId="0" borderId="1" xfId="0" applyFont="1" applyBorder="1" applyAlignment="1" applyProtection="1">
      <alignment horizontal="center"/>
      <protection locked="0"/>
    </xf>
    <xf numFmtId="0" fontId="28" fillId="0" borderId="0" xfId="0" applyFont="1" applyAlignment="1">
      <alignment vertical="center" wrapText="1"/>
    </xf>
    <xf numFmtId="0" fontId="27" fillId="0" borderId="0" xfId="0" applyFont="1" applyAlignment="1">
      <alignment vertical="center" wrapText="1"/>
    </xf>
    <xf numFmtId="0" fontId="12" fillId="0" borderId="10" xfId="0" applyFont="1" applyFill="1" applyBorder="1" applyAlignment="1" applyProtection="1">
      <alignment horizontal="center"/>
      <protection locked="0"/>
    </xf>
    <xf numFmtId="0" fontId="14" fillId="0" borderId="8" xfId="0" applyFont="1" applyFill="1" applyBorder="1" applyAlignment="1" applyProtection="1">
      <alignment horizontal="center"/>
      <protection locked="0"/>
    </xf>
    <xf numFmtId="0" fontId="14" fillId="0" borderId="13" xfId="0" applyFont="1" applyFill="1" applyBorder="1" applyAlignment="1" applyProtection="1">
      <alignment horizontal="center"/>
      <protection locked="0"/>
    </xf>
    <xf numFmtId="0" fontId="12" fillId="0" borderId="33" xfId="0" applyFont="1" applyBorder="1" applyAlignment="1" applyProtection="1">
      <alignment horizontal="left" shrinkToFit="1"/>
      <protection locked="0"/>
    </xf>
    <xf numFmtId="0" fontId="12" fillId="0" borderId="1" xfId="0" applyFont="1" applyBorder="1" applyAlignment="1" applyProtection="1">
      <alignment horizontal="left" shrinkToFit="1"/>
      <protection locked="0"/>
    </xf>
    <xf numFmtId="0" fontId="12" fillId="0" borderId="5" xfId="0" applyFont="1" applyBorder="1" applyAlignment="1" applyProtection="1">
      <alignment horizontal="left" shrinkToFit="1"/>
      <protection locked="0"/>
    </xf>
    <xf numFmtId="44" fontId="12" fillId="0" borderId="2" xfId="1" applyFont="1" applyBorder="1" applyAlignment="1" applyProtection="1">
      <alignment horizontal="center"/>
      <protection locked="0"/>
    </xf>
    <xf numFmtId="44" fontId="12" fillId="0" borderId="5" xfId="1" applyFont="1" applyBorder="1" applyAlignment="1" applyProtection="1">
      <alignment horizontal="center"/>
      <protection locked="0"/>
    </xf>
    <xf numFmtId="43" fontId="14" fillId="0" borderId="2" xfId="1" applyNumberFormat="1" applyFont="1" applyBorder="1" applyAlignment="1">
      <alignment horizontal="right" vertical="center"/>
    </xf>
    <xf numFmtId="43" fontId="14" fillId="0" borderId="1" xfId="1" applyNumberFormat="1" applyFont="1" applyBorder="1" applyAlignment="1">
      <alignment horizontal="right" vertical="center"/>
    </xf>
    <xf numFmtId="43" fontId="14" fillId="0" borderId="34" xfId="1" applyNumberFormat="1" applyFont="1" applyBorder="1" applyAlignment="1">
      <alignment horizontal="right" vertical="center"/>
    </xf>
    <xf numFmtId="44" fontId="14" fillId="0" borderId="41" xfId="1" applyNumberFormat="1" applyFont="1" applyBorder="1" applyAlignment="1" applyProtection="1">
      <alignment horizontal="right"/>
      <protection locked="0"/>
    </xf>
    <xf numFmtId="44" fontId="14" fillId="0" borderId="42" xfId="1" applyNumberFormat="1" applyFont="1" applyBorder="1" applyAlignment="1" applyProtection="1">
      <alignment horizontal="right"/>
      <protection locked="0"/>
    </xf>
    <xf numFmtId="0" fontId="12" fillId="0" borderId="23" xfId="0" applyFont="1" applyBorder="1" applyAlignment="1" applyProtection="1">
      <alignment horizontal="left"/>
      <protection locked="0"/>
    </xf>
    <xf numFmtId="0" fontId="14" fillId="0" borderId="11" xfId="0" applyFont="1" applyBorder="1" applyAlignment="1" applyProtection="1">
      <alignment horizontal="left"/>
      <protection locked="0"/>
    </xf>
    <xf numFmtId="0" fontId="14" fillId="0" borderId="12" xfId="0" applyFont="1" applyBorder="1" applyAlignment="1" applyProtection="1">
      <alignment horizontal="left"/>
      <protection locked="0"/>
    </xf>
    <xf numFmtId="0" fontId="26" fillId="0" borderId="1" xfId="0" applyFont="1" applyBorder="1" applyAlignment="1" applyProtection="1">
      <alignment horizontal="center"/>
      <protection locked="0"/>
    </xf>
    <xf numFmtId="0" fontId="26" fillId="0" borderId="5" xfId="0" applyFont="1" applyBorder="1" applyAlignment="1" applyProtection="1">
      <alignment horizontal="center"/>
      <protection locked="0"/>
    </xf>
    <xf numFmtId="44" fontId="12" fillId="4" borderId="35" xfId="1" applyFont="1" applyFill="1" applyBorder="1" applyAlignment="1">
      <alignment horizontal="right" vertical="center"/>
    </xf>
    <xf numFmtId="44" fontId="12" fillId="4" borderId="38" xfId="1" applyFont="1" applyFill="1" applyBorder="1" applyAlignment="1">
      <alignment horizontal="right" vertical="center"/>
    </xf>
    <xf numFmtId="44" fontId="12" fillId="4" borderId="36" xfId="1" applyFont="1" applyFill="1" applyBorder="1" applyAlignment="1">
      <alignment horizontal="right" vertical="center"/>
    </xf>
    <xf numFmtId="0" fontId="16" fillId="0" borderId="43" xfId="0" applyFont="1" applyBorder="1" applyAlignment="1">
      <alignment horizontal="center"/>
    </xf>
    <xf numFmtId="0" fontId="14" fillId="0" borderId="44" xfId="0" applyFont="1" applyBorder="1" applyAlignment="1">
      <alignment horizontal="center"/>
    </xf>
    <xf numFmtId="7" fontId="12" fillId="0" borderId="2" xfId="1" applyNumberFormat="1" applyFont="1" applyFill="1" applyBorder="1" applyAlignment="1" applyProtection="1">
      <alignment horizontal="center"/>
      <protection locked="0"/>
    </xf>
    <xf numFmtId="7" fontId="12" fillId="0" borderId="1" xfId="1" applyNumberFormat="1" applyFont="1" applyFill="1" applyBorder="1" applyAlignment="1" applyProtection="1">
      <alignment horizontal="center"/>
      <protection locked="0"/>
    </xf>
    <xf numFmtId="7" fontId="12" fillId="0" borderId="5" xfId="1" applyNumberFormat="1" applyFont="1" applyFill="1" applyBorder="1" applyAlignment="1" applyProtection="1">
      <alignment horizontal="center"/>
      <protection locked="0"/>
    </xf>
    <xf numFmtId="0" fontId="14" fillId="0" borderId="10" xfId="0" applyFont="1" applyBorder="1" applyAlignment="1">
      <alignment horizontal="center"/>
    </xf>
    <xf numFmtId="0" fontId="14" fillId="0" borderId="13" xfId="0" applyFont="1" applyBorder="1" applyAlignment="1">
      <alignment horizontal="center"/>
    </xf>
    <xf numFmtId="0" fontId="14" fillId="0" borderId="8" xfId="0" applyFont="1" applyBorder="1" applyAlignment="1">
      <alignment horizontal="center"/>
    </xf>
    <xf numFmtId="0" fontId="14" fillId="0" borderId="48" xfId="0" applyFont="1" applyBorder="1" applyAlignment="1">
      <alignment horizontal="center"/>
    </xf>
    <xf numFmtId="0" fontId="16" fillId="0" borderId="19" xfId="0" applyFont="1" applyBorder="1" applyAlignment="1" applyProtection="1">
      <alignment horizontal="center" vertical="center"/>
      <protection locked="0"/>
    </xf>
    <xf numFmtId="0" fontId="16" fillId="0" borderId="20" xfId="0" applyFont="1" applyBorder="1" applyAlignment="1" applyProtection="1">
      <alignment horizontal="center" vertical="center"/>
      <protection locked="0"/>
    </xf>
    <xf numFmtId="0" fontId="16" fillId="0" borderId="8" xfId="0" applyFont="1" applyBorder="1" applyAlignment="1" applyProtection="1">
      <alignment horizontal="center" vertical="center"/>
      <protection locked="0"/>
    </xf>
    <xf numFmtId="0" fontId="16" fillId="0" borderId="13" xfId="0" applyFont="1" applyBorder="1" applyAlignment="1" applyProtection="1">
      <alignment horizontal="center" vertical="center"/>
      <protection locked="0"/>
    </xf>
    <xf numFmtId="0" fontId="79" fillId="0" borderId="0" xfId="0" applyFont="1" applyAlignment="1">
      <alignment horizontal="right" vertical="top" wrapText="1"/>
    </xf>
    <xf numFmtId="0" fontId="17" fillId="0" borderId="0" xfId="0" applyFont="1" applyAlignment="1">
      <alignment horizontal="right" vertical="center" wrapText="1"/>
    </xf>
    <xf numFmtId="0" fontId="14" fillId="0" borderId="2" xfId="0" applyFont="1" applyBorder="1" applyAlignment="1">
      <alignment horizontal="center"/>
    </xf>
    <xf numFmtId="0" fontId="14" fillId="0" borderId="5" xfId="0" applyFont="1" applyBorder="1" applyAlignment="1">
      <alignment horizontal="center"/>
    </xf>
    <xf numFmtId="0" fontId="16" fillId="0" borderId="44" xfId="0" applyFont="1" applyBorder="1" applyAlignment="1">
      <alignment horizontal="center"/>
    </xf>
    <xf numFmtId="0" fontId="16" fillId="0" borderId="45" xfId="0" applyFont="1" applyBorder="1" applyAlignment="1">
      <alignment horizontal="center"/>
    </xf>
    <xf numFmtId="164" fontId="32" fillId="0" borderId="2" xfId="3" applyNumberFormat="1" applyFont="1" applyBorder="1" applyAlignment="1" applyProtection="1">
      <alignment horizontal="center"/>
      <protection locked="0" hidden="1"/>
    </xf>
    <xf numFmtId="164" fontId="32" fillId="0" borderId="1" xfId="3" applyNumberFormat="1" applyFont="1" applyBorder="1" applyAlignment="1" applyProtection="1">
      <alignment horizontal="center"/>
      <protection locked="0" hidden="1"/>
    </xf>
    <xf numFmtId="164" fontId="32" fillId="0" borderId="5" xfId="3" applyNumberFormat="1" applyFont="1" applyBorder="1" applyAlignment="1" applyProtection="1">
      <alignment horizontal="center"/>
      <protection locked="0" hidden="1"/>
    </xf>
    <xf numFmtId="44" fontId="14" fillId="0" borderId="10" xfId="1" applyFont="1" applyBorder="1" applyAlignment="1">
      <alignment horizontal="center"/>
    </xf>
    <xf numFmtId="0" fontId="12" fillId="0" borderId="33" xfId="0" applyFont="1" applyBorder="1" applyAlignment="1" applyProtection="1">
      <alignment horizontal="center"/>
      <protection locked="0"/>
    </xf>
    <xf numFmtId="2" fontId="14" fillId="0" borderId="1" xfId="0" quotePrefix="1" applyNumberFormat="1" applyFont="1" applyBorder="1" applyAlignment="1" applyProtection="1">
      <alignment horizontal="right"/>
      <protection locked="0"/>
    </xf>
    <xf numFmtId="0" fontId="16" fillId="0" borderId="23"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6" fillId="0" borderId="27" xfId="0" applyFont="1" applyBorder="1" applyAlignment="1">
      <alignment horizontal="center" vertical="center"/>
    </xf>
    <xf numFmtId="0" fontId="16" fillId="0" borderId="28" xfId="0" applyFont="1" applyBorder="1" applyAlignment="1">
      <alignment horizontal="center" vertical="center"/>
    </xf>
    <xf numFmtId="0" fontId="16" fillId="0" borderId="29" xfId="0" applyFont="1" applyBorder="1" applyAlignment="1">
      <alignment horizontal="center" vertical="center"/>
    </xf>
    <xf numFmtId="2" fontId="14" fillId="0" borderId="1" xfId="0" applyNumberFormat="1" applyFont="1" applyBorder="1" applyAlignment="1" applyProtection="1">
      <alignment horizontal="left"/>
      <protection locked="0"/>
    </xf>
    <xf numFmtId="0" fontId="12" fillId="0" borderId="10" xfId="0" applyFont="1" applyBorder="1" applyAlignment="1">
      <alignment horizontal="center"/>
    </xf>
    <xf numFmtId="0" fontId="14" fillId="0" borderId="38" xfId="0" applyFont="1" applyBorder="1" applyAlignment="1" applyProtection="1">
      <alignment horizontal="right"/>
      <protection hidden="1"/>
    </xf>
    <xf numFmtId="0" fontId="14" fillId="0" borderId="39" xfId="0" applyFont="1" applyBorder="1" applyAlignment="1" applyProtection="1">
      <alignment horizontal="right"/>
      <protection hidden="1"/>
    </xf>
    <xf numFmtId="2" fontId="14" fillId="0" borderId="38" xfId="0" quotePrefix="1" applyNumberFormat="1" applyFont="1" applyBorder="1" applyAlignment="1" applyProtection="1">
      <alignment horizontal="right"/>
      <protection locked="0"/>
    </xf>
    <xf numFmtId="2" fontId="14" fillId="0" borderId="38" xfId="0" applyNumberFormat="1" applyFont="1" applyBorder="1" applyAlignment="1" applyProtection="1">
      <alignment horizontal="right"/>
      <protection locked="0"/>
    </xf>
    <xf numFmtId="8" fontId="14" fillId="0" borderId="41" xfId="0" quotePrefix="1" applyNumberFormat="1" applyFont="1" applyBorder="1" applyAlignment="1" applyProtection="1">
      <alignment horizontal="center"/>
      <protection hidden="1"/>
    </xf>
    <xf numFmtId="0" fontId="12" fillId="0" borderId="1" xfId="0" applyFont="1" applyBorder="1" applyAlignment="1" applyProtection="1">
      <alignment horizontal="left"/>
      <protection locked="0"/>
    </xf>
    <xf numFmtId="0" fontId="14" fillId="0" borderId="3" xfId="0" applyFont="1" applyBorder="1" applyAlignment="1" applyProtection="1">
      <alignment horizontal="left"/>
    </xf>
    <xf numFmtId="0" fontId="14" fillId="0" borderId="0" xfId="0" applyFont="1" applyBorder="1" applyAlignment="1" applyProtection="1">
      <alignment horizontal="left"/>
    </xf>
    <xf numFmtId="0" fontId="14" fillId="0" borderId="6" xfId="0" applyFont="1" applyBorder="1" applyAlignment="1" applyProtection="1">
      <alignment horizontal="left"/>
    </xf>
    <xf numFmtId="0" fontId="14" fillId="0" borderId="8" xfId="0" applyFont="1" applyBorder="1" applyAlignment="1" applyProtection="1">
      <alignment horizontal="center"/>
      <protection locked="0"/>
    </xf>
    <xf numFmtId="0" fontId="14" fillId="0" borderId="13" xfId="0" applyFont="1" applyBorder="1" applyAlignment="1" applyProtection="1">
      <alignment horizontal="center"/>
      <protection locked="0"/>
    </xf>
    <xf numFmtId="0" fontId="12" fillId="0" borderId="3" xfId="0" applyFont="1" applyBorder="1" applyAlignment="1" applyProtection="1">
      <alignment horizontal="left"/>
      <protection locked="0" hidden="1"/>
    </xf>
    <xf numFmtId="0" fontId="12" fillId="0" borderId="0" xfId="0" applyFont="1" applyBorder="1" applyAlignment="1" applyProtection="1">
      <alignment horizontal="left"/>
      <protection locked="0" hidden="1"/>
    </xf>
    <xf numFmtId="0" fontId="12" fillId="0" borderId="6" xfId="0" applyFont="1" applyBorder="1" applyAlignment="1" applyProtection="1">
      <alignment horizontal="left"/>
      <protection locked="0" hidden="1"/>
    </xf>
    <xf numFmtId="0" fontId="14" fillId="0" borderId="3" xfId="0" applyFont="1" applyFill="1" applyBorder="1" applyAlignment="1" applyProtection="1">
      <alignment horizontal="left"/>
    </xf>
    <xf numFmtId="0" fontId="14" fillId="0" borderId="0" xfId="0" applyFont="1" applyFill="1" applyBorder="1" applyAlignment="1" applyProtection="1">
      <alignment horizontal="left"/>
    </xf>
    <xf numFmtId="0" fontId="14" fillId="0" borderId="6" xfId="0" applyFont="1" applyFill="1" applyBorder="1" applyAlignment="1" applyProtection="1">
      <alignment horizontal="left"/>
    </xf>
    <xf numFmtId="0" fontId="14" fillId="0" borderId="0" xfId="0" applyFont="1" applyBorder="1" applyAlignment="1" applyProtection="1">
      <alignment horizontal="left"/>
      <protection locked="0" hidden="1"/>
    </xf>
    <xf numFmtId="0" fontId="14" fillId="0" borderId="46" xfId="0" applyFont="1" applyBorder="1" applyAlignment="1">
      <alignment horizontal="center"/>
    </xf>
    <xf numFmtId="0" fontId="14" fillId="0" borderId="49" xfId="0" applyFont="1" applyBorder="1" applyAlignment="1">
      <alignment horizontal="center"/>
    </xf>
    <xf numFmtId="44" fontId="16" fillId="0" borderId="46" xfId="1" applyNumberFormat="1" applyFont="1" applyBorder="1" applyAlignment="1" applyProtection="1">
      <alignment horizontal="right"/>
      <protection locked="0"/>
    </xf>
    <xf numFmtId="44" fontId="16" fillId="0" borderId="41" xfId="1" applyNumberFormat="1" applyFont="1" applyBorder="1" applyAlignment="1" applyProtection="1">
      <alignment horizontal="right"/>
      <protection locked="0"/>
    </xf>
    <xf numFmtId="44" fontId="16" fillId="0" borderId="42" xfId="1" applyNumberFormat="1" applyFont="1" applyBorder="1" applyAlignment="1" applyProtection="1">
      <alignment horizontal="right"/>
      <protection locked="0"/>
    </xf>
    <xf numFmtId="7" fontId="12" fillId="0" borderId="2" xfId="1" applyNumberFormat="1" applyFont="1" applyBorder="1" applyAlignment="1" applyProtection="1">
      <alignment horizontal="right"/>
      <protection locked="0"/>
    </xf>
    <xf numFmtId="7" fontId="12" fillId="0" borderId="1" xfId="1" applyNumberFormat="1" applyFont="1" applyBorder="1" applyAlignment="1" applyProtection="1">
      <alignment horizontal="right"/>
      <protection locked="0"/>
    </xf>
    <xf numFmtId="7" fontId="12" fillId="0" borderId="34" xfId="1" applyNumberFormat="1" applyFont="1" applyBorder="1" applyAlignment="1" applyProtection="1">
      <alignment horizontal="right"/>
      <protection locked="0"/>
    </xf>
    <xf numFmtId="0" fontId="16" fillId="0" borderId="19" xfId="0" applyFont="1" applyBorder="1" applyAlignment="1" applyProtection="1">
      <alignment horizontal="center" vertical="center"/>
      <protection hidden="1"/>
    </xf>
    <xf numFmtId="0" fontId="16" fillId="0" borderId="50" xfId="0" applyFont="1" applyBorder="1" applyAlignment="1" applyProtection="1">
      <alignment horizontal="center" vertical="center"/>
      <protection hidden="1"/>
    </xf>
    <xf numFmtId="0" fontId="16" fillId="0" borderId="8" xfId="0" applyFont="1" applyBorder="1" applyAlignment="1" applyProtection="1">
      <alignment horizontal="center" vertical="center"/>
      <protection hidden="1"/>
    </xf>
    <xf numFmtId="0" fontId="16" fillId="0" borderId="48" xfId="0" applyFont="1" applyBorder="1" applyAlignment="1" applyProtection="1">
      <alignment horizontal="center" vertical="center"/>
      <protection hidden="1"/>
    </xf>
    <xf numFmtId="0" fontId="14" fillId="0" borderId="35" xfId="0" quotePrefix="1" applyFont="1" applyBorder="1" applyAlignment="1">
      <alignment horizontal="center"/>
    </xf>
    <xf numFmtId="0" fontId="14" fillId="0" borderId="36" xfId="0" applyFont="1" applyBorder="1" applyAlignment="1">
      <alignment horizontal="center"/>
    </xf>
    <xf numFmtId="44" fontId="14" fillId="0" borderId="2" xfId="1" applyNumberFormat="1" applyFont="1" applyBorder="1" applyAlignment="1" applyProtection="1">
      <alignment horizontal="center"/>
      <protection locked="0"/>
    </xf>
    <xf numFmtId="44" fontId="14" fillId="0" borderId="1" xfId="1" applyNumberFormat="1" applyFont="1" applyBorder="1" applyAlignment="1" applyProtection="1">
      <alignment horizontal="center"/>
      <protection locked="0"/>
    </xf>
    <xf numFmtId="44" fontId="14" fillId="0" borderId="34" xfId="1" applyNumberFormat="1" applyFont="1" applyBorder="1" applyAlignment="1" applyProtection="1">
      <alignment horizontal="center"/>
      <protection locked="0"/>
    </xf>
    <xf numFmtId="0" fontId="12" fillId="0" borderId="33" xfId="0" applyFont="1" applyBorder="1" applyAlignment="1" applyProtection="1">
      <alignment horizontal="left" shrinkToFit="1"/>
      <protection hidden="1"/>
    </xf>
    <xf numFmtId="0" fontId="12" fillId="0" borderId="1" xfId="0" applyFont="1" applyBorder="1" applyAlignment="1" applyProtection="1">
      <alignment horizontal="left" shrinkToFit="1"/>
      <protection hidden="1"/>
    </xf>
    <xf numFmtId="0" fontId="12" fillId="0" borderId="5" xfId="0" applyFont="1" applyBorder="1" applyAlignment="1" applyProtection="1">
      <alignment horizontal="left" shrinkToFit="1"/>
      <protection hidden="1"/>
    </xf>
    <xf numFmtId="10" fontId="16" fillId="0" borderId="3" xfId="0" applyNumberFormat="1" applyFont="1" applyBorder="1" applyAlignment="1" applyProtection="1">
      <alignment horizontal="center" vertical="center"/>
    </xf>
    <xf numFmtId="10" fontId="16" fillId="0" borderId="0" xfId="0" applyNumberFormat="1" applyFont="1" applyBorder="1" applyAlignment="1" applyProtection="1">
      <alignment horizontal="center" vertical="center"/>
    </xf>
    <xf numFmtId="10" fontId="16" fillId="0" borderId="6" xfId="0" applyNumberFormat="1" applyFont="1" applyBorder="1" applyAlignment="1" applyProtection="1">
      <alignment horizontal="center" vertical="center"/>
    </xf>
    <xf numFmtId="10" fontId="16" fillId="0" borderId="10" xfId="0" applyNumberFormat="1" applyFont="1" applyBorder="1" applyAlignment="1" applyProtection="1">
      <alignment horizontal="center" vertical="center"/>
    </xf>
    <xf numFmtId="10" fontId="16" fillId="0" borderId="8" xfId="0" applyNumberFormat="1" applyFont="1" applyBorder="1" applyAlignment="1" applyProtection="1">
      <alignment horizontal="center" vertical="center"/>
    </xf>
    <xf numFmtId="10" fontId="16" fillId="0" borderId="13" xfId="0" applyNumberFormat="1" applyFont="1" applyBorder="1" applyAlignment="1" applyProtection="1">
      <alignment horizontal="center" vertical="center"/>
    </xf>
    <xf numFmtId="44" fontId="14" fillId="0" borderId="2" xfId="1" applyNumberFormat="1" applyFont="1" applyBorder="1" applyAlignment="1">
      <alignment horizontal="right"/>
    </xf>
    <xf numFmtId="44" fontId="14" fillId="0" borderId="1" xfId="1" applyNumberFormat="1" applyFont="1" applyBorder="1" applyAlignment="1">
      <alignment horizontal="right"/>
    </xf>
    <xf numFmtId="44" fontId="14" fillId="0" borderId="34" xfId="1" applyNumberFormat="1" applyFont="1" applyBorder="1" applyAlignment="1">
      <alignment horizontal="right"/>
    </xf>
    <xf numFmtId="0" fontId="14" fillId="0" borderId="2" xfId="0" applyFont="1" applyBorder="1" applyAlignment="1" applyProtection="1">
      <alignment horizontal="center"/>
      <protection locked="0"/>
    </xf>
    <xf numFmtId="0" fontId="14" fillId="0" borderId="5" xfId="0" applyFont="1" applyBorder="1" applyAlignment="1" applyProtection="1">
      <alignment horizontal="center"/>
      <protection locked="0"/>
    </xf>
    <xf numFmtId="0" fontId="12" fillId="0" borderId="2" xfId="0" applyFont="1" applyBorder="1" applyAlignment="1" applyProtection="1">
      <alignment horizontal="left"/>
      <protection locked="0"/>
    </xf>
    <xf numFmtId="0" fontId="12" fillId="0" borderId="34" xfId="0" applyFont="1" applyBorder="1" applyAlignment="1" applyProtection="1">
      <alignment horizontal="left"/>
      <protection locked="0"/>
    </xf>
    <xf numFmtId="0" fontId="14" fillId="0" borderId="34" xfId="0" applyFont="1" applyBorder="1" applyAlignment="1" applyProtection="1">
      <alignment horizontal="left"/>
      <protection locked="0"/>
    </xf>
    <xf numFmtId="0" fontId="14" fillId="0" borderId="34" xfId="0" applyFont="1" applyBorder="1" applyAlignment="1" applyProtection="1">
      <alignment horizontal="center"/>
      <protection locked="0"/>
    </xf>
    <xf numFmtId="49" fontId="12" fillId="0" borderId="19" xfId="0" applyNumberFormat="1" applyFont="1" applyFill="1" applyBorder="1" applyAlignment="1" applyProtection="1">
      <alignment horizontal="left" vertical="top"/>
      <protection locked="0"/>
    </xf>
    <xf numFmtId="49" fontId="12" fillId="0" borderId="20" xfId="0" applyNumberFormat="1" applyFont="1" applyFill="1" applyBorder="1" applyAlignment="1" applyProtection="1">
      <alignment horizontal="left" vertical="top"/>
      <protection locked="0"/>
    </xf>
    <xf numFmtId="0" fontId="16" fillId="0" borderId="11" xfId="0" applyFont="1" applyBorder="1" applyAlignment="1" applyProtection="1">
      <alignment horizontal="left"/>
      <protection hidden="1"/>
    </xf>
    <xf numFmtId="0" fontId="16" fillId="0" borderId="12" xfId="0" applyFont="1" applyBorder="1" applyAlignment="1" applyProtection="1">
      <alignment horizontal="left"/>
      <protection hidden="1"/>
    </xf>
    <xf numFmtId="0" fontId="16" fillId="0" borderId="27" xfId="0" applyFont="1" applyBorder="1" applyAlignment="1">
      <alignment horizontal="center"/>
    </xf>
    <xf numFmtId="0" fontId="16" fillId="0" borderId="28" xfId="0" applyFont="1" applyBorder="1" applyAlignment="1">
      <alignment horizontal="center"/>
    </xf>
    <xf numFmtId="0" fontId="31" fillId="5" borderId="73" xfId="0" applyNumberFormat="1" applyFont="1" applyFill="1" applyBorder="1" applyAlignment="1" applyProtection="1">
      <alignment horizontal="center" vertical="center"/>
      <protection locked="0"/>
    </xf>
    <xf numFmtId="0" fontId="31" fillId="5" borderId="44" xfId="0" applyNumberFormat="1" applyFont="1" applyFill="1" applyBorder="1" applyAlignment="1" applyProtection="1">
      <alignment horizontal="center" vertical="center"/>
      <protection locked="0"/>
    </xf>
    <xf numFmtId="0" fontId="31" fillId="5" borderId="45" xfId="0" applyNumberFormat="1" applyFont="1" applyFill="1" applyBorder="1" applyAlignment="1" applyProtection="1">
      <alignment horizontal="center" vertical="center"/>
      <protection locked="0"/>
    </xf>
    <xf numFmtId="44" fontId="14" fillId="0" borderId="2" xfId="1" applyFont="1" applyBorder="1" applyAlignment="1">
      <alignment horizontal="center" vertical="center"/>
    </xf>
    <xf numFmtId="44" fontId="14" fillId="0" borderId="1" xfId="1" applyFont="1" applyBorder="1" applyAlignment="1">
      <alignment horizontal="center" vertical="center"/>
    </xf>
    <xf numFmtId="44" fontId="14" fillId="0" borderId="34" xfId="1" applyFont="1" applyBorder="1" applyAlignment="1">
      <alignment horizontal="center" vertical="center"/>
    </xf>
    <xf numFmtId="43" fontId="12" fillId="0" borderId="2" xfId="1" applyNumberFormat="1" applyFont="1" applyBorder="1" applyAlignment="1">
      <alignment horizontal="right" vertical="center"/>
    </xf>
    <xf numFmtId="43" fontId="12" fillId="0" borderId="1" xfId="1" applyNumberFormat="1" applyFont="1" applyBorder="1" applyAlignment="1">
      <alignment horizontal="right" vertical="center"/>
    </xf>
    <xf numFmtId="43" fontId="12" fillId="0" borderId="5" xfId="1" applyNumberFormat="1" applyFont="1" applyBorder="1" applyAlignment="1">
      <alignment horizontal="right" vertical="center"/>
    </xf>
    <xf numFmtId="44" fontId="14" fillId="0" borderId="2" xfId="1" applyFont="1" applyFill="1" applyBorder="1" applyAlignment="1">
      <alignment horizontal="center" vertical="center"/>
    </xf>
    <xf numFmtId="44" fontId="14" fillId="0" borderId="1" xfId="1" applyFont="1" applyFill="1" applyBorder="1" applyAlignment="1">
      <alignment horizontal="center" vertical="center"/>
    </xf>
    <xf numFmtId="44" fontId="14" fillId="0" borderId="5" xfId="1" applyFont="1" applyFill="1" applyBorder="1" applyAlignment="1">
      <alignment horizontal="center" vertical="center"/>
    </xf>
    <xf numFmtId="167" fontId="12" fillId="0" borderId="2" xfId="0" applyNumberFormat="1" applyFont="1" applyBorder="1" applyAlignment="1" applyProtection="1">
      <alignment horizontal="left"/>
      <protection hidden="1"/>
    </xf>
    <xf numFmtId="167" fontId="12" fillId="0" borderId="1" xfId="0" applyNumberFormat="1" applyFont="1" applyBorder="1" applyAlignment="1" applyProtection="1">
      <alignment horizontal="left"/>
      <protection hidden="1"/>
    </xf>
    <xf numFmtId="168" fontId="14" fillId="0" borderId="1" xfId="0" applyNumberFormat="1" applyFont="1" applyBorder="1" applyAlignment="1" applyProtection="1">
      <alignment horizontal="left"/>
      <protection locked="0"/>
    </xf>
    <xf numFmtId="168" fontId="14" fillId="0" borderId="34" xfId="0" applyNumberFormat="1" applyFont="1" applyBorder="1" applyAlignment="1" applyProtection="1">
      <alignment horizontal="left"/>
      <protection locked="0"/>
    </xf>
    <xf numFmtId="0" fontId="14" fillId="0" borderId="22" xfId="0" applyFont="1" applyBorder="1" applyAlignment="1">
      <alignment horizontal="left"/>
    </xf>
    <xf numFmtId="0" fontId="14" fillId="0" borderId="8" xfId="0" applyFont="1" applyBorder="1" applyAlignment="1">
      <alignment horizontal="left"/>
    </xf>
    <xf numFmtId="0" fontId="14" fillId="0" borderId="13" xfId="0" applyFont="1" applyBorder="1" applyAlignment="1">
      <alignment horizontal="left"/>
    </xf>
    <xf numFmtId="0" fontId="14" fillId="0" borderId="33" xfId="0" applyFont="1" applyBorder="1" applyAlignment="1">
      <alignment horizontal="left"/>
    </xf>
    <xf numFmtId="0" fontId="14" fillId="0" borderId="1" xfId="0" applyFont="1" applyBorder="1" applyAlignment="1">
      <alignment horizontal="left"/>
    </xf>
    <xf numFmtId="0" fontId="14" fillId="0" borderId="5" xfId="0" applyFont="1" applyBorder="1" applyAlignment="1">
      <alignment horizontal="left"/>
    </xf>
    <xf numFmtId="0" fontId="14" fillId="0" borderId="22" xfId="0" applyFont="1" applyBorder="1" applyAlignment="1">
      <alignment horizontal="center"/>
    </xf>
    <xf numFmtId="0" fontId="14" fillId="0" borderId="10" xfId="0" applyFont="1" applyFill="1" applyBorder="1" applyAlignment="1">
      <alignment horizontal="center"/>
    </xf>
    <xf numFmtId="0" fontId="14" fillId="0" borderId="13" xfId="0" applyFont="1" applyFill="1" applyBorder="1" applyAlignment="1">
      <alignment horizontal="center"/>
    </xf>
    <xf numFmtId="0" fontId="14" fillId="0" borderId="8" xfId="0" applyFont="1" applyFill="1" applyBorder="1" applyAlignment="1">
      <alignment horizontal="center"/>
    </xf>
    <xf numFmtId="0" fontId="25" fillId="0" borderId="0" xfId="0" applyFont="1" applyBorder="1" applyAlignment="1" applyProtection="1">
      <alignment horizontal="left" vertical="center"/>
      <protection locked="0"/>
    </xf>
    <xf numFmtId="0" fontId="25" fillId="0" borderId="6" xfId="0" applyFont="1" applyBorder="1" applyAlignment="1" applyProtection="1">
      <alignment horizontal="left" vertical="center"/>
      <protection locked="0"/>
    </xf>
    <xf numFmtId="0" fontId="12" fillId="0" borderId="3" xfId="0" applyFont="1" applyBorder="1" applyAlignment="1" applyProtection="1">
      <alignment horizontal="left"/>
    </xf>
    <xf numFmtId="0" fontId="12" fillId="0" borderId="0" xfId="0" applyFont="1" applyBorder="1" applyAlignment="1" applyProtection="1">
      <alignment horizontal="left"/>
    </xf>
    <xf numFmtId="0" fontId="12" fillId="0" borderId="6" xfId="0" applyFont="1" applyBorder="1" applyAlignment="1" applyProtection="1">
      <alignment horizontal="left"/>
    </xf>
    <xf numFmtId="49" fontId="12" fillId="0" borderId="8" xfId="0" applyNumberFormat="1" applyFont="1" applyFill="1" applyBorder="1" applyAlignment="1" applyProtection="1">
      <alignment horizontal="left" vertical="top"/>
      <protection locked="0"/>
    </xf>
    <xf numFmtId="49" fontId="12" fillId="0" borderId="13" xfId="0" applyNumberFormat="1" applyFont="1" applyFill="1" applyBorder="1" applyAlignment="1" applyProtection="1">
      <alignment horizontal="left" vertical="top"/>
      <protection locked="0"/>
    </xf>
    <xf numFmtId="0" fontId="14" fillId="0" borderId="10" xfId="0" applyFont="1" applyBorder="1" applyAlignment="1" applyProtection="1">
      <alignment horizontal="left"/>
    </xf>
    <xf numFmtId="0" fontId="14" fillId="0" borderId="8" xfId="0" applyFont="1" applyBorder="1" applyAlignment="1" applyProtection="1">
      <alignment horizontal="left"/>
    </xf>
    <xf numFmtId="0" fontId="14" fillId="0" borderId="13" xfId="0" applyFont="1" applyBorder="1" applyAlignment="1" applyProtection="1">
      <alignment horizontal="left"/>
    </xf>
    <xf numFmtId="165" fontId="16" fillId="0" borderId="10" xfId="0" applyNumberFormat="1" applyFont="1" applyBorder="1" applyAlignment="1" applyProtection="1">
      <alignment horizontal="center"/>
      <protection locked="0"/>
    </xf>
    <xf numFmtId="165" fontId="16" fillId="0" borderId="8" xfId="0" applyNumberFormat="1" applyFont="1" applyBorder="1" applyAlignment="1" applyProtection="1">
      <alignment horizontal="center"/>
      <protection locked="0"/>
    </xf>
    <xf numFmtId="165" fontId="16" fillId="0" borderId="48" xfId="0" applyNumberFormat="1" applyFont="1" applyBorder="1" applyAlignment="1" applyProtection="1">
      <alignment horizontal="center"/>
      <protection locked="0"/>
    </xf>
    <xf numFmtId="0" fontId="14" fillId="0" borderId="1" xfId="0" applyFont="1" applyBorder="1" applyAlignment="1" applyProtection="1">
      <alignment horizontal="center"/>
      <protection locked="0"/>
    </xf>
    <xf numFmtId="10" fontId="14" fillId="0" borderId="3" xfId="0" applyNumberFormat="1" applyFont="1" applyBorder="1" applyAlignment="1" applyProtection="1">
      <alignment horizontal="center" vertical="center"/>
    </xf>
    <xf numFmtId="10" fontId="14" fillId="0" borderId="0" xfId="0" applyNumberFormat="1" applyFont="1" applyBorder="1" applyAlignment="1" applyProtection="1">
      <alignment horizontal="center" vertical="center"/>
    </xf>
    <xf numFmtId="10" fontId="14" fillId="0" borderId="47" xfId="0" applyNumberFormat="1" applyFont="1" applyBorder="1" applyAlignment="1" applyProtection="1">
      <alignment horizontal="center" vertical="center"/>
    </xf>
    <xf numFmtId="10" fontId="14" fillId="0" borderId="10" xfId="0" applyNumberFormat="1" applyFont="1" applyBorder="1" applyAlignment="1" applyProtection="1">
      <alignment horizontal="center" vertical="center"/>
    </xf>
    <xf numFmtId="10" fontId="14" fillId="0" borderId="8" xfId="0" applyNumberFormat="1" applyFont="1" applyBorder="1" applyAlignment="1" applyProtection="1">
      <alignment horizontal="center" vertical="center"/>
    </xf>
    <xf numFmtId="10" fontId="14" fillId="0" borderId="48" xfId="0" applyNumberFormat="1" applyFont="1" applyBorder="1" applyAlignment="1" applyProtection="1">
      <alignment horizontal="center" vertical="center"/>
    </xf>
    <xf numFmtId="0" fontId="14" fillId="0" borderId="3" xfId="0" applyFont="1" applyBorder="1" applyAlignment="1" applyProtection="1">
      <alignment horizontal="left"/>
      <protection locked="0" hidden="1"/>
    </xf>
    <xf numFmtId="0" fontId="14" fillId="0" borderId="6" xfId="0" applyFont="1" applyBorder="1" applyAlignment="1" applyProtection="1">
      <alignment horizontal="left"/>
      <protection locked="0" hidden="1"/>
    </xf>
    <xf numFmtId="0" fontId="12" fillId="0" borderId="8" xfId="0" applyFont="1" applyFill="1" applyBorder="1" applyAlignment="1" applyProtection="1">
      <alignment horizontal="center"/>
      <protection locked="0"/>
    </xf>
    <xf numFmtId="0" fontId="12" fillId="0" borderId="8" xfId="0" applyFont="1" applyFill="1" applyBorder="1" applyAlignment="1" applyProtection="1">
      <alignment horizontal="right"/>
      <protection locked="0"/>
    </xf>
    <xf numFmtId="0" fontId="14" fillId="0" borderId="8" xfId="0" applyFont="1" applyFill="1" applyBorder="1" applyAlignment="1" applyProtection="1">
      <alignment horizontal="right"/>
      <protection locked="0"/>
    </xf>
    <xf numFmtId="0" fontId="14" fillId="0" borderId="13" xfId="0" applyFont="1" applyFill="1" applyBorder="1" applyAlignment="1" applyProtection="1">
      <alignment horizontal="right"/>
      <protection locked="0"/>
    </xf>
    <xf numFmtId="0" fontId="12" fillId="0" borderId="22" xfId="0" applyFont="1" applyFill="1" applyBorder="1" applyAlignment="1" applyProtection="1">
      <alignment horizontal="left"/>
      <protection locked="0"/>
    </xf>
    <xf numFmtId="0" fontId="12" fillId="0" borderId="8" xfId="0" applyFont="1" applyFill="1" applyBorder="1" applyAlignment="1" applyProtection="1">
      <alignment horizontal="left"/>
      <protection locked="0"/>
    </xf>
    <xf numFmtId="0" fontId="12" fillId="0" borderId="3" xfId="0" applyFont="1" applyBorder="1" applyAlignment="1" applyProtection="1">
      <alignment horizontal="left" shrinkToFit="1"/>
    </xf>
    <xf numFmtId="0" fontId="12" fillId="0" borderId="0" xfId="0" applyFont="1" applyBorder="1" applyAlignment="1" applyProtection="1">
      <alignment horizontal="left" shrinkToFit="1"/>
    </xf>
    <xf numFmtId="0" fontId="12" fillId="0" borderId="6" xfId="0" applyFont="1" applyBorder="1" applyAlignment="1" applyProtection="1">
      <alignment horizontal="left" shrinkToFit="1"/>
    </xf>
    <xf numFmtId="0" fontId="12" fillId="0" borderId="25" xfId="0" applyFont="1" applyFill="1" applyBorder="1" applyAlignment="1" applyProtection="1">
      <protection locked="0"/>
    </xf>
    <xf numFmtId="0" fontId="14" fillId="0" borderId="0" xfId="0" applyFont="1" applyFill="1" applyBorder="1" applyAlignment="1" applyProtection="1">
      <protection locked="0"/>
    </xf>
    <xf numFmtId="0" fontId="14" fillId="0" borderId="6" xfId="0" applyFont="1" applyFill="1" applyBorder="1" applyAlignment="1" applyProtection="1">
      <protection locked="0"/>
    </xf>
    <xf numFmtId="0" fontId="14" fillId="0" borderId="3" xfId="0" applyFont="1" applyBorder="1" applyAlignment="1" applyProtection="1">
      <alignment horizontal="center"/>
    </xf>
    <xf numFmtId="0" fontId="14" fillId="0" borderId="0" xfId="0" applyFont="1" applyBorder="1" applyAlignment="1" applyProtection="1">
      <alignment horizontal="center"/>
    </xf>
    <xf numFmtId="7" fontId="12" fillId="0" borderId="2" xfId="1" applyNumberFormat="1" applyFont="1" applyBorder="1" applyAlignment="1" applyProtection="1">
      <alignment horizontal="center"/>
      <protection locked="0"/>
    </xf>
    <xf numFmtId="7" fontId="12" fillId="0" borderId="1" xfId="1" applyNumberFormat="1" applyFont="1" applyBorder="1" applyAlignment="1" applyProtection="1">
      <alignment horizontal="center"/>
      <protection locked="0"/>
    </xf>
    <xf numFmtId="7" fontId="12" fillId="0" borderId="5" xfId="1" applyNumberFormat="1" applyFont="1" applyBorder="1" applyAlignment="1" applyProtection="1">
      <alignment horizontal="center"/>
      <protection locked="0"/>
    </xf>
    <xf numFmtId="44" fontId="14" fillId="0" borderId="2" xfId="1" applyNumberFormat="1" applyFont="1" applyBorder="1" applyAlignment="1" applyProtection="1">
      <alignment horizontal="right"/>
      <protection hidden="1"/>
    </xf>
    <xf numFmtId="44" fontId="14" fillId="0" borderId="1" xfId="1" applyNumberFormat="1" applyFont="1" applyBorder="1" applyAlignment="1" applyProtection="1">
      <alignment horizontal="right"/>
      <protection hidden="1"/>
    </xf>
    <xf numFmtId="44" fontId="14" fillId="0" borderId="34" xfId="1" applyNumberFormat="1" applyFont="1" applyBorder="1" applyAlignment="1" applyProtection="1">
      <alignment horizontal="right"/>
      <protection hidden="1"/>
    </xf>
    <xf numFmtId="44" fontId="16" fillId="5" borderId="35" xfId="1" applyNumberFormat="1" applyFont="1" applyFill="1" applyBorder="1" applyAlignment="1">
      <alignment horizontal="right"/>
    </xf>
    <xf numFmtId="44" fontId="16" fillId="5" borderId="38" xfId="1" applyNumberFormat="1" applyFont="1" applyFill="1" applyBorder="1" applyAlignment="1">
      <alignment horizontal="right"/>
    </xf>
    <xf numFmtId="44" fontId="16" fillId="5" borderId="39" xfId="1" applyNumberFormat="1" applyFont="1" applyFill="1" applyBorder="1" applyAlignment="1">
      <alignment horizontal="right"/>
    </xf>
    <xf numFmtId="44" fontId="14" fillId="0" borderId="2" xfId="1" applyNumberFormat="1" applyFont="1" applyBorder="1" applyAlignment="1" applyProtection="1">
      <alignment horizontal="right"/>
      <protection locked="0"/>
    </xf>
    <xf numFmtId="44" fontId="14" fillId="0" borderId="1" xfId="1" applyNumberFormat="1" applyFont="1" applyBorder="1" applyAlignment="1" applyProtection="1">
      <alignment horizontal="right"/>
      <protection locked="0"/>
    </xf>
    <xf numFmtId="44" fontId="14" fillId="0" borderId="34" xfId="1" applyNumberFormat="1" applyFont="1" applyBorder="1" applyAlignment="1" applyProtection="1">
      <alignment horizontal="right"/>
      <protection locked="0"/>
    </xf>
    <xf numFmtId="44" fontId="12" fillId="0" borderId="2" xfId="1" applyNumberFormat="1" applyFont="1" applyBorder="1" applyAlignment="1" applyProtection="1">
      <alignment horizontal="center"/>
      <protection hidden="1"/>
    </xf>
    <xf numFmtId="44" fontId="12" fillId="0" borderId="1" xfId="1" applyNumberFormat="1" applyFont="1" applyBorder="1" applyAlignment="1" applyProtection="1">
      <alignment horizontal="center"/>
      <protection hidden="1"/>
    </xf>
    <xf numFmtId="44" fontId="12" fillId="0" borderId="34" xfId="1" applyNumberFormat="1" applyFont="1" applyBorder="1" applyAlignment="1" applyProtection="1">
      <alignment horizontal="center"/>
      <protection hidden="1"/>
    </xf>
    <xf numFmtId="44" fontId="14" fillId="5" borderId="2" xfId="1" applyNumberFormat="1" applyFont="1" applyFill="1" applyBorder="1" applyAlignment="1">
      <alignment horizontal="right"/>
    </xf>
    <xf numFmtId="44" fontId="14" fillId="5" borderId="1" xfId="1" applyNumberFormat="1" applyFont="1" applyFill="1" applyBorder="1" applyAlignment="1">
      <alignment horizontal="right"/>
    </xf>
    <xf numFmtId="44" fontId="14" fillId="5" borderId="34" xfId="1" applyNumberFormat="1" applyFont="1" applyFill="1" applyBorder="1" applyAlignment="1">
      <alignment horizontal="right"/>
    </xf>
    <xf numFmtId="166" fontId="24" fillId="0" borderId="9" xfId="0" applyNumberFormat="1" applyFont="1" applyFill="1" applyBorder="1" applyAlignment="1" applyProtection="1">
      <alignment horizontal="center" vertical="center" wrapText="1"/>
      <protection hidden="1"/>
    </xf>
    <xf numFmtId="166" fontId="24" fillId="0" borderId="11" xfId="0" applyNumberFormat="1" applyFont="1" applyFill="1" applyBorder="1" applyAlignment="1" applyProtection="1">
      <alignment horizontal="center" vertical="center" wrapText="1"/>
      <protection hidden="1"/>
    </xf>
    <xf numFmtId="166" fontId="24" fillId="0" borderId="12" xfId="0" applyNumberFormat="1" applyFont="1" applyFill="1" applyBorder="1" applyAlignment="1" applyProtection="1">
      <alignment horizontal="center" vertical="center" wrapText="1"/>
      <protection hidden="1"/>
    </xf>
    <xf numFmtId="166" fontId="24" fillId="0" borderId="31" xfId="0" applyNumberFormat="1" applyFont="1" applyFill="1" applyBorder="1" applyAlignment="1" applyProtection="1">
      <alignment horizontal="center" vertical="center" wrapText="1"/>
      <protection hidden="1"/>
    </xf>
    <xf numFmtId="166" fontId="24" fillId="0" borderId="28" xfId="0" applyNumberFormat="1" applyFont="1" applyFill="1" applyBorder="1" applyAlignment="1" applyProtection="1">
      <alignment horizontal="center" vertical="center" wrapText="1"/>
      <protection hidden="1"/>
    </xf>
    <xf numFmtId="166" fontId="24" fillId="0" borderId="29" xfId="0" applyNumberFormat="1" applyFont="1" applyFill="1" applyBorder="1" applyAlignment="1" applyProtection="1">
      <alignment horizontal="center" vertical="center" wrapText="1"/>
      <protection hidden="1"/>
    </xf>
    <xf numFmtId="10" fontId="16" fillId="4" borderId="9" xfId="0" applyNumberFormat="1" applyFont="1" applyFill="1" applyBorder="1" applyAlignment="1">
      <alignment horizontal="center" vertical="center"/>
    </xf>
    <xf numFmtId="10" fontId="16" fillId="4" borderId="11" xfId="0" applyNumberFormat="1" applyFont="1" applyFill="1" applyBorder="1" applyAlignment="1">
      <alignment horizontal="center" vertical="center"/>
    </xf>
    <xf numFmtId="10" fontId="16" fillId="4" borderId="24" xfId="0" applyNumberFormat="1" applyFont="1" applyFill="1" applyBorder="1" applyAlignment="1">
      <alignment horizontal="center" vertical="center"/>
    </xf>
    <xf numFmtId="10" fontId="16" fillId="4" borderId="31" xfId="0" applyNumberFormat="1" applyFont="1" applyFill="1" applyBorder="1" applyAlignment="1">
      <alignment horizontal="center" vertical="center"/>
    </xf>
    <xf numFmtId="10" fontId="16" fillId="4" borderId="28" xfId="0" applyNumberFormat="1" applyFont="1" applyFill="1" applyBorder="1" applyAlignment="1">
      <alignment horizontal="center" vertical="center"/>
    </xf>
    <xf numFmtId="10" fontId="16" fillId="4" borderId="32" xfId="0" applyNumberFormat="1" applyFont="1" applyFill="1" applyBorder="1" applyAlignment="1">
      <alignment horizontal="center" vertical="center"/>
    </xf>
    <xf numFmtId="44" fontId="14" fillId="0" borderId="1" xfId="1" applyFont="1" applyFill="1" applyBorder="1" applyAlignment="1" applyProtection="1">
      <alignment horizontal="right"/>
      <protection locked="0"/>
    </xf>
    <xf numFmtId="44" fontId="14" fillId="0" borderId="34" xfId="1" applyFont="1" applyFill="1" applyBorder="1" applyAlignment="1" applyProtection="1">
      <alignment horizontal="right"/>
      <protection locked="0"/>
    </xf>
    <xf numFmtId="0" fontId="12" fillId="0" borderId="8" xfId="0" applyFont="1" applyBorder="1" applyAlignment="1">
      <alignment horizontal="center"/>
    </xf>
    <xf numFmtId="0" fontId="14" fillId="0" borderId="1" xfId="0" applyFont="1" applyBorder="1" applyAlignment="1" applyProtection="1">
      <alignment horizontal="right" vertical="center"/>
      <protection locked="0"/>
    </xf>
    <xf numFmtId="0" fontId="14" fillId="0" borderId="34" xfId="0" applyFont="1" applyBorder="1" applyAlignment="1" applyProtection="1">
      <alignment horizontal="right" vertical="center"/>
      <protection locked="0"/>
    </xf>
    <xf numFmtId="0" fontId="14" fillId="0" borderId="28" xfId="0" applyFont="1" applyFill="1" applyBorder="1" applyAlignment="1">
      <alignment horizontal="right"/>
    </xf>
    <xf numFmtId="167" fontId="12" fillId="0" borderId="9" xfId="0" applyNumberFormat="1" applyFont="1" applyBorder="1" applyAlignment="1" applyProtection="1">
      <alignment horizontal="left"/>
      <protection hidden="1"/>
    </xf>
    <xf numFmtId="167" fontId="12" fillId="0" borderId="11" xfId="0" applyNumberFormat="1" applyFont="1" applyBorder="1" applyAlignment="1" applyProtection="1">
      <alignment horizontal="left"/>
      <protection hidden="1"/>
    </xf>
    <xf numFmtId="44" fontId="14" fillId="4" borderId="1" xfId="1" applyFont="1" applyFill="1" applyBorder="1" applyAlignment="1">
      <alignment horizontal="right"/>
    </xf>
    <xf numFmtId="44" fontId="14" fillId="4" borderId="34" xfId="1" applyFont="1" applyFill="1" applyBorder="1" applyAlignment="1">
      <alignment horizontal="right"/>
    </xf>
    <xf numFmtId="44" fontId="14" fillId="0" borderId="35" xfId="1" applyFont="1" applyBorder="1" applyAlignment="1">
      <alignment horizontal="right" vertical="center"/>
    </xf>
    <xf numFmtId="44" fontId="14" fillId="0" borderId="38" xfId="1" applyFont="1" applyBorder="1" applyAlignment="1">
      <alignment horizontal="right" vertical="center"/>
    </xf>
    <xf numFmtId="44" fontId="14" fillId="0" borderId="39" xfId="1" applyFont="1" applyBorder="1" applyAlignment="1">
      <alignment horizontal="right" vertical="center"/>
    </xf>
    <xf numFmtId="0" fontId="12" fillId="0" borderId="0" xfId="0" applyFont="1" applyBorder="1" applyAlignment="1" applyProtection="1">
      <alignment horizontal="center" vertical="center"/>
      <protection locked="0"/>
    </xf>
    <xf numFmtId="0" fontId="12" fillId="0" borderId="6" xfId="0" applyFont="1" applyBorder="1" applyAlignment="1" applyProtection="1">
      <alignment horizontal="center" vertical="center"/>
      <protection locked="0"/>
    </xf>
    <xf numFmtId="168" fontId="14" fillId="0" borderId="11" xfId="0" applyNumberFormat="1" applyFont="1" applyBorder="1" applyAlignment="1" applyProtection="1">
      <alignment horizontal="left"/>
      <protection locked="0"/>
    </xf>
    <xf numFmtId="168" fontId="14" fillId="0" borderId="24" xfId="0" applyNumberFormat="1" applyFont="1" applyBorder="1" applyAlignment="1" applyProtection="1">
      <alignment horizontal="left"/>
      <protection locked="0"/>
    </xf>
    <xf numFmtId="164" fontId="32" fillId="0" borderId="43" xfId="3" applyNumberFormat="1" applyFont="1" applyBorder="1" applyAlignment="1" applyProtection="1">
      <alignment horizontal="center"/>
      <protection locked="0"/>
    </xf>
    <xf numFmtId="164" fontId="32" fillId="0" borderId="44" xfId="3" applyNumberFormat="1" applyFont="1" applyBorder="1" applyAlignment="1" applyProtection="1">
      <alignment horizontal="center"/>
      <protection locked="0"/>
    </xf>
    <xf numFmtId="164" fontId="32" fillId="0" borderId="45" xfId="3" applyNumberFormat="1" applyFont="1" applyBorder="1" applyAlignment="1" applyProtection="1">
      <alignment horizontal="center"/>
      <protection locked="0"/>
    </xf>
    <xf numFmtId="0" fontId="32" fillId="0" borderId="33" xfId="0" applyFont="1" applyBorder="1" applyAlignment="1" applyProtection="1">
      <alignment horizontal="left"/>
      <protection hidden="1"/>
    </xf>
    <xf numFmtId="0" fontId="32" fillId="0" borderId="1" xfId="0" applyFont="1" applyBorder="1" applyAlignment="1" applyProtection="1">
      <alignment horizontal="left"/>
      <protection hidden="1"/>
    </xf>
    <xf numFmtId="0" fontId="32" fillId="0" borderId="34" xfId="0" applyFont="1" applyBorder="1" applyAlignment="1" applyProtection="1">
      <alignment horizontal="left"/>
      <protection hidden="1"/>
    </xf>
    <xf numFmtId="0" fontId="82" fillId="0" borderId="28" xfId="0" applyFont="1" applyBorder="1" applyAlignment="1" applyProtection="1">
      <alignment horizontal="left"/>
      <protection locked="0" hidden="1"/>
    </xf>
    <xf numFmtId="0" fontId="12" fillId="0" borderId="28" xfId="0" applyFont="1" applyBorder="1" applyAlignment="1" applyProtection="1">
      <alignment horizontal="right"/>
      <protection hidden="1"/>
    </xf>
    <xf numFmtId="0" fontId="31" fillId="0" borderId="43" xfId="0" applyFont="1" applyBorder="1" applyAlignment="1" applyProtection="1">
      <alignment horizontal="right"/>
      <protection locked="0"/>
    </xf>
    <xf numFmtId="0" fontId="31" fillId="0" borderId="44" xfId="0" applyFont="1" applyBorder="1" applyAlignment="1" applyProtection="1">
      <alignment horizontal="right"/>
      <protection locked="0"/>
    </xf>
    <xf numFmtId="0" fontId="14" fillId="0" borderId="1" xfId="0" applyFont="1" applyBorder="1" applyAlignment="1" applyProtection="1">
      <alignment horizontal="left" vertical="center" shrinkToFit="1"/>
      <protection locked="0"/>
    </xf>
    <xf numFmtId="0" fontId="14" fillId="0" borderId="5" xfId="0" applyFont="1" applyBorder="1" applyAlignment="1" applyProtection="1">
      <alignment horizontal="left" vertical="center" shrinkToFit="1"/>
      <protection locked="0"/>
    </xf>
    <xf numFmtId="0" fontId="12" fillId="0" borderId="43" xfId="0" applyFont="1" applyBorder="1" applyAlignment="1">
      <alignment horizontal="left"/>
    </xf>
    <xf numFmtId="0" fontId="12" fillId="0" borderId="44" xfId="0" applyFont="1" applyBorder="1" applyAlignment="1">
      <alignment horizontal="left"/>
    </xf>
    <xf numFmtId="0" fontId="12" fillId="0" borderId="74" xfId="0" applyFont="1" applyBorder="1" applyAlignment="1">
      <alignment horizontal="left"/>
    </xf>
    <xf numFmtId="0" fontId="14" fillId="0" borderId="25" xfId="0" applyFont="1" applyBorder="1" applyAlignment="1" applyProtection="1">
      <protection locked="0"/>
    </xf>
    <xf numFmtId="0" fontId="14" fillId="0" borderId="0" xfId="0" applyFont="1" applyBorder="1" applyAlignment="1" applyProtection="1">
      <protection locked="0"/>
    </xf>
    <xf numFmtId="0" fontId="16" fillId="0" borderId="28" xfId="0" applyFont="1" applyBorder="1" applyAlignment="1" applyProtection="1">
      <alignment horizontal="right"/>
      <protection locked="0" hidden="1"/>
    </xf>
    <xf numFmtId="44" fontId="12" fillId="0" borderId="46" xfId="1" applyFont="1" applyBorder="1" applyAlignment="1" applyProtection="1">
      <alignment horizontal="right"/>
      <protection locked="0"/>
    </xf>
    <xf numFmtId="44" fontId="12" fillId="0" borderId="41" xfId="1" applyFont="1" applyBorder="1" applyAlignment="1" applyProtection="1">
      <alignment horizontal="right"/>
      <protection locked="0"/>
    </xf>
    <xf numFmtId="44" fontId="12" fillId="0" borderId="42" xfId="1" applyFont="1" applyBorder="1" applyAlignment="1" applyProtection="1">
      <alignment horizontal="right"/>
      <protection locked="0"/>
    </xf>
    <xf numFmtId="0" fontId="12" fillId="0" borderId="2" xfId="1" applyNumberFormat="1" applyFont="1" applyBorder="1" applyAlignment="1" applyProtection="1">
      <alignment horizontal="center" shrinkToFit="1"/>
      <protection locked="0"/>
    </xf>
    <xf numFmtId="44" fontId="14" fillId="6" borderId="1" xfId="1" applyFont="1" applyFill="1" applyBorder="1" applyAlignment="1" applyProtection="1">
      <alignment horizontal="right"/>
      <protection locked="0"/>
    </xf>
    <xf numFmtId="44" fontId="14" fillId="6" borderId="34" xfId="1" applyFont="1" applyFill="1" applyBorder="1" applyAlignment="1" applyProtection="1">
      <alignment horizontal="right"/>
      <protection locked="0"/>
    </xf>
    <xf numFmtId="0" fontId="12" fillId="0" borderId="1" xfId="0" applyNumberFormat="1" applyFont="1" applyBorder="1" applyAlignment="1" applyProtection="1">
      <alignment horizontal="center" vertical="center" shrinkToFit="1"/>
      <protection locked="0" hidden="1"/>
    </xf>
    <xf numFmtId="0" fontId="12" fillId="0" borderId="34" xfId="0" applyNumberFormat="1" applyFont="1" applyBorder="1" applyAlignment="1" applyProtection="1">
      <alignment horizontal="center" vertical="center" shrinkToFit="1"/>
      <protection locked="0" hidden="1"/>
    </xf>
    <xf numFmtId="44" fontId="16" fillId="4" borderId="35" xfId="1" applyFont="1" applyFill="1" applyBorder="1" applyAlignment="1" applyProtection="1">
      <alignment horizontal="right"/>
      <protection hidden="1"/>
    </xf>
    <xf numFmtId="44" fontId="16" fillId="4" borderId="38" xfId="1" applyFont="1" applyFill="1" applyBorder="1" applyAlignment="1" applyProtection="1">
      <alignment horizontal="right"/>
      <protection hidden="1"/>
    </xf>
    <xf numFmtId="44" fontId="16" fillId="4" borderId="39" xfId="1" applyFont="1" applyFill="1" applyBorder="1" applyAlignment="1" applyProtection="1">
      <alignment horizontal="right"/>
      <protection hidden="1"/>
    </xf>
    <xf numFmtId="0" fontId="16" fillId="0" borderId="33" xfId="0" applyFont="1" applyFill="1" applyBorder="1" applyAlignment="1">
      <alignment horizontal="center"/>
    </xf>
    <xf numFmtId="0" fontId="16" fillId="0" borderId="1" xfId="0" applyFont="1" applyFill="1" applyBorder="1" applyAlignment="1">
      <alignment horizontal="center"/>
    </xf>
    <xf numFmtId="0" fontId="16" fillId="0" borderId="34" xfId="0" applyFont="1" applyFill="1" applyBorder="1" applyAlignment="1">
      <alignment horizontal="center"/>
    </xf>
    <xf numFmtId="44" fontId="16" fillId="0" borderId="2" xfId="1" applyFont="1" applyBorder="1" applyAlignment="1" applyProtection="1">
      <alignment horizontal="right"/>
      <protection locked="0"/>
    </xf>
    <xf numFmtId="44" fontId="16" fillId="0" borderId="1" xfId="1" applyFont="1" applyBorder="1" applyAlignment="1" applyProtection="1">
      <alignment horizontal="right"/>
      <protection locked="0"/>
    </xf>
    <xf numFmtId="44" fontId="16" fillId="0" borderId="34" xfId="1" applyFont="1" applyBorder="1" applyAlignment="1" applyProtection="1">
      <alignment horizontal="right"/>
      <protection locked="0"/>
    </xf>
    <xf numFmtId="44" fontId="14" fillId="0" borderId="2" xfId="1" applyFont="1" applyBorder="1" applyAlignment="1" applyProtection="1">
      <alignment horizontal="right"/>
      <protection hidden="1"/>
    </xf>
    <xf numFmtId="0" fontId="16" fillId="0" borderId="33" xfId="0" applyFont="1" applyBorder="1" applyAlignment="1" applyProtection="1">
      <alignment horizontal="left"/>
      <protection hidden="1"/>
    </xf>
    <xf numFmtId="0" fontId="16" fillId="0" borderId="1" xfId="0" applyFont="1" applyBorder="1" applyAlignment="1" applyProtection="1">
      <alignment horizontal="left"/>
      <protection hidden="1"/>
    </xf>
    <xf numFmtId="14" fontId="14" fillId="0" borderId="2" xfId="0" applyNumberFormat="1" applyFont="1" applyBorder="1" applyAlignment="1" applyProtection="1">
      <alignment horizontal="right" vertical="center"/>
      <protection locked="0" hidden="1"/>
    </xf>
    <xf numFmtId="14" fontId="14" fillId="0" borderId="1" xfId="0" applyNumberFormat="1" applyFont="1" applyBorder="1" applyAlignment="1" applyProtection="1">
      <alignment horizontal="right" vertical="center"/>
      <protection locked="0" hidden="1"/>
    </xf>
    <xf numFmtId="14" fontId="14" fillId="0" borderId="34" xfId="0" applyNumberFormat="1" applyFont="1" applyBorder="1" applyAlignment="1" applyProtection="1">
      <alignment horizontal="right" vertical="center"/>
      <protection locked="0" hidden="1"/>
    </xf>
    <xf numFmtId="0" fontId="14" fillId="0" borderId="33" xfId="0" applyFont="1" applyBorder="1" applyAlignment="1">
      <alignment horizontal="right"/>
    </xf>
    <xf numFmtId="0" fontId="14" fillId="0" borderId="1" xfId="0" applyFont="1" applyBorder="1" applyAlignment="1">
      <alignment horizontal="right"/>
    </xf>
    <xf numFmtId="0" fontId="14" fillId="0" borderId="5" xfId="0" applyFont="1" applyBorder="1" applyAlignment="1">
      <alignment horizontal="right"/>
    </xf>
    <xf numFmtId="0" fontId="14" fillId="0" borderId="33" xfId="0" applyFont="1" applyBorder="1" applyAlignment="1">
      <alignment horizontal="center"/>
    </xf>
    <xf numFmtId="0" fontId="14" fillId="0" borderId="1" xfId="0" applyFont="1" applyBorder="1" applyAlignment="1">
      <alignment horizontal="center"/>
    </xf>
    <xf numFmtId="0" fontId="12" fillId="0" borderId="47" xfId="0" applyFont="1" applyBorder="1" applyAlignment="1" applyProtection="1">
      <alignment horizontal="center" vertical="center"/>
      <protection locked="0"/>
    </xf>
    <xf numFmtId="49" fontId="16" fillId="0" borderId="1" xfId="0" applyNumberFormat="1" applyFont="1" applyBorder="1" applyAlignment="1" applyProtection="1">
      <alignment horizontal="left"/>
      <protection locked="0"/>
    </xf>
    <xf numFmtId="0" fontId="16" fillId="0" borderId="1" xfId="0" applyFont="1" applyBorder="1" applyAlignment="1" applyProtection="1">
      <alignment horizontal="left"/>
      <protection locked="0"/>
    </xf>
    <xf numFmtId="0" fontId="16" fillId="0" borderId="1" xfId="0" applyNumberFormat="1" applyFont="1" applyBorder="1" applyAlignment="1" applyProtection="1">
      <alignment horizontal="left"/>
      <protection locked="0"/>
    </xf>
    <xf numFmtId="7" fontId="0" fillId="0" borderId="25" xfId="0" applyNumberFormat="1" applyBorder="1" applyAlignment="1" applyProtection="1">
      <alignment horizontal="center" shrinkToFit="1"/>
      <protection locked="0"/>
    </xf>
    <xf numFmtId="0" fontId="0" fillId="0" borderId="25" xfId="0" applyBorder="1" applyAlignment="1" applyProtection="1">
      <alignment horizontal="center" shrinkToFit="1"/>
      <protection locked="0"/>
    </xf>
    <xf numFmtId="0" fontId="0" fillId="0" borderId="51" xfId="0" applyBorder="1" applyAlignment="1" applyProtection="1">
      <alignment horizontal="center"/>
      <protection locked="0" hidden="1"/>
    </xf>
    <xf numFmtId="49" fontId="12" fillId="0" borderId="14" xfId="0" applyNumberFormat="1" applyFont="1" applyFill="1" applyBorder="1" applyAlignment="1" applyProtection="1">
      <alignment horizontal="center" vertical="center" wrapText="1"/>
      <protection locked="0"/>
    </xf>
    <xf numFmtId="49" fontId="12" fillId="0" borderId="15" xfId="0" applyNumberFormat="1" applyFont="1" applyFill="1" applyBorder="1" applyAlignment="1" applyProtection="1">
      <alignment horizontal="center" vertical="center" wrapText="1"/>
      <protection locked="0"/>
    </xf>
    <xf numFmtId="49" fontId="12" fillId="0" borderId="14" xfId="0" applyNumberFormat="1" applyFont="1" applyFill="1" applyBorder="1" applyAlignment="1" applyProtection="1">
      <alignment horizontal="center" vertical="center"/>
      <protection locked="0"/>
    </xf>
    <xf numFmtId="49" fontId="12" fillId="0" borderId="15" xfId="0" applyNumberFormat="1" applyFont="1" applyFill="1" applyBorder="1" applyAlignment="1" applyProtection="1">
      <alignment horizontal="center" vertical="center"/>
      <protection locked="0"/>
    </xf>
    <xf numFmtId="1" fontId="12" fillId="0" borderId="14" xfId="0" applyNumberFormat="1" applyFont="1" applyFill="1" applyBorder="1" applyAlignment="1" applyProtection="1">
      <alignment horizontal="center" vertical="center" wrapText="1"/>
      <protection locked="0"/>
    </xf>
    <xf numFmtId="1" fontId="12" fillId="0" borderId="15" xfId="0" applyNumberFormat="1" applyFont="1" applyFill="1" applyBorder="1" applyAlignment="1" applyProtection="1">
      <alignment horizontal="center" vertical="center" wrapText="1"/>
      <protection locked="0"/>
    </xf>
    <xf numFmtId="7" fontId="0" fillId="0" borderId="14" xfId="0" applyNumberFormat="1" applyFill="1" applyBorder="1" applyAlignment="1" applyProtection="1">
      <alignment horizontal="center" vertical="center"/>
      <protection locked="0"/>
    </xf>
    <xf numFmtId="7" fontId="0" fillId="0" borderId="15" xfId="0" applyNumberFormat="1" applyFill="1" applyBorder="1" applyAlignment="1" applyProtection="1">
      <alignment horizontal="center" vertical="center"/>
      <protection locked="0"/>
    </xf>
    <xf numFmtId="14" fontId="0" fillId="0" borderId="14" xfId="0" applyNumberFormat="1" applyFill="1" applyBorder="1" applyAlignment="1" applyProtection="1">
      <alignment horizontal="right" vertical="center"/>
      <protection locked="0"/>
    </xf>
    <xf numFmtId="14" fontId="0" fillId="0" borderId="15" xfId="0" applyNumberFormat="1" applyFill="1" applyBorder="1" applyAlignment="1" applyProtection="1">
      <alignment horizontal="right" vertical="center"/>
      <protection locked="0"/>
    </xf>
    <xf numFmtId="14" fontId="0" fillId="0" borderId="66" xfId="1" applyNumberFormat="1" applyFont="1" applyFill="1" applyBorder="1" applyAlignment="1" applyProtection="1">
      <alignment horizontal="right" vertical="center"/>
      <protection hidden="1"/>
    </xf>
    <xf numFmtId="14" fontId="0" fillId="0" borderId="52" xfId="1" applyNumberFormat="1" applyFont="1" applyFill="1" applyBorder="1" applyAlignment="1" applyProtection="1">
      <alignment horizontal="right" vertical="center"/>
      <protection hidden="1"/>
    </xf>
    <xf numFmtId="14" fontId="25" fillId="0" borderId="9" xfId="1" applyNumberFormat="1" applyFont="1" applyFill="1" applyBorder="1" applyAlignment="1" applyProtection="1">
      <alignment horizontal="center" vertical="center" wrapText="1"/>
      <protection locked="0" hidden="1"/>
    </xf>
    <xf numFmtId="14" fontId="25" fillId="0" borderId="24" xfId="1" applyNumberFormat="1" applyFont="1" applyFill="1" applyBorder="1" applyAlignment="1" applyProtection="1">
      <alignment horizontal="center" vertical="center" wrapText="1"/>
      <protection locked="0" hidden="1"/>
    </xf>
    <xf numFmtId="14" fontId="25" fillId="0" borderId="10" xfId="1" applyNumberFormat="1" applyFont="1" applyFill="1" applyBorder="1" applyAlignment="1" applyProtection="1">
      <alignment horizontal="center" vertical="center" wrapText="1"/>
      <protection locked="0" hidden="1"/>
    </xf>
    <xf numFmtId="14" fontId="25" fillId="0" borderId="48" xfId="1" applyNumberFormat="1" applyFont="1" applyFill="1" applyBorder="1" applyAlignment="1" applyProtection="1">
      <alignment horizontal="center" vertical="center" wrapText="1"/>
      <protection locked="0" hidden="1"/>
    </xf>
    <xf numFmtId="0" fontId="12" fillId="0" borderId="55" xfId="0" applyFont="1" applyBorder="1" applyAlignment="1" applyProtection="1">
      <alignment horizontal="center" wrapText="1"/>
      <protection locked="0" hidden="1"/>
    </xf>
    <xf numFmtId="0" fontId="12" fillId="0" borderId="57" xfId="0" applyFont="1" applyBorder="1" applyAlignment="1" applyProtection="1">
      <alignment horizontal="center" wrapText="1"/>
      <protection locked="0" hidden="1"/>
    </xf>
    <xf numFmtId="1" fontId="12" fillId="0" borderId="14" xfId="0" applyNumberFormat="1" applyFont="1" applyFill="1" applyBorder="1" applyAlignment="1" applyProtection="1">
      <alignment horizontal="center" vertical="center"/>
      <protection locked="0"/>
    </xf>
    <xf numFmtId="1" fontId="12" fillId="0" borderId="15" xfId="0" applyNumberFormat="1" applyFont="1" applyFill="1" applyBorder="1" applyAlignment="1" applyProtection="1">
      <alignment horizontal="center" vertical="center"/>
      <protection locked="0"/>
    </xf>
    <xf numFmtId="49" fontId="12" fillId="0" borderId="55" xfId="0" applyNumberFormat="1" applyFont="1" applyFill="1" applyBorder="1" applyAlignment="1" applyProtection="1">
      <alignment horizontal="center" vertical="center" wrapText="1"/>
      <protection locked="0"/>
    </xf>
    <xf numFmtId="49" fontId="12" fillId="0" borderId="57" xfId="0" applyNumberFormat="1" applyFont="1" applyFill="1" applyBorder="1" applyAlignment="1" applyProtection="1">
      <alignment horizontal="center" vertical="center" wrapText="1"/>
      <protection locked="0"/>
    </xf>
    <xf numFmtId="0" fontId="12" fillId="0" borderId="2" xfId="0" applyFont="1" applyBorder="1" applyAlignment="1" applyProtection="1">
      <alignment horizontal="center" vertical="center"/>
      <protection locked="0"/>
    </xf>
    <xf numFmtId="0" fontId="12" fillId="0" borderId="1" xfId="0" applyFont="1" applyBorder="1" applyAlignment="1" applyProtection="1">
      <alignment horizontal="center" vertical="center"/>
      <protection locked="0"/>
    </xf>
    <xf numFmtId="0" fontId="12" fillId="0" borderId="5" xfId="0" applyFont="1" applyBorder="1" applyAlignment="1" applyProtection="1">
      <alignment horizontal="center" vertical="center"/>
      <protection locked="0"/>
    </xf>
    <xf numFmtId="0" fontId="0" fillId="0" borderId="9" xfId="0" applyBorder="1" applyAlignment="1" applyProtection="1">
      <alignment horizontal="left" vertical="center" shrinkToFit="1"/>
      <protection locked="0"/>
    </xf>
    <xf numFmtId="0" fontId="0" fillId="0" borderId="11" xfId="0" applyBorder="1" applyAlignment="1" applyProtection="1">
      <alignment horizontal="left" vertical="center" shrinkToFit="1"/>
      <protection locked="0"/>
    </xf>
    <xf numFmtId="0" fontId="0" fillId="0" borderId="12" xfId="0" applyBorder="1" applyAlignment="1" applyProtection="1">
      <alignment horizontal="left" vertical="center" shrinkToFit="1"/>
      <protection locked="0"/>
    </xf>
    <xf numFmtId="0" fontId="0" fillId="0" borderId="3" xfId="0" applyBorder="1" applyAlignment="1" applyProtection="1">
      <alignment horizontal="left" vertical="center" shrinkToFit="1"/>
      <protection locked="0"/>
    </xf>
    <xf numFmtId="0" fontId="0" fillId="0" borderId="0" xfId="0" applyBorder="1" applyAlignment="1" applyProtection="1">
      <alignment horizontal="left" vertical="center" shrinkToFit="1"/>
      <protection locked="0"/>
    </xf>
    <xf numFmtId="0" fontId="0" fillId="0" borderId="6" xfId="0" applyBorder="1" applyAlignment="1" applyProtection="1">
      <alignment horizontal="left" vertical="center" shrinkToFit="1"/>
      <protection locked="0"/>
    </xf>
    <xf numFmtId="0" fontId="0" fillId="0" borderId="10" xfId="0" applyBorder="1" applyAlignment="1" applyProtection="1">
      <alignment horizontal="left" vertical="center" shrinkToFit="1"/>
      <protection locked="0"/>
    </xf>
    <xf numFmtId="0" fontId="0" fillId="0" borderId="8" xfId="0" applyBorder="1" applyAlignment="1" applyProtection="1">
      <alignment horizontal="left" vertical="center" shrinkToFit="1"/>
      <protection locked="0"/>
    </xf>
    <xf numFmtId="0" fontId="0" fillId="0" borderId="13" xfId="0" applyBorder="1" applyAlignment="1" applyProtection="1">
      <alignment horizontal="left" vertical="center" shrinkToFit="1"/>
      <protection locked="0"/>
    </xf>
    <xf numFmtId="0" fontId="26" fillId="0" borderId="10" xfId="0" applyFont="1" applyBorder="1" applyAlignment="1" applyProtection="1">
      <alignment horizontal="right"/>
      <protection hidden="1"/>
    </xf>
    <xf numFmtId="0" fontId="26" fillId="0" borderId="8" xfId="0" applyFont="1" applyBorder="1" applyAlignment="1" applyProtection="1">
      <alignment horizontal="right"/>
      <protection hidden="1"/>
    </xf>
    <xf numFmtId="14" fontId="25" fillId="0" borderId="23" xfId="1" applyNumberFormat="1" applyFont="1" applyFill="1" applyBorder="1" applyAlignment="1" applyProtection="1">
      <alignment horizontal="center" vertical="center" wrapText="1"/>
      <protection locked="0" hidden="1"/>
    </xf>
    <xf numFmtId="14" fontId="25" fillId="0" borderId="27" xfId="1" applyNumberFormat="1" applyFont="1" applyFill="1" applyBorder="1" applyAlignment="1" applyProtection="1">
      <alignment horizontal="center" vertical="center" wrapText="1"/>
      <protection locked="0" hidden="1"/>
    </xf>
    <xf numFmtId="14" fontId="25" fillId="0" borderId="32" xfId="1" applyNumberFormat="1" applyFont="1" applyFill="1" applyBorder="1" applyAlignment="1" applyProtection="1">
      <alignment horizontal="center" vertical="center" wrapText="1"/>
      <protection locked="0" hidden="1"/>
    </xf>
    <xf numFmtId="0" fontId="0" fillId="0" borderId="71" xfId="0" applyBorder="1" applyAlignment="1" applyProtection="1">
      <alignment horizontal="center"/>
      <protection locked="0" hidden="1"/>
    </xf>
    <xf numFmtId="0" fontId="24" fillId="0" borderId="2" xfId="0" applyFont="1" applyBorder="1" applyAlignment="1" applyProtection="1">
      <alignment horizontal="right"/>
      <protection hidden="1"/>
    </xf>
    <xf numFmtId="0" fontId="24" fillId="0" borderId="1" xfId="0" applyFont="1" applyBorder="1" applyAlignment="1" applyProtection="1">
      <alignment horizontal="right"/>
      <protection hidden="1"/>
    </xf>
    <xf numFmtId="44" fontId="31" fillId="0" borderId="1" xfId="0" applyNumberFormat="1" applyFont="1" applyBorder="1" applyAlignment="1" applyProtection="1">
      <alignment horizontal="center"/>
      <protection hidden="1"/>
    </xf>
    <xf numFmtId="44" fontId="31" fillId="0" borderId="5" xfId="0" applyNumberFormat="1" applyFont="1" applyBorder="1" applyAlignment="1" applyProtection="1">
      <alignment horizontal="center"/>
      <protection hidden="1"/>
    </xf>
    <xf numFmtId="14" fontId="0" fillId="0" borderId="54" xfId="1" applyNumberFormat="1" applyFont="1" applyFill="1" applyBorder="1" applyAlignment="1" applyProtection="1">
      <alignment horizontal="right" vertical="center"/>
      <protection hidden="1"/>
    </xf>
    <xf numFmtId="0" fontId="0" fillId="0" borderId="0" xfId="0" applyBorder="1" applyAlignment="1" applyProtection="1">
      <alignment horizontal="left" shrinkToFit="1"/>
      <protection hidden="1"/>
    </xf>
    <xf numFmtId="14" fontId="25" fillId="0" borderId="18" xfId="1" applyNumberFormat="1" applyFont="1" applyFill="1" applyBorder="1" applyAlignment="1" applyProtection="1">
      <alignment horizontal="center" vertical="center" wrapText="1"/>
      <protection locked="0" hidden="1"/>
    </xf>
    <xf numFmtId="14" fontId="25" fillId="0" borderId="50" xfId="1" applyNumberFormat="1" applyFont="1" applyFill="1" applyBorder="1" applyAlignment="1" applyProtection="1">
      <alignment horizontal="center" vertical="center" wrapText="1"/>
      <protection locked="0" hidden="1"/>
    </xf>
    <xf numFmtId="14" fontId="25" fillId="0" borderId="22" xfId="1" applyNumberFormat="1" applyFont="1" applyFill="1" applyBorder="1" applyAlignment="1" applyProtection="1">
      <alignment horizontal="center" vertical="center" wrapText="1"/>
      <protection locked="0" hidden="1"/>
    </xf>
    <xf numFmtId="0" fontId="32" fillId="0" borderId="18" xfId="0" applyFont="1" applyBorder="1" applyAlignment="1">
      <alignment horizontal="center" vertical="center" wrapText="1"/>
    </xf>
    <xf numFmtId="0" fontId="32" fillId="0" borderId="50" xfId="0" applyFont="1" applyBorder="1" applyAlignment="1">
      <alignment horizontal="center" vertical="center" wrapText="1"/>
    </xf>
    <xf numFmtId="0" fontId="32" fillId="0" borderId="27" xfId="0" applyFont="1" applyBorder="1" applyAlignment="1">
      <alignment horizontal="center" vertical="center" wrapText="1"/>
    </xf>
    <xf numFmtId="0" fontId="32" fillId="0" borderId="32" xfId="0" applyFont="1" applyBorder="1" applyAlignment="1">
      <alignment horizontal="center" vertical="center" wrapText="1"/>
    </xf>
    <xf numFmtId="0" fontId="34" fillId="0" borderId="22" xfId="0" applyFont="1" applyBorder="1" applyAlignment="1">
      <alignment horizontal="center" vertical="top" wrapText="1"/>
    </xf>
    <xf numFmtId="0" fontId="34" fillId="0" borderId="37" xfId="0" applyFont="1" applyBorder="1" applyAlignment="1">
      <alignment horizontal="center" vertical="top" wrapText="1"/>
    </xf>
    <xf numFmtId="14" fontId="0" fillId="0" borderId="9" xfId="1" applyNumberFormat="1" applyFont="1" applyFill="1" applyBorder="1" applyAlignment="1" applyProtection="1">
      <alignment horizontal="right" vertical="center"/>
      <protection hidden="1"/>
    </xf>
    <xf numFmtId="14" fontId="0" fillId="0" borderId="10" xfId="1" applyNumberFormat="1" applyFont="1" applyFill="1" applyBorder="1" applyAlignment="1" applyProtection="1">
      <alignment horizontal="right" vertical="center"/>
      <protection hidden="1"/>
    </xf>
    <xf numFmtId="14" fontId="0" fillId="0" borderId="21" xfId="1" applyNumberFormat="1" applyFont="1" applyFill="1" applyBorder="1" applyAlignment="1" applyProtection="1">
      <alignment horizontal="right" vertical="center"/>
      <protection hidden="1"/>
    </xf>
    <xf numFmtId="0" fontId="16" fillId="0" borderId="68" xfId="0" applyFont="1" applyBorder="1" applyAlignment="1">
      <alignment horizontal="center" vertical="center" wrapText="1"/>
    </xf>
    <xf numFmtId="0" fontId="16" fillId="0" borderId="59" xfId="0" applyFont="1" applyBorder="1" applyAlignment="1">
      <alignment horizontal="center" vertical="center" wrapText="1"/>
    </xf>
    <xf numFmtId="0" fontId="59" fillId="13" borderId="44" xfId="0" applyFont="1" applyFill="1" applyBorder="1" applyAlignment="1">
      <alignment horizontal="center" vertical="center"/>
    </xf>
    <xf numFmtId="0" fontId="59" fillId="13" borderId="45" xfId="0" applyFont="1" applyFill="1" applyBorder="1" applyAlignment="1">
      <alignment horizontal="center" vertical="center"/>
    </xf>
    <xf numFmtId="0" fontId="12" fillId="0" borderId="2" xfId="0" applyFont="1" applyBorder="1" applyAlignment="1" applyProtection="1">
      <alignment horizontal="right"/>
      <protection hidden="1"/>
    </xf>
    <xf numFmtId="0" fontId="12" fillId="0" borderId="1" xfId="0" applyFont="1" applyBorder="1" applyAlignment="1" applyProtection="1">
      <alignment horizontal="right"/>
      <protection hidden="1"/>
    </xf>
    <xf numFmtId="0" fontId="12" fillId="0" borderId="72" xfId="0" applyFont="1" applyBorder="1" applyAlignment="1" applyProtection="1">
      <alignment horizontal="center" wrapText="1"/>
      <protection locked="0" hidden="1"/>
    </xf>
    <xf numFmtId="0" fontId="12" fillId="0" borderId="26" xfId="0" applyFont="1" applyBorder="1" applyAlignment="1" applyProtection="1">
      <alignment horizontal="center" wrapText="1"/>
      <protection locked="0" hidden="1"/>
    </xf>
    <xf numFmtId="0" fontId="12" fillId="0" borderId="62" xfId="0" applyFont="1" applyBorder="1" applyAlignment="1" applyProtection="1">
      <alignment horizontal="center" wrapText="1"/>
      <protection locked="0" hidden="1"/>
    </xf>
    <xf numFmtId="0" fontId="0" fillId="0" borderId="70" xfId="0" applyBorder="1" applyAlignment="1" applyProtection="1">
      <alignment horizontal="center"/>
      <protection locked="0" hidden="1"/>
    </xf>
    <xf numFmtId="1" fontId="12" fillId="0" borderId="61" xfId="0" applyNumberFormat="1" applyFont="1" applyFill="1" applyBorder="1" applyAlignment="1" applyProtection="1">
      <alignment horizontal="center" vertical="center" wrapText="1"/>
      <protection locked="0"/>
    </xf>
    <xf numFmtId="7" fontId="0" fillId="0" borderId="61" xfId="0" applyNumberFormat="1" applyFill="1" applyBorder="1" applyAlignment="1" applyProtection="1">
      <alignment horizontal="center" vertical="center"/>
      <protection locked="0"/>
    </xf>
    <xf numFmtId="14" fontId="0" fillId="0" borderId="61" xfId="0" applyNumberFormat="1" applyFill="1" applyBorder="1" applyAlignment="1" applyProtection="1">
      <alignment horizontal="right" vertical="center"/>
      <protection locked="0"/>
    </xf>
    <xf numFmtId="49" fontId="12" fillId="0" borderId="55" xfId="0" applyNumberFormat="1" applyFont="1" applyBorder="1" applyAlignment="1" applyProtection="1">
      <alignment horizontal="center" vertical="center" wrapText="1"/>
      <protection locked="0"/>
    </xf>
    <xf numFmtId="49" fontId="12" fillId="0" borderId="57" xfId="0" applyNumberFormat="1" applyFont="1" applyBorder="1" applyAlignment="1" applyProtection="1">
      <alignment horizontal="center" vertical="center" wrapText="1"/>
      <protection locked="0"/>
    </xf>
    <xf numFmtId="0" fontId="34" fillId="0" borderId="63" xfId="0" applyFont="1" applyBorder="1" applyAlignment="1">
      <alignment horizontal="center" vertical="top" wrapText="1"/>
    </xf>
    <xf numFmtId="0" fontId="34" fillId="0" borderId="59" xfId="0" applyFont="1" applyBorder="1" applyAlignment="1">
      <alignment horizontal="center" vertical="top" wrapText="1"/>
    </xf>
    <xf numFmtId="49" fontId="12" fillId="0" borderId="4" xfId="0" applyNumberFormat="1" applyFont="1" applyFill="1" applyBorder="1" applyAlignment="1" applyProtection="1">
      <alignment horizontal="center" vertical="center" wrapText="1"/>
      <protection locked="0"/>
    </xf>
    <xf numFmtId="165" fontId="0" fillId="0" borderId="14" xfId="0" applyNumberFormat="1" applyFill="1" applyBorder="1" applyAlignment="1" applyProtection="1">
      <alignment horizontal="center" vertical="center"/>
      <protection locked="0"/>
    </xf>
    <xf numFmtId="165" fontId="0" fillId="0" borderId="15" xfId="0" applyNumberFormat="1" applyFill="1" applyBorder="1" applyAlignment="1" applyProtection="1">
      <alignment horizontal="center" vertical="center"/>
      <protection locked="0"/>
    </xf>
    <xf numFmtId="14" fontId="12" fillId="0" borderId="14" xfId="0" applyNumberFormat="1" applyFont="1" applyFill="1" applyBorder="1" applyAlignment="1" applyProtection="1">
      <alignment horizontal="right" vertical="center"/>
      <protection locked="0"/>
    </xf>
    <xf numFmtId="49" fontId="12" fillId="0" borderId="67" xfId="0" applyNumberFormat="1" applyFont="1" applyFill="1" applyBorder="1" applyAlignment="1" applyProtection="1">
      <alignment horizontal="center" vertical="center" wrapText="1"/>
      <protection locked="0"/>
    </xf>
    <xf numFmtId="49" fontId="12" fillId="0" borderId="61" xfId="0" applyNumberFormat="1" applyFont="1" applyFill="1" applyBorder="1" applyAlignment="1" applyProtection="1">
      <alignment horizontal="center" vertical="center" wrapText="1"/>
      <protection locked="0"/>
    </xf>
    <xf numFmtId="49" fontId="12" fillId="0" borderId="69" xfId="0" applyNumberFormat="1" applyFont="1" applyFill="1" applyBorder="1" applyAlignment="1" applyProtection="1">
      <alignment horizontal="center" vertical="center" wrapText="1"/>
      <protection locked="0"/>
    </xf>
    <xf numFmtId="165" fontId="12" fillId="0" borderId="61" xfId="0" applyNumberFormat="1" applyFont="1" applyFill="1" applyBorder="1" applyAlignment="1" applyProtection="1">
      <alignment horizontal="center" vertical="center"/>
      <protection locked="0"/>
    </xf>
    <xf numFmtId="0" fontId="31" fillId="0" borderId="0" xfId="0" applyFont="1" applyBorder="1" applyAlignment="1">
      <alignment horizontal="right" vertical="center"/>
    </xf>
    <xf numFmtId="170" fontId="12" fillId="0" borderId="0" xfId="0" applyNumberFormat="1" applyFont="1" applyBorder="1" applyAlignment="1">
      <alignment horizontal="right"/>
    </xf>
    <xf numFmtId="0" fontId="16" fillId="0" borderId="0" xfId="0" applyFont="1" applyBorder="1" applyAlignment="1" applyProtection="1">
      <alignment horizontal="center" vertical="center"/>
      <protection locked="0" hidden="1"/>
    </xf>
    <xf numFmtId="49" fontId="0" fillId="0" borderId="55" xfId="0" applyNumberFormat="1" applyBorder="1" applyAlignment="1" applyProtection="1">
      <alignment horizontal="center" vertical="center" wrapText="1"/>
      <protection locked="0"/>
    </xf>
    <xf numFmtId="49" fontId="0" fillId="0" borderId="62" xfId="0" applyNumberFormat="1" applyBorder="1" applyAlignment="1" applyProtection="1">
      <alignment horizontal="center" vertical="center" wrapText="1"/>
      <protection locked="0"/>
    </xf>
    <xf numFmtId="49" fontId="0" fillId="0" borderId="14" xfId="0" applyNumberFormat="1" applyBorder="1" applyAlignment="1" applyProtection="1">
      <alignment horizontal="center" vertical="center" wrapText="1"/>
      <protection locked="0"/>
    </xf>
    <xf numFmtId="49" fontId="0" fillId="0" borderId="53" xfId="0" applyNumberFormat="1" applyBorder="1" applyAlignment="1" applyProtection="1">
      <alignment horizontal="center" vertical="center" wrapText="1"/>
      <protection locked="0"/>
    </xf>
    <xf numFmtId="49" fontId="12" fillId="0" borderId="30" xfId="0" applyNumberFormat="1" applyFont="1" applyFill="1" applyBorder="1" applyAlignment="1" applyProtection="1">
      <alignment horizontal="center" vertical="center" wrapText="1"/>
      <protection locked="0"/>
    </xf>
    <xf numFmtId="1" fontId="0" fillId="0" borderId="14" xfId="0" applyNumberFormat="1" applyBorder="1" applyAlignment="1" applyProtection="1">
      <alignment horizontal="center" vertical="center"/>
      <protection locked="0"/>
    </xf>
    <xf numFmtId="1" fontId="0" fillId="0" borderId="53" xfId="0" applyNumberFormat="1" applyBorder="1" applyAlignment="1" applyProtection="1">
      <alignment horizontal="center" vertical="center"/>
      <protection locked="0"/>
    </xf>
    <xf numFmtId="165" fontId="0" fillId="0" borderId="14" xfId="0" applyNumberFormat="1" applyBorder="1" applyAlignment="1" applyProtection="1">
      <alignment horizontal="center" vertical="center"/>
      <protection locked="0"/>
    </xf>
    <xf numFmtId="165" fontId="0" fillId="0" borderId="53" xfId="0" applyNumberFormat="1" applyBorder="1" applyAlignment="1" applyProtection="1">
      <alignment horizontal="center" vertical="center"/>
      <protection locked="0"/>
    </xf>
    <xf numFmtId="14" fontId="12" fillId="0" borderId="14" xfId="0" applyNumberFormat="1" applyFont="1" applyBorder="1" applyAlignment="1" applyProtection="1">
      <alignment horizontal="right" vertical="center"/>
      <protection locked="0"/>
    </xf>
    <xf numFmtId="14" fontId="0" fillId="0" borderId="53" xfId="0" applyNumberFormat="1" applyBorder="1" applyAlignment="1" applyProtection="1">
      <alignment horizontal="right" vertical="center"/>
      <protection locked="0"/>
    </xf>
    <xf numFmtId="14" fontId="25" fillId="0" borderId="31" xfId="1" applyNumberFormat="1" applyFont="1" applyFill="1" applyBorder="1" applyAlignment="1" applyProtection="1">
      <alignment horizontal="center" vertical="center" wrapText="1"/>
      <protection locked="0" hidden="1"/>
    </xf>
    <xf numFmtId="14" fontId="0" fillId="0" borderId="14" xfId="1" applyNumberFormat="1" applyFont="1" applyFill="1" applyBorder="1" applyAlignment="1" applyProtection="1">
      <alignment horizontal="right" vertical="center"/>
      <protection hidden="1"/>
    </xf>
    <xf numFmtId="14" fontId="0" fillId="0" borderId="53" xfId="1" applyNumberFormat="1" applyFont="1" applyFill="1" applyBorder="1" applyAlignment="1" applyProtection="1">
      <alignment horizontal="right" vertical="center"/>
      <protection hidden="1"/>
    </xf>
    <xf numFmtId="165" fontId="12" fillId="0" borderId="14" xfId="0" applyNumberFormat="1" applyFont="1" applyFill="1" applyBorder="1" applyAlignment="1" applyProtection="1">
      <alignment horizontal="center" vertical="center"/>
      <protection locked="0"/>
    </xf>
    <xf numFmtId="165" fontId="12" fillId="0" borderId="15" xfId="0" applyNumberFormat="1" applyFont="1" applyFill="1" applyBorder="1" applyAlignment="1" applyProtection="1">
      <alignment horizontal="center" vertical="center"/>
      <protection locked="0"/>
    </xf>
    <xf numFmtId="14" fontId="0" fillId="0" borderId="15" xfId="1" applyNumberFormat="1" applyFont="1" applyFill="1" applyBorder="1" applyAlignment="1" applyProtection="1">
      <alignment horizontal="right" vertical="center"/>
      <protection hidden="1"/>
    </xf>
    <xf numFmtId="1" fontId="0" fillId="0" borderId="14" xfId="0" applyNumberFormat="1" applyFill="1" applyBorder="1" applyAlignment="1" applyProtection="1">
      <alignment horizontal="center" vertical="center"/>
      <protection locked="0"/>
    </xf>
    <xf numFmtId="1" fontId="0" fillId="0" borderId="15" xfId="0" applyNumberFormat="1" applyFill="1" applyBorder="1" applyAlignment="1" applyProtection="1">
      <alignment horizontal="center" vertical="center"/>
      <protection locked="0"/>
    </xf>
    <xf numFmtId="165" fontId="31" fillId="0" borderId="0" xfId="0" applyNumberFormat="1" applyFont="1" applyBorder="1" applyAlignment="1">
      <alignment horizontal="right"/>
    </xf>
    <xf numFmtId="7" fontId="12" fillId="0" borderId="14" xfId="0" applyNumberFormat="1" applyFont="1" applyFill="1" applyBorder="1" applyAlignment="1" applyProtection="1">
      <alignment horizontal="center" vertical="center"/>
      <protection locked="0"/>
    </xf>
    <xf numFmtId="7" fontId="12" fillId="0" borderId="15" xfId="0" applyNumberFormat="1" applyFont="1" applyFill="1" applyBorder="1" applyAlignment="1" applyProtection="1">
      <alignment horizontal="center" vertical="center"/>
      <protection locked="0"/>
    </xf>
    <xf numFmtId="0" fontId="34" fillId="0" borderId="64" xfId="0" applyFont="1" applyBorder="1" applyAlignment="1">
      <alignment horizontal="center" vertical="top" wrapText="1"/>
    </xf>
    <xf numFmtId="0" fontId="34" fillId="0" borderId="60" xfId="0" applyFont="1" applyBorder="1" applyAlignment="1">
      <alignment horizontal="center" vertical="top" wrapText="1"/>
    </xf>
    <xf numFmtId="0" fontId="58" fillId="0" borderId="0" xfId="0" applyFont="1" applyAlignment="1">
      <alignment horizontal="right"/>
    </xf>
    <xf numFmtId="49" fontId="0" fillId="0" borderId="0" xfId="0" applyNumberFormat="1" applyBorder="1" applyAlignment="1">
      <alignment horizontal="left"/>
    </xf>
    <xf numFmtId="0" fontId="59" fillId="13" borderId="43" xfId="0" applyFont="1" applyFill="1" applyBorder="1" applyAlignment="1">
      <alignment horizontal="center" vertical="center"/>
    </xf>
    <xf numFmtId="49" fontId="12" fillId="0" borderId="14" xfId="0" applyNumberFormat="1" applyFont="1" applyBorder="1" applyAlignment="1" applyProtection="1">
      <alignment horizontal="center" vertical="center" wrapText="1"/>
      <protection locked="0"/>
    </xf>
    <xf numFmtId="49" fontId="12" fillId="0" borderId="15" xfId="0" applyNumberFormat="1" applyFont="1" applyBorder="1" applyAlignment="1" applyProtection="1">
      <alignment horizontal="center" vertical="center" wrapText="1"/>
      <protection locked="0"/>
    </xf>
    <xf numFmtId="165" fontId="0" fillId="0" borderId="15" xfId="0" applyNumberFormat="1" applyBorder="1" applyAlignment="1" applyProtection="1">
      <alignment horizontal="center" vertical="center"/>
      <protection locked="0"/>
    </xf>
    <xf numFmtId="49" fontId="0" fillId="0" borderId="14" xfId="0" applyNumberFormat="1" applyFill="1" applyBorder="1" applyAlignment="1" applyProtection="1">
      <alignment horizontal="center" vertical="center" wrapText="1"/>
      <protection locked="0"/>
    </xf>
    <xf numFmtId="49" fontId="0" fillId="0" borderId="15" xfId="0" applyNumberFormat="1" applyFill="1" applyBorder="1" applyAlignment="1" applyProtection="1">
      <alignment horizontal="center" vertical="center" wrapText="1"/>
      <protection locked="0"/>
    </xf>
    <xf numFmtId="49" fontId="12" fillId="0" borderId="62" xfId="0" applyNumberFormat="1" applyFont="1" applyBorder="1" applyAlignment="1" applyProtection="1">
      <alignment horizontal="center" vertical="center" wrapText="1"/>
      <protection locked="0"/>
    </xf>
    <xf numFmtId="49" fontId="12" fillId="0" borderId="53" xfId="0" applyNumberFormat="1" applyFont="1" applyFill="1" applyBorder="1" applyAlignment="1" applyProtection="1">
      <alignment horizontal="center" vertical="center" wrapText="1"/>
      <protection locked="0"/>
    </xf>
    <xf numFmtId="49" fontId="12" fillId="0" borderId="53" xfId="0" applyNumberFormat="1" applyFont="1" applyFill="1" applyBorder="1" applyAlignment="1" applyProtection="1">
      <alignment horizontal="center" vertical="center"/>
      <protection locked="0"/>
    </xf>
    <xf numFmtId="1" fontId="0" fillId="0" borderId="53" xfId="0" applyNumberFormat="1" applyFill="1" applyBorder="1" applyAlignment="1" applyProtection="1">
      <alignment horizontal="center" vertical="center"/>
      <protection locked="0"/>
    </xf>
    <xf numFmtId="7" fontId="0" fillId="0" borderId="53" xfId="0" applyNumberFormat="1" applyFill="1" applyBorder="1" applyAlignment="1" applyProtection="1">
      <alignment horizontal="center" vertical="center"/>
      <protection locked="0"/>
    </xf>
    <xf numFmtId="14" fontId="0" fillId="0" borderId="53" xfId="0" applyNumberFormat="1" applyFill="1" applyBorder="1" applyAlignment="1" applyProtection="1">
      <alignment horizontal="right" vertical="center"/>
      <protection locked="0"/>
    </xf>
    <xf numFmtId="14" fontId="0" fillId="0" borderId="65" xfId="1" applyNumberFormat="1" applyFont="1" applyFill="1" applyBorder="1" applyAlignment="1" applyProtection="1">
      <alignment horizontal="right" vertical="center"/>
      <protection hidden="1"/>
    </xf>
    <xf numFmtId="49" fontId="12" fillId="0" borderId="61" xfId="0" applyNumberFormat="1" applyFont="1" applyFill="1" applyBorder="1" applyAlignment="1" applyProtection="1">
      <alignment horizontal="center" vertical="center"/>
      <protection locked="0"/>
    </xf>
    <xf numFmtId="0" fontId="17" fillId="0" borderId="0" xfId="0" applyFont="1" applyAlignment="1">
      <alignment horizontal="right"/>
    </xf>
    <xf numFmtId="0" fontId="24" fillId="0" borderId="10" xfId="0" applyFont="1" applyBorder="1" applyAlignment="1" applyProtection="1">
      <alignment horizontal="right"/>
      <protection locked="0" hidden="1"/>
    </xf>
    <xf numFmtId="0" fontId="24" fillId="0" borderId="8" xfId="0" applyFont="1" applyBorder="1" applyAlignment="1" applyProtection="1">
      <alignment horizontal="right"/>
      <protection locked="0" hidden="1"/>
    </xf>
    <xf numFmtId="44" fontId="24" fillId="0" borderId="2" xfId="1" applyFont="1" applyBorder="1" applyAlignment="1" applyProtection="1">
      <alignment horizontal="right"/>
      <protection locked="0" hidden="1"/>
    </xf>
    <xf numFmtId="44" fontId="24" fillId="0" borderId="1" xfId="1" applyFont="1" applyBorder="1" applyAlignment="1" applyProtection="1">
      <alignment horizontal="right"/>
      <protection locked="0" hidden="1"/>
    </xf>
    <xf numFmtId="0" fontId="12" fillId="0" borderId="3" xfId="0" applyNumberFormat="1" applyFont="1" applyBorder="1" applyAlignment="1" applyProtection="1">
      <alignment horizontal="left" vertical="center" shrinkToFit="1"/>
      <protection locked="0"/>
    </xf>
    <xf numFmtId="0" fontId="12" fillId="0" borderId="0" xfId="0" applyNumberFormat="1" applyFont="1" applyBorder="1" applyAlignment="1" applyProtection="1">
      <alignment horizontal="left" vertical="center" shrinkToFit="1"/>
      <protection locked="0"/>
    </xf>
    <xf numFmtId="0" fontId="12" fillId="0" borderId="6" xfId="0" applyNumberFormat="1" applyFont="1" applyBorder="1" applyAlignment="1" applyProtection="1">
      <alignment horizontal="left" vertical="center" shrinkToFit="1"/>
      <protection locked="0"/>
    </xf>
    <xf numFmtId="0" fontId="32" fillId="5" borderId="0" xfId="0" applyFont="1" applyFill="1" applyAlignment="1" applyProtection="1">
      <alignment horizontal="center" vertical="center" wrapText="1" shrinkToFit="1"/>
      <protection locked="0"/>
    </xf>
    <xf numFmtId="4" fontId="0" fillId="0" borderId="0" xfId="0" applyNumberFormat="1" applyBorder="1" applyAlignment="1" applyProtection="1">
      <alignment horizontal="center"/>
      <protection locked="0"/>
    </xf>
    <xf numFmtId="0" fontId="12" fillId="0" borderId="0" xfId="0" applyFont="1" applyBorder="1" applyAlignment="1">
      <alignment horizontal="right"/>
    </xf>
    <xf numFmtId="0" fontId="16" fillId="0" borderId="0" xfId="0" applyFont="1" applyBorder="1" applyAlignment="1">
      <alignment horizontal="center"/>
    </xf>
    <xf numFmtId="14" fontId="0" fillId="0" borderId="0" xfId="0" applyNumberFormat="1" applyAlignment="1" applyProtection="1">
      <alignment horizontal="right"/>
      <protection locked="0" hidden="1"/>
    </xf>
    <xf numFmtId="14" fontId="0" fillId="5" borderId="8" xfId="0" applyNumberFormat="1" applyFill="1" applyBorder="1" applyAlignment="1">
      <alignment horizontal="right"/>
    </xf>
    <xf numFmtId="0" fontId="16" fillId="0" borderId="0" xfId="0" applyFont="1" applyFill="1" applyAlignment="1">
      <alignment horizontal="center" vertical="center" wrapText="1"/>
    </xf>
    <xf numFmtId="0" fontId="32" fillId="0" borderId="0" xfId="0" applyFont="1" applyBorder="1" applyAlignment="1" applyProtection="1">
      <alignment horizontal="right"/>
      <protection hidden="1"/>
    </xf>
    <xf numFmtId="0" fontId="16" fillId="0" borderId="11" xfId="0" applyNumberFormat="1" applyFont="1" applyBorder="1" applyAlignment="1" applyProtection="1">
      <alignment horizontal="right"/>
      <protection locked="0"/>
    </xf>
    <xf numFmtId="0" fontId="0" fillId="0" borderId="11" xfId="0" applyBorder="1" applyAlignment="1" applyProtection="1">
      <alignment horizontal="center"/>
      <protection locked="0"/>
    </xf>
    <xf numFmtId="0" fontId="0" fillId="0" borderId="3" xfId="0" applyBorder="1" applyAlignment="1" applyProtection="1">
      <alignment horizontal="left" vertical="center"/>
      <protection locked="0"/>
    </xf>
    <xf numFmtId="0" fontId="0" fillId="0" borderId="0" xfId="0" applyBorder="1" applyAlignment="1" applyProtection="1">
      <alignment horizontal="left" vertical="center"/>
      <protection locked="0"/>
    </xf>
    <xf numFmtId="0" fontId="0" fillId="0" borderId="6" xfId="0" applyBorder="1" applyAlignment="1" applyProtection="1">
      <alignment horizontal="left" vertical="center"/>
      <protection locked="0"/>
    </xf>
    <xf numFmtId="0" fontId="22" fillId="0" borderId="8" xfId="0" applyFont="1" applyFill="1" applyBorder="1" applyAlignment="1" applyProtection="1">
      <alignment horizontal="left" wrapText="1"/>
      <protection hidden="1"/>
    </xf>
    <xf numFmtId="14" fontId="22" fillId="0" borderId="8" xfId="0" applyNumberFormat="1" applyFont="1" applyFill="1" applyBorder="1" applyAlignment="1" applyProtection="1">
      <alignment horizontal="left"/>
      <protection hidden="1"/>
    </xf>
    <xf numFmtId="0" fontId="22" fillId="0" borderId="8" xfId="0" applyNumberFormat="1" applyFont="1" applyFill="1" applyBorder="1" applyAlignment="1" applyProtection="1">
      <alignment horizontal="left"/>
      <protection hidden="1"/>
    </xf>
    <xf numFmtId="0" fontId="16" fillId="0" borderId="8" xfId="0" applyNumberFormat="1" applyFont="1" applyFill="1" applyBorder="1" applyAlignment="1" applyProtection="1">
      <alignment horizontal="left"/>
      <protection hidden="1"/>
    </xf>
    <xf numFmtId="0" fontId="16" fillId="0" borderId="4" xfId="0" applyFont="1" applyBorder="1" applyAlignment="1" applyProtection="1">
      <alignment horizontal="center"/>
      <protection locked="0"/>
    </xf>
    <xf numFmtId="0" fontId="0" fillId="0" borderId="4" xfId="0" applyBorder="1" applyAlignment="1" applyProtection="1">
      <alignment horizontal="center"/>
      <protection locked="0"/>
    </xf>
    <xf numFmtId="49" fontId="16" fillId="0" borderId="8" xfId="0" applyNumberFormat="1" applyFont="1" applyFill="1" applyBorder="1" applyAlignment="1" applyProtection="1">
      <alignment horizontal="left"/>
      <protection locked="0"/>
    </xf>
    <xf numFmtId="0" fontId="16" fillId="0" borderId="8" xfId="0" applyNumberFormat="1" applyFont="1" applyFill="1" applyBorder="1" applyAlignment="1" applyProtection="1">
      <alignment horizontal="left"/>
      <protection locked="0"/>
    </xf>
    <xf numFmtId="0" fontId="14" fillId="0" borderId="1" xfId="0" applyFont="1" applyBorder="1" applyAlignment="1" applyProtection="1">
      <alignment horizontal="left" vertical="center"/>
      <protection locked="0"/>
    </xf>
    <xf numFmtId="1" fontId="14" fillId="0" borderId="8" xfId="0" applyNumberFormat="1" applyFont="1" applyBorder="1" applyAlignment="1" applyProtection="1">
      <alignment horizontal="left"/>
      <protection locked="0"/>
    </xf>
    <xf numFmtId="0" fontId="32" fillId="0" borderId="0" xfId="0" applyFont="1" applyAlignment="1" applyProtection="1">
      <alignment horizontal="center" wrapText="1"/>
      <protection locked="0"/>
    </xf>
    <xf numFmtId="0" fontId="32" fillId="0" borderId="8" xfId="0" applyFont="1" applyBorder="1" applyAlignment="1" applyProtection="1">
      <alignment horizontal="center" wrapText="1"/>
      <protection locked="0"/>
    </xf>
    <xf numFmtId="14" fontId="14" fillId="0" borderId="11" xfId="0" applyNumberFormat="1" applyFont="1" applyBorder="1" applyAlignment="1" applyProtection="1">
      <alignment horizontal="center"/>
      <protection locked="0"/>
    </xf>
    <xf numFmtId="0" fontId="16" fillId="0" borderId="2" xfId="0" applyFont="1" applyBorder="1" applyAlignment="1">
      <alignment horizontal="center" shrinkToFit="1"/>
    </xf>
    <xf numFmtId="0" fontId="16" fillId="0" borderId="1" xfId="0" applyFont="1" applyBorder="1" applyAlignment="1">
      <alignment horizontal="center" shrinkToFit="1"/>
    </xf>
    <xf numFmtId="0" fontId="16" fillId="0" borderId="5" xfId="0" applyFont="1" applyBorder="1" applyAlignment="1">
      <alignment horizontal="center" shrinkToFit="1"/>
    </xf>
    <xf numFmtId="0" fontId="12" fillId="0" borderId="9" xfId="0" applyNumberFormat="1" applyFont="1" applyBorder="1" applyAlignment="1" applyProtection="1">
      <alignment horizontal="left" vertical="center" shrinkToFit="1"/>
      <protection locked="0"/>
    </xf>
    <xf numFmtId="0" fontId="12" fillId="0" borderId="11" xfId="0" applyNumberFormat="1" applyFont="1" applyBorder="1" applyAlignment="1" applyProtection="1">
      <alignment horizontal="left" vertical="center" shrinkToFit="1"/>
      <protection locked="0"/>
    </xf>
    <xf numFmtId="0" fontId="12" fillId="0" borderId="12" xfId="0" applyNumberFormat="1" applyFont="1" applyBorder="1" applyAlignment="1" applyProtection="1">
      <alignment horizontal="left" vertical="center" shrinkToFit="1"/>
      <protection locked="0"/>
    </xf>
    <xf numFmtId="0" fontId="12" fillId="0" borderId="10" xfId="0" applyNumberFormat="1" applyFont="1" applyBorder="1" applyAlignment="1" applyProtection="1">
      <alignment horizontal="left" vertical="center" shrinkToFit="1"/>
      <protection locked="0"/>
    </xf>
    <xf numFmtId="0" fontId="12" fillId="0" borderId="8" xfId="0" applyNumberFormat="1" applyFont="1" applyBorder="1" applyAlignment="1" applyProtection="1">
      <alignment horizontal="left" vertical="center" shrinkToFit="1"/>
      <protection locked="0"/>
    </xf>
    <xf numFmtId="0" fontId="12" fillId="0" borderId="13" xfId="0" applyNumberFormat="1" applyFont="1" applyBorder="1" applyAlignment="1" applyProtection="1">
      <alignment horizontal="left" vertical="center" shrinkToFit="1"/>
      <protection locked="0"/>
    </xf>
    <xf numFmtId="0" fontId="6" fillId="0" borderId="0" xfId="10" applyBorder="1" applyAlignment="1">
      <alignment horizontal="left"/>
    </xf>
    <xf numFmtId="0" fontId="67" fillId="0" borderId="2" xfId="10" applyFont="1" applyBorder="1" applyAlignment="1">
      <alignment horizontal="left" vertical="top" wrapText="1"/>
    </xf>
    <xf numFmtId="0" fontId="67" fillId="0" borderId="1" xfId="10" applyFont="1" applyBorder="1" applyAlignment="1">
      <alignment horizontal="left" vertical="top" wrapText="1"/>
    </xf>
    <xf numFmtId="0" fontId="67" fillId="0" borderId="5" xfId="10" applyFont="1" applyBorder="1" applyAlignment="1">
      <alignment horizontal="left" vertical="top" wrapText="1"/>
    </xf>
    <xf numFmtId="10" fontId="16" fillId="0" borderId="3" xfId="0" applyNumberFormat="1" applyFont="1" applyBorder="1" applyAlignment="1" applyProtection="1">
      <alignment horizontal="right" vertical="center"/>
      <protection hidden="1"/>
    </xf>
    <xf numFmtId="10" fontId="16" fillId="0" borderId="0" xfId="0" applyNumberFormat="1" applyFont="1" applyBorder="1" applyAlignment="1" applyProtection="1">
      <alignment horizontal="right" vertical="center"/>
      <protection hidden="1"/>
    </xf>
    <xf numFmtId="0" fontId="67" fillId="0" borderId="0" xfId="10" applyFont="1" applyBorder="1" applyAlignment="1">
      <alignment horizontal="center"/>
    </xf>
    <xf numFmtId="0" fontId="77" fillId="0" borderId="1" xfId="10" applyFont="1" applyBorder="1" applyAlignment="1" applyProtection="1">
      <alignment horizontal="left"/>
      <protection locked="0"/>
    </xf>
    <xf numFmtId="0" fontId="14" fillId="0" borderId="10" xfId="0" applyFont="1" applyBorder="1" applyAlignment="1" applyProtection="1">
      <alignment horizontal="center"/>
      <protection hidden="1"/>
    </xf>
    <xf numFmtId="0" fontId="14" fillId="0" borderId="8" xfId="0" applyFont="1" applyBorder="1" applyAlignment="1" applyProtection="1">
      <alignment horizontal="center"/>
      <protection hidden="1"/>
    </xf>
    <xf numFmtId="0" fontId="67" fillId="0" borderId="0" xfId="10" applyFont="1" applyBorder="1" applyAlignment="1">
      <alignment horizontal="left" vertical="top" wrapText="1"/>
    </xf>
    <xf numFmtId="0" fontId="6" fillId="0" borderId="2" xfId="10" applyBorder="1" applyAlignment="1" applyProtection="1">
      <alignment horizontal="left"/>
      <protection hidden="1"/>
    </xf>
    <xf numFmtId="0" fontId="6" fillId="0" borderId="1" xfId="10" applyBorder="1" applyAlignment="1" applyProtection="1">
      <alignment horizontal="left"/>
      <protection hidden="1"/>
    </xf>
    <xf numFmtId="0" fontId="6" fillId="0" borderId="5" xfId="10" applyBorder="1" applyAlignment="1" applyProtection="1">
      <alignment horizontal="left"/>
      <protection hidden="1"/>
    </xf>
    <xf numFmtId="0" fontId="6" fillId="0" borderId="2" xfId="10" applyBorder="1" applyAlignment="1">
      <alignment horizontal="left"/>
    </xf>
    <xf numFmtId="0" fontId="6" fillId="0" borderId="1" xfId="10" applyBorder="1" applyAlignment="1">
      <alignment horizontal="left"/>
    </xf>
    <xf numFmtId="0" fontId="6" fillId="0" borderId="5" xfId="10" applyBorder="1" applyAlignment="1">
      <alignment horizontal="left"/>
    </xf>
    <xf numFmtId="7" fontId="12" fillId="0" borderId="44" xfId="0" applyNumberFormat="1" applyFont="1" applyBorder="1" applyAlignment="1" applyProtection="1">
      <alignment horizontal="center"/>
      <protection locked="0" hidden="1"/>
    </xf>
    <xf numFmtId="0" fontId="75" fillId="0" borderId="44" xfId="0" applyFont="1" applyBorder="1" applyAlignment="1" applyProtection="1">
      <alignment horizontal="center" vertical="center" wrapText="1"/>
      <protection hidden="1"/>
    </xf>
    <xf numFmtId="14" fontId="6" fillId="0" borderId="44" xfId="10" applyNumberFormat="1" applyBorder="1" applyAlignment="1" applyProtection="1">
      <alignment horizontal="left" vertical="center" wrapText="1"/>
      <protection locked="0" hidden="1"/>
    </xf>
    <xf numFmtId="14" fontId="6" fillId="0" borderId="45" xfId="10" applyNumberFormat="1" applyBorder="1" applyAlignment="1" applyProtection="1">
      <alignment horizontal="left" vertical="center" wrapText="1"/>
      <protection locked="0" hidden="1"/>
    </xf>
    <xf numFmtId="0" fontId="75" fillId="0" borderId="43" xfId="0" applyFont="1" applyBorder="1" applyAlignment="1" applyProtection="1">
      <alignment horizontal="center"/>
      <protection hidden="1"/>
    </xf>
    <xf numFmtId="0" fontId="75" fillId="0" borderId="44" xfId="0" applyFont="1" applyBorder="1" applyAlignment="1" applyProtection="1">
      <alignment horizontal="center"/>
      <protection hidden="1"/>
    </xf>
    <xf numFmtId="0" fontId="75" fillId="0" borderId="21" xfId="0" applyFont="1" applyBorder="1" applyAlignment="1" applyProtection="1">
      <alignment horizontal="left" vertical="center" wrapText="1"/>
      <protection hidden="1"/>
    </xf>
    <xf numFmtId="0" fontId="75" fillId="0" borderId="10" xfId="0" applyFont="1" applyBorder="1" applyAlignment="1" applyProtection="1">
      <alignment horizontal="left" vertical="center" wrapText="1"/>
      <protection hidden="1"/>
    </xf>
    <xf numFmtId="0" fontId="59" fillId="0" borderId="28" xfId="10" applyFont="1" applyBorder="1" applyAlignment="1">
      <alignment horizontal="center" vertical="center"/>
    </xf>
    <xf numFmtId="0" fontId="14" fillId="0" borderId="28" xfId="0" applyFont="1" applyBorder="1" applyAlignment="1" applyProtection="1">
      <alignment horizontal="right"/>
      <protection hidden="1"/>
    </xf>
    <xf numFmtId="0" fontId="14" fillId="0" borderId="29" xfId="0" applyFont="1" applyBorder="1" applyAlignment="1" applyProtection="1">
      <alignment horizontal="right"/>
      <protection hidden="1"/>
    </xf>
    <xf numFmtId="0" fontId="14" fillId="0" borderId="3" xfId="0" applyFont="1" applyBorder="1" applyAlignment="1" applyProtection="1">
      <alignment horizontal="center" vertical="center" wrapText="1"/>
      <protection hidden="1"/>
    </xf>
    <xf numFmtId="0" fontId="14" fillId="0" borderId="0" xfId="0" applyFont="1" applyBorder="1" applyAlignment="1" applyProtection="1">
      <alignment horizontal="center" vertical="center" wrapText="1"/>
      <protection hidden="1"/>
    </xf>
    <xf numFmtId="0" fontId="14" fillId="0" borderId="31" xfId="0" applyFont="1" applyBorder="1" applyAlignment="1" applyProtection="1">
      <alignment horizontal="center" vertical="center" wrapText="1"/>
      <protection hidden="1"/>
    </xf>
    <xf numFmtId="0" fontId="14" fillId="0" borderId="28" xfId="0" applyFont="1" applyBorder="1" applyAlignment="1" applyProtection="1">
      <alignment horizontal="center" vertical="center" wrapText="1"/>
      <protection hidden="1"/>
    </xf>
    <xf numFmtId="165" fontId="14" fillId="0" borderId="44" xfId="0" applyNumberFormat="1" applyFont="1" applyBorder="1" applyAlignment="1" applyProtection="1">
      <alignment horizontal="center" vertical="center" wrapText="1"/>
      <protection hidden="1"/>
    </xf>
    <xf numFmtId="10" fontId="16" fillId="0" borderId="3" xfId="0" applyNumberFormat="1" applyFont="1" applyBorder="1" applyAlignment="1" applyProtection="1">
      <alignment horizontal="right" vertical="center" wrapText="1"/>
      <protection hidden="1"/>
    </xf>
    <xf numFmtId="10" fontId="16" fillId="0" borderId="0" xfId="0" applyNumberFormat="1" applyFont="1" applyBorder="1" applyAlignment="1" applyProtection="1">
      <alignment horizontal="right" vertical="center" wrapText="1"/>
      <protection hidden="1"/>
    </xf>
    <xf numFmtId="0" fontId="6" fillId="0" borderId="3" xfId="10" applyBorder="1" applyAlignment="1" applyProtection="1">
      <alignment horizontal="center" vertical="center" wrapText="1"/>
      <protection hidden="1"/>
    </xf>
    <xf numFmtId="0" fontId="6" fillId="0" borderId="6" xfId="10" applyBorder="1" applyAlignment="1" applyProtection="1">
      <alignment horizontal="center" vertical="center" wrapText="1"/>
      <protection hidden="1"/>
    </xf>
    <xf numFmtId="0" fontId="6" fillId="0" borderId="31" xfId="10" applyBorder="1" applyAlignment="1" applyProtection="1">
      <alignment horizontal="center" vertical="center" wrapText="1"/>
      <protection hidden="1"/>
    </xf>
    <xf numFmtId="0" fontId="6" fillId="0" borderId="29" xfId="10" applyBorder="1" applyAlignment="1" applyProtection="1">
      <alignment horizontal="center" vertical="center" wrapText="1"/>
      <protection hidden="1"/>
    </xf>
    <xf numFmtId="165" fontId="12" fillId="0" borderId="3" xfId="0" applyNumberFormat="1" applyFont="1" applyBorder="1" applyAlignment="1" applyProtection="1">
      <alignment horizontal="center" vertical="center" wrapText="1"/>
      <protection hidden="1"/>
    </xf>
    <xf numFmtId="165" fontId="12" fillId="0" borderId="47" xfId="0" applyNumberFormat="1" applyFont="1" applyBorder="1" applyAlignment="1" applyProtection="1">
      <alignment horizontal="center" vertical="center" wrapText="1"/>
      <protection hidden="1"/>
    </xf>
    <xf numFmtId="165" fontId="12" fillId="0" borderId="31" xfId="0" applyNumberFormat="1" applyFont="1" applyBorder="1" applyAlignment="1" applyProtection="1">
      <alignment horizontal="center" vertical="center" wrapText="1"/>
      <protection hidden="1"/>
    </xf>
    <xf numFmtId="165" fontId="12" fillId="0" borderId="32" xfId="0" applyNumberFormat="1" applyFont="1" applyBorder="1" applyAlignment="1" applyProtection="1">
      <alignment horizontal="center" vertical="center" wrapText="1"/>
      <protection hidden="1"/>
    </xf>
    <xf numFmtId="0" fontId="12" fillId="0" borderId="27" xfId="0" applyFont="1" applyBorder="1" applyAlignment="1" applyProtection="1">
      <alignment horizontal="left"/>
      <protection hidden="1"/>
    </xf>
    <xf numFmtId="0" fontId="12" fillId="0" borderId="28" xfId="0" applyFont="1" applyBorder="1" applyAlignment="1" applyProtection="1">
      <alignment horizontal="left"/>
      <protection hidden="1"/>
    </xf>
    <xf numFmtId="0" fontId="12" fillId="0" borderId="25" xfId="0" applyFont="1" applyBorder="1" applyAlignment="1" applyProtection="1">
      <alignment horizontal="left"/>
      <protection hidden="1"/>
    </xf>
    <xf numFmtId="0" fontId="14" fillId="0" borderId="0" xfId="0" applyFont="1" applyBorder="1" applyAlignment="1" applyProtection="1">
      <alignment horizontal="left"/>
      <protection hidden="1"/>
    </xf>
    <xf numFmtId="0" fontId="14" fillId="0" borderId="6" xfId="0" applyFont="1" applyBorder="1" applyAlignment="1" applyProtection="1">
      <alignment horizontal="left"/>
      <protection hidden="1"/>
    </xf>
    <xf numFmtId="49" fontId="12" fillId="0" borderId="19" xfId="0" applyNumberFormat="1" applyFont="1" applyBorder="1" applyAlignment="1" applyProtection="1">
      <alignment horizontal="left" vertical="top"/>
      <protection hidden="1"/>
    </xf>
    <xf numFmtId="0" fontId="12" fillId="0" borderId="19" xfId="0" applyNumberFormat="1" applyFont="1" applyBorder="1" applyAlignment="1" applyProtection="1">
      <alignment horizontal="left" vertical="top"/>
      <protection hidden="1"/>
    </xf>
    <xf numFmtId="0" fontId="12" fillId="0" borderId="20" xfId="0" applyNumberFormat="1" applyFont="1" applyBorder="1" applyAlignment="1" applyProtection="1">
      <alignment horizontal="left" vertical="top"/>
      <protection hidden="1"/>
    </xf>
    <xf numFmtId="49" fontId="12" fillId="0" borderId="8" xfId="0" applyNumberFormat="1" applyFont="1" applyBorder="1" applyAlignment="1" applyProtection="1">
      <alignment horizontal="left" vertical="top"/>
      <protection hidden="1"/>
    </xf>
    <xf numFmtId="0" fontId="12" fillId="0" borderId="8" xfId="0" applyNumberFormat="1" applyFont="1" applyBorder="1" applyAlignment="1" applyProtection="1">
      <alignment horizontal="left" vertical="top"/>
      <protection hidden="1"/>
    </xf>
    <xf numFmtId="0" fontId="12" fillId="0" borderId="13" xfId="0" applyNumberFormat="1" applyFont="1" applyBorder="1" applyAlignment="1" applyProtection="1">
      <alignment horizontal="left" vertical="top"/>
      <protection hidden="1"/>
    </xf>
    <xf numFmtId="0" fontId="14" fillId="0" borderId="13" xfId="0" applyFont="1" applyBorder="1" applyAlignment="1" applyProtection="1">
      <alignment horizontal="center"/>
      <protection hidden="1"/>
    </xf>
    <xf numFmtId="0" fontId="6" fillId="0" borderId="50" xfId="10" applyBorder="1" applyAlignment="1" applyProtection="1">
      <alignment horizontal="center" vertical="center"/>
      <protection hidden="1"/>
    </xf>
    <xf numFmtId="0" fontId="6" fillId="0" borderId="48" xfId="10" applyBorder="1" applyAlignment="1" applyProtection="1">
      <alignment horizontal="center" vertical="center"/>
      <protection hidden="1"/>
    </xf>
    <xf numFmtId="10" fontId="32" fillId="0" borderId="3" xfId="0" applyNumberFormat="1" applyFont="1" applyBorder="1" applyAlignment="1" applyProtection="1">
      <alignment horizontal="left" vertical="center" wrapText="1"/>
      <protection hidden="1"/>
    </xf>
    <xf numFmtId="10" fontId="32" fillId="0" borderId="0" xfId="0" applyNumberFormat="1" applyFont="1" applyBorder="1" applyAlignment="1" applyProtection="1">
      <alignment horizontal="left" vertical="center" wrapText="1"/>
      <protection hidden="1"/>
    </xf>
    <xf numFmtId="0" fontId="75" fillId="0" borderId="45" xfId="0" applyFont="1" applyBorder="1" applyAlignment="1" applyProtection="1">
      <alignment horizontal="center" vertical="center" wrapText="1"/>
      <protection hidden="1"/>
    </xf>
    <xf numFmtId="165" fontId="26" fillId="0" borderId="19" xfId="0" applyNumberFormat="1" applyFont="1" applyBorder="1" applyAlignment="1" applyProtection="1">
      <alignment horizontal="center" wrapText="1"/>
      <protection hidden="1"/>
    </xf>
    <xf numFmtId="165" fontId="26" fillId="0" borderId="0" xfId="0" applyNumberFormat="1" applyFont="1" applyBorder="1" applyAlignment="1" applyProtection="1">
      <alignment horizontal="center" wrapText="1"/>
      <protection hidden="1"/>
    </xf>
    <xf numFmtId="14" fontId="6" fillId="0" borderId="8" xfId="10" applyNumberFormat="1" applyBorder="1" applyAlignment="1">
      <alignment horizontal="left" vertical="top"/>
    </xf>
    <xf numFmtId="0" fontId="6" fillId="0" borderId="8" xfId="10" applyBorder="1" applyAlignment="1">
      <alignment horizontal="left"/>
    </xf>
    <xf numFmtId="0" fontId="67" fillId="0" borderId="1" xfId="10" applyFont="1" applyBorder="1" applyAlignment="1">
      <alignment horizontal="left"/>
    </xf>
    <xf numFmtId="0" fontId="67" fillId="0" borderId="5" xfId="10" applyFont="1" applyBorder="1" applyAlignment="1">
      <alignment horizontal="left"/>
    </xf>
    <xf numFmtId="0" fontId="67" fillId="0" borderId="2" xfId="10" applyFont="1" applyBorder="1" applyAlignment="1">
      <alignment horizontal="left" vertical="center" wrapText="1"/>
    </xf>
    <xf numFmtId="0" fontId="67" fillId="0" borderId="1" xfId="10" applyFont="1" applyBorder="1" applyAlignment="1">
      <alignment horizontal="left" vertical="center" wrapText="1"/>
    </xf>
    <xf numFmtId="0" fontId="67" fillId="0" borderId="5" xfId="10" applyFont="1" applyBorder="1" applyAlignment="1">
      <alignment horizontal="left" vertical="center" wrapText="1"/>
    </xf>
    <xf numFmtId="0" fontId="73" fillId="0" borderId="3" xfId="10" applyFont="1" applyBorder="1" applyAlignment="1" applyProtection="1">
      <alignment horizontal="left" vertical="center"/>
      <protection locked="0"/>
    </xf>
    <xf numFmtId="0" fontId="73" fillId="0" borderId="0" xfId="10" applyFont="1" applyBorder="1" applyAlignment="1" applyProtection="1">
      <alignment horizontal="left" vertical="center"/>
      <protection locked="0"/>
    </xf>
    <xf numFmtId="0" fontId="73" fillId="0" borderId="6" xfId="10" applyFont="1" applyBorder="1" applyAlignment="1" applyProtection="1">
      <alignment horizontal="left" vertical="center"/>
      <protection locked="0"/>
    </xf>
    <xf numFmtId="0" fontId="73" fillId="0" borderId="10" xfId="10" applyFont="1" applyBorder="1" applyAlignment="1" applyProtection="1">
      <alignment horizontal="left" vertical="center"/>
      <protection locked="0"/>
    </xf>
    <xf numFmtId="0" fontId="73" fillId="0" borderId="8" xfId="10" applyFont="1" applyBorder="1" applyAlignment="1" applyProtection="1">
      <alignment horizontal="left" vertical="center"/>
      <protection locked="0"/>
    </xf>
    <xf numFmtId="0" fontId="73" fillId="0" borderId="13" xfId="10" applyFont="1" applyBorder="1" applyAlignment="1" applyProtection="1">
      <alignment horizontal="left" vertical="center"/>
      <protection locked="0"/>
    </xf>
    <xf numFmtId="171" fontId="78" fillId="0" borderId="1" xfId="10" applyNumberFormat="1" applyFont="1" applyBorder="1" applyAlignment="1" applyProtection="1">
      <alignment horizontal="left" vertical="top" wrapText="1"/>
      <protection locked="0" hidden="1"/>
    </xf>
    <xf numFmtId="171" fontId="78" fillId="0" borderId="5" xfId="10" applyNumberFormat="1" applyFont="1" applyBorder="1" applyAlignment="1" applyProtection="1">
      <alignment horizontal="left" vertical="top" wrapText="1"/>
      <protection locked="0" hidden="1"/>
    </xf>
    <xf numFmtId="0" fontId="78" fillId="0" borderId="1" xfId="10" applyFont="1" applyBorder="1" applyAlignment="1">
      <alignment horizontal="left" vertical="center" wrapText="1"/>
    </xf>
    <xf numFmtId="0" fontId="74" fillId="0" borderId="9" xfId="10" applyFont="1" applyBorder="1" applyAlignment="1" applyProtection="1">
      <alignment horizontal="center" vertical="top" shrinkToFit="1"/>
      <protection locked="0"/>
    </xf>
    <xf numFmtId="0" fontId="74" fillId="0" borderId="11" xfId="10" applyFont="1" applyBorder="1" applyAlignment="1" applyProtection="1">
      <alignment horizontal="center" vertical="top" shrinkToFit="1"/>
      <protection locked="0"/>
    </xf>
    <xf numFmtId="0" fontId="74" fillId="0" borderId="11" xfId="10" applyFont="1" applyBorder="1" applyAlignment="1" applyProtection="1">
      <alignment horizontal="left" vertical="center"/>
      <protection locked="0"/>
    </xf>
    <xf numFmtId="0" fontId="74" fillId="0" borderId="12" xfId="10" applyFont="1" applyBorder="1" applyAlignment="1" applyProtection="1">
      <alignment horizontal="left" vertical="center"/>
      <protection locked="0"/>
    </xf>
    <xf numFmtId="0" fontId="77" fillId="0" borderId="1" xfId="10" applyFont="1" applyBorder="1" applyAlignment="1" applyProtection="1">
      <alignment horizontal="center"/>
      <protection locked="0"/>
    </xf>
    <xf numFmtId="0" fontId="77" fillId="0" borderId="5" xfId="10" applyFont="1" applyBorder="1" applyAlignment="1" applyProtection="1">
      <alignment horizontal="center"/>
      <protection locked="0"/>
    </xf>
    <xf numFmtId="0" fontId="74" fillId="0" borderId="43" xfId="10" applyFont="1" applyBorder="1" applyAlignment="1" applyProtection="1">
      <alignment horizontal="center" vertical="center" wrapText="1"/>
      <protection hidden="1"/>
    </xf>
    <xf numFmtId="0" fontId="74" fillId="0" borderId="44" xfId="10" applyFont="1" applyBorder="1" applyAlignment="1" applyProtection="1">
      <alignment horizontal="center" vertical="center" wrapText="1"/>
      <protection hidden="1"/>
    </xf>
    <xf numFmtId="165" fontId="12" fillId="0" borderId="44" xfId="0" applyNumberFormat="1" applyFont="1" applyBorder="1" applyAlignment="1" applyProtection="1">
      <alignment horizontal="center"/>
      <protection hidden="1"/>
    </xf>
    <xf numFmtId="165" fontId="14" fillId="0" borderId="44" xfId="0" applyNumberFormat="1" applyFont="1" applyBorder="1" applyAlignment="1" applyProtection="1">
      <alignment horizontal="center"/>
      <protection hidden="1"/>
    </xf>
    <xf numFmtId="165" fontId="14" fillId="0" borderId="45" xfId="0" applyNumberFormat="1" applyFont="1" applyBorder="1" applyAlignment="1" applyProtection="1">
      <alignment horizontal="center"/>
      <protection hidden="1"/>
    </xf>
    <xf numFmtId="0" fontId="67" fillId="0" borderId="2" xfId="10" applyFont="1" applyBorder="1" applyAlignment="1" applyProtection="1">
      <alignment horizontal="left" vertical="center" wrapText="1"/>
      <protection hidden="1"/>
    </xf>
    <xf numFmtId="0" fontId="67" fillId="0" borderId="1" xfId="10" applyFont="1" applyBorder="1" applyAlignment="1" applyProtection="1">
      <alignment horizontal="left" vertical="center" wrapText="1"/>
      <protection hidden="1"/>
    </xf>
    <xf numFmtId="0" fontId="67" fillId="0" borderId="5" xfId="10" applyFont="1" applyBorder="1" applyAlignment="1" applyProtection="1">
      <alignment horizontal="left" vertical="center" wrapText="1"/>
      <protection hidden="1"/>
    </xf>
    <xf numFmtId="0" fontId="12" fillId="0" borderId="19" xfId="0" applyFont="1" applyBorder="1" applyAlignment="1" applyProtection="1">
      <alignment horizontal="right"/>
      <protection hidden="1"/>
    </xf>
    <xf numFmtId="0" fontId="10" fillId="0" borderId="0" xfId="7" applyBorder="1" applyAlignment="1">
      <alignment horizontal="left" vertical="center"/>
    </xf>
    <xf numFmtId="0" fontId="34" fillId="0" borderId="9" xfId="7" applyFont="1" applyBorder="1" applyAlignment="1">
      <alignment horizontal="center" vertical="center"/>
    </xf>
    <xf numFmtId="0" fontId="34" fillId="0" borderId="24" xfId="7" applyFont="1" applyBorder="1" applyAlignment="1">
      <alignment horizontal="center" vertical="center"/>
    </xf>
    <xf numFmtId="0" fontId="36" fillId="0" borderId="10" xfId="7" applyFont="1" applyBorder="1" applyAlignment="1">
      <alignment horizontal="center" vertical="center"/>
    </xf>
    <xf numFmtId="0" fontId="36" fillId="0" borderId="48" xfId="7" applyFont="1" applyBorder="1" applyAlignment="1">
      <alignment horizontal="center" vertical="center"/>
    </xf>
    <xf numFmtId="165" fontId="10" fillId="7" borderId="9" xfId="7" applyNumberFormat="1" applyFill="1" applyBorder="1" applyAlignment="1" applyProtection="1">
      <alignment horizontal="center" vertical="center"/>
      <protection hidden="1"/>
    </xf>
    <xf numFmtId="165" fontId="10" fillId="7" borderId="24" xfId="7" applyNumberFormat="1" applyFill="1" applyBorder="1" applyAlignment="1" applyProtection="1">
      <alignment horizontal="center" vertical="center"/>
      <protection hidden="1"/>
    </xf>
    <xf numFmtId="165" fontId="10" fillId="11" borderId="44" xfId="7" applyNumberFormat="1" applyFill="1" applyBorder="1" applyAlignment="1">
      <alignment horizontal="center"/>
    </xf>
    <xf numFmtId="165" fontId="10" fillId="11" borderId="45" xfId="7" applyNumberFormat="1" applyFill="1" applyBorder="1" applyAlignment="1">
      <alignment horizontal="center"/>
    </xf>
    <xf numFmtId="165" fontId="10" fillId="0" borderId="19" xfId="7" applyNumberFormat="1" applyBorder="1" applyAlignment="1">
      <alignment horizontal="center" vertical="center"/>
    </xf>
    <xf numFmtId="7" fontId="10" fillId="0" borderId="28" xfId="7" applyNumberFormat="1" applyBorder="1" applyAlignment="1" applyProtection="1">
      <alignment horizontal="center"/>
      <protection locked="0"/>
    </xf>
    <xf numFmtId="0" fontId="24" fillId="0" borderId="2" xfId="0" applyFont="1" applyBorder="1" applyAlignment="1" applyProtection="1">
      <alignment horizontal="right"/>
      <protection locked="0" hidden="1"/>
    </xf>
    <xf numFmtId="0" fontId="24" fillId="0" borderId="1" xfId="0" applyFont="1" applyBorder="1" applyAlignment="1" applyProtection="1">
      <alignment horizontal="right"/>
      <protection locked="0" hidden="1"/>
    </xf>
    <xf numFmtId="0" fontId="10" fillId="5" borderId="2" xfId="7" applyFill="1" applyBorder="1" applyAlignment="1">
      <alignment horizontal="center"/>
    </xf>
    <xf numFmtId="0" fontId="10" fillId="5" borderId="34" xfId="7" applyFill="1" applyBorder="1" applyAlignment="1">
      <alignment horizontal="center"/>
    </xf>
    <xf numFmtId="0" fontId="0" fillId="0" borderId="8" xfId="0" applyBorder="1" applyAlignment="1" applyProtection="1">
      <alignment horizontal="center"/>
      <protection locked="0"/>
    </xf>
    <xf numFmtId="0" fontId="12" fillId="0" borderId="8" xfId="0" applyFont="1" applyBorder="1" applyAlignment="1" applyProtection="1">
      <alignment horizontal="left"/>
      <protection locked="0"/>
    </xf>
    <xf numFmtId="14" fontId="12" fillId="0" borderId="8" xfId="0" applyNumberFormat="1" applyFont="1" applyBorder="1" applyAlignment="1" applyProtection="1">
      <alignment horizontal="left"/>
      <protection locked="0"/>
    </xf>
    <xf numFmtId="0" fontId="0" fillId="0" borderId="8" xfId="0" applyBorder="1" applyAlignment="1" applyProtection="1">
      <alignment horizontal="left"/>
      <protection locked="0"/>
    </xf>
    <xf numFmtId="0" fontId="12" fillId="0" borderId="0" xfId="0" applyFont="1" applyAlignment="1">
      <alignment horizontal="right"/>
    </xf>
    <xf numFmtId="0" fontId="12" fillId="0" borderId="8" xfId="0" applyFont="1" applyBorder="1" applyAlignment="1" applyProtection="1">
      <alignment horizontal="center"/>
      <protection locked="0"/>
    </xf>
    <xf numFmtId="0" fontId="50" fillId="0" borderId="0" xfId="0" applyFont="1" applyAlignment="1">
      <alignment horizontal="center"/>
    </xf>
    <xf numFmtId="0" fontId="24" fillId="0" borderId="0" xfId="0" applyFont="1" applyAlignment="1">
      <alignment horizontal="left"/>
    </xf>
    <xf numFmtId="49" fontId="24" fillId="0" borderId="8" xfId="0" applyNumberFormat="1" applyFont="1" applyBorder="1" applyAlignment="1" applyProtection="1">
      <alignment horizontal="left"/>
      <protection locked="0"/>
    </xf>
    <xf numFmtId="0" fontId="24" fillId="0" borderId="8" xfId="0" applyFont="1" applyBorder="1" applyAlignment="1" applyProtection="1">
      <alignment horizontal="left"/>
      <protection locked="0"/>
    </xf>
    <xf numFmtId="0" fontId="24" fillId="0" borderId="0" xfId="0" applyFont="1" applyBorder="1" applyAlignment="1" applyProtection="1">
      <alignment horizontal="center"/>
      <protection locked="0"/>
    </xf>
    <xf numFmtId="0" fontId="0" fillId="0" borderId="0" xfId="0" applyAlignment="1">
      <alignment horizontal="center"/>
    </xf>
    <xf numFmtId="0" fontId="51" fillId="0" borderId="0" xfId="0" applyFont="1" applyAlignment="1">
      <alignment horizontal="center"/>
    </xf>
    <xf numFmtId="0" fontId="54" fillId="0" borderId="0" xfId="0" applyFont="1" applyBorder="1" applyAlignment="1">
      <alignment horizontal="right"/>
    </xf>
    <xf numFmtId="0" fontId="24" fillId="0" borderId="28" xfId="0" applyFont="1" applyBorder="1" applyAlignment="1" applyProtection="1">
      <alignment horizontal="center"/>
      <protection locked="0"/>
    </xf>
    <xf numFmtId="0" fontId="24" fillId="0" borderId="31" xfId="0" applyFont="1" applyBorder="1" applyAlignment="1" applyProtection="1">
      <alignment horizontal="center"/>
      <protection locked="0"/>
    </xf>
    <xf numFmtId="164" fontId="24" fillId="0" borderId="38" xfId="0" applyNumberFormat="1" applyFont="1" applyBorder="1" applyAlignment="1" applyProtection="1">
      <alignment horizontal="center"/>
      <protection locked="0"/>
    </xf>
    <xf numFmtId="164" fontId="24" fillId="0" borderId="28" xfId="0" applyNumberFormat="1" applyFont="1" applyBorder="1" applyAlignment="1" applyProtection="1">
      <alignment horizontal="center"/>
      <protection locked="0"/>
    </xf>
    <xf numFmtId="0" fontId="24" fillId="0" borderId="38" xfId="0" applyFont="1" applyBorder="1" applyAlignment="1" applyProtection="1">
      <alignment horizontal="center"/>
      <protection locked="0"/>
    </xf>
    <xf numFmtId="0" fontId="53" fillId="0" borderId="0" xfId="0" applyFont="1" applyAlignment="1">
      <alignment horizontal="center" vertical="center" wrapText="1"/>
    </xf>
    <xf numFmtId="0" fontId="56" fillId="12" borderId="43" xfId="9" applyFont="1" applyFill="1" applyBorder="1" applyAlignment="1">
      <alignment horizontal="left" vertical="top" wrapText="1"/>
    </xf>
    <xf numFmtId="0" fontId="56" fillId="12" borderId="44" xfId="9" applyFont="1" applyFill="1" applyBorder="1" applyAlignment="1">
      <alignment horizontal="left" vertical="top" wrapText="1"/>
    </xf>
    <xf numFmtId="0" fontId="56" fillId="12" borderId="45" xfId="9" applyFont="1" applyFill="1" applyBorder="1" applyAlignment="1">
      <alignment horizontal="left" vertical="top" wrapText="1"/>
    </xf>
    <xf numFmtId="0" fontId="12" fillId="0" borderId="18" xfId="9" applyFont="1" applyBorder="1" applyAlignment="1">
      <alignment horizontal="left" vertical="top" wrapText="1"/>
    </xf>
    <xf numFmtId="0" fontId="12" fillId="0" borderId="19" xfId="9" applyFont="1" applyBorder="1" applyAlignment="1">
      <alignment horizontal="left" vertical="top" wrapText="1"/>
    </xf>
    <xf numFmtId="0" fontId="12" fillId="0" borderId="50" xfId="9" applyFont="1" applyBorder="1" applyAlignment="1">
      <alignment horizontal="left" vertical="top" wrapText="1"/>
    </xf>
    <xf numFmtId="0" fontId="12" fillId="0" borderId="25" xfId="9" applyFont="1" applyBorder="1" applyAlignment="1">
      <alignment horizontal="left" vertical="top" wrapText="1"/>
    </xf>
    <xf numFmtId="0" fontId="12" fillId="0" borderId="0" xfId="9" applyFont="1" applyBorder="1" applyAlignment="1">
      <alignment horizontal="left" vertical="top" wrapText="1"/>
    </xf>
    <xf numFmtId="0" fontId="12" fillId="0" borderId="47" xfId="9" applyFont="1" applyBorder="1" applyAlignment="1">
      <alignment horizontal="left" vertical="top" wrapText="1"/>
    </xf>
    <xf numFmtId="0" fontId="12" fillId="0" borderId="27" xfId="9" applyFont="1" applyBorder="1" applyAlignment="1">
      <alignment horizontal="left" vertical="top" wrapText="1"/>
    </xf>
    <xf numFmtId="0" fontId="12" fillId="0" borderId="28" xfId="9" applyFont="1" applyBorder="1" applyAlignment="1">
      <alignment horizontal="left" vertical="top" wrapText="1"/>
    </xf>
    <xf numFmtId="0" fontId="12" fillId="0" borderId="32" xfId="9" applyFont="1" applyBorder="1" applyAlignment="1">
      <alignment horizontal="left" vertical="top" wrapText="1"/>
    </xf>
    <xf numFmtId="0" fontId="58" fillId="12" borderId="43" xfId="9" applyFont="1" applyFill="1" applyBorder="1" applyAlignment="1">
      <alignment horizontal="center"/>
    </xf>
    <xf numFmtId="0" fontId="58" fillId="12" borderId="44" xfId="9" applyFont="1" applyFill="1" applyBorder="1" applyAlignment="1">
      <alignment horizontal="center"/>
    </xf>
    <xf numFmtId="0" fontId="58" fillId="12" borderId="45" xfId="9" applyFont="1" applyFill="1" applyBorder="1" applyAlignment="1">
      <alignment horizontal="center"/>
    </xf>
    <xf numFmtId="0" fontId="16" fillId="7" borderId="43" xfId="9" applyFont="1" applyFill="1" applyBorder="1" applyAlignment="1">
      <alignment horizontal="center"/>
    </xf>
    <xf numFmtId="0" fontId="16" fillId="7" borderId="44" xfId="9" applyFont="1" applyFill="1" applyBorder="1" applyAlignment="1">
      <alignment horizontal="center"/>
    </xf>
    <xf numFmtId="0" fontId="12" fillId="0" borderId="43" xfId="9" applyFont="1" applyFill="1" applyBorder="1" applyAlignment="1">
      <alignment horizontal="center"/>
    </xf>
    <xf numFmtId="0" fontId="12" fillId="0" borderId="45" xfId="9" applyFont="1" applyFill="1" applyBorder="1" applyAlignment="1">
      <alignment horizontal="center"/>
    </xf>
    <xf numFmtId="0" fontId="12" fillId="0" borderId="44" xfId="9" applyFont="1" applyFill="1" applyBorder="1" applyAlignment="1">
      <alignment horizontal="center"/>
    </xf>
    <xf numFmtId="0" fontId="0" fillId="8" borderId="43" xfId="0" applyFill="1" applyBorder="1" applyAlignment="1">
      <alignment horizontal="center"/>
    </xf>
    <xf numFmtId="0" fontId="0" fillId="8" borderId="45" xfId="0" applyFill="1" applyBorder="1" applyAlignment="1">
      <alignment horizontal="center"/>
    </xf>
    <xf numFmtId="0" fontId="12" fillId="8" borderId="3" xfId="0" applyFont="1" applyFill="1" applyBorder="1" applyAlignment="1" applyProtection="1">
      <alignment horizontal="left" vertical="top" wrapText="1"/>
      <protection locked="0"/>
    </xf>
    <xf numFmtId="0" fontId="0" fillId="8" borderId="0" xfId="0" applyFill="1" applyBorder="1" applyAlignment="1" applyProtection="1">
      <alignment horizontal="left" vertical="top" wrapText="1"/>
      <protection locked="0"/>
    </xf>
    <xf numFmtId="0" fontId="0" fillId="8" borderId="11" xfId="0" applyFill="1" applyBorder="1" applyAlignment="1" applyProtection="1">
      <alignment horizontal="left" vertical="top" wrapText="1"/>
      <protection locked="0"/>
    </xf>
    <xf numFmtId="0" fontId="0" fillId="8" borderId="12" xfId="0" applyFill="1" applyBorder="1" applyAlignment="1" applyProtection="1">
      <alignment horizontal="left" vertical="top" wrapText="1"/>
      <protection locked="0"/>
    </xf>
    <xf numFmtId="0" fontId="0" fillId="8" borderId="3" xfId="0" applyFill="1" applyBorder="1" applyAlignment="1" applyProtection="1">
      <alignment horizontal="left" vertical="top" wrapText="1"/>
      <protection locked="0"/>
    </xf>
    <xf numFmtId="0" fontId="0" fillId="8" borderId="6" xfId="0" applyFill="1" applyBorder="1" applyAlignment="1" applyProtection="1">
      <alignment horizontal="left" vertical="top" wrapText="1"/>
      <protection locked="0"/>
    </xf>
    <xf numFmtId="0" fontId="0" fillId="8" borderId="10" xfId="0" applyFill="1" applyBorder="1" applyAlignment="1" applyProtection="1">
      <alignment horizontal="left" vertical="top" wrapText="1"/>
      <protection locked="0"/>
    </xf>
    <xf numFmtId="0" fontId="0" fillId="8" borderId="8" xfId="0" applyFill="1" applyBorder="1" applyAlignment="1" applyProtection="1">
      <alignment horizontal="left" vertical="top" wrapText="1"/>
      <protection locked="0"/>
    </xf>
    <xf numFmtId="0" fontId="0" fillId="8" borderId="13" xfId="0" applyFill="1" applyBorder="1" applyAlignment="1" applyProtection="1">
      <alignment horizontal="left" vertical="top" wrapText="1"/>
      <protection locked="0"/>
    </xf>
    <xf numFmtId="0" fontId="42" fillId="9" borderId="43" xfId="0" applyFont="1" applyFill="1" applyBorder="1" applyAlignment="1" applyProtection="1">
      <alignment horizontal="center"/>
      <protection locked="0"/>
    </xf>
    <xf numFmtId="0" fontId="42" fillId="9" borderId="45" xfId="0" applyFont="1" applyFill="1" applyBorder="1" applyAlignment="1" applyProtection="1">
      <alignment horizontal="center"/>
      <protection locked="0"/>
    </xf>
    <xf numFmtId="0" fontId="42" fillId="8" borderId="11" xfId="0" applyFont="1" applyFill="1" applyBorder="1" applyAlignment="1">
      <alignment horizontal="center"/>
    </xf>
    <xf numFmtId="0" fontId="42" fillId="8" borderId="12" xfId="0" applyFont="1" applyFill="1" applyBorder="1" applyAlignment="1">
      <alignment horizontal="center"/>
    </xf>
    <xf numFmtId="0" fontId="42" fillId="8" borderId="3" xfId="0" applyFont="1" applyFill="1" applyBorder="1" applyAlignment="1">
      <alignment horizontal="center" wrapText="1"/>
    </xf>
    <xf numFmtId="0" fontId="42" fillId="8" borderId="0" xfId="0" applyFont="1" applyFill="1" applyBorder="1" applyAlignment="1">
      <alignment horizontal="center" wrapText="1"/>
    </xf>
    <xf numFmtId="0" fontId="42" fillId="8" borderId="8" xfId="0" applyFont="1" applyFill="1" applyBorder="1" applyAlignment="1">
      <alignment horizontal="center"/>
    </xf>
    <xf numFmtId="0" fontId="42" fillId="8" borderId="13" xfId="0" applyFont="1" applyFill="1" applyBorder="1" applyAlignment="1">
      <alignment horizontal="center"/>
    </xf>
    <xf numFmtId="0" fontId="41" fillId="4" borderId="43" xfId="0" applyFont="1" applyFill="1" applyBorder="1" applyAlignment="1">
      <alignment horizontal="left"/>
    </xf>
    <xf numFmtId="0" fontId="41" fillId="4" borderId="45" xfId="0" applyFont="1" applyFill="1" applyBorder="1" applyAlignment="1">
      <alignment horizontal="left"/>
    </xf>
    <xf numFmtId="0" fontId="45" fillId="8" borderId="25" xfId="2" applyFont="1" applyFill="1" applyBorder="1" applyAlignment="1" applyProtection="1">
      <alignment horizontal="left"/>
      <protection locked="0"/>
    </xf>
    <xf numFmtId="0" fontId="45" fillId="0" borderId="0" xfId="2" applyFont="1" applyAlignment="1" applyProtection="1">
      <protection locked="0"/>
    </xf>
    <xf numFmtId="0" fontId="42" fillId="8" borderId="23" xfId="0" applyFont="1" applyFill="1" applyBorder="1" applyAlignment="1">
      <alignment horizontal="center"/>
    </xf>
    <xf numFmtId="0" fontId="42" fillId="8" borderId="24" xfId="0" applyFont="1" applyFill="1" applyBorder="1" applyAlignment="1">
      <alignment horizontal="center"/>
    </xf>
    <xf numFmtId="0" fontId="42" fillId="8" borderId="4" xfId="0" applyFont="1" applyFill="1" applyBorder="1" applyAlignment="1">
      <alignment horizontal="center"/>
    </xf>
    <xf numFmtId="0" fontId="42" fillId="8" borderId="1" xfId="0" applyFont="1" applyFill="1" applyBorder="1" applyAlignment="1">
      <alignment horizontal="center"/>
    </xf>
    <xf numFmtId="0" fontId="42" fillId="8" borderId="5" xfId="0" applyFont="1" applyFill="1" applyBorder="1" applyAlignment="1">
      <alignment horizontal="center"/>
    </xf>
    <xf numFmtId="0" fontId="41" fillId="8" borderId="3" xfId="0" applyFont="1" applyFill="1" applyBorder="1" applyAlignment="1">
      <alignment horizontal="center"/>
    </xf>
    <xf numFmtId="0" fontId="41" fillId="8" borderId="0" xfId="0" applyFont="1" applyFill="1" applyBorder="1" applyAlignment="1">
      <alignment horizontal="center"/>
    </xf>
    <xf numFmtId="0" fontId="42" fillId="8" borderId="3" xfId="0" applyFont="1" applyFill="1" applyBorder="1" applyAlignment="1">
      <alignment horizontal="center"/>
    </xf>
    <xf numFmtId="0" fontId="42" fillId="8" borderId="0" xfId="0" applyFont="1" applyFill="1" applyBorder="1" applyAlignment="1">
      <alignment horizontal="center"/>
    </xf>
    <xf numFmtId="0" fontId="42" fillId="8" borderId="0" xfId="0" applyFont="1" applyFill="1" applyBorder="1" applyAlignment="1">
      <alignment horizontal="left"/>
    </xf>
    <xf numFmtId="0" fontId="42" fillId="8" borderId="6" xfId="0" applyFont="1" applyFill="1" applyBorder="1" applyAlignment="1">
      <alignment horizontal="left"/>
    </xf>
    <xf numFmtId="0" fontId="42" fillId="8" borderId="10" xfId="0" applyFont="1" applyFill="1" applyBorder="1" applyAlignment="1">
      <alignment horizontal="center"/>
    </xf>
    <xf numFmtId="0" fontId="42" fillId="8" borderId="8" xfId="0" applyFont="1" applyFill="1" applyBorder="1" applyAlignment="1">
      <alignment horizontal="left"/>
    </xf>
    <xf numFmtId="0" fontId="42" fillId="8" borderId="13" xfId="0" applyFont="1" applyFill="1" applyBorder="1" applyAlignment="1">
      <alignment horizontal="left"/>
    </xf>
    <xf numFmtId="0" fontId="42" fillId="10" borderId="2" xfId="0" applyFont="1" applyFill="1" applyBorder="1" applyAlignment="1">
      <alignment horizontal="center"/>
    </xf>
    <xf numFmtId="0" fontId="42" fillId="10" borderId="1" xfId="0" applyFont="1" applyFill="1" applyBorder="1" applyAlignment="1">
      <alignment horizontal="center"/>
    </xf>
    <xf numFmtId="0" fontId="42" fillId="10" borderId="5" xfId="0" applyFont="1" applyFill="1" applyBorder="1" applyAlignment="1">
      <alignment horizontal="center"/>
    </xf>
    <xf numFmtId="0" fontId="42" fillId="8" borderId="0" xfId="0" applyFont="1" applyFill="1" applyBorder="1" applyAlignment="1">
      <alignment horizontal="left" wrapText="1"/>
    </xf>
    <xf numFmtId="0" fontId="42" fillId="8" borderId="9" xfId="0" applyFont="1" applyFill="1" applyBorder="1" applyAlignment="1">
      <alignment horizontal="center"/>
    </xf>
    <xf numFmtId="0" fontId="42" fillId="8" borderId="23" xfId="0" applyFont="1" applyFill="1" applyBorder="1" applyAlignment="1">
      <alignment horizontal="left"/>
    </xf>
    <xf numFmtId="0" fontId="42" fillId="8" borderId="12" xfId="0" applyFont="1" applyFill="1" applyBorder="1" applyAlignment="1">
      <alignment horizontal="left"/>
    </xf>
    <xf numFmtId="0" fontId="42" fillId="8" borderId="47" xfId="0" applyFont="1" applyFill="1" applyBorder="1" applyAlignment="1">
      <alignment horizontal="left"/>
    </xf>
    <xf numFmtId="0" fontId="38" fillId="8" borderId="19" xfId="0" applyFont="1" applyFill="1" applyBorder="1" applyAlignment="1">
      <alignment horizontal="center"/>
    </xf>
    <xf numFmtId="0" fontId="38" fillId="8" borderId="0" xfId="0" applyFont="1" applyFill="1" applyBorder="1" applyAlignment="1">
      <alignment horizontal="center"/>
    </xf>
    <xf numFmtId="0" fontId="24" fillId="9" borderId="43" xfId="0" applyFont="1" applyFill="1" applyBorder="1" applyAlignment="1" applyProtection="1">
      <alignment horizontal="center"/>
      <protection locked="0"/>
    </xf>
    <xf numFmtId="0" fontId="24" fillId="9" borderId="45" xfId="0" applyFont="1" applyFill="1" applyBorder="1" applyAlignment="1" applyProtection="1">
      <alignment horizontal="center"/>
      <protection locked="0"/>
    </xf>
    <xf numFmtId="0" fontId="39" fillId="8" borderId="0" xfId="0" applyFont="1" applyFill="1" applyBorder="1" applyAlignment="1">
      <alignment horizontal="left"/>
    </xf>
    <xf numFmtId="14" fontId="0" fillId="9" borderId="43" xfId="0" applyNumberFormat="1" applyFill="1" applyBorder="1" applyAlignment="1">
      <alignment horizontal="center"/>
    </xf>
    <xf numFmtId="14" fontId="0" fillId="9" borderId="45" xfId="0" applyNumberFormat="1" applyFill="1" applyBorder="1" applyAlignment="1">
      <alignment horizontal="center"/>
    </xf>
    <xf numFmtId="0" fontId="40" fillId="10" borderId="43" xfId="0" applyFont="1" applyFill="1" applyBorder="1" applyAlignment="1">
      <alignment horizontal="center"/>
    </xf>
    <xf numFmtId="0" fontId="40" fillId="10" borderId="44" xfId="0" applyFont="1" applyFill="1" applyBorder="1" applyAlignment="1">
      <alignment horizontal="center"/>
    </xf>
    <xf numFmtId="0" fontId="40" fillId="10" borderId="45" xfId="0" applyFont="1" applyFill="1" applyBorder="1" applyAlignment="1">
      <alignment horizontal="center"/>
    </xf>
    <xf numFmtId="0" fontId="41" fillId="0" borderId="33" xfId="0" applyFont="1" applyFill="1" applyBorder="1" applyAlignment="1">
      <alignment horizontal="left"/>
    </xf>
    <xf numFmtId="0" fontId="41" fillId="0" borderId="5" xfId="0" applyFont="1" applyFill="1" applyBorder="1" applyAlignment="1">
      <alignment horizontal="left"/>
    </xf>
    <xf numFmtId="0" fontId="0" fillId="0" borderId="4" xfId="0" applyBorder="1" applyAlignment="1"/>
    <xf numFmtId="0" fontId="19" fillId="0" borderId="5" xfId="0" applyFont="1" applyBorder="1" applyAlignment="1"/>
    <xf numFmtId="0" fontId="19" fillId="0" borderId="4" xfId="0" applyFont="1" applyBorder="1" applyAlignment="1"/>
    <xf numFmtId="0" fontId="22" fillId="0" borderId="8" xfId="0" applyFont="1" applyFill="1" applyBorder="1" applyAlignment="1" applyProtection="1">
      <alignment horizontal="left" wrapText="1"/>
      <protection locked="0"/>
    </xf>
    <xf numFmtId="0" fontId="22" fillId="0" borderId="8" xfId="0" applyNumberFormat="1" applyFont="1" applyFill="1" applyBorder="1" applyAlignment="1" applyProtection="1">
      <alignment horizontal="left"/>
    </xf>
    <xf numFmtId="0" fontId="19" fillId="0" borderId="2" xfId="0" applyFont="1" applyBorder="1" applyAlignment="1"/>
    <xf numFmtId="49" fontId="16" fillId="0" borderId="8" xfId="0" applyNumberFormat="1" applyFont="1" applyBorder="1" applyAlignment="1">
      <alignment horizontal="left"/>
    </xf>
    <xf numFmtId="0" fontId="18" fillId="0" borderId="5" xfId="0" applyFont="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18" fillId="0" borderId="4" xfId="0" applyFont="1" applyBorder="1" applyAlignment="1">
      <alignment horizontal="center"/>
    </xf>
    <xf numFmtId="0" fontId="18" fillId="0" borderId="0" xfId="0" applyFont="1" applyAlignment="1">
      <alignment horizontal="center"/>
    </xf>
  </cellXfs>
  <cellStyles count="17">
    <cellStyle name="Currency" xfId="1" builtinId="4"/>
    <cellStyle name="Currency 2" xfId="5"/>
    <cellStyle name="Currency 2 2" xfId="8"/>
    <cellStyle name="Currency 2 2 2" xfId="15"/>
    <cellStyle name="Currency 2 3" xfId="12"/>
    <cellStyle name="Currency 3" xfId="6"/>
    <cellStyle name="Currency 3 2" xfId="13"/>
    <cellStyle name="Hyperlink" xfId="2" builtinId="8"/>
    <cellStyle name="Normal" xfId="0" builtinId="0"/>
    <cellStyle name="Normal 2" xfId="4"/>
    <cellStyle name="Normal 2 2" xfId="7"/>
    <cellStyle name="Normal 2 2 2" xfId="14"/>
    <cellStyle name="Normal 2 3" xfId="11"/>
    <cellStyle name="Normal 3" xfId="9"/>
    <cellStyle name="Normal 4" xfId="10"/>
    <cellStyle name="Normal 4 2" xfId="16"/>
    <cellStyle name="Percent" xfId="3" builtinId="5"/>
  </cellStyles>
  <dxfs count="535">
    <dxf>
      <font>
        <condense val="0"/>
        <extend val="0"/>
        <color indexed="43"/>
      </font>
    </dxf>
    <dxf>
      <font>
        <condense val="0"/>
        <extend val="0"/>
        <color indexed="43"/>
      </font>
    </dxf>
    <dxf>
      <fill>
        <patternFill>
          <bgColor rgb="FFFFFFF7"/>
        </patternFill>
      </fill>
    </dxf>
    <dxf>
      <fill>
        <patternFill>
          <bgColor rgb="FFFFFFF7"/>
        </patternFill>
      </fill>
    </dxf>
    <dxf>
      <fill>
        <patternFill>
          <bgColor rgb="FFD7E5F5"/>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rgb="FFFFFF00"/>
        </patternFill>
      </fill>
    </dxf>
    <dxf>
      <fill>
        <patternFill>
          <bgColor rgb="FF92D050"/>
        </patternFill>
      </fill>
    </dxf>
    <dxf>
      <fill>
        <patternFill>
          <bgColor theme="0"/>
        </patternFill>
      </fill>
    </dxf>
    <dxf>
      <fill>
        <patternFill>
          <bgColor rgb="FFFFFF00"/>
        </patternFill>
      </fill>
    </dxf>
    <dxf>
      <fill>
        <patternFill>
          <bgColor rgb="FF92D05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7C80"/>
        </patternFill>
      </fill>
    </dxf>
    <dxf>
      <fill>
        <patternFill>
          <bgColor rgb="FFFF5353"/>
        </patternFill>
      </fill>
    </dxf>
    <dxf>
      <fill>
        <patternFill patternType="none">
          <bgColor auto="1"/>
        </patternFill>
      </fill>
    </dxf>
    <dxf>
      <fill>
        <patternFill>
          <bgColor rgb="FFFF0000"/>
        </patternFill>
      </fill>
    </dxf>
    <dxf>
      <fill>
        <patternFill patternType="none">
          <bgColor auto="1"/>
        </patternFill>
      </fill>
    </dxf>
    <dxf>
      <fill>
        <patternFill patternType="none">
          <bgColor auto="1"/>
        </patternFill>
      </fill>
    </dxf>
    <dxf>
      <fill>
        <patternFill>
          <bgColor rgb="FFFFFF00"/>
        </patternFill>
      </fill>
    </dxf>
    <dxf>
      <fill>
        <patternFill patternType="none">
          <bgColor auto="1"/>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rgb="FFFFFF00"/>
        </patternFill>
      </fill>
    </dxf>
    <dxf>
      <fill>
        <patternFill>
          <bgColor rgb="FF92D050"/>
        </patternFill>
      </fill>
    </dxf>
    <dxf>
      <fill>
        <gradientFill degree="90">
          <stop position="0">
            <color theme="5" tint="0.80001220740379042"/>
          </stop>
          <stop position="1">
            <color rgb="FFFF0000"/>
          </stop>
        </gradientFill>
      </fill>
    </dxf>
    <dxf>
      <fill>
        <patternFill>
          <bgColor theme="0"/>
        </patternFill>
      </fill>
    </dxf>
    <dxf>
      <fill>
        <patternFill>
          <bgColor rgb="FFFFFF00"/>
        </patternFill>
      </fill>
    </dxf>
    <dxf>
      <fill>
        <patternFill>
          <bgColor rgb="FF92D050"/>
        </pattern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73F31"/>
        </patternFill>
      </fill>
    </dxf>
    <dxf>
      <fill>
        <patternFill>
          <bgColor rgb="FF92D050"/>
        </patternFill>
      </fill>
    </dxf>
    <dxf>
      <fill>
        <patternFill>
          <bgColor rgb="FF92D050"/>
        </patternFill>
      </fill>
    </dxf>
    <dxf>
      <fill>
        <patternFill>
          <bgColor rgb="FFFF3300"/>
        </patternFill>
      </fill>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none">
          <bgColor auto="1"/>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9AD35B"/>
        </patternFill>
      </fill>
    </dxf>
    <dxf>
      <fill>
        <patternFill>
          <bgColor rgb="FFFF0000"/>
        </patternFill>
      </fill>
    </dxf>
    <dxf>
      <font>
        <color theme="0"/>
      </font>
      <fill>
        <patternFill patternType="none">
          <bgColor auto="1"/>
        </patternFill>
      </fill>
    </dxf>
    <dxf>
      <font>
        <color auto="1"/>
      </font>
      <fill>
        <patternFill patternType="none">
          <bgColor auto="1"/>
        </patternFill>
      </fill>
    </dxf>
    <dxf>
      <fill>
        <patternFill>
          <bgColor rgb="FFFF5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0"/>
      </font>
      <fill>
        <patternFill>
          <bgColor theme="0"/>
        </patternFill>
      </fill>
    </dxf>
    <dxf>
      <fill>
        <patternFill>
          <bgColor rgb="FFFF0000"/>
        </pattern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numFmt numFmtId="173" formatCode="\(&quot;$&quot;0.00\)"/>
    </dxf>
    <dxf>
      <numFmt numFmtId="173" formatCode="\(&quot;$&quot;0.00\)"/>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gradientFill degree="90">
          <stop position="0">
            <color theme="5" tint="0.80001220740379042"/>
          </stop>
          <stop position="1">
            <color rgb="FFFF0000"/>
          </stop>
        </gradientFill>
      </fill>
    </dxf>
    <dxf>
      <font>
        <color auto="1"/>
      </font>
    </dxf>
    <dxf>
      <fill>
        <patternFill>
          <bgColor rgb="FFFF0000"/>
        </patternFill>
      </fill>
    </dxf>
    <dxf>
      <fill>
        <patternFill>
          <bgColor rgb="FFFF0000"/>
        </patternFill>
      </fill>
    </dxf>
    <dxf>
      <fill>
        <patternFill>
          <bgColor rgb="FFFF0000"/>
        </patternFill>
      </fill>
    </dxf>
    <dxf>
      <fill>
        <patternFill>
          <bgColor rgb="FFFF0000"/>
        </patternFill>
      </fill>
    </dxf>
    <dxf>
      <fill>
        <gradientFill degree="90">
          <stop position="0">
            <color theme="5" tint="0.80001220740379042"/>
          </stop>
          <stop position="1">
            <color rgb="FFFF2525"/>
          </stop>
        </gradientFill>
      </fill>
    </dxf>
    <dxf>
      <font>
        <color auto="1"/>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0000"/>
        </patternFill>
      </fill>
    </dxf>
    <dxf>
      <numFmt numFmtId="173" formatCode="\(&quot;$&quot;0.00\)"/>
    </dxf>
    <dxf>
      <numFmt numFmtId="173" formatCode="\(&quot;$&quot;0.00\)"/>
    </dxf>
    <dxf>
      <numFmt numFmtId="173" formatCode="\(&quot;$&quot;0.00\)"/>
    </dxf>
    <dxf>
      <numFmt numFmtId="173" formatCode="\(&quot;$&quot;0.00\)"/>
    </dxf>
    <dxf>
      <fill>
        <patternFill>
          <bgColor rgb="FFFF7C8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00B0F0"/>
        </patternFill>
      </fill>
    </dxf>
    <dxf>
      <fill>
        <patternFill>
          <bgColor rgb="FF7030A0"/>
        </patternFill>
      </fill>
    </dxf>
    <dxf>
      <fill>
        <patternFill>
          <bgColor rgb="FFFF0000"/>
        </patternFill>
      </fill>
    </dxf>
    <dxf>
      <fill>
        <patternFill>
          <bgColor rgb="FF0070C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none">
          <bgColor auto="1"/>
        </patternFill>
      </fill>
    </dxf>
    <dxf>
      <font>
        <color theme="0"/>
      </font>
      <fill>
        <patternFill patternType="none">
          <bgColor auto="1"/>
        </patternFill>
      </fill>
    </dxf>
    <dxf>
      <fill>
        <patternFill patternType="none">
          <bgColor auto="1"/>
        </patternFill>
      </fill>
    </dxf>
    <dxf>
      <fill>
        <patternFill>
          <bgColor rgb="FFFFFF00"/>
        </patternFill>
      </fill>
    </dxf>
    <dxf>
      <numFmt numFmtId="173" formatCode="\(&quot;$&quot;0.00\)"/>
    </dxf>
    <dxf>
      <numFmt numFmtId="173" formatCode="\(&quot;$&quot;0.00\)"/>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theme="5" tint="0.39994506668294322"/>
        </patternFill>
      </fill>
    </dxf>
    <dxf>
      <fill>
        <patternFill>
          <bgColor rgb="FFFFFF00"/>
        </patternFill>
      </fill>
    </dxf>
    <dxf>
      <fill>
        <patternFill>
          <bgColor theme="5" tint="0.3999450666829432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7C80"/>
        </patternFill>
      </fill>
    </dxf>
    <dxf>
      <fill>
        <patternFill>
          <bgColor rgb="FFFF7C80"/>
        </patternFill>
      </fill>
    </dxf>
    <dxf>
      <fill>
        <patternFill>
          <bgColor rgb="FF92D050"/>
        </patternFill>
      </fill>
    </dxf>
    <dxf>
      <fill>
        <patternFill>
          <bgColor rgb="FF92D050"/>
        </patternFill>
      </fill>
    </dxf>
    <dxf>
      <fill>
        <patternFill>
          <bgColor rgb="FFFF0000"/>
        </patternFill>
      </fill>
    </dxf>
    <dxf>
      <fill>
        <patternFill>
          <bgColor rgb="FFC0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ont>
        <color auto="1"/>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174" formatCode="\X"/>
    </dxf>
    <dxf>
      <fill>
        <patternFill>
          <bgColor rgb="FFFF0000"/>
        </patternFill>
      </fill>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s>
  <tableStyles count="0" defaultTableStyle="TableStyleMedium9" defaultPivotStyle="PivotStyleLight16"/>
  <colors>
    <mruColors>
      <color rgb="FFFF2525"/>
      <color rgb="FFFF7C80"/>
      <color rgb="FFFF5353"/>
      <color rgb="FFECCECC"/>
      <color rgb="FF9AD35B"/>
      <color rgb="FFFF5050"/>
      <color rgb="FFFFFF99"/>
      <color rgb="FFFF3300"/>
      <color rgb="FFF73F31"/>
      <color rgb="FFCF75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trlProps/ctrlProp1.xml><?xml version="1.0" encoding="utf-8"?>
<formControlPr xmlns="http://schemas.microsoft.com/office/spreadsheetml/2009/9/main" objectType="CheckBox" fmlaLink="$R$11" noThreeD="1"/>
</file>

<file path=xl/ctrlProps/ctrlProp2.xml><?xml version="1.0" encoding="utf-8"?>
<formControlPr xmlns="http://schemas.microsoft.com/office/spreadsheetml/2009/9/main" objectType="CheckBox" fmlaLink="$R$12" lockText="1" noThreeD="1"/>
</file>

<file path=xl/ctrlProps/ctrlProp3.xml><?xml version="1.0" encoding="utf-8"?>
<formControlPr xmlns="http://schemas.microsoft.com/office/spreadsheetml/2009/9/main" objectType="CheckBox" fmlaLink="$R$13" lockText="1" noThreeD="1"/>
</file>

<file path=xl/ctrlProps/ctrlProp4.xml><?xml version="1.0" encoding="utf-8"?>
<formControlPr xmlns="http://schemas.microsoft.com/office/spreadsheetml/2009/9/main" objectType="CheckBox" fmlaLink="$R$15"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fmlaLink="$R$17"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fmlaLink="$R$18" lockText="1" noThreeD="1"/>
</file>

<file path=xl/ctrlProps/ctrlProp9.xml><?xml version="1.0" encoding="utf-8"?>
<formControlPr xmlns="http://schemas.microsoft.com/office/spreadsheetml/2009/9/main" objectType="CheckBox" fmlaLink="$R$19" lockText="1" noThreeD="1"/>
</file>

<file path=xl/ctrlProps/ctrlProp10.xml><?xml version="1.0" encoding="utf-8"?>
<formControlPr xmlns="http://schemas.microsoft.com/office/spreadsheetml/2009/9/main" objectType="CheckBox" fmlaLink="$R$20" lockText="1" noThreeD="1"/>
</file>

<file path=xl/ctrlProps/ctrlProp11.xml><?xml version="1.0" encoding="utf-8"?>
<formControlPr xmlns="http://schemas.microsoft.com/office/spreadsheetml/2009/9/main" objectType="CheckBox" fmlaLink="$R$24"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fmlaLink="$R$25" lockText="1" noThreeD="1"/>
</file>

<file path=xl/ctrlProps/ctrlProp14.xml><?xml version="1.0" encoding="utf-8"?>
<formControlPr xmlns="http://schemas.microsoft.com/office/spreadsheetml/2009/9/main" objectType="CheckBox" fmlaLink="$R$27"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fmlaLink="$R$28"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fmlaLink="#REF!"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fmlaLink="$R$30"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R$31"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fmlaLink="$R$32"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fmlaLink="$R$33"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fmlaLink="$R$34"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fmlaLink="$R$35" lockText="1" noThreeD="1"/>
</file>

<file path=xl/ctrlProps/ctrlProp31.xml><?xml version="1.0" encoding="utf-8"?>
<formControlPr xmlns="http://schemas.microsoft.com/office/spreadsheetml/2009/9/main" objectType="CheckBox" fmlaLink="$R$36" lockText="1" noThreeD="1"/>
</file>

<file path=xl/ctrlProps/ctrlProp32.xml><?xml version="1.0" encoding="utf-8"?>
<formControlPr xmlns="http://schemas.microsoft.com/office/spreadsheetml/2009/9/main" objectType="CheckBox" fmlaLink="$R$21" lockText="1" noThreeD="1"/>
</file>

<file path=xl/ctrlProps/ctrlProp33.xml><?xml version="1.0" encoding="utf-8"?>
<formControlPr xmlns="http://schemas.microsoft.com/office/spreadsheetml/2009/9/main" objectType="CheckBox" fmlaLink="$R$14" lockText="1" noThreeD="1"/>
</file>

<file path=xl/ctrlProps/ctrlProp34.xml><?xml version="1.0" encoding="utf-8"?>
<formControlPr xmlns="http://schemas.microsoft.com/office/spreadsheetml/2009/9/main" objectType="CheckBox" fmlaLink="$R$37" lockText="1" noThreeD="1"/>
</file>

<file path=xl/ctrlProps/ctrlProp35.xml><?xml version="1.0" encoding="utf-8"?>
<formControlPr xmlns="http://schemas.microsoft.com/office/spreadsheetml/2009/9/main" objectType="CheckBox" fmlaLink="$R$38" lockText="1" noThreeD="1"/>
</file>

<file path=xl/ctrlProps/ctrlProp36.xml><?xml version="1.0" encoding="utf-8"?>
<formControlPr xmlns="http://schemas.microsoft.com/office/spreadsheetml/2009/9/main" objectType="CheckBox" fmlaLink="$S$11" lockText="1" noThreeD="1"/>
</file>

<file path=xl/ctrlProps/ctrlProp37.xml><?xml version="1.0" encoding="utf-8"?>
<formControlPr xmlns="http://schemas.microsoft.com/office/spreadsheetml/2009/9/main" objectType="CheckBox" fmlaLink="$S$12" lockText="1" noThreeD="1"/>
</file>

<file path=xl/ctrlProps/ctrlProp38.xml><?xml version="1.0" encoding="utf-8"?>
<formControlPr xmlns="http://schemas.microsoft.com/office/spreadsheetml/2009/9/main" objectType="CheckBox" fmlaLink="$S$13" lockText="1" noThreeD="1"/>
</file>

<file path=xl/ctrlProps/ctrlProp39.xml><?xml version="1.0" encoding="utf-8"?>
<formControlPr xmlns="http://schemas.microsoft.com/office/spreadsheetml/2009/9/main" objectType="CheckBox" fmlaLink="$S$15"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fmlaLink="$S$17"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fmlaLink="$S$18" lockText="1" noThreeD="1"/>
</file>

<file path=xl/ctrlProps/ctrlProp44.xml><?xml version="1.0" encoding="utf-8"?>
<formControlPr xmlns="http://schemas.microsoft.com/office/spreadsheetml/2009/9/main" objectType="CheckBox" fmlaLink="$S$19" lockText="1" noThreeD="1"/>
</file>

<file path=xl/ctrlProps/ctrlProp45.xml><?xml version="1.0" encoding="utf-8"?>
<formControlPr xmlns="http://schemas.microsoft.com/office/spreadsheetml/2009/9/main" objectType="CheckBox" fmlaLink="S$20" lockText="1" noThreeD="1"/>
</file>

<file path=xl/ctrlProps/ctrlProp46.xml><?xml version="1.0" encoding="utf-8"?>
<formControlPr xmlns="http://schemas.microsoft.com/office/spreadsheetml/2009/9/main" objectType="CheckBox" fmlaLink="$S$23" lockText="1" noThreeD="1"/>
</file>

<file path=xl/ctrlProps/ctrlProp47.xml><?xml version="1.0" encoding="utf-8"?>
<formControlPr xmlns="http://schemas.microsoft.com/office/spreadsheetml/2009/9/main" objectType="CheckBox" fmlaLink="$S$24"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fmlaLink="$S$25" lockText="1" noThreeD="1"/>
</file>

<file path=xl/ctrlProps/ctrlProp50.xml><?xml version="1.0" encoding="utf-8"?>
<formControlPr xmlns="http://schemas.microsoft.com/office/spreadsheetml/2009/9/main" objectType="CheckBox" fmlaLink="$S$27"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fmlaLink="$S$28"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fmlaLink="#REF!"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fmlaLink="$S$30"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fmlaLink="$S$31"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fmlaLink="$S$32"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fmlaLink="$S$33"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fmlaLink="$S$34"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fmlaLink="$S$35" lockText="1" noThreeD="1"/>
</file>

<file path=xl/ctrlProps/ctrlProp67.xml><?xml version="1.0" encoding="utf-8"?>
<formControlPr xmlns="http://schemas.microsoft.com/office/spreadsheetml/2009/9/main" objectType="CheckBox" fmlaLink="$S$36" lockText="1" noThreeD="1"/>
</file>

<file path=xl/ctrlProps/ctrlProp68.xml><?xml version="1.0" encoding="utf-8"?>
<formControlPr xmlns="http://schemas.microsoft.com/office/spreadsheetml/2009/9/main" objectType="CheckBox" fmlaLink="$S$37" lockText="1" noThreeD="1"/>
</file>

<file path=xl/ctrlProps/ctrlProp69.xml><?xml version="1.0" encoding="utf-8"?>
<formControlPr xmlns="http://schemas.microsoft.com/office/spreadsheetml/2009/9/main" objectType="CheckBox" fmlaLink="$S$21" lockText="1" noThreeD="1"/>
</file>

<file path=xl/ctrlProps/ctrlProp70.xml><?xml version="1.0" encoding="utf-8"?>
<formControlPr xmlns="http://schemas.microsoft.com/office/spreadsheetml/2009/9/main" objectType="CheckBox" fmlaLink="$S$14" lockText="1" noThreeD="1"/>
</file>

<file path=xl/ctrlProps/ctrlProp71.xml><?xml version="1.0" encoding="utf-8"?>
<formControlPr xmlns="http://schemas.microsoft.com/office/spreadsheetml/2009/9/main" objectType="CheckBox" fmlaLink="$S$38" lockText="1" noThreeD="1"/>
</file>

<file path=xl/ctrlProps/ctrlProp72.xml><?xml version="1.0" encoding="utf-8"?>
<formControlPr xmlns="http://schemas.microsoft.com/office/spreadsheetml/2009/9/main" objectType="CheckBox" fmlaLink="$R$39" lockText="1" noThreeD="1"/>
</file>

<file path=xl/ctrlProps/ctrlProp73.xml><?xml version="1.0" encoding="utf-8"?>
<formControlPr xmlns="http://schemas.microsoft.com/office/spreadsheetml/2009/9/main" objectType="CheckBox" fmlaLink="$R$22" lockText="1" noThreeD="1"/>
</file>

<file path=xl/ctrlProps/ctrlProp74.xml><?xml version="1.0" encoding="utf-8"?>
<formControlPr xmlns="http://schemas.microsoft.com/office/spreadsheetml/2009/9/main" objectType="CheckBox" fmlaLink="$R$23" lockText="1" noThreeD="1"/>
</file>

<file path=xl/ctrlProps/ctrlProp75.xml><?xml version="1.0" encoding="utf-8"?>
<formControlPr xmlns="http://schemas.microsoft.com/office/spreadsheetml/2009/9/main" objectType="CheckBox" fmlaLink="$S$22" lockText="1" noThreeD="1"/>
</file>

<file path=xl/ctrlProps/ctrlProp76.xml><?xml version="1.0" encoding="utf-8"?>
<formControlPr xmlns="http://schemas.microsoft.com/office/spreadsheetml/2009/9/main" objectType="CheckBox" fmlaLink="$R$16" lockText="1" noThreeD="1"/>
</file>

<file path=xl/ctrlProps/ctrlProp77.xml><?xml version="1.0" encoding="utf-8"?>
<formControlPr xmlns="http://schemas.microsoft.com/office/spreadsheetml/2009/9/main" objectType="CheckBox" fmlaLink="$S$16" lockText="1" noThreeD="1"/>
</file>

<file path=xl/ctrlProps/ctrlProp78.xml><?xml version="1.0" encoding="utf-8"?>
<formControlPr xmlns="http://schemas.microsoft.com/office/spreadsheetml/2009/9/main" objectType="CheckBox" fmlaLink="$R$26"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fmlaLink="$R$29"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fmlaLink="$S$29" lockText="1" noThreeD="1"/>
</file>

<file path=xl/ctrlProps/ctrlProp83.xml><?xml version="1.0" encoding="utf-8"?>
<formControlPr xmlns="http://schemas.microsoft.com/office/spreadsheetml/2009/9/main" objectType="CheckBox" fmlaLink="$S$44" lockText="1" noThreeD="1"/>
</file>

<file path=xl/ctrlProps/ctrlProp84.xml><?xml version="1.0" encoding="utf-8"?>
<formControlPr xmlns="http://schemas.microsoft.com/office/spreadsheetml/2009/9/main" objectType="CheckBox" fmlaLink="$S$26" lockText="1" noThreeD="1"/>
</file>

<file path=xl/ctrlProps/ctrlProp85.xml><?xml version="1.0" encoding="utf-8"?>
<formControlPr xmlns="http://schemas.microsoft.com/office/spreadsheetml/2009/9/main" objectType="CheckBox" fmlaLink="$R$2" noThreeD="1"/>
</file>

<file path=xl/ctrlProps/ctrlProp86.xml><?xml version="1.0" encoding="utf-8"?>
<formControlPr xmlns="http://schemas.microsoft.com/office/spreadsheetml/2009/9/main" objectType="CheckBox" fmlaLink="$R$3" noThreeD="1"/>
</file>

<file path=xl/ctrlProps/ctrlProp87.xml><?xml version="1.0" encoding="utf-8"?>
<formControlPr xmlns="http://schemas.microsoft.com/office/spreadsheetml/2009/9/main" objectType="CheckBox" fmlaLink="$R$4" noThreeD="1"/>
</file>

<file path=xl/ctrlProps/ctrlProp88.xml><?xml version="1.0" encoding="utf-8"?>
<formControlPr xmlns="http://schemas.microsoft.com/office/spreadsheetml/2009/9/main" objectType="CheckBox" fmlaLink="$R$5" noThreeD="1"/>
</file>

<file path=xl/ctrlProps/ctrlProp89.xml><?xml version="1.0" encoding="utf-8"?>
<formControlPr xmlns="http://schemas.microsoft.com/office/spreadsheetml/2009/9/main" objectType="CheckBox" fmlaLink="$G$17" lockText="1" noThreeD="1"/>
</file>

<file path=xl/ctrlProps/ctrlProp90.xml><?xml version="1.0" encoding="utf-8"?>
<formControlPr xmlns="http://schemas.microsoft.com/office/spreadsheetml/2009/9/main" objectType="CheckBox" fmlaLink="$G$18" lockText="1" noThreeD="1"/>
</file>

<file path=xl/ctrlProps/ctrlProp91.xml><?xml version="1.0" encoding="utf-8"?>
<formControlPr xmlns="http://schemas.microsoft.com/office/spreadsheetml/2009/9/main" objectType="CheckBox" checked="Checked" fmlaLink="$G$19" lockText="1" noThreeD="1"/>
</file>

<file path=xl/ctrlProps/ctrlProp92.xml><?xml version="1.0" encoding="utf-8"?>
<formControlPr xmlns="http://schemas.microsoft.com/office/spreadsheetml/2009/9/main" objectType="CheckBox" fmlaLink="$G$44" lockText="1" noThreeD="1"/>
</file>

<file path=xl/ctrlProps/ctrlProp93.xml><?xml version="1.0" encoding="utf-8"?>
<formControlPr xmlns="http://schemas.microsoft.com/office/spreadsheetml/2009/9/main" objectType="CheckBox" fmlaLink="$G$45" lockText="1" noThreeD="1"/>
</file>

<file path=xl/ctrlProps/ctrlProp94.xml><?xml version="1.0" encoding="utf-8"?>
<formControlPr xmlns="http://schemas.microsoft.com/office/spreadsheetml/2009/9/main" objectType="CheckBox" fmlaLink="$G$46" lockText="1" noThreeD="1"/>
</file>

<file path=xl/ctrlProps/ctrlProp95.xml><?xml version="1.0" encoding="utf-8"?>
<formControlPr xmlns="http://schemas.microsoft.com/office/spreadsheetml/2009/9/main" objectType="CheckBox" fmlaLink="$G$16" lockText="1" noThreeD="1"/>
</file>

<file path=xl/ctrlProps/ctrlProp96.xml><?xml version="1.0" encoding="utf-8"?>
<formControlPr xmlns="http://schemas.microsoft.com/office/spreadsheetml/2009/9/main" objectType="CheckBox" fmlaLink="$G$61" lockText="1" noThreeD="1"/>
</file>

<file path=xl/ctrlProps/ctrlProp97.xml><?xml version="1.0" encoding="utf-8"?>
<formControlPr xmlns="http://schemas.microsoft.com/office/spreadsheetml/2009/9/main" objectType="CheckBox" fmlaLink="$G$62" lockText="1" noThreeD="1"/>
</file>

<file path=xl/ctrlProps/ctrlProp98.xml><?xml version="1.0" encoding="utf-8"?>
<formControlPr xmlns="http://schemas.microsoft.com/office/spreadsheetml/2009/9/main" objectType="CheckBox" fmlaLink="$G$63" lockText="1" noThreeD="1"/>
</file>

<file path=xl/ctrlProps/ctrlProp99.xml><?xml version="1.0" encoding="utf-8"?>
<formControlPr xmlns="http://schemas.microsoft.com/office/spreadsheetml/2009/9/main" objectType="CheckBox" fmlaLink="$G$76" lockText="1" noThreeD="1"/>
</file>

<file path=xl/ctrlProps/ctrlProp100.xml><?xml version="1.0" encoding="utf-8"?>
<formControlPr xmlns="http://schemas.microsoft.com/office/spreadsheetml/2009/9/main" objectType="CheckBox" fmlaLink="$G$77" lockText="1" noThreeD="1"/>
</file>

<file path=xl/ctrlProps/ctrlProp101.xml><?xml version="1.0" encoding="utf-8"?>
<formControlPr xmlns="http://schemas.microsoft.com/office/spreadsheetml/2009/9/main" objectType="CheckBox" fmlaLink="$G$78" lockText="1" noThreeD="1"/>
</file>

<file path=xl/ctrlProps/ctrlProp102.xml><?xml version="1.0" encoding="utf-8"?>
<formControlPr xmlns="http://schemas.microsoft.com/office/spreadsheetml/2009/9/main" objectType="CheckBox" fmlaLink="$M$27" lockText="1" noThreeD="1"/>
</file>

<file path=xl/ctrlProps/ctrlProp103.xml><?xml version="1.0" encoding="utf-8"?>
<formControlPr xmlns="http://schemas.microsoft.com/office/spreadsheetml/2009/9/main" objectType="CheckBox" fmlaLink="$M$28" lockText="1" noThreeD="1"/>
</file>

<file path=xl/ctrlProps/ctrlProp104.xml><?xml version="1.0" encoding="utf-8"?>
<formControlPr xmlns="http://schemas.microsoft.com/office/spreadsheetml/2009/9/main" objectType="CheckBox" fmlaLink="$M$29" lockText="1" noThreeD="1"/>
</file>

<file path=xl/ctrlProps/ctrlProp105.xml><?xml version="1.0" encoding="utf-8"?>
<formControlPr xmlns="http://schemas.microsoft.com/office/spreadsheetml/2009/9/main" objectType="CheckBox" fmlaLink="$M$30" lockText="1" noThreeD="1"/>
</file>

<file path=xl/ctrlProps/ctrlProp106.xml><?xml version="1.0" encoding="utf-8"?>
<formControlPr xmlns="http://schemas.microsoft.com/office/spreadsheetml/2009/9/main" objectType="CheckBox" fmlaLink="$M$32" lockText="1" noThreeD="1"/>
</file>

<file path=xl/ctrlProps/ctrlProp107.xml><?xml version="1.0" encoding="utf-8"?>
<formControlPr xmlns="http://schemas.microsoft.com/office/spreadsheetml/2009/9/main" objectType="CheckBox" fmlaLink="$M$33" lockText="1" noThreeD="1"/>
</file>

<file path=xl/ctrlProps/ctrlProp108.xml><?xml version="1.0" encoding="utf-8"?>
<formControlPr xmlns="http://schemas.microsoft.com/office/spreadsheetml/2009/9/main" objectType="CheckBox" fmlaLink="$M$34" lockText="1" noThreeD="1"/>
</file>

<file path=xl/ctrlProps/ctrlProp109.xml><?xml version="1.0" encoding="utf-8"?>
<formControlPr xmlns="http://schemas.microsoft.com/office/spreadsheetml/2009/9/main" objectType="CheckBox" fmlaLink="$L$93" lockText="1" noThreeD="1"/>
</file>

<file path=xl/ctrlProps/ctrlProp110.xml><?xml version="1.0" encoding="utf-8"?>
<formControlPr xmlns="http://schemas.microsoft.com/office/spreadsheetml/2009/9/main" objectType="CheckBox" fmlaLink="$L$94" lockText="1" noThreeD="1"/>
</file>

<file path=xl/ctrlProps/ctrlProp111.xml><?xml version="1.0" encoding="utf-8"?>
<formControlPr xmlns="http://schemas.microsoft.com/office/spreadsheetml/2009/9/main" objectType="CheckBox" fmlaLink="$L$85" lockText="1" noThreeD="1"/>
</file>

<file path=xl/ctrlProps/ctrlProp112.xml><?xml version="1.0" encoding="utf-8"?>
<formControlPr xmlns="http://schemas.microsoft.com/office/spreadsheetml/2009/9/main" objectType="CheckBox" fmlaLink="$L$86"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fmlaLink="$G$17" lockText="1" noThreeD="1"/>
</file>

<file path=xl/ctrlProps/ctrlProp115.xml><?xml version="1.0" encoding="utf-8"?>
<formControlPr xmlns="http://schemas.microsoft.com/office/spreadsheetml/2009/9/main" objectType="CheckBox" fmlaLink="$G$18" lockText="1" noThreeD="1"/>
</file>

<file path=xl/ctrlProps/ctrlProp116.xml><?xml version="1.0" encoding="utf-8"?>
<formControlPr xmlns="http://schemas.microsoft.com/office/spreadsheetml/2009/9/main" objectType="CheckBox" fmlaLink="$G$19" lockText="1" noThreeD="1"/>
</file>

<file path=xl/ctrlProps/ctrlProp117.xml><?xml version="1.0" encoding="utf-8"?>
<formControlPr xmlns="http://schemas.microsoft.com/office/spreadsheetml/2009/9/main" objectType="CheckBox" fmlaLink="$G$44" lockText="1" noThreeD="1"/>
</file>

<file path=xl/ctrlProps/ctrlProp118.xml><?xml version="1.0" encoding="utf-8"?>
<formControlPr xmlns="http://schemas.microsoft.com/office/spreadsheetml/2009/9/main" objectType="CheckBox" fmlaLink="$G$45" lockText="1" noThreeD="1"/>
</file>

<file path=xl/ctrlProps/ctrlProp119.xml><?xml version="1.0" encoding="utf-8"?>
<formControlPr xmlns="http://schemas.microsoft.com/office/spreadsheetml/2009/9/main" objectType="CheckBox" fmlaLink="$G$46" lockText="1" noThreeD="1"/>
</file>

<file path=xl/ctrlProps/ctrlProp120.xml><?xml version="1.0" encoding="utf-8"?>
<formControlPr xmlns="http://schemas.microsoft.com/office/spreadsheetml/2009/9/main" objectType="CheckBox" fmlaLink="$G$16" lockText="1" noThreeD="1"/>
</file>

<file path=xl/ctrlProps/ctrlProp121.xml><?xml version="1.0" encoding="utf-8"?>
<formControlPr xmlns="http://schemas.microsoft.com/office/spreadsheetml/2009/9/main" objectType="CheckBox" fmlaLink="$G$61" lockText="1" noThreeD="1"/>
</file>

<file path=xl/ctrlProps/ctrlProp122.xml><?xml version="1.0" encoding="utf-8"?>
<formControlPr xmlns="http://schemas.microsoft.com/office/spreadsheetml/2009/9/main" objectType="CheckBox" fmlaLink="$G$62" lockText="1" noThreeD="1"/>
</file>

<file path=xl/ctrlProps/ctrlProp123.xml><?xml version="1.0" encoding="utf-8"?>
<formControlPr xmlns="http://schemas.microsoft.com/office/spreadsheetml/2009/9/main" objectType="CheckBox" fmlaLink="$G$63" lockText="1" noThreeD="1"/>
</file>

<file path=xl/ctrlProps/ctrlProp124.xml><?xml version="1.0" encoding="utf-8"?>
<formControlPr xmlns="http://schemas.microsoft.com/office/spreadsheetml/2009/9/main" objectType="CheckBox" fmlaLink="$G$76" lockText="1" noThreeD="1"/>
</file>

<file path=xl/ctrlProps/ctrlProp125.xml><?xml version="1.0" encoding="utf-8"?>
<formControlPr xmlns="http://schemas.microsoft.com/office/spreadsheetml/2009/9/main" objectType="CheckBox" fmlaLink="$G$77" lockText="1" noThreeD="1"/>
</file>

<file path=xl/ctrlProps/ctrlProp126.xml><?xml version="1.0" encoding="utf-8"?>
<formControlPr xmlns="http://schemas.microsoft.com/office/spreadsheetml/2009/9/main" objectType="CheckBox" fmlaLink="$G$78" lockText="1" noThreeD="1"/>
</file>

<file path=xl/ctrlProps/ctrlProp127.xml><?xml version="1.0" encoding="utf-8"?>
<formControlPr xmlns="http://schemas.microsoft.com/office/spreadsheetml/2009/9/main" objectType="CheckBox" fmlaLink="$M$27" lockText="1" noThreeD="1"/>
</file>

<file path=xl/ctrlProps/ctrlProp128.xml><?xml version="1.0" encoding="utf-8"?>
<formControlPr xmlns="http://schemas.microsoft.com/office/spreadsheetml/2009/9/main" objectType="CheckBox" fmlaLink="$M$28" lockText="1" noThreeD="1"/>
</file>

<file path=xl/ctrlProps/ctrlProp129.xml><?xml version="1.0" encoding="utf-8"?>
<formControlPr xmlns="http://schemas.microsoft.com/office/spreadsheetml/2009/9/main" objectType="CheckBox" fmlaLink="$M$29" lockText="1" noThreeD="1"/>
</file>

<file path=xl/ctrlProps/ctrlProp130.xml><?xml version="1.0" encoding="utf-8"?>
<formControlPr xmlns="http://schemas.microsoft.com/office/spreadsheetml/2009/9/main" objectType="CheckBox" fmlaLink="$M$30" lockText="1" noThreeD="1"/>
</file>

<file path=xl/ctrlProps/ctrlProp131.xml><?xml version="1.0" encoding="utf-8"?>
<formControlPr xmlns="http://schemas.microsoft.com/office/spreadsheetml/2009/9/main" objectType="CheckBox" fmlaLink="$M$32" lockText="1" noThreeD="1"/>
</file>

<file path=xl/ctrlProps/ctrlProp132.xml><?xml version="1.0" encoding="utf-8"?>
<formControlPr xmlns="http://schemas.microsoft.com/office/spreadsheetml/2009/9/main" objectType="CheckBox" fmlaLink="$M$33" lockText="1" noThreeD="1"/>
</file>

<file path=xl/ctrlProps/ctrlProp133.xml><?xml version="1.0" encoding="utf-8"?>
<formControlPr xmlns="http://schemas.microsoft.com/office/spreadsheetml/2009/9/main" objectType="CheckBox" fmlaLink="$M$34" lockText="1" noThreeD="1"/>
</file>

<file path=xl/ctrlProps/ctrlProp134.xml><?xml version="1.0" encoding="utf-8"?>
<formControlPr xmlns="http://schemas.microsoft.com/office/spreadsheetml/2009/9/main" objectType="CheckBox" fmlaLink="$L$93" lockText="1" noThreeD="1"/>
</file>

<file path=xl/ctrlProps/ctrlProp135.xml><?xml version="1.0" encoding="utf-8"?>
<formControlPr xmlns="http://schemas.microsoft.com/office/spreadsheetml/2009/9/main" objectType="CheckBox" fmlaLink="$L$94" lockText="1" noThreeD="1"/>
</file>

<file path=xl/ctrlProps/ctrlProp136.xml><?xml version="1.0" encoding="utf-8"?>
<formControlPr xmlns="http://schemas.microsoft.com/office/spreadsheetml/2009/9/main" objectType="CheckBox" fmlaLink="$L$85" lockText="1" noThreeD="1"/>
</file>

<file path=xl/ctrlProps/ctrlProp137.xml><?xml version="1.0" encoding="utf-8"?>
<formControlPr xmlns="http://schemas.microsoft.com/office/spreadsheetml/2009/9/main" objectType="CheckBox" fmlaLink="$L$86" lockText="1" noThreeD="1"/>
</file>

<file path=xl/ctrlProps/ctrlProp13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28574</xdr:colOff>
      <xdr:row>0</xdr:row>
      <xdr:rowOff>19050</xdr:rowOff>
    </xdr:from>
    <xdr:to>
      <xdr:col>18</xdr:col>
      <xdr:colOff>104774</xdr:colOff>
      <xdr:row>4</xdr:row>
      <xdr:rowOff>9525</xdr:rowOff>
    </xdr:to>
    <xdr:pic>
      <xdr:nvPicPr>
        <xdr:cNvPr id="1042" name="Picture 5">
          <a:extLst>
            <a:ext uri="{FF2B5EF4-FFF2-40B4-BE49-F238E27FC236}">
              <a16:creationId xmlns:a16="http://schemas.microsoft.com/office/drawing/2014/main" id="{00000000-0008-0000-0000-000012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8574" y="19050"/>
          <a:ext cx="3629025" cy="6762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38099</xdr:colOff>
      <xdr:row>0</xdr:row>
      <xdr:rowOff>43967</xdr:rowOff>
    </xdr:from>
    <xdr:to>
      <xdr:col>4</xdr:col>
      <xdr:colOff>9525</xdr:colOff>
      <xdr:row>2</xdr:row>
      <xdr:rowOff>228600</xdr:rowOff>
    </xdr:to>
    <xdr:pic>
      <xdr:nvPicPr>
        <xdr:cNvPr id="3090" name="Picture 5">
          <a:extLst>
            <a:ext uri="{FF2B5EF4-FFF2-40B4-BE49-F238E27FC236}">
              <a16:creationId xmlns:a16="http://schemas.microsoft.com/office/drawing/2014/main" id="{00000000-0008-0000-0100-000012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38099" y="43967"/>
          <a:ext cx="3019426" cy="698983"/>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28576</xdr:colOff>
      <xdr:row>0</xdr:row>
      <xdr:rowOff>38101</xdr:rowOff>
    </xdr:from>
    <xdr:to>
      <xdr:col>3</xdr:col>
      <xdr:colOff>247651</xdr:colOff>
      <xdr:row>3</xdr:row>
      <xdr:rowOff>152890</xdr:rowOff>
    </xdr:to>
    <xdr:pic>
      <xdr:nvPicPr>
        <xdr:cNvPr id="2" name="Picture 5">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80976" y="38101"/>
          <a:ext cx="3733800" cy="867264"/>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28575</xdr:colOff>
      <xdr:row>0</xdr:row>
      <xdr:rowOff>28575</xdr:rowOff>
    </xdr:from>
    <xdr:to>
      <xdr:col>2</xdr:col>
      <xdr:colOff>409576</xdr:colOff>
      <xdr:row>3</xdr:row>
      <xdr:rowOff>133350</xdr:rowOff>
    </xdr:to>
    <xdr:pic>
      <xdr:nvPicPr>
        <xdr:cNvPr id="2" name="Picture 5">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8575" y="28575"/>
          <a:ext cx="3086101" cy="78105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43141</xdr:colOff>
      <xdr:row>0</xdr:row>
      <xdr:rowOff>74520</xdr:rowOff>
    </xdr:from>
    <xdr:to>
      <xdr:col>5</xdr:col>
      <xdr:colOff>149038</xdr:colOff>
      <xdr:row>3</xdr:row>
      <xdr:rowOff>112619</xdr:rowOff>
    </xdr:to>
    <xdr:pic>
      <xdr:nvPicPr>
        <xdr:cNvPr id="4114" name="Picture 5">
          <a:extLst>
            <a:ext uri="{FF2B5EF4-FFF2-40B4-BE49-F238E27FC236}">
              <a16:creationId xmlns:a16="http://schemas.microsoft.com/office/drawing/2014/main" id="{00000000-0008-0000-0400-000012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43141" y="74520"/>
          <a:ext cx="3041838" cy="710452"/>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133350</xdr:colOff>
      <xdr:row>0</xdr:row>
      <xdr:rowOff>133350</xdr:rowOff>
    </xdr:from>
    <xdr:to>
      <xdr:col>9</xdr:col>
      <xdr:colOff>38100</xdr:colOff>
      <xdr:row>0</xdr:row>
      <xdr:rowOff>638176</xdr:rowOff>
    </xdr:to>
    <xdr:pic>
      <xdr:nvPicPr>
        <xdr:cNvPr id="2" name="Picture 5">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33350" y="133350"/>
          <a:ext cx="3390900" cy="504826"/>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10</xdr:col>
          <xdr:colOff>285750</xdr:colOff>
          <xdr:row>9</xdr:row>
          <xdr:rowOff>171450</xdr:rowOff>
        </xdr:from>
        <xdr:to>
          <xdr:col>11</xdr:col>
          <xdr:colOff>19050</xdr:colOff>
          <xdr:row>11</xdr:row>
          <xdr:rowOff>9525</xdr:rowOff>
        </xdr:to>
        <xdr:sp macro="" textlink="">
          <xdr:nvSpPr>
            <xdr:cNvPr id="25605" name="Check Box 5" hidden="1">
              <a:extLst>
                <a:ext uri="{63B3BB69-23CF-44E3-9099-C40C66FF867C}">
                  <a14:compatExt spid="_x0000_s25605"/>
                </a:ext>
                <a:ext uri="{FF2B5EF4-FFF2-40B4-BE49-F238E27FC236}">
                  <a16:creationId xmlns:a16="http://schemas.microsoft.com/office/drawing/2014/main" id="{00000000-0008-0000-0500-000005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10</xdr:row>
          <xdr:rowOff>171450</xdr:rowOff>
        </xdr:from>
        <xdr:to>
          <xdr:col>10</xdr:col>
          <xdr:colOff>504825</xdr:colOff>
          <xdr:row>12</xdr:row>
          <xdr:rowOff>0</xdr:rowOff>
        </xdr:to>
        <xdr:sp macro="" textlink="">
          <xdr:nvSpPr>
            <xdr:cNvPr id="25606" name="Check Box 6" hidden="1">
              <a:extLst>
                <a:ext uri="{63B3BB69-23CF-44E3-9099-C40C66FF867C}">
                  <a14:compatExt spid="_x0000_s25606"/>
                </a:ext>
                <a:ext uri="{FF2B5EF4-FFF2-40B4-BE49-F238E27FC236}">
                  <a16:creationId xmlns:a16="http://schemas.microsoft.com/office/drawing/2014/main" id="{00000000-0008-0000-0500-000006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11</xdr:row>
          <xdr:rowOff>171450</xdr:rowOff>
        </xdr:from>
        <xdr:to>
          <xdr:col>10</xdr:col>
          <xdr:colOff>504825</xdr:colOff>
          <xdr:row>13</xdr:row>
          <xdr:rowOff>0</xdr:rowOff>
        </xdr:to>
        <xdr:sp macro="" textlink="">
          <xdr:nvSpPr>
            <xdr:cNvPr id="25607" name="Check Box 7" hidden="1">
              <a:extLst>
                <a:ext uri="{63B3BB69-23CF-44E3-9099-C40C66FF867C}">
                  <a14:compatExt spid="_x0000_s25607"/>
                </a:ext>
                <a:ext uri="{FF2B5EF4-FFF2-40B4-BE49-F238E27FC236}">
                  <a16:creationId xmlns:a16="http://schemas.microsoft.com/office/drawing/2014/main" id="{00000000-0008-0000-0500-000007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14</xdr:row>
          <xdr:rowOff>76200</xdr:rowOff>
        </xdr:from>
        <xdr:to>
          <xdr:col>10</xdr:col>
          <xdr:colOff>504825</xdr:colOff>
          <xdr:row>14</xdr:row>
          <xdr:rowOff>285750</xdr:rowOff>
        </xdr:to>
        <xdr:sp macro="" textlink="">
          <xdr:nvSpPr>
            <xdr:cNvPr id="25608" name="Check Box 8" hidden="1">
              <a:extLst>
                <a:ext uri="{63B3BB69-23CF-44E3-9099-C40C66FF867C}">
                  <a14:compatExt spid="_x0000_s25608"/>
                </a:ext>
                <a:ext uri="{FF2B5EF4-FFF2-40B4-BE49-F238E27FC236}">
                  <a16:creationId xmlns:a16="http://schemas.microsoft.com/office/drawing/2014/main" id="{00000000-0008-0000-0500-000008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15</xdr:row>
          <xdr:rowOff>171450</xdr:rowOff>
        </xdr:from>
        <xdr:to>
          <xdr:col>10</xdr:col>
          <xdr:colOff>504825</xdr:colOff>
          <xdr:row>17</xdr:row>
          <xdr:rowOff>0</xdr:rowOff>
        </xdr:to>
        <xdr:sp macro="" textlink="">
          <xdr:nvSpPr>
            <xdr:cNvPr id="25654" name="Check Box 54" hidden="1">
              <a:extLst>
                <a:ext uri="{63B3BB69-23CF-44E3-9099-C40C66FF867C}">
                  <a14:compatExt spid="_x0000_s25654"/>
                </a:ext>
                <a:ext uri="{FF2B5EF4-FFF2-40B4-BE49-F238E27FC236}">
                  <a16:creationId xmlns:a16="http://schemas.microsoft.com/office/drawing/2014/main" id="{00000000-0008-0000-0500-000036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15</xdr:row>
          <xdr:rowOff>171450</xdr:rowOff>
        </xdr:from>
        <xdr:to>
          <xdr:col>10</xdr:col>
          <xdr:colOff>504825</xdr:colOff>
          <xdr:row>17</xdr:row>
          <xdr:rowOff>0</xdr:rowOff>
        </xdr:to>
        <xdr:sp macro="" textlink="">
          <xdr:nvSpPr>
            <xdr:cNvPr id="25655" name="Check Box 55" hidden="1">
              <a:extLst>
                <a:ext uri="{63B3BB69-23CF-44E3-9099-C40C66FF867C}">
                  <a14:compatExt spid="_x0000_s25655"/>
                </a:ext>
                <a:ext uri="{FF2B5EF4-FFF2-40B4-BE49-F238E27FC236}">
                  <a16:creationId xmlns:a16="http://schemas.microsoft.com/office/drawing/2014/main" id="{00000000-0008-0000-0500-000037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16</xdr:row>
          <xdr:rowOff>171450</xdr:rowOff>
        </xdr:from>
        <xdr:to>
          <xdr:col>10</xdr:col>
          <xdr:colOff>504825</xdr:colOff>
          <xdr:row>18</xdr:row>
          <xdr:rowOff>9525</xdr:rowOff>
        </xdr:to>
        <xdr:sp macro="" textlink="">
          <xdr:nvSpPr>
            <xdr:cNvPr id="25656" name="Check Box 56" hidden="1">
              <a:extLst>
                <a:ext uri="{63B3BB69-23CF-44E3-9099-C40C66FF867C}">
                  <a14:compatExt spid="_x0000_s25656"/>
                </a:ext>
                <a:ext uri="{FF2B5EF4-FFF2-40B4-BE49-F238E27FC236}">
                  <a16:creationId xmlns:a16="http://schemas.microsoft.com/office/drawing/2014/main" id="{00000000-0008-0000-0500-000038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16</xdr:row>
          <xdr:rowOff>171450</xdr:rowOff>
        </xdr:from>
        <xdr:to>
          <xdr:col>10</xdr:col>
          <xdr:colOff>504825</xdr:colOff>
          <xdr:row>18</xdr:row>
          <xdr:rowOff>9525</xdr:rowOff>
        </xdr:to>
        <xdr:sp macro="" textlink="">
          <xdr:nvSpPr>
            <xdr:cNvPr id="25657" name="Check Box 57" hidden="1">
              <a:extLst>
                <a:ext uri="{63B3BB69-23CF-44E3-9099-C40C66FF867C}">
                  <a14:compatExt spid="_x0000_s25657"/>
                </a:ext>
                <a:ext uri="{FF2B5EF4-FFF2-40B4-BE49-F238E27FC236}">
                  <a16:creationId xmlns:a16="http://schemas.microsoft.com/office/drawing/2014/main" id="{00000000-0008-0000-0500-000039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17</xdr:row>
          <xdr:rowOff>171450</xdr:rowOff>
        </xdr:from>
        <xdr:to>
          <xdr:col>10</xdr:col>
          <xdr:colOff>504825</xdr:colOff>
          <xdr:row>19</xdr:row>
          <xdr:rowOff>9525</xdr:rowOff>
        </xdr:to>
        <xdr:sp macro="" textlink="">
          <xdr:nvSpPr>
            <xdr:cNvPr id="25658" name="Check Box 58" hidden="1">
              <a:extLst>
                <a:ext uri="{63B3BB69-23CF-44E3-9099-C40C66FF867C}">
                  <a14:compatExt spid="_x0000_s25658"/>
                </a:ext>
                <a:ext uri="{FF2B5EF4-FFF2-40B4-BE49-F238E27FC236}">
                  <a16:creationId xmlns:a16="http://schemas.microsoft.com/office/drawing/2014/main" id="{00000000-0008-0000-0500-00003A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19</xdr:row>
          <xdr:rowOff>28575</xdr:rowOff>
        </xdr:from>
        <xdr:to>
          <xdr:col>10</xdr:col>
          <xdr:colOff>504825</xdr:colOff>
          <xdr:row>19</xdr:row>
          <xdr:rowOff>428625</xdr:rowOff>
        </xdr:to>
        <xdr:sp macro="" textlink="">
          <xdr:nvSpPr>
            <xdr:cNvPr id="25662" name="Check Box 62" hidden="1">
              <a:extLst>
                <a:ext uri="{63B3BB69-23CF-44E3-9099-C40C66FF867C}">
                  <a14:compatExt spid="_x0000_s25662"/>
                </a:ext>
                <a:ext uri="{FF2B5EF4-FFF2-40B4-BE49-F238E27FC236}">
                  <a16:creationId xmlns:a16="http://schemas.microsoft.com/office/drawing/2014/main" id="{00000000-0008-0000-0500-00003E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22</xdr:row>
          <xdr:rowOff>419100</xdr:rowOff>
        </xdr:from>
        <xdr:to>
          <xdr:col>10</xdr:col>
          <xdr:colOff>504825</xdr:colOff>
          <xdr:row>24</xdr:row>
          <xdr:rowOff>19050</xdr:rowOff>
        </xdr:to>
        <xdr:sp macro="" textlink="">
          <xdr:nvSpPr>
            <xdr:cNvPr id="25668" name="Check Box 68" hidden="1">
              <a:extLst>
                <a:ext uri="{63B3BB69-23CF-44E3-9099-C40C66FF867C}">
                  <a14:compatExt spid="_x0000_s25668"/>
                </a:ext>
                <a:ext uri="{FF2B5EF4-FFF2-40B4-BE49-F238E27FC236}">
                  <a16:creationId xmlns:a16="http://schemas.microsoft.com/office/drawing/2014/main" id="{00000000-0008-0000-0500-000044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23</xdr:row>
          <xdr:rowOff>171450</xdr:rowOff>
        </xdr:from>
        <xdr:to>
          <xdr:col>10</xdr:col>
          <xdr:colOff>504825</xdr:colOff>
          <xdr:row>25</xdr:row>
          <xdr:rowOff>0</xdr:rowOff>
        </xdr:to>
        <xdr:sp macro="" textlink="">
          <xdr:nvSpPr>
            <xdr:cNvPr id="25670" name="Check Box 70" hidden="1">
              <a:extLst>
                <a:ext uri="{63B3BB69-23CF-44E3-9099-C40C66FF867C}">
                  <a14:compatExt spid="_x0000_s25670"/>
                </a:ext>
                <a:ext uri="{FF2B5EF4-FFF2-40B4-BE49-F238E27FC236}">
                  <a16:creationId xmlns:a16="http://schemas.microsoft.com/office/drawing/2014/main" id="{00000000-0008-0000-0500-000046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23</xdr:row>
          <xdr:rowOff>171450</xdr:rowOff>
        </xdr:from>
        <xdr:to>
          <xdr:col>10</xdr:col>
          <xdr:colOff>504825</xdr:colOff>
          <xdr:row>25</xdr:row>
          <xdr:rowOff>0</xdr:rowOff>
        </xdr:to>
        <xdr:sp macro="" textlink="">
          <xdr:nvSpPr>
            <xdr:cNvPr id="25671" name="Check Box 71" hidden="1">
              <a:extLst>
                <a:ext uri="{63B3BB69-23CF-44E3-9099-C40C66FF867C}">
                  <a14:compatExt spid="_x0000_s25671"/>
                </a:ext>
                <a:ext uri="{FF2B5EF4-FFF2-40B4-BE49-F238E27FC236}">
                  <a16:creationId xmlns:a16="http://schemas.microsoft.com/office/drawing/2014/main" id="{00000000-0008-0000-0500-000047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25</xdr:row>
          <xdr:rowOff>285750</xdr:rowOff>
        </xdr:from>
        <xdr:to>
          <xdr:col>10</xdr:col>
          <xdr:colOff>504825</xdr:colOff>
          <xdr:row>26</xdr:row>
          <xdr:rowOff>171450</xdr:rowOff>
        </xdr:to>
        <xdr:sp macro="" textlink="">
          <xdr:nvSpPr>
            <xdr:cNvPr id="25673" name="Check Box 73" hidden="1">
              <a:extLst>
                <a:ext uri="{63B3BB69-23CF-44E3-9099-C40C66FF867C}">
                  <a14:compatExt spid="_x0000_s25673"/>
                </a:ext>
                <a:ext uri="{FF2B5EF4-FFF2-40B4-BE49-F238E27FC236}">
                  <a16:creationId xmlns:a16="http://schemas.microsoft.com/office/drawing/2014/main" id="{00000000-0008-0000-0500-000049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26</xdr:row>
          <xdr:rowOff>171450</xdr:rowOff>
        </xdr:from>
        <xdr:to>
          <xdr:col>10</xdr:col>
          <xdr:colOff>504825</xdr:colOff>
          <xdr:row>28</xdr:row>
          <xdr:rowOff>9525</xdr:rowOff>
        </xdr:to>
        <xdr:sp macro="" textlink="">
          <xdr:nvSpPr>
            <xdr:cNvPr id="25674" name="Check Box 74" hidden="1">
              <a:extLst>
                <a:ext uri="{63B3BB69-23CF-44E3-9099-C40C66FF867C}">
                  <a14:compatExt spid="_x0000_s25674"/>
                </a:ext>
                <a:ext uri="{FF2B5EF4-FFF2-40B4-BE49-F238E27FC236}">
                  <a16:creationId xmlns:a16="http://schemas.microsoft.com/office/drawing/2014/main" id="{00000000-0008-0000-0500-00004A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26</xdr:row>
          <xdr:rowOff>171450</xdr:rowOff>
        </xdr:from>
        <xdr:to>
          <xdr:col>10</xdr:col>
          <xdr:colOff>504825</xdr:colOff>
          <xdr:row>28</xdr:row>
          <xdr:rowOff>9525</xdr:rowOff>
        </xdr:to>
        <xdr:sp macro="" textlink="">
          <xdr:nvSpPr>
            <xdr:cNvPr id="25675" name="Check Box 75" hidden="1">
              <a:extLst>
                <a:ext uri="{63B3BB69-23CF-44E3-9099-C40C66FF867C}">
                  <a14:compatExt spid="_x0000_s25675"/>
                </a:ext>
                <a:ext uri="{FF2B5EF4-FFF2-40B4-BE49-F238E27FC236}">
                  <a16:creationId xmlns:a16="http://schemas.microsoft.com/office/drawing/2014/main" id="{00000000-0008-0000-0500-00004B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27</xdr:row>
          <xdr:rowOff>171450</xdr:rowOff>
        </xdr:from>
        <xdr:to>
          <xdr:col>10</xdr:col>
          <xdr:colOff>504825</xdr:colOff>
          <xdr:row>29</xdr:row>
          <xdr:rowOff>9525</xdr:rowOff>
        </xdr:to>
        <xdr:sp macro="" textlink="">
          <xdr:nvSpPr>
            <xdr:cNvPr id="25676" name="Check Box 76" hidden="1">
              <a:extLst>
                <a:ext uri="{63B3BB69-23CF-44E3-9099-C40C66FF867C}">
                  <a14:compatExt spid="_x0000_s25676"/>
                </a:ext>
                <a:ext uri="{FF2B5EF4-FFF2-40B4-BE49-F238E27FC236}">
                  <a16:creationId xmlns:a16="http://schemas.microsoft.com/office/drawing/2014/main" id="{00000000-0008-0000-0500-00004C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27</xdr:row>
          <xdr:rowOff>171450</xdr:rowOff>
        </xdr:from>
        <xdr:to>
          <xdr:col>10</xdr:col>
          <xdr:colOff>504825</xdr:colOff>
          <xdr:row>29</xdr:row>
          <xdr:rowOff>9525</xdr:rowOff>
        </xdr:to>
        <xdr:sp macro="" textlink="">
          <xdr:nvSpPr>
            <xdr:cNvPr id="25677" name="Check Box 77" hidden="1">
              <a:extLst>
                <a:ext uri="{63B3BB69-23CF-44E3-9099-C40C66FF867C}">
                  <a14:compatExt spid="_x0000_s25677"/>
                </a:ext>
                <a:ext uri="{FF2B5EF4-FFF2-40B4-BE49-F238E27FC236}">
                  <a16:creationId xmlns:a16="http://schemas.microsoft.com/office/drawing/2014/main" id="{00000000-0008-0000-0500-00004D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28</xdr:row>
          <xdr:rowOff>171450</xdr:rowOff>
        </xdr:from>
        <xdr:to>
          <xdr:col>10</xdr:col>
          <xdr:colOff>504825</xdr:colOff>
          <xdr:row>30</xdr:row>
          <xdr:rowOff>0</xdr:rowOff>
        </xdr:to>
        <xdr:sp macro="" textlink="">
          <xdr:nvSpPr>
            <xdr:cNvPr id="25678" name="Check Box 78" hidden="1">
              <a:extLst>
                <a:ext uri="{63B3BB69-23CF-44E3-9099-C40C66FF867C}">
                  <a14:compatExt spid="_x0000_s25678"/>
                </a:ext>
                <a:ext uri="{FF2B5EF4-FFF2-40B4-BE49-F238E27FC236}">
                  <a16:creationId xmlns:a16="http://schemas.microsoft.com/office/drawing/2014/main" id="{00000000-0008-0000-0500-00004E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28</xdr:row>
          <xdr:rowOff>171450</xdr:rowOff>
        </xdr:from>
        <xdr:to>
          <xdr:col>10</xdr:col>
          <xdr:colOff>504825</xdr:colOff>
          <xdr:row>30</xdr:row>
          <xdr:rowOff>0</xdr:rowOff>
        </xdr:to>
        <xdr:sp macro="" textlink="">
          <xdr:nvSpPr>
            <xdr:cNvPr id="25679" name="Check Box 79" hidden="1">
              <a:extLst>
                <a:ext uri="{63B3BB69-23CF-44E3-9099-C40C66FF867C}">
                  <a14:compatExt spid="_x0000_s25679"/>
                </a:ext>
                <a:ext uri="{FF2B5EF4-FFF2-40B4-BE49-F238E27FC236}">
                  <a16:creationId xmlns:a16="http://schemas.microsoft.com/office/drawing/2014/main" id="{00000000-0008-0000-0500-00004F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29</xdr:row>
          <xdr:rowOff>171450</xdr:rowOff>
        </xdr:from>
        <xdr:to>
          <xdr:col>10</xdr:col>
          <xdr:colOff>504825</xdr:colOff>
          <xdr:row>31</xdr:row>
          <xdr:rowOff>0</xdr:rowOff>
        </xdr:to>
        <xdr:sp macro="" textlink="">
          <xdr:nvSpPr>
            <xdr:cNvPr id="25680" name="Check Box 80" hidden="1">
              <a:extLst>
                <a:ext uri="{63B3BB69-23CF-44E3-9099-C40C66FF867C}">
                  <a14:compatExt spid="_x0000_s25680"/>
                </a:ext>
                <a:ext uri="{FF2B5EF4-FFF2-40B4-BE49-F238E27FC236}">
                  <a16:creationId xmlns:a16="http://schemas.microsoft.com/office/drawing/2014/main" id="{00000000-0008-0000-0500-000050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29</xdr:row>
          <xdr:rowOff>171450</xdr:rowOff>
        </xdr:from>
        <xdr:to>
          <xdr:col>10</xdr:col>
          <xdr:colOff>504825</xdr:colOff>
          <xdr:row>31</xdr:row>
          <xdr:rowOff>0</xdr:rowOff>
        </xdr:to>
        <xdr:sp macro="" textlink="">
          <xdr:nvSpPr>
            <xdr:cNvPr id="25681" name="Check Box 81" hidden="1">
              <a:extLst>
                <a:ext uri="{63B3BB69-23CF-44E3-9099-C40C66FF867C}">
                  <a14:compatExt spid="_x0000_s25681"/>
                </a:ext>
                <a:ext uri="{FF2B5EF4-FFF2-40B4-BE49-F238E27FC236}">
                  <a16:creationId xmlns:a16="http://schemas.microsoft.com/office/drawing/2014/main" id="{00000000-0008-0000-0500-000051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30</xdr:row>
          <xdr:rowOff>171450</xdr:rowOff>
        </xdr:from>
        <xdr:to>
          <xdr:col>10</xdr:col>
          <xdr:colOff>504825</xdr:colOff>
          <xdr:row>32</xdr:row>
          <xdr:rowOff>0</xdr:rowOff>
        </xdr:to>
        <xdr:sp macro="" textlink="">
          <xdr:nvSpPr>
            <xdr:cNvPr id="25682" name="Check Box 82" hidden="1">
              <a:extLst>
                <a:ext uri="{63B3BB69-23CF-44E3-9099-C40C66FF867C}">
                  <a14:compatExt spid="_x0000_s25682"/>
                </a:ext>
                <a:ext uri="{FF2B5EF4-FFF2-40B4-BE49-F238E27FC236}">
                  <a16:creationId xmlns:a16="http://schemas.microsoft.com/office/drawing/2014/main" id="{00000000-0008-0000-0500-000052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30</xdr:row>
          <xdr:rowOff>171450</xdr:rowOff>
        </xdr:from>
        <xdr:to>
          <xdr:col>10</xdr:col>
          <xdr:colOff>504825</xdr:colOff>
          <xdr:row>32</xdr:row>
          <xdr:rowOff>0</xdr:rowOff>
        </xdr:to>
        <xdr:sp macro="" textlink="">
          <xdr:nvSpPr>
            <xdr:cNvPr id="25683" name="Check Box 83" hidden="1">
              <a:extLst>
                <a:ext uri="{63B3BB69-23CF-44E3-9099-C40C66FF867C}">
                  <a14:compatExt spid="_x0000_s25683"/>
                </a:ext>
                <a:ext uri="{FF2B5EF4-FFF2-40B4-BE49-F238E27FC236}">
                  <a16:creationId xmlns:a16="http://schemas.microsoft.com/office/drawing/2014/main" id="{00000000-0008-0000-0500-000053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31</xdr:row>
          <xdr:rowOff>171450</xdr:rowOff>
        </xdr:from>
        <xdr:to>
          <xdr:col>10</xdr:col>
          <xdr:colOff>504825</xdr:colOff>
          <xdr:row>33</xdr:row>
          <xdr:rowOff>0</xdr:rowOff>
        </xdr:to>
        <xdr:sp macro="" textlink="">
          <xdr:nvSpPr>
            <xdr:cNvPr id="25684" name="Check Box 84" hidden="1">
              <a:extLst>
                <a:ext uri="{63B3BB69-23CF-44E3-9099-C40C66FF867C}">
                  <a14:compatExt spid="_x0000_s25684"/>
                </a:ext>
                <a:ext uri="{FF2B5EF4-FFF2-40B4-BE49-F238E27FC236}">
                  <a16:creationId xmlns:a16="http://schemas.microsoft.com/office/drawing/2014/main" id="{00000000-0008-0000-0500-000054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31</xdr:row>
          <xdr:rowOff>171450</xdr:rowOff>
        </xdr:from>
        <xdr:to>
          <xdr:col>10</xdr:col>
          <xdr:colOff>504825</xdr:colOff>
          <xdr:row>33</xdr:row>
          <xdr:rowOff>0</xdr:rowOff>
        </xdr:to>
        <xdr:sp macro="" textlink="">
          <xdr:nvSpPr>
            <xdr:cNvPr id="25685" name="Check Box 85" hidden="1">
              <a:extLst>
                <a:ext uri="{63B3BB69-23CF-44E3-9099-C40C66FF867C}">
                  <a14:compatExt spid="_x0000_s25685"/>
                </a:ext>
                <a:ext uri="{FF2B5EF4-FFF2-40B4-BE49-F238E27FC236}">
                  <a16:creationId xmlns:a16="http://schemas.microsoft.com/office/drawing/2014/main" id="{00000000-0008-0000-0500-000055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32</xdr:row>
          <xdr:rowOff>171450</xdr:rowOff>
        </xdr:from>
        <xdr:to>
          <xdr:col>10</xdr:col>
          <xdr:colOff>504825</xdr:colOff>
          <xdr:row>34</xdr:row>
          <xdr:rowOff>0</xdr:rowOff>
        </xdr:to>
        <xdr:sp macro="" textlink="">
          <xdr:nvSpPr>
            <xdr:cNvPr id="25686" name="Check Box 86" hidden="1">
              <a:extLst>
                <a:ext uri="{63B3BB69-23CF-44E3-9099-C40C66FF867C}">
                  <a14:compatExt spid="_x0000_s25686"/>
                </a:ext>
                <a:ext uri="{FF2B5EF4-FFF2-40B4-BE49-F238E27FC236}">
                  <a16:creationId xmlns:a16="http://schemas.microsoft.com/office/drawing/2014/main" id="{00000000-0008-0000-0500-000056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32</xdr:row>
          <xdr:rowOff>171450</xdr:rowOff>
        </xdr:from>
        <xdr:to>
          <xdr:col>10</xdr:col>
          <xdr:colOff>504825</xdr:colOff>
          <xdr:row>34</xdr:row>
          <xdr:rowOff>0</xdr:rowOff>
        </xdr:to>
        <xdr:sp macro="" textlink="">
          <xdr:nvSpPr>
            <xdr:cNvPr id="25687" name="Check Box 87" hidden="1">
              <a:extLst>
                <a:ext uri="{63B3BB69-23CF-44E3-9099-C40C66FF867C}">
                  <a14:compatExt spid="_x0000_s25687"/>
                </a:ext>
                <a:ext uri="{FF2B5EF4-FFF2-40B4-BE49-F238E27FC236}">
                  <a16:creationId xmlns:a16="http://schemas.microsoft.com/office/drawing/2014/main" id="{00000000-0008-0000-0500-000057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33</xdr:row>
          <xdr:rowOff>171450</xdr:rowOff>
        </xdr:from>
        <xdr:to>
          <xdr:col>10</xdr:col>
          <xdr:colOff>504825</xdr:colOff>
          <xdr:row>35</xdr:row>
          <xdr:rowOff>0</xdr:rowOff>
        </xdr:to>
        <xdr:sp macro="" textlink="">
          <xdr:nvSpPr>
            <xdr:cNvPr id="25688" name="Check Box 88" hidden="1">
              <a:extLst>
                <a:ext uri="{63B3BB69-23CF-44E3-9099-C40C66FF867C}">
                  <a14:compatExt spid="_x0000_s25688"/>
                </a:ext>
                <a:ext uri="{FF2B5EF4-FFF2-40B4-BE49-F238E27FC236}">
                  <a16:creationId xmlns:a16="http://schemas.microsoft.com/office/drawing/2014/main" id="{00000000-0008-0000-0500-000058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33</xdr:row>
          <xdr:rowOff>171450</xdr:rowOff>
        </xdr:from>
        <xdr:to>
          <xdr:col>10</xdr:col>
          <xdr:colOff>504825</xdr:colOff>
          <xdr:row>35</xdr:row>
          <xdr:rowOff>0</xdr:rowOff>
        </xdr:to>
        <xdr:sp macro="" textlink="">
          <xdr:nvSpPr>
            <xdr:cNvPr id="25689" name="Check Box 89" hidden="1">
              <a:extLst>
                <a:ext uri="{63B3BB69-23CF-44E3-9099-C40C66FF867C}">
                  <a14:compatExt spid="_x0000_s25689"/>
                </a:ext>
                <a:ext uri="{FF2B5EF4-FFF2-40B4-BE49-F238E27FC236}">
                  <a16:creationId xmlns:a16="http://schemas.microsoft.com/office/drawing/2014/main" id="{00000000-0008-0000-0500-000059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276225</xdr:colOff>
          <xdr:row>35</xdr:row>
          <xdr:rowOff>47625</xdr:rowOff>
        </xdr:from>
        <xdr:to>
          <xdr:col>10</xdr:col>
          <xdr:colOff>552450</xdr:colOff>
          <xdr:row>35</xdr:row>
          <xdr:rowOff>342900</xdr:rowOff>
        </xdr:to>
        <xdr:sp macro="" textlink="">
          <xdr:nvSpPr>
            <xdr:cNvPr id="25691" name="Check Box 91" hidden="1">
              <a:extLst>
                <a:ext uri="{63B3BB69-23CF-44E3-9099-C40C66FF867C}">
                  <a14:compatExt spid="_x0000_s25691"/>
                </a:ext>
                <a:ext uri="{FF2B5EF4-FFF2-40B4-BE49-F238E27FC236}">
                  <a16:creationId xmlns:a16="http://schemas.microsoft.com/office/drawing/2014/main" id="{00000000-0008-0000-0500-00005B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276225</xdr:colOff>
          <xdr:row>20</xdr:row>
          <xdr:rowOff>85725</xdr:rowOff>
        </xdr:from>
        <xdr:to>
          <xdr:col>11</xdr:col>
          <xdr:colOff>9525</xdr:colOff>
          <xdr:row>20</xdr:row>
          <xdr:rowOff>304800</xdr:rowOff>
        </xdr:to>
        <xdr:sp macro="" textlink="">
          <xdr:nvSpPr>
            <xdr:cNvPr id="25753" name="Check Box 153" hidden="1">
              <a:extLst>
                <a:ext uri="{63B3BB69-23CF-44E3-9099-C40C66FF867C}">
                  <a14:compatExt spid="_x0000_s25753"/>
                </a:ext>
                <a:ext uri="{FF2B5EF4-FFF2-40B4-BE49-F238E27FC236}">
                  <a16:creationId xmlns:a16="http://schemas.microsoft.com/office/drawing/2014/main" id="{00000000-0008-0000-0500-000099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12</xdr:row>
          <xdr:rowOff>171450</xdr:rowOff>
        </xdr:from>
        <xdr:to>
          <xdr:col>10</xdr:col>
          <xdr:colOff>504825</xdr:colOff>
          <xdr:row>14</xdr:row>
          <xdr:rowOff>0</xdr:rowOff>
        </xdr:to>
        <xdr:sp macro="" textlink="">
          <xdr:nvSpPr>
            <xdr:cNvPr id="25776" name="Check Box 176" hidden="1">
              <a:extLst>
                <a:ext uri="{63B3BB69-23CF-44E3-9099-C40C66FF867C}">
                  <a14:compatExt spid="_x0000_s25776"/>
                </a:ext>
                <a:ext uri="{FF2B5EF4-FFF2-40B4-BE49-F238E27FC236}">
                  <a16:creationId xmlns:a16="http://schemas.microsoft.com/office/drawing/2014/main" id="{00000000-0008-0000-0500-0000B0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36</xdr:row>
          <xdr:rowOff>47625</xdr:rowOff>
        </xdr:from>
        <xdr:to>
          <xdr:col>10</xdr:col>
          <xdr:colOff>485775</xdr:colOff>
          <xdr:row>36</xdr:row>
          <xdr:rowOff>257175</xdr:rowOff>
        </xdr:to>
        <xdr:sp macro="" textlink="">
          <xdr:nvSpPr>
            <xdr:cNvPr id="25777" name="Check Box 177" hidden="1">
              <a:extLst>
                <a:ext uri="{63B3BB69-23CF-44E3-9099-C40C66FF867C}">
                  <a14:compatExt spid="_x0000_s25777"/>
                </a:ext>
                <a:ext uri="{FF2B5EF4-FFF2-40B4-BE49-F238E27FC236}">
                  <a16:creationId xmlns:a16="http://schemas.microsoft.com/office/drawing/2014/main" id="{00000000-0008-0000-0500-0000B1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276225</xdr:colOff>
          <xdr:row>36</xdr:row>
          <xdr:rowOff>514350</xdr:rowOff>
        </xdr:from>
        <xdr:to>
          <xdr:col>10</xdr:col>
          <xdr:colOff>495300</xdr:colOff>
          <xdr:row>38</xdr:row>
          <xdr:rowOff>19050</xdr:rowOff>
        </xdr:to>
        <xdr:sp macro="" textlink="">
          <xdr:nvSpPr>
            <xdr:cNvPr id="25784" name="Check Box 184" hidden="1">
              <a:extLst>
                <a:ext uri="{63B3BB69-23CF-44E3-9099-C40C66FF867C}">
                  <a14:compatExt spid="_x0000_s25784"/>
                </a:ext>
                <a:ext uri="{FF2B5EF4-FFF2-40B4-BE49-F238E27FC236}">
                  <a16:creationId xmlns:a16="http://schemas.microsoft.com/office/drawing/2014/main" id="{00000000-0008-0000-0500-0000B8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9</xdr:row>
          <xdr:rowOff>171450</xdr:rowOff>
        </xdr:from>
        <xdr:to>
          <xdr:col>12</xdr:col>
          <xdr:colOff>504825</xdr:colOff>
          <xdr:row>11</xdr:row>
          <xdr:rowOff>0</xdr:rowOff>
        </xdr:to>
        <xdr:sp macro="" textlink="">
          <xdr:nvSpPr>
            <xdr:cNvPr id="25785" name="Check Box 185" hidden="1">
              <a:extLst>
                <a:ext uri="{63B3BB69-23CF-44E3-9099-C40C66FF867C}">
                  <a14:compatExt spid="_x0000_s25785"/>
                </a:ext>
                <a:ext uri="{FF2B5EF4-FFF2-40B4-BE49-F238E27FC236}">
                  <a16:creationId xmlns:a16="http://schemas.microsoft.com/office/drawing/2014/main" id="{00000000-0008-0000-0500-0000B9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10</xdr:row>
          <xdr:rowOff>171450</xdr:rowOff>
        </xdr:from>
        <xdr:to>
          <xdr:col>12</xdr:col>
          <xdr:colOff>504825</xdr:colOff>
          <xdr:row>12</xdr:row>
          <xdr:rowOff>0</xdr:rowOff>
        </xdr:to>
        <xdr:sp macro="" textlink="">
          <xdr:nvSpPr>
            <xdr:cNvPr id="25786" name="Check Box 186" hidden="1">
              <a:extLst>
                <a:ext uri="{63B3BB69-23CF-44E3-9099-C40C66FF867C}">
                  <a14:compatExt spid="_x0000_s25786"/>
                </a:ext>
                <a:ext uri="{FF2B5EF4-FFF2-40B4-BE49-F238E27FC236}">
                  <a16:creationId xmlns:a16="http://schemas.microsoft.com/office/drawing/2014/main" id="{00000000-0008-0000-0500-0000BA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11</xdr:row>
          <xdr:rowOff>171450</xdr:rowOff>
        </xdr:from>
        <xdr:to>
          <xdr:col>12</xdr:col>
          <xdr:colOff>504825</xdr:colOff>
          <xdr:row>13</xdr:row>
          <xdr:rowOff>0</xdr:rowOff>
        </xdr:to>
        <xdr:sp macro="" textlink="">
          <xdr:nvSpPr>
            <xdr:cNvPr id="25787" name="Check Box 187" hidden="1">
              <a:extLst>
                <a:ext uri="{63B3BB69-23CF-44E3-9099-C40C66FF867C}">
                  <a14:compatExt spid="_x0000_s25787"/>
                </a:ext>
                <a:ext uri="{FF2B5EF4-FFF2-40B4-BE49-F238E27FC236}">
                  <a16:creationId xmlns:a16="http://schemas.microsoft.com/office/drawing/2014/main" id="{00000000-0008-0000-0500-0000BB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295275</xdr:colOff>
          <xdr:row>14</xdr:row>
          <xdr:rowOff>57150</xdr:rowOff>
        </xdr:from>
        <xdr:to>
          <xdr:col>12</xdr:col>
          <xdr:colOff>514350</xdr:colOff>
          <xdr:row>14</xdr:row>
          <xdr:rowOff>266700</xdr:rowOff>
        </xdr:to>
        <xdr:sp macro="" textlink="">
          <xdr:nvSpPr>
            <xdr:cNvPr id="25788" name="Check Box 188" hidden="1">
              <a:extLst>
                <a:ext uri="{63B3BB69-23CF-44E3-9099-C40C66FF867C}">
                  <a14:compatExt spid="_x0000_s25788"/>
                </a:ext>
                <a:ext uri="{FF2B5EF4-FFF2-40B4-BE49-F238E27FC236}">
                  <a16:creationId xmlns:a16="http://schemas.microsoft.com/office/drawing/2014/main" id="{00000000-0008-0000-0500-0000BC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15</xdr:row>
          <xdr:rowOff>171450</xdr:rowOff>
        </xdr:from>
        <xdr:to>
          <xdr:col>12</xdr:col>
          <xdr:colOff>504825</xdr:colOff>
          <xdr:row>17</xdr:row>
          <xdr:rowOff>0</xdr:rowOff>
        </xdr:to>
        <xdr:sp macro="" textlink="">
          <xdr:nvSpPr>
            <xdr:cNvPr id="25790" name="Check Box 190" hidden="1">
              <a:extLst>
                <a:ext uri="{63B3BB69-23CF-44E3-9099-C40C66FF867C}">
                  <a14:compatExt spid="_x0000_s25790"/>
                </a:ext>
                <a:ext uri="{FF2B5EF4-FFF2-40B4-BE49-F238E27FC236}">
                  <a16:creationId xmlns:a16="http://schemas.microsoft.com/office/drawing/2014/main" id="{00000000-0008-0000-0500-0000BE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15</xdr:row>
          <xdr:rowOff>171450</xdr:rowOff>
        </xdr:from>
        <xdr:to>
          <xdr:col>12</xdr:col>
          <xdr:colOff>504825</xdr:colOff>
          <xdr:row>17</xdr:row>
          <xdr:rowOff>0</xdr:rowOff>
        </xdr:to>
        <xdr:sp macro="" textlink="">
          <xdr:nvSpPr>
            <xdr:cNvPr id="25791" name="Check Box 191" hidden="1">
              <a:extLst>
                <a:ext uri="{63B3BB69-23CF-44E3-9099-C40C66FF867C}">
                  <a14:compatExt spid="_x0000_s25791"/>
                </a:ext>
                <a:ext uri="{FF2B5EF4-FFF2-40B4-BE49-F238E27FC236}">
                  <a16:creationId xmlns:a16="http://schemas.microsoft.com/office/drawing/2014/main" id="{00000000-0008-0000-0500-0000BF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16</xdr:row>
          <xdr:rowOff>171450</xdr:rowOff>
        </xdr:from>
        <xdr:to>
          <xdr:col>12</xdr:col>
          <xdr:colOff>504825</xdr:colOff>
          <xdr:row>18</xdr:row>
          <xdr:rowOff>9525</xdr:rowOff>
        </xdr:to>
        <xdr:sp macro="" textlink="">
          <xdr:nvSpPr>
            <xdr:cNvPr id="25792" name="Check Box 192" hidden="1">
              <a:extLst>
                <a:ext uri="{63B3BB69-23CF-44E3-9099-C40C66FF867C}">
                  <a14:compatExt spid="_x0000_s25792"/>
                </a:ext>
                <a:ext uri="{FF2B5EF4-FFF2-40B4-BE49-F238E27FC236}">
                  <a16:creationId xmlns:a16="http://schemas.microsoft.com/office/drawing/2014/main" id="{00000000-0008-0000-0500-0000C0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16</xdr:row>
          <xdr:rowOff>171450</xdr:rowOff>
        </xdr:from>
        <xdr:to>
          <xdr:col>12</xdr:col>
          <xdr:colOff>504825</xdr:colOff>
          <xdr:row>18</xdr:row>
          <xdr:rowOff>9525</xdr:rowOff>
        </xdr:to>
        <xdr:sp macro="" textlink="">
          <xdr:nvSpPr>
            <xdr:cNvPr id="25793" name="Check Box 193" hidden="1">
              <a:extLst>
                <a:ext uri="{63B3BB69-23CF-44E3-9099-C40C66FF867C}">
                  <a14:compatExt spid="_x0000_s25793"/>
                </a:ext>
                <a:ext uri="{FF2B5EF4-FFF2-40B4-BE49-F238E27FC236}">
                  <a16:creationId xmlns:a16="http://schemas.microsoft.com/office/drawing/2014/main" id="{00000000-0008-0000-0500-0000C1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17</xdr:row>
          <xdr:rowOff>171450</xdr:rowOff>
        </xdr:from>
        <xdr:to>
          <xdr:col>12</xdr:col>
          <xdr:colOff>504825</xdr:colOff>
          <xdr:row>19</xdr:row>
          <xdr:rowOff>9525</xdr:rowOff>
        </xdr:to>
        <xdr:sp macro="" textlink="">
          <xdr:nvSpPr>
            <xdr:cNvPr id="25794" name="Check Box 194" hidden="1">
              <a:extLst>
                <a:ext uri="{63B3BB69-23CF-44E3-9099-C40C66FF867C}">
                  <a14:compatExt spid="_x0000_s25794"/>
                </a:ext>
                <a:ext uri="{FF2B5EF4-FFF2-40B4-BE49-F238E27FC236}">
                  <a16:creationId xmlns:a16="http://schemas.microsoft.com/office/drawing/2014/main" id="{00000000-0008-0000-0500-0000C2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19</xdr:row>
          <xdr:rowOff>76200</xdr:rowOff>
        </xdr:from>
        <xdr:to>
          <xdr:col>12</xdr:col>
          <xdr:colOff>504825</xdr:colOff>
          <xdr:row>19</xdr:row>
          <xdr:rowOff>381000</xdr:rowOff>
        </xdr:to>
        <xdr:sp macro="" textlink="">
          <xdr:nvSpPr>
            <xdr:cNvPr id="25795" name="Check Box 195" hidden="1">
              <a:extLst>
                <a:ext uri="{63B3BB69-23CF-44E3-9099-C40C66FF867C}">
                  <a14:compatExt spid="_x0000_s25795"/>
                </a:ext>
                <a:ext uri="{FF2B5EF4-FFF2-40B4-BE49-F238E27FC236}">
                  <a16:creationId xmlns:a16="http://schemas.microsoft.com/office/drawing/2014/main" id="{00000000-0008-0000-0500-0000C3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276225</xdr:colOff>
          <xdr:row>22</xdr:row>
          <xdr:rowOff>9525</xdr:rowOff>
        </xdr:from>
        <xdr:to>
          <xdr:col>12</xdr:col>
          <xdr:colOff>533400</xdr:colOff>
          <xdr:row>22</xdr:row>
          <xdr:rowOff>276225</xdr:rowOff>
        </xdr:to>
        <xdr:sp macro="" textlink="">
          <xdr:nvSpPr>
            <xdr:cNvPr id="25799" name="Check Box 199" hidden="1">
              <a:extLst>
                <a:ext uri="{63B3BB69-23CF-44E3-9099-C40C66FF867C}">
                  <a14:compatExt spid="_x0000_s25799"/>
                </a:ext>
                <a:ext uri="{FF2B5EF4-FFF2-40B4-BE49-F238E27FC236}">
                  <a16:creationId xmlns:a16="http://schemas.microsoft.com/office/drawing/2014/main" id="{00000000-0008-0000-0500-0000C7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22</xdr:row>
          <xdr:rowOff>419100</xdr:rowOff>
        </xdr:from>
        <xdr:to>
          <xdr:col>12</xdr:col>
          <xdr:colOff>504825</xdr:colOff>
          <xdr:row>24</xdr:row>
          <xdr:rowOff>19050</xdr:rowOff>
        </xdr:to>
        <xdr:sp macro="" textlink="">
          <xdr:nvSpPr>
            <xdr:cNvPr id="25800" name="Check Box 200" hidden="1">
              <a:extLst>
                <a:ext uri="{63B3BB69-23CF-44E3-9099-C40C66FF867C}">
                  <a14:compatExt spid="_x0000_s25800"/>
                </a:ext>
                <a:ext uri="{FF2B5EF4-FFF2-40B4-BE49-F238E27FC236}">
                  <a16:creationId xmlns:a16="http://schemas.microsoft.com/office/drawing/2014/main" id="{00000000-0008-0000-0500-0000C8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23</xdr:row>
          <xdr:rowOff>171450</xdr:rowOff>
        </xdr:from>
        <xdr:to>
          <xdr:col>12</xdr:col>
          <xdr:colOff>504825</xdr:colOff>
          <xdr:row>25</xdr:row>
          <xdr:rowOff>0</xdr:rowOff>
        </xdr:to>
        <xdr:sp macro="" textlink="">
          <xdr:nvSpPr>
            <xdr:cNvPr id="25801" name="Check Box 201" hidden="1">
              <a:extLst>
                <a:ext uri="{63B3BB69-23CF-44E3-9099-C40C66FF867C}">
                  <a14:compatExt spid="_x0000_s25801"/>
                </a:ext>
                <a:ext uri="{FF2B5EF4-FFF2-40B4-BE49-F238E27FC236}">
                  <a16:creationId xmlns:a16="http://schemas.microsoft.com/office/drawing/2014/main" id="{00000000-0008-0000-0500-0000C9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23</xdr:row>
          <xdr:rowOff>171450</xdr:rowOff>
        </xdr:from>
        <xdr:to>
          <xdr:col>12</xdr:col>
          <xdr:colOff>504825</xdr:colOff>
          <xdr:row>25</xdr:row>
          <xdr:rowOff>0</xdr:rowOff>
        </xdr:to>
        <xdr:sp macro="" textlink="">
          <xdr:nvSpPr>
            <xdr:cNvPr id="25802" name="Check Box 202" hidden="1">
              <a:extLst>
                <a:ext uri="{63B3BB69-23CF-44E3-9099-C40C66FF867C}">
                  <a14:compatExt spid="_x0000_s25802"/>
                </a:ext>
                <a:ext uri="{FF2B5EF4-FFF2-40B4-BE49-F238E27FC236}">
                  <a16:creationId xmlns:a16="http://schemas.microsoft.com/office/drawing/2014/main" id="{00000000-0008-0000-0500-0000CA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276225</xdr:colOff>
          <xdr:row>25</xdr:row>
          <xdr:rowOff>276225</xdr:rowOff>
        </xdr:from>
        <xdr:to>
          <xdr:col>12</xdr:col>
          <xdr:colOff>495300</xdr:colOff>
          <xdr:row>26</xdr:row>
          <xdr:rowOff>161925</xdr:rowOff>
        </xdr:to>
        <xdr:sp macro="" textlink="">
          <xdr:nvSpPr>
            <xdr:cNvPr id="25804" name="Check Box 204" hidden="1">
              <a:extLst>
                <a:ext uri="{63B3BB69-23CF-44E3-9099-C40C66FF867C}">
                  <a14:compatExt spid="_x0000_s25804"/>
                </a:ext>
                <a:ext uri="{FF2B5EF4-FFF2-40B4-BE49-F238E27FC236}">
                  <a16:creationId xmlns:a16="http://schemas.microsoft.com/office/drawing/2014/main" id="{00000000-0008-0000-0500-0000CC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26</xdr:row>
          <xdr:rowOff>171450</xdr:rowOff>
        </xdr:from>
        <xdr:to>
          <xdr:col>12</xdr:col>
          <xdr:colOff>504825</xdr:colOff>
          <xdr:row>28</xdr:row>
          <xdr:rowOff>9525</xdr:rowOff>
        </xdr:to>
        <xdr:sp macro="" textlink="">
          <xdr:nvSpPr>
            <xdr:cNvPr id="25805" name="Check Box 205" hidden="1">
              <a:extLst>
                <a:ext uri="{63B3BB69-23CF-44E3-9099-C40C66FF867C}">
                  <a14:compatExt spid="_x0000_s25805"/>
                </a:ext>
                <a:ext uri="{FF2B5EF4-FFF2-40B4-BE49-F238E27FC236}">
                  <a16:creationId xmlns:a16="http://schemas.microsoft.com/office/drawing/2014/main" id="{00000000-0008-0000-0500-0000CD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26</xdr:row>
          <xdr:rowOff>171450</xdr:rowOff>
        </xdr:from>
        <xdr:to>
          <xdr:col>12</xdr:col>
          <xdr:colOff>504825</xdr:colOff>
          <xdr:row>28</xdr:row>
          <xdr:rowOff>9525</xdr:rowOff>
        </xdr:to>
        <xdr:sp macro="" textlink="">
          <xdr:nvSpPr>
            <xdr:cNvPr id="25806" name="Check Box 206" hidden="1">
              <a:extLst>
                <a:ext uri="{63B3BB69-23CF-44E3-9099-C40C66FF867C}">
                  <a14:compatExt spid="_x0000_s25806"/>
                </a:ext>
                <a:ext uri="{FF2B5EF4-FFF2-40B4-BE49-F238E27FC236}">
                  <a16:creationId xmlns:a16="http://schemas.microsoft.com/office/drawing/2014/main" id="{00000000-0008-0000-0500-0000CE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27</xdr:row>
          <xdr:rowOff>171450</xdr:rowOff>
        </xdr:from>
        <xdr:to>
          <xdr:col>12</xdr:col>
          <xdr:colOff>504825</xdr:colOff>
          <xdr:row>29</xdr:row>
          <xdr:rowOff>9525</xdr:rowOff>
        </xdr:to>
        <xdr:sp macro="" textlink="">
          <xdr:nvSpPr>
            <xdr:cNvPr id="25807" name="Check Box 207" hidden="1">
              <a:extLst>
                <a:ext uri="{63B3BB69-23CF-44E3-9099-C40C66FF867C}">
                  <a14:compatExt spid="_x0000_s25807"/>
                </a:ext>
                <a:ext uri="{FF2B5EF4-FFF2-40B4-BE49-F238E27FC236}">
                  <a16:creationId xmlns:a16="http://schemas.microsoft.com/office/drawing/2014/main" id="{00000000-0008-0000-0500-0000CF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27</xdr:row>
          <xdr:rowOff>171450</xdr:rowOff>
        </xdr:from>
        <xdr:to>
          <xdr:col>12</xdr:col>
          <xdr:colOff>504825</xdr:colOff>
          <xdr:row>29</xdr:row>
          <xdr:rowOff>9525</xdr:rowOff>
        </xdr:to>
        <xdr:sp macro="" textlink="">
          <xdr:nvSpPr>
            <xdr:cNvPr id="25808" name="Check Box 208" hidden="1">
              <a:extLst>
                <a:ext uri="{63B3BB69-23CF-44E3-9099-C40C66FF867C}">
                  <a14:compatExt spid="_x0000_s25808"/>
                </a:ext>
                <a:ext uri="{FF2B5EF4-FFF2-40B4-BE49-F238E27FC236}">
                  <a16:creationId xmlns:a16="http://schemas.microsoft.com/office/drawing/2014/main" id="{00000000-0008-0000-0500-0000D0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28</xdr:row>
          <xdr:rowOff>171450</xdr:rowOff>
        </xdr:from>
        <xdr:to>
          <xdr:col>12</xdr:col>
          <xdr:colOff>504825</xdr:colOff>
          <xdr:row>30</xdr:row>
          <xdr:rowOff>0</xdr:rowOff>
        </xdr:to>
        <xdr:sp macro="" textlink="">
          <xdr:nvSpPr>
            <xdr:cNvPr id="25809" name="Check Box 209" hidden="1">
              <a:extLst>
                <a:ext uri="{63B3BB69-23CF-44E3-9099-C40C66FF867C}">
                  <a14:compatExt spid="_x0000_s25809"/>
                </a:ext>
                <a:ext uri="{FF2B5EF4-FFF2-40B4-BE49-F238E27FC236}">
                  <a16:creationId xmlns:a16="http://schemas.microsoft.com/office/drawing/2014/main" id="{00000000-0008-0000-0500-0000D1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28</xdr:row>
          <xdr:rowOff>171450</xdr:rowOff>
        </xdr:from>
        <xdr:to>
          <xdr:col>12</xdr:col>
          <xdr:colOff>504825</xdr:colOff>
          <xdr:row>30</xdr:row>
          <xdr:rowOff>0</xdr:rowOff>
        </xdr:to>
        <xdr:sp macro="" textlink="">
          <xdr:nvSpPr>
            <xdr:cNvPr id="25810" name="Check Box 210" hidden="1">
              <a:extLst>
                <a:ext uri="{63B3BB69-23CF-44E3-9099-C40C66FF867C}">
                  <a14:compatExt spid="_x0000_s25810"/>
                </a:ext>
                <a:ext uri="{FF2B5EF4-FFF2-40B4-BE49-F238E27FC236}">
                  <a16:creationId xmlns:a16="http://schemas.microsoft.com/office/drawing/2014/main" id="{00000000-0008-0000-0500-0000D2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29</xdr:row>
          <xdr:rowOff>171450</xdr:rowOff>
        </xdr:from>
        <xdr:to>
          <xdr:col>12</xdr:col>
          <xdr:colOff>504825</xdr:colOff>
          <xdr:row>31</xdr:row>
          <xdr:rowOff>0</xdr:rowOff>
        </xdr:to>
        <xdr:sp macro="" textlink="">
          <xdr:nvSpPr>
            <xdr:cNvPr id="25811" name="Check Box 211" hidden="1">
              <a:extLst>
                <a:ext uri="{63B3BB69-23CF-44E3-9099-C40C66FF867C}">
                  <a14:compatExt spid="_x0000_s25811"/>
                </a:ext>
                <a:ext uri="{FF2B5EF4-FFF2-40B4-BE49-F238E27FC236}">
                  <a16:creationId xmlns:a16="http://schemas.microsoft.com/office/drawing/2014/main" id="{00000000-0008-0000-0500-0000D3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29</xdr:row>
          <xdr:rowOff>171450</xdr:rowOff>
        </xdr:from>
        <xdr:to>
          <xdr:col>12</xdr:col>
          <xdr:colOff>504825</xdr:colOff>
          <xdr:row>31</xdr:row>
          <xdr:rowOff>0</xdr:rowOff>
        </xdr:to>
        <xdr:sp macro="" textlink="">
          <xdr:nvSpPr>
            <xdr:cNvPr id="25812" name="Check Box 212" hidden="1">
              <a:extLst>
                <a:ext uri="{63B3BB69-23CF-44E3-9099-C40C66FF867C}">
                  <a14:compatExt spid="_x0000_s25812"/>
                </a:ext>
                <a:ext uri="{FF2B5EF4-FFF2-40B4-BE49-F238E27FC236}">
                  <a16:creationId xmlns:a16="http://schemas.microsoft.com/office/drawing/2014/main" id="{00000000-0008-0000-0500-0000D4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30</xdr:row>
          <xdr:rowOff>171450</xdr:rowOff>
        </xdr:from>
        <xdr:to>
          <xdr:col>12</xdr:col>
          <xdr:colOff>504825</xdr:colOff>
          <xdr:row>32</xdr:row>
          <xdr:rowOff>0</xdr:rowOff>
        </xdr:to>
        <xdr:sp macro="" textlink="">
          <xdr:nvSpPr>
            <xdr:cNvPr id="25813" name="Check Box 213" hidden="1">
              <a:extLst>
                <a:ext uri="{63B3BB69-23CF-44E3-9099-C40C66FF867C}">
                  <a14:compatExt spid="_x0000_s25813"/>
                </a:ext>
                <a:ext uri="{FF2B5EF4-FFF2-40B4-BE49-F238E27FC236}">
                  <a16:creationId xmlns:a16="http://schemas.microsoft.com/office/drawing/2014/main" id="{00000000-0008-0000-0500-0000D5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30</xdr:row>
          <xdr:rowOff>171450</xdr:rowOff>
        </xdr:from>
        <xdr:to>
          <xdr:col>12</xdr:col>
          <xdr:colOff>504825</xdr:colOff>
          <xdr:row>32</xdr:row>
          <xdr:rowOff>0</xdr:rowOff>
        </xdr:to>
        <xdr:sp macro="" textlink="">
          <xdr:nvSpPr>
            <xdr:cNvPr id="25814" name="Check Box 214" hidden="1">
              <a:extLst>
                <a:ext uri="{63B3BB69-23CF-44E3-9099-C40C66FF867C}">
                  <a14:compatExt spid="_x0000_s25814"/>
                </a:ext>
                <a:ext uri="{FF2B5EF4-FFF2-40B4-BE49-F238E27FC236}">
                  <a16:creationId xmlns:a16="http://schemas.microsoft.com/office/drawing/2014/main" id="{00000000-0008-0000-0500-0000D6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31</xdr:row>
          <xdr:rowOff>171450</xdr:rowOff>
        </xdr:from>
        <xdr:to>
          <xdr:col>12</xdr:col>
          <xdr:colOff>504825</xdr:colOff>
          <xdr:row>33</xdr:row>
          <xdr:rowOff>0</xdr:rowOff>
        </xdr:to>
        <xdr:sp macro="" textlink="">
          <xdr:nvSpPr>
            <xdr:cNvPr id="25815" name="Check Box 215" hidden="1">
              <a:extLst>
                <a:ext uri="{63B3BB69-23CF-44E3-9099-C40C66FF867C}">
                  <a14:compatExt spid="_x0000_s25815"/>
                </a:ext>
                <a:ext uri="{FF2B5EF4-FFF2-40B4-BE49-F238E27FC236}">
                  <a16:creationId xmlns:a16="http://schemas.microsoft.com/office/drawing/2014/main" id="{00000000-0008-0000-0500-0000D7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31</xdr:row>
          <xdr:rowOff>171450</xdr:rowOff>
        </xdr:from>
        <xdr:to>
          <xdr:col>12</xdr:col>
          <xdr:colOff>504825</xdr:colOff>
          <xdr:row>33</xdr:row>
          <xdr:rowOff>0</xdr:rowOff>
        </xdr:to>
        <xdr:sp macro="" textlink="">
          <xdr:nvSpPr>
            <xdr:cNvPr id="25816" name="Check Box 216" hidden="1">
              <a:extLst>
                <a:ext uri="{63B3BB69-23CF-44E3-9099-C40C66FF867C}">
                  <a14:compatExt spid="_x0000_s25816"/>
                </a:ext>
                <a:ext uri="{FF2B5EF4-FFF2-40B4-BE49-F238E27FC236}">
                  <a16:creationId xmlns:a16="http://schemas.microsoft.com/office/drawing/2014/main" id="{00000000-0008-0000-0500-0000D8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32</xdr:row>
          <xdr:rowOff>171450</xdr:rowOff>
        </xdr:from>
        <xdr:to>
          <xdr:col>12</xdr:col>
          <xdr:colOff>504825</xdr:colOff>
          <xdr:row>34</xdr:row>
          <xdr:rowOff>0</xdr:rowOff>
        </xdr:to>
        <xdr:sp macro="" textlink="">
          <xdr:nvSpPr>
            <xdr:cNvPr id="25817" name="Check Box 217" hidden="1">
              <a:extLst>
                <a:ext uri="{63B3BB69-23CF-44E3-9099-C40C66FF867C}">
                  <a14:compatExt spid="_x0000_s25817"/>
                </a:ext>
                <a:ext uri="{FF2B5EF4-FFF2-40B4-BE49-F238E27FC236}">
                  <a16:creationId xmlns:a16="http://schemas.microsoft.com/office/drawing/2014/main" id="{00000000-0008-0000-0500-0000D9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32</xdr:row>
          <xdr:rowOff>171450</xdr:rowOff>
        </xdr:from>
        <xdr:to>
          <xdr:col>12</xdr:col>
          <xdr:colOff>504825</xdr:colOff>
          <xdr:row>34</xdr:row>
          <xdr:rowOff>0</xdr:rowOff>
        </xdr:to>
        <xdr:sp macro="" textlink="">
          <xdr:nvSpPr>
            <xdr:cNvPr id="25818" name="Check Box 218" hidden="1">
              <a:extLst>
                <a:ext uri="{63B3BB69-23CF-44E3-9099-C40C66FF867C}">
                  <a14:compatExt spid="_x0000_s25818"/>
                </a:ext>
                <a:ext uri="{FF2B5EF4-FFF2-40B4-BE49-F238E27FC236}">
                  <a16:creationId xmlns:a16="http://schemas.microsoft.com/office/drawing/2014/main" id="{00000000-0008-0000-0500-0000DA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33</xdr:row>
          <xdr:rowOff>171450</xdr:rowOff>
        </xdr:from>
        <xdr:to>
          <xdr:col>12</xdr:col>
          <xdr:colOff>504825</xdr:colOff>
          <xdr:row>35</xdr:row>
          <xdr:rowOff>0</xdr:rowOff>
        </xdr:to>
        <xdr:sp macro="" textlink="">
          <xdr:nvSpPr>
            <xdr:cNvPr id="25819" name="Check Box 219" hidden="1">
              <a:extLst>
                <a:ext uri="{63B3BB69-23CF-44E3-9099-C40C66FF867C}">
                  <a14:compatExt spid="_x0000_s25819"/>
                </a:ext>
                <a:ext uri="{FF2B5EF4-FFF2-40B4-BE49-F238E27FC236}">
                  <a16:creationId xmlns:a16="http://schemas.microsoft.com/office/drawing/2014/main" id="{00000000-0008-0000-0500-0000DB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33</xdr:row>
          <xdr:rowOff>171450</xdr:rowOff>
        </xdr:from>
        <xdr:to>
          <xdr:col>12</xdr:col>
          <xdr:colOff>504825</xdr:colOff>
          <xdr:row>35</xdr:row>
          <xdr:rowOff>0</xdr:rowOff>
        </xdr:to>
        <xdr:sp macro="" textlink="">
          <xdr:nvSpPr>
            <xdr:cNvPr id="25820" name="Check Box 220" hidden="1">
              <a:extLst>
                <a:ext uri="{63B3BB69-23CF-44E3-9099-C40C66FF867C}">
                  <a14:compatExt spid="_x0000_s25820"/>
                </a:ext>
                <a:ext uri="{FF2B5EF4-FFF2-40B4-BE49-F238E27FC236}">
                  <a16:creationId xmlns:a16="http://schemas.microsoft.com/office/drawing/2014/main" id="{00000000-0008-0000-0500-0000DC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35</xdr:row>
          <xdr:rowOff>66675</xdr:rowOff>
        </xdr:from>
        <xdr:to>
          <xdr:col>14</xdr:col>
          <xdr:colOff>9525</xdr:colOff>
          <xdr:row>35</xdr:row>
          <xdr:rowOff>342900</xdr:rowOff>
        </xdr:to>
        <xdr:sp macro="" textlink="">
          <xdr:nvSpPr>
            <xdr:cNvPr id="25821" name="Check Box 221" hidden="1">
              <a:extLst>
                <a:ext uri="{63B3BB69-23CF-44E3-9099-C40C66FF867C}">
                  <a14:compatExt spid="_x0000_s25821"/>
                </a:ext>
                <a:ext uri="{FF2B5EF4-FFF2-40B4-BE49-F238E27FC236}">
                  <a16:creationId xmlns:a16="http://schemas.microsoft.com/office/drawing/2014/main" id="{00000000-0008-0000-0500-0000DD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36</xdr:row>
          <xdr:rowOff>57150</xdr:rowOff>
        </xdr:from>
        <xdr:to>
          <xdr:col>12</xdr:col>
          <xdr:colOff>504825</xdr:colOff>
          <xdr:row>36</xdr:row>
          <xdr:rowOff>266700</xdr:rowOff>
        </xdr:to>
        <xdr:sp macro="" textlink="">
          <xdr:nvSpPr>
            <xdr:cNvPr id="25824" name="Check Box 224" hidden="1">
              <a:extLst>
                <a:ext uri="{63B3BB69-23CF-44E3-9099-C40C66FF867C}">
                  <a14:compatExt spid="_x0000_s25824"/>
                </a:ext>
                <a:ext uri="{FF2B5EF4-FFF2-40B4-BE49-F238E27FC236}">
                  <a16:creationId xmlns:a16="http://schemas.microsoft.com/office/drawing/2014/main" id="{00000000-0008-0000-0500-0000E0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276225</xdr:colOff>
          <xdr:row>20</xdr:row>
          <xdr:rowOff>85725</xdr:rowOff>
        </xdr:from>
        <xdr:to>
          <xdr:col>14</xdr:col>
          <xdr:colOff>9525</xdr:colOff>
          <xdr:row>20</xdr:row>
          <xdr:rowOff>304800</xdr:rowOff>
        </xdr:to>
        <xdr:sp macro="" textlink="">
          <xdr:nvSpPr>
            <xdr:cNvPr id="25825" name="Check Box 225" hidden="1">
              <a:extLst>
                <a:ext uri="{63B3BB69-23CF-44E3-9099-C40C66FF867C}">
                  <a14:compatExt spid="_x0000_s25825"/>
                </a:ext>
                <a:ext uri="{FF2B5EF4-FFF2-40B4-BE49-F238E27FC236}">
                  <a16:creationId xmlns:a16="http://schemas.microsoft.com/office/drawing/2014/main" id="{00000000-0008-0000-0500-0000E1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12</xdr:row>
          <xdr:rowOff>171450</xdr:rowOff>
        </xdr:from>
        <xdr:to>
          <xdr:col>12</xdr:col>
          <xdr:colOff>504825</xdr:colOff>
          <xdr:row>14</xdr:row>
          <xdr:rowOff>0</xdr:rowOff>
        </xdr:to>
        <xdr:sp macro="" textlink="">
          <xdr:nvSpPr>
            <xdr:cNvPr id="25826" name="Check Box 226" hidden="1">
              <a:extLst>
                <a:ext uri="{63B3BB69-23CF-44E3-9099-C40C66FF867C}">
                  <a14:compatExt spid="_x0000_s25826"/>
                </a:ext>
                <a:ext uri="{FF2B5EF4-FFF2-40B4-BE49-F238E27FC236}">
                  <a16:creationId xmlns:a16="http://schemas.microsoft.com/office/drawing/2014/main" id="{00000000-0008-0000-0500-0000E2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276225</xdr:colOff>
          <xdr:row>36</xdr:row>
          <xdr:rowOff>514350</xdr:rowOff>
        </xdr:from>
        <xdr:to>
          <xdr:col>12</xdr:col>
          <xdr:colOff>495300</xdr:colOff>
          <xdr:row>38</xdr:row>
          <xdr:rowOff>19050</xdr:rowOff>
        </xdr:to>
        <xdr:sp macro="" textlink="">
          <xdr:nvSpPr>
            <xdr:cNvPr id="25831" name="Check Box 231" hidden="1">
              <a:extLst>
                <a:ext uri="{63B3BB69-23CF-44E3-9099-C40C66FF867C}">
                  <a14:compatExt spid="_x0000_s25831"/>
                </a:ext>
                <a:ext uri="{FF2B5EF4-FFF2-40B4-BE49-F238E27FC236}">
                  <a16:creationId xmlns:a16="http://schemas.microsoft.com/office/drawing/2014/main" id="{00000000-0008-0000-0500-0000E7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276225</xdr:colOff>
          <xdr:row>37</xdr:row>
          <xdr:rowOff>514350</xdr:rowOff>
        </xdr:from>
        <xdr:to>
          <xdr:col>10</xdr:col>
          <xdr:colOff>495300</xdr:colOff>
          <xdr:row>38</xdr:row>
          <xdr:rowOff>209550</xdr:rowOff>
        </xdr:to>
        <xdr:sp macro="" textlink="">
          <xdr:nvSpPr>
            <xdr:cNvPr id="25879" name="Check Box 279" hidden="1">
              <a:extLst>
                <a:ext uri="{63B3BB69-23CF-44E3-9099-C40C66FF867C}">
                  <a14:compatExt spid="_x0000_s25879"/>
                </a:ext>
                <a:ext uri="{FF2B5EF4-FFF2-40B4-BE49-F238E27FC236}">
                  <a16:creationId xmlns:a16="http://schemas.microsoft.com/office/drawing/2014/main" id="{00000000-0008-0000-0500-000017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276225</xdr:colOff>
          <xdr:row>20</xdr:row>
          <xdr:rowOff>457200</xdr:rowOff>
        </xdr:from>
        <xdr:to>
          <xdr:col>10</xdr:col>
          <xdr:colOff>495300</xdr:colOff>
          <xdr:row>22</xdr:row>
          <xdr:rowOff>19050</xdr:rowOff>
        </xdr:to>
        <xdr:sp macro="" textlink="">
          <xdr:nvSpPr>
            <xdr:cNvPr id="25880" name="Check Box 280" hidden="1">
              <a:extLst>
                <a:ext uri="{63B3BB69-23CF-44E3-9099-C40C66FF867C}">
                  <a14:compatExt spid="_x0000_s25880"/>
                </a:ext>
                <a:ext uri="{FF2B5EF4-FFF2-40B4-BE49-F238E27FC236}">
                  <a16:creationId xmlns:a16="http://schemas.microsoft.com/office/drawing/2014/main" id="{00000000-0008-0000-0500-000018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276225</xdr:colOff>
          <xdr:row>22</xdr:row>
          <xdr:rowOff>9525</xdr:rowOff>
        </xdr:from>
        <xdr:to>
          <xdr:col>10</xdr:col>
          <xdr:colOff>495300</xdr:colOff>
          <xdr:row>22</xdr:row>
          <xdr:rowOff>266700</xdr:rowOff>
        </xdr:to>
        <xdr:sp macro="" textlink="">
          <xdr:nvSpPr>
            <xdr:cNvPr id="25881" name="Check Box 281" hidden="1">
              <a:extLst>
                <a:ext uri="{63B3BB69-23CF-44E3-9099-C40C66FF867C}">
                  <a14:compatExt spid="_x0000_s25881"/>
                </a:ext>
                <a:ext uri="{FF2B5EF4-FFF2-40B4-BE49-F238E27FC236}">
                  <a16:creationId xmlns:a16="http://schemas.microsoft.com/office/drawing/2014/main" id="{00000000-0008-0000-0500-000019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276225</xdr:colOff>
          <xdr:row>21</xdr:row>
          <xdr:rowOff>0</xdr:rowOff>
        </xdr:from>
        <xdr:to>
          <xdr:col>12</xdr:col>
          <xdr:colOff>495300</xdr:colOff>
          <xdr:row>22</xdr:row>
          <xdr:rowOff>19050</xdr:rowOff>
        </xdr:to>
        <xdr:sp macro="" textlink="">
          <xdr:nvSpPr>
            <xdr:cNvPr id="25883" name="Check Box 283" hidden="1">
              <a:extLst>
                <a:ext uri="{63B3BB69-23CF-44E3-9099-C40C66FF867C}">
                  <a14:compatExt spid="_x0000_s25883"/>
                </a:ext>
                <a:ext uri="{FF2B5EF4-FFF2-40B4-BE49-F238E27FC236}">
                  <a16:creationId xmlns:a16="http://schemas.microsoft.com/office/drawing/2014/main" id="{00000000-0008-0000-0500-00001B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276225</xdr:colOff>
          <xdr:row>14</xdr:row>
          <xdr:rowOff>285750</xdr:rowOff>
        </xdr:from>
        <xdr:to>
          <xdr:col>11</xdr:col>
          <xdr:colOff>0</xdr:colOff>
          <xdr:row>16</xdr:row>
          <xdr:rowOff>38100</xdr:rowOff>
        </xdr:to>
        <xdr:sp macro="" textlink="">
          <xdr:nvSpPr>
            <xdr:cNvPr id="25884" name="Check Box 284" hidden="1">
              <a:extLst>
                <a:ext uri="{63B3BB69-23CF-44E3-9099-C40C66FF867C}">
                  <a14:compatExt spid="_x0000_s25884"/>
                </a:ext>
                <a:ext uri="{FF2B5EF4-FFF2-40B4-BE49-F238E27FC236}">
                  <a16:creationId xmlns:a16="http://schemas.microsoft.com/office/drawing/2014/main" id="{00000000-0008-0000-0500-00001C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14</xdr:row>
          <xdr:rowOff>285750</xdr:rowOff>
        </xdr:from>
        <xdr:to>
          <xdr:col>14</xdr:col>
          <xdr:colOff>9525</xdr:colOff>
          <xdr:row>16</xdr:row>
          <xdr:rowOff>38100</xdr:rowOff>
        </xdr:to>
        <xdr:sp macro="" textlink="">
          <xdr:nvSpPr>
            <xdr:cNvPr id="25885" name="Check Box 285" hidden="1">
              <a:extLst>
                <a:ext uri="{63B3BB69-23CF-44E3-9099-C40C66FF867C}">
                  <a14:compatExt spid="_x0000_s25885"/>
                </a:ext>
                <a:ext uri="{FF2B5EF4-FFF2-40B4-BE49-F238E27FC236}">
                  <a16:creationId xmlns:a16="http://schemas.microsoft.com/office/drawing/2014/main" id="{00000000-0008-0000-0500-00001D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314325</xdr:colOff>
          <xdr:row>24</xdr:row>
          <xdr:rowOff>152400</xdr:rowOff>
        </xdr:from>
        <xdr:to>
          <xdr:col>12</xdr:col>
          <xdr:colOff>66675</xdr:colOff>
          <xdr:row>25</xdr:row>
          <xdr:rowOff>238125</xdr:rowOff>
        </xdr:to>
        <xdr:sp macro="" textlink="">
          <xdr:nvSpPr>
            <xdr:cNvPr id="25886" name="Check Box 286" hidden="1">
              <a:extLst>
                <a:ext uri="{63B3BB69-23CF-44E3-9099-C40C66FF867C}">
                  <a14:compatExt spid="_x0000_s25886"/>
                </a:ext>
                <a:ext uri="{FF2B5EF4-FFF2-40B4-BE49-F238E27FC236}">
                  <a16:creationId xmlns:a16="http://schemas.microsoft.com/office/drawing/2014/main" id="{00000000-0008-0000-0500-00001E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28</xdr:row>
          <xdr:rowOff>0</xdr:rowOff>
        </xdr:from>
        <xdr:to>
          <xdr:col>10</xdr:col>
          <xdr:colOff>504825</xdr:colOff>
          <xdr:row>29</xdr:row>
          <xdr:rowOff>19050</xdr:rowOff>
        </xdr:to>
        <xdr:sp macro="" textlink="">
          <xdr:nvSpPr>
            <xdr:cNvPr id="25888" name="Check Box 288" hidden="1">
              <a:extLst>
                <a:ext uri="{63B3BB69-23CF-44E3-9099-C40C66FF867C}">
                  <a14:compatExt spid="_x0000_s25888"/>
                </a:ext>
                <a:ext uri="{FF2B5EF4-FFF2-40B4-BE49-F238E27FC236}">
                  <a16:creationId xmlns:a16="http://schemas.microsoft.com/office/drawing/2014/main" id="{00000000-0008-0000-0500-000020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28</xdr:row>
          <xdr:rowOff>0</xdr:rowOff>
        </xdr:from>
        <xdr:to>
          <xdr:col>10</xdr:col>
          <xdr:colOff>504825</xdr:colOff>
          <xdr:row>29</xdr:row>
          <xdr:rowOff>19050</xdr:rowOff>
        </xdr:to>
        <xdr:sp macro="" textlink="">
          <xdr:nvSpPr>
            <xdr:cNvPr id="25889" name="Check Box 289" hidden="1">
              <a:extLst>
                <a:ext uri="{63B3BB69-23CF-44E3-9099-C40C66FF867C}">
                  <a14:compatExt spid="_x0000_s25889"/>
                </a:ext>
                <a:ext uri="{FF2B5EF4-FFF2-40B4-BE49-F238E27FC236}">
                  <a16:creationId xmlns:a16="http://schemas.microsoft.com/office/drawing/2014/main" id="{00000000-0008-0000-0500-000021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28</xdr:row>
          <xdr:rowOff>0</xdr:rowOff>
        </xdr:from>
        <xdr:to>
          <xdr:col>12</xdr:col>
          <xdr:colOff>504825</xdr:colOff>
          <xdr:row>29</xdr:row>
          <xdr:rowOff>19050</xdr:rowOff>
        </xdr:to>
        <xdr:sp macro="" textlink="">
          <xdr:nvSpPr>
            <xdr:cNvPr id="25890" name="Check Box 290" hidden="1">
              <a:extLst>
                <a:ext uri="{63B3BB69-23CF-44E3-9099-C40C66FF867C}">
                  <a14:compatExt spid="_x0000_s25890"/>
                </a:ext>
                <a:ext uri="{FF2B5EF4-FFF2-40B4-BE49-F238E27FC236}">
                  <a16:creationId xmlns:a16="http://schemas.microsoft.com/office/drawing/2014/main" id="{00000000-0008-0000-0500-000022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28</xdr:row>
          <xdr:rowOff>0</xdr:rowOff>
        </xdr:from>
        <xdr:to>
          <xdr:col>12</xdr:col>
          <xdr:colOff>504825</xdr:colOff>
          <xdr:row>29</xdr:row>
          <xdr:rowOff>19050</xdr:rowOff>
        </xdr:to>
        <xdr:sp macro="" textlink="">
          <xdr:nvSpPr>
            <xdr:cNvPr id="25891" name="Check Box 291" hidden="1">
              <a:extLst>
                <a:ext uri="{63B3BB69-23CF-44E3-9099-C40C66FF867C}">
                  <a14:compatExt spid="_x0000_s25891"/>
                </a:ext>
                <a:ext uri="{FF2B5EF4-FFF2-40B4-BE49-F238E27FC236}">
                  <a16:creationId xmlns:a16="http://schemas.microsoft.com/office/drawing/2014/main" id="{00000000-0008-0000-0500-000023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314325</xdr:colOff>
          <xdr:row>26</xdr:row>
          <xdr:rowOff>152400</xdr:rowOff>
        </xdr:from>
        <xdr:to>
          <xdr:col>12</xdr:col>
          <xdr:colOff>66675</xdr:colOff>
          <xdr:row>28</xdr:row>
          <xdr:rowOff>57150</xdr:rowOff>
        </xdr:to>
        <xdr:sp macro="" textlink="">
          <xdr:nvSpPr>
            <xdr:cNvPr id="25897" name="Check Box 297" hidden="1">
              <a:extLst>
                <a:ext uri="{63B3BB69-23CF-44E3-9099-C40C66FF867C}">
                  <a14:compatExt spid="_x0000_s25897"/>
                </a:ext>
                <a:ext uri="{FF2B5EF4-FFF2-40B4-BE49-F238E27FC236}">
                  <a16:creationId xmlns:a16="http://schemas.microsoft.com/office/drawing/2014/main" id="{00000000-0008-0000-0500-000029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314325</xdr:colOff>
          <xdr:row>24</xdr:row>
          <xdr:rowOff>152400</xdr:rowOff>
        </xdr:from>
        <xdr:to>
          <xdr:col>11</xdr:col>
          <xdr:colOff>38100</xdr:colOff>
          <xdr:row>25</xdr:row>
          <xdr:rowOff>238125</xdr:rowOff>
        </xdr:to>
        <xdr:sp macro="" textlink="">
          <xdr:nvSpPr>
            <xdr:cNvPr id="25898" name="Check Box 298" hidden="1">
              <a:extLst>
                <a:ext uri="{63B3BB69-23CF-44E3-9099-C40C66FF867C}">
                  <a14:compatExt spid="_x0000_s25898"/>
                </a:ext>
                <a:ext uri="{FF2B5EF4-FFF2-40B4-BE49-F238E27FC236}">
                  <a16:creationId xmlns:a16="http://schemas.microsoft.com/office/drawing/2014/main" id="{00000000-0008-0000-0500-00002A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24</xdr:row>
          <xdr:rowOff>152400</xdr:rowOff>
        </xdr:from>
        <xdr:to>
          <xdr:col>3</xdr:col>
          <xdr:colOff>28575</xdr:colOff>
          <xdr:row>25</xdr:row>
          <xdr:rowOff>171450</xdr:rowOff>
        </xdr:to>
        <xdr:sp macro="" textlink="">
          <xdr:nvSpPr>
            <xdr:cNvPr id="25892" name="Check Box 292" hidden="1">
              <a:extLst>
                <a:ext uri="{63B3BB69-23CF-44E3-9099-C40C66FF867C}">
                  <a14:compatExt spid="_x0000_s25892"/>
                </a:ext>
                <a:ext uri="{FF2B5EF4-FFF2-40B4-BE49-F238E27FC236}">
                  <a16:creationId xmlns:a16="http://schemas.microsoft.com/office/drawing/2014/main" id="{00000000-0008-0000-0500-000024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xdr:col>
          <xdr:colOff>209550</xdr:colOff>
          <xdr:row>24</xdr:row>
          <xdr:rowOff>152400</xdr:rowOff>
        </xdr:from>
        <xdr:to>
          <xdr:col>5</xdr:col>
          <xdr:colOff>19050</xdr:colOff>
          <xdr:row>25</xdr:row>
          <xdr:rowOff>171450</xdr:rowOff>
        </xdr:to>
        <xdr:sp macro="" textlink="">
          <xdr:nvSpPr>
            <xdr:cNvPr id="25893" name="Check Box 293" hidden="1">
              <a:extLst>
                <a:ext uri="{63B3BB69-23CF-44E3-9099-C40C66FF867C}">
                  <a14:compatExt spid="_x0000_s25893"/>
                </a:ext>
                <a:ext uri="{FF2B5EF4-FFF2-40B4-BE49-F238E27FC236}">
                  <a16:creationId xmlns:a16="http://schemas.microsoft.com/office/drawing/2014/main" id="{00000000-0008-0000-0500-000025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390525</xdr:colOff>
          <xdr:row>24</xdr:row>
          <xdr:rowOff>152400</xdr:rowOff>
        </xdr:from>
        <xdr:to>
          <xdr:col>8</xdr:col>
          <xdr:colOff>19050</xdr:colOff>
          <xdr:row>25</xdr:row>
          <xdr:rowOff>171450</xdr:rowOff>
        </xdr:to>
        <xdr:sp macro="" textlink="">
          <xdr:nvSpPr>
            <xdr:cNvPr id="25894" name="Check Box 294" hidden="1">
              <a:extLst>
                <a:ext uri="{63B3BB69-23CF-44E3-9099-C40C66FF867C}">
                  <a14:compatExt spid="_x0000_s25894"/>
                </a:ext>
                <a:ext uri="{FF2B5EF4-FFF2-40B4-BE49-F238E27FC236}">
                  <a16:creationId xmlns:a16="http://schemas.microsoft.com/office/drawing/2014/main" id="{00000000-0008-0000-0500-000026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276225</xdr:colOff>
          <xdr:row>24</xdr:row>
          <xdr:rowOff>161925</xdr:rowOff>
        </xdr:from>
        <xdr:to>
          <xdr:col>10</xdr:col>
          <xdr:colOff>9525</xdr:colOff>
          <xdr:row>25</xdr:row>
          <xdr:rowOff>180975</xdr:rowOff>
        </xdr:to>
        <xdr:sp macro="" textlink="">
          <xdr:nvSpPr>
            <xdr:cNvPr id="25895" name="Check Box 295" hidden="1">
              <a:extLst>
                <a:ext uri="{63B3BB69-23CF-44E3-9099-C40C66FF867C}">
                  <a14:compatExt spid="_x0000_s25895"/>
                </a:ext>
                <a:ext uri="{FF2B5EF4-FFF2-40B4-BE49-F238E27FC236}">
                  <a16:creationId xmlns:a16="http://schemas.microsoft.com/office/drawing/2014/main" id="{00000000-0008-0000-0500-0000276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0</xdr:col>
      <xdr:colOff>28575</xdr:colOff>
      <xdr:row>0</xdr:row>
      <xdr:rowOff>28575</xdr:rowOff>
    </xdr:from>
    <xdr:to>
      <xdr:col>2</xdr:col>
      <xdr:colOff>409576</xdr:colOff>
      <xdr:row>3</xdr:row>
      <xdr:rowOff>133350</xdr:rowOff>
    </xdr:to>
    <xdr:pic>
      <xdr:nvPicPr>
        <xdr:cNvPr id="2" name="Picture 5">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8575" y="28575"/>
          <a:ext cx="3209926" cy="78105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117277</xdr:colOff>
      <xdr:row>4</xdr:row>
      <xdr:rowOff>57150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50977" cy="7048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371475</xdr:colOff>
      <xdr:row>0</xdr:row>
      <xdr:rowOff>28575</xdr:rowOff>
    </xdr:from>
    <xdr:to>
      <xdr:col>12</xdr:col>
      <xdr:colOff>209550</xdr:colOff>
      <xdr:row>5</xdr:row>
      <xdr:rowOff>133350</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1075" y="28575"/>
          <a:ext cx="3571875" cy="9144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962025</xdr:colOff>
          <xdr:row>15</xdr:row>
          <xdr:rowOff>161925</xdr:rowOff>
        </xdr:from>
        <xdr:to>
          <xdr:col>1</xdr:col>
          <xdr:colOff>1266825</xdr:colOff>
          <xdr:row>17</xdr:row>
          <xdr:rowOff>38100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C00-00000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16</xdr:row>
          <xdr:rowOff>142875</xdr:rowOff>
        </xdr:from>
        <xdr:to>
          <xdr:col>1</xdr:col>
          <xdr:colOff>1266825</xdr:colOff>
          <xdr:row>18</xdr:row>
          <xdr:rowOff>19050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C00-00000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17</xdr:row>
          <xdr:rowOff>152400</xdr:rowOff>
        </xdr:from>
        <xdr:to>
          <xdr:col>1</xdr:col>
          <xdr:colOff>1266825</xdr:colOff>
          <xdr:row>19</xdr:row>
          <xdr:rowOff>28575</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C00-00000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933450</xdr:colOff>
          <xdr:row>42</xdr:row>
          <xdr:rowOff>123825</xdr:rowOff>
        </xdr:from>
        <xdr:to>
          <xdr:col>1</xdr:col>
          <xdr:colOff>1238250</xdr:colOff>
          <xdr:row>44</xdr:row>
          <xdr:rowOff>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C00-00000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933450</xdr:colOff>
          <xdr:row>43</xdr:row>
          <xdr:rowOff>142875</xdr:rowOff>
        </xdr:from>
        <xdr:to>
          <xdr:col>1</xdr:col>
          <xdr:colOff>1238250</xdr:colOff>
          <xdr:row>45</xdr:row>
          <xdr:rowOff>19050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C00-00000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933450</xdr:colOff>
          <xdr:row>44</xdr:row>
          <xdr:rowOff>133350</xdr:rowOff>
        </xdr:from>
        <xdr:to>
          <xdr:col>1</xdr:col>
          <xdr:colOff>1238250</xdr:colOff>
          <xdr:row>46</xdr:row>
          <xdr:rowOff>9525</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C00-00000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14</xdr:row>
          <xdr:rowOff>152400</xdr:rowOff>
        </xdr:from>
        <xdr:to>
          <xdr:col>1</xdr:col>
          <xdr:colOff>1266825</xdr:colOff>
          <xdr:row>16</xdr:row>
          <xdr:rowOff>28575</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C00-00000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971550</xdr:colOff>
          <xdr:row>59</xdr:row>
          <xdr:rowOff>161925</xdr:rowOff>
        </xdr:from>
        <xdr:to>
          <xdr:col>1</xdr:col>
          <xdr:colOff>1276350</xdr:colOff>
          <xdr:row>61</xdr:row>
          <xdr:rowOff>38100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C00-00000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971550</xdr:colOff>
          <xdr:row>60</xdr:row>
          <xdr:rowOff>152400</xdr:rowOff>
        </xdr:from>
        <xdr:to>
          <xdr:col>1</xdr:col>
          <xdr:colOff>1276350</xdr:colOff>
          <xdr:row>62</xdr:row>
          <xdr:rowOff>28575</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C00-00000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971550</xdr:colOff>
          <xdr:row>61</xdr:row>
          <xdr:rowOff>142875</xdr:rowOff>
        </xdr:from>
        <xdr:to>
          <xdr:col>1</xdr:col>
          <xdr:colOff>1276350</xdr:colOff>
          <xdr:row>63</xdr:row>
          <xdr:rowOff>19050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C00-00000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74</xdr:row>
          <xdr:rowOff>123825</xdr:rowOff>
        </xdr:from>
        <xdr:to>
          <xdr:col>1</xdr:col>
          <xdr:colOff>1266825</xdr:colOff>
          <xdr:row>76</xdr:row>
          <xdr:rowOff>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C00-00000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75</xdr:row>
          <xdr:rowOff>114300</xdr:rowOff>
        </xdr:from>
        <xdr:to>
          <xdr:col>1</xdr:col>
          <xdr:colOff>1266825</xdr:colOff>
          <xdr:row>76</xdr:row>
          <xdr:rowOff>161925</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C00-00000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76</xdr:row>
          <xdr:rowOff>104775</xdr:rowOff>
        </xdr:from>
        <xdr:to>
          <xdr:col>1</xdr:col>
          <xdr:colOff>1266825</xdr:colOff>
          <xdr:row>77</xdr:row>
          <xdr:rowOff>152400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C00-00000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24</xdr:row>
          <xdr:rowOff>142875</xdr:rowOff>
        </xdr:from>
        <xdr:to>
          <xdr:col>1</xdr:col>
          <xdr:colOff>1266825</xdr:colOff>
          <xdr:row>26</xdr:row>
          <xdr:rowOff>19050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C00-00000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25</xdr:row>
          <xdr:rowOff>142875</xdr:rowOff>
        </xdr:from>
        <xdr:to>
          <xdr:col>1</xdr:col>
          <xdr:colOff>1266825</xdr:colOff>
          <xdr:row>27</xdr:row>
          <xdr:rowOff>19050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C00-00000F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26</xdr:row>
          <xdr:rowOff>142875</xdr:rowOff>
        </xdr:from>
        <xdr:to>
          <xdr:col>1</xdr:col>
          <xdr:colOff>1266825</xdr:colOff>
          <xdr:row>28</xdr:row>
          <xdr:rowOff>19050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C00-000010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27</xdr:row>
          <xdr:rowOff>142875</xdr:rowOff>
        </xdr:from>
        <xdr:to>
          <xdr:col>1</xdr:col>
          <xdr:colOff>1266825</xdr:colOff>
          <xdr:row>29</xdr:row>
          <xdr:rowOff>19050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C00-00001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29</xdr:row>
          <xdr:rowOff>142875</xdr:rowOff>
        </xdr:from>
        <xdr:to>
          <xdr:col>1</xdr:col>
          <xdr:colOff>1266825</xdr:colOff>
          <xdr:row>31</xdr:row>
          <xdr:rowOff>19050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C00-00001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30</xdr:row>
          <xdr:rowOff>152400</xdr:rowOff>
        </xdr:from>
        <xdr:to>
          <xdr:col>1</xdr:col>
          <xdr:colOff>1266825</xdr:colOff>
          <xdr:row>32</xdr:row>
          <xdr:rowOff>28575</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C00-00001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31</xdr:row>
          <xdr:rowOff>152400</xdr:rowOff>
        </xdr:from>
        <xdr:to>
          <xdr:col>1</xdr:col>
          <xdr:colOff>1266825</xdr:colOff>
          <xdr:row>33</xdr:row>
          <xdr:rowOff>28575</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C00-00001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352425</xdr:colOff>
          <xdr:row>91</xdr:row>
          <xdr:rowOff>114300</xdr:rowOff>
        </xdr:from>
        <xdr:to>
          <xdr:col>6</xdr:col>
          <xdr:colOff>57150</xdr:colOff>
          <xdr:row>92</xdr:row>
          <xdr:rowOff>161925</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C00-00001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352425</xdr:colOff>
          <xdr:row>92</xdr:row>
          <xdr:rowOff>104775</xdr:rowOff>
        </xdr:from>
        <xdr:to>
          <xdr:col>6</xdr:col>
          <xdr:colOff>57150</xdr:colOff>
          <xdr:row>93</xdr:row>
          <xdr:rowOff>152400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C00-00001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1019175</xdr:colOff>
          <xdr:row>83</xdr:row>
          <xdr:rowOff>133350</xdr:rowOff>
        </xdr:from>
        <xdr:to>
          <xdr:col>1</xdr:col>
          <xdr:colOff>1323975</xdr:colOff>
          <xdr:row>85</xdr:row>
          <xdr:rowOff>9525</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C00-00001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1019175</xdr:colOff>
          <xdr:row>84</xdr:row>
          <xdr:rowOff>133350</xdr:rowOff>
        </xdr:from>
        <xdr:to>
          <xdr:col>1</xdr:col>
          <xdr:colOff>1323975</xdr:colOff>
          <xdr:row>86</xdr:row>
          <xdr:rowOff>9525</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C00-00001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561975</xdr:colOff>
          <xdr:row>97</xdr:row>
          <xdr:rowOff>123825</xdr:rowOff>
        </xdr:from>
        <xdr:to>
          <xdr:col>7</xdr:col>
          <xdr:colOff>95250</xdr:colOff>
          <xdr:row>99</xdr:row>
          <xdr:rowOff>9525</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00000000-0008-0000-0C00-00001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76200</xdr:colOff>
      <xdr:row>2</xdr:row>
      <xdr:rowOff>38100</xdr:rowOff>
    </xdr:to>
    <xdr:pic>
      <xdr:nvPicPr>
        <xdr:cNvPr id="5138" name="Picture 5" descr="citadel 2 3-tone gray red blk">
          <a:extLst>
            <a:ext uri="{FF2B5EF4-FFF2-40B4-BE49-F238E27FC236}">
              <a16:creationId xmlns:a16="http://schemas.microsoft.com/office/drawing/2014/main" id="{00000000-0008-0000-0E00-000012140000}"/>
            </a:ext>
          </a:extLst>
        </xdr:cNvPr>
        <xdr:cNvPicPr>
          <a:picLocks noChangeAspect="1" noChangeArrowheads="1"/>
        </xdr:cNvPicPr>
      </xdr:nvPicPr>
      <xdr:blipFill>
        <a:blip xmlns:r="http://schemas.openxmlformats.org/officeDocument/2006/relationships" r:embed="rId1" cstate="print"/>
        <a:srcRect l="6207" t="5513" r="43117" b="29027"/>
        <a:stretch>
          <a:fillRect/>
        </a:stretch>
      </xdr:blipFill>
      <xdr:spPr bwMode="auto">
        <a:xfrm>
          <a:off x="0" y="0"/>
          <a:ext cx="1219200" cy="45720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19050</xdr:colOff>
      <xdr:row>1</xdr:row>
      <xdr:rowOff>38100</xdr:rowOff>
    </xdr:from>
    <xdr:to>
      <xdr:col>1</xdr:col>
      <xdr:colOff>1219200</xdr:colOff>
      <xdr:row>5</xdr:row>
      <xdr:rowOff>47625</xdr:rowOff>
    </xdr:to>
    <xdr:pic>
      <xdr:nvPicPr>
        <xdr:cNvPr id="2066" name="Picture 5" descr="citadel 2 3-tone gray red blk">
          <a:extLst>
            <a:ext uri="{FF2B5EF4-FFF2-40B4-BE49-F238E27FC236}">
              <a16:creationId xmlns:a16="http://schemas.microsoft.com/office/drawing/2014/main" id="{00000000-0008-0000-0F00-000012080000}"/>
            </a:ext>
          </a:extLst>
        </xdr:cNvPr>
        <xdr:cNvPicPr>
          <a:picLocks noChangeAspect="1" noChangeArrowheads="1"/>
        </xdr:cNvPicPr>
      </xdr:nvPicPr>
      <xdr:blipFill>
        <a:blip xmlns:r="http://schemas.openxmlformats.org/officeDocument/2006/relationships" r:embed="rId1" cstate="print"/>
        <a:srcRect l="6207" t="5513" r="43117" b="29027"/>
        <a:stretch>
          <a:fillRect/>
        </a:stretch>
      </xdr:blipFill>
      <xdr:spPr bwMode="auto">
        <a:xfrm>
          <a:off x="200025" y="200025"/>
          <a:ext cx="1200150" cy="885825"/>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962025</xdr:colOff>
          <xdr:row>15</xdr:row>
          <xdr:rowOff>161925</xdr:rowOff>
        </xdr:from>
        <xdr:to>
          <xdr:col>1</xdr:col>
          <xdr:colOff>1266825</xdr:colOff>
          <xdr:row>17</xdr:row>
          <xdr:rowOff>38100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1000-00000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16</xdr:row>
          <xdr:rowOff>142875</xdr:rowOff>
        </xdr:from>
        <xdr:to>
          <xdr:col>1</xdr:col>
          <xdr:colOff>1266825</xdr:colOff>
          <xdr:row>18</xdr:row>
          <xdr:rowOff>19050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1000-00000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17</xdr:row>
          <xdr:rowOff>152400</xdr:rowOff>
        </xdr:from>
        <xdr:to>
          <xdr:col>1</xdr:col>
          <xdr:colOff>1266825</xdr:colOff>
          <xdr:row>19</xdr:row>
          <xdr:rowOff>28575</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1000-00000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933450</xdr:colOff>
          <xdr:row>42</xdr:row>
          <xdr:rowOff>123825</xdr:rowOff>
        </xdr:from>
        <xdr:to>
          <xdr:col>1</xdr:col>
          <xdr:colOff>1238250</xdr:colOff>
          <xdr:row>44</xdr:row>
          <xdr:rowOff>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1000-00000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933450</xdr:colOff>
          <xdr:row>43</xdr:row>
          <xdr:rowOff>142875</xdr:rowOff>
        </xdr:from>
        <xdr:to>
          <xdr:col>1</xdr:col>
          <xdr:colOff>1238250</xdr:colOff>
          <xdr:row>45</xdr:row>
          <xdr:rowOff>19050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1000-00000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933450</xdr:colOff>
          <xdr:row>44</xdr:row>
          <xdr:rowOff>133350</xdr:rowOff>
        </xdr:from>
        <xdr:to>
          <xdr:col>1</xdr:col>
          <xdr:colOff>1238250</xdr:colOff>
          <xdr:row>46</xdr:row>
          <xdr:rowOff>9525</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1000-00000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14</xdr:row>
          <xdr:rowOff>152400</xdr:rowOff>
        </xdr:from>
        <xdr:to>
          <xdr:col>1</xdr:col>
          <xdr:colOff>1266825</xdr:colOff>
          <xdr:row>16</xdr:row>
          <xdr:rowOff>28575</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1000-00000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971550</xdr:colOff>
          <xdr:row>59</xdr:row>
          <xdr:rowOff>161925</xdr:rowOff>
        </xdr:from>
        <xdr:to>
          <xdr:col>1</xdr:col>
          <xdr:colOff>1276350</xdr:colOff>
          <xdr:row>61</xdr:row>
          <xdr:rowOff>38100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1000-00000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971550</xdr:colOff>
          <xdr:row>60</xdr:row>
          <xdr:rowOff>152400</xdr:rowOff>
        </xdr:from>
        <xdr:to>
          <xdr:col>1</xdr:col>
          <xdr:colOff>1276350</xdr:colOff>
          <xdr:row>62</xdr:row>
          <xdr:rowOff>28575</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1000-00000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971550</xdr:colOff>
          <xdr:row>61</xdr:row>
          <xdr:rowOff>142875</xdr:rowOff>
        </xdr:from>
        <xdr:to>
          <xdr:col>1</xdr:col>
          <xdr:colOff>1276350</xdr:colOff>
          <xdr:row>63</xdr:row>
          <xdr:rowOff>19050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1000-00000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74</xdr:row>
          <xdr:rowOff>123825</xdr:rowOff>
        </xdr:from>
        <xdr:to>
          <xdr:col>1</xdr:col>
          <xdr:colOff>1266825</xdr:colOff>
          <xdr:row>76</xdr:row>
          <xdr:rowOff>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1000-00000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75</xdr:row>
          <xdr:rowOff>114300</xdr:rowOff>
        </xdr:from>
        <xdr:to>
          <xdr:col>1</xdr:col>
          <xdr:colOff>1266825</xdr:colOff>
          <xdr:row>76</xdr:row>
          <xdr:rowOff>161925</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1000-00000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76</xdr:row>
          <xdr:rowOff>104775</xdr:rowOff>
        </xdr:from>
        <xdr:to>
          <xdr:col>1</xdr:col>
          <xdr:colOff>1266825</xdr:colOff>
          <xdr:row>77</xdr:row>
          <xdr:rowOff>152400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1000-00000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24</xdr:row>
          <xdr:rowOff>142875</xdr:rowOff>
        </xdr:from>
        <xdr:to>
          <xdr:col>1</xdr:col>
          <xdr:colOff>1266825</xdr:colOff>
          <xdr:row>26</xdr:row>
          <xdr:rowOff>19050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1000-00000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25</xdr:row>
          <xdr:rowOff>142875</xdr:rowOff>
        </xdr:from>
        <xdr:to>
          <xdr:col>1</xdr:col>
          <xdr:colOff>1266825</xdr:colOff>
          <xdr:row>27</xdr:row>
          <xdr:rowOff>19050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1000-00000F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26</xdr:row>
          <xdr:rowOff>142875</xdr:rowOff>
        </xdr:from>
        <xdr:to>
          <xdr:col>1</xdr:col>
          <xdr:colOff>1266825</xdr:colOff>
          <xdr:row>28</xdr:row>
          <xdr:rowOff>19050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1000-000010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27</xdr:row>
          <xdr:rowOff>142875</xdr:rowOff>
        </xdr:from>
        <xdr:to>
          <xdr:col>1</xdr:col>
          <xdr:colOff>1266825</xdr:colOff>
          <xdr:row>29</xdr:row>
          <xdr:rowOff>19050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1000-00001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29</xdr:row>
          <xdr:rowOff>142875</xdr:rowOff>
        </xdr:from>
        <xdr:to>
          <xdr:col>1</xdr:col>
          <xdr:colOff>1266825</xdr:colOff>
          <xdr:row>31</xdr:row>
          <xdr:rowOff>19050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1000-00001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30</xdr:row>
          <xdr:rowOff>152400</xdr:rowOff>
        </xdr:from>
        <xdr:to>
          <xdr:col>1</xdr:col>
          <xdr:colOff>1266825</xdr:colOff>
          <xdr:row>32</xdr:row>
          <xdr:rowOff>28575</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1000-00001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31</xdr:row>
          <xdr:rowOff>152400</xdr:rowOff>
        </xdr:from>
        <xdr:to>
          <xdr:col>1</xdr:col>
          <xdr:colOff>1266825</xdr:colOff>
          <xdr:row>33</xdr:row>
          <xdr:rowOff>28575</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1000-00001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352425</xdr:colOff>
          <xdr:row>91</xdr:row>
          <xdr:rowOff>114300</xdr:rowOff>
        </xdr:from>
        <xdr:to>
          <xdr:col>6</xdr:col>
          <xdr:colOff>57150</xdr:colOff>
          <xdr:row>92</xdr:row>
          <xdr:rowOff>161925</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1000-00001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352425</xdr:colOff>
          <xdr:row>92</xdr:row>
          <xdr:rowOff>104775</xdr:rowOff>
        </xdr:from>
        <xdr:to>
          <xdr:col>6</xdr:col>
          <xdr:colOff>57150</xdr:colOff>
          <xdr:row>93</xdr:row>
          <xdr:rowOff>152400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1000-00001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1019175</xdr:colOff>
          <xdr:row>83</xdr:row>
          <xdr:rowOff>133350</xdr:rowOff>
        </xdr:from>
        <xdr:to>
          <xdr:col>1</xdr:col>
          <xdr:colOff>1323975</xdr:colOff>
          <xdr:row>85</xdr:row>
          <xdr:rowOff>9525</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1000-00001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1019175</xdr:colOff>
          <xdr:row>84</xdr:row>
          <xdr:rowOff>133350</xdr:rowOff>
        </xdr:from>
        <xdr:to>
          <xdr:col>1</xdr:col>
          <xdr:colOff>1323975</xdr:colOff>
          <xdr:row>86</xdr:row>
          <xdr:rowOff>9525</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1000-00001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561975</xdr:colOff>
          <xdr:row>97</xdr:row>
          <xdr:rowOff>123825</xdr:rowOff>
        </xdr:from>
        <xdr:to>
          <xdr:col>7</xdr:col>
          <xdr:colOff>95250</xdr:colOff>
          <xdr:row>99</xdr:row>
          <xdr:rowOff>9525</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1000-00001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nderwriter12\Citadel%20Servicing%20Corp\Underwriter%20-%20Documents\CINDY%20L\7005959%20BURGES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roval"/>
      <sheetName val="Wage Earner"/>
      <sheetName val="Appraisal Checklist"/>
      <sheetName val="ASSETS"/>
      <sheetName val="Add'l Debt"/>
      <sheetName val="Bnk Stmts"/>
      <sheetName val="REO Schedule"/>
      <sheetName val="REO Schedule (2)"/>
      <sheetName val="Appraisal Analysis"/>
      <sheetName val="Exception Request"/>
      <sheetName val="UW Notes"/>
      <sheetName val="Income-Brw"/>
      <sheetName val="ADD-ON"/>
      <sheetName val="Income-CB"/>
      <sheetName val="Mtg History"/>
      <sheetName val="E-2 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3">
          <cell r="P3" t="str">
            <v>#</v>
          </cell>
        </row>
        <row r="4">
          <cell r="P4">
            <v>2</v>
          </cell>
        </row>
        <row r="5">
          <cell r="P5">
            <v>3</v>
          </cell>
        </row>
        <row r="6">
          <cell r="P6">
            <v>4</v>
          </cell>
        </row>
      </sheetData>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68" Type="http://schemas.openxmlformats.org/officeDocument/2006/relationships/ctrlProp" Target="../ctrlProps/ctrlProp65.xml"/><Relationship Id="rId76" Type="http://schemas.openxmlformats.org/officeDocument/2006/relationships/ctrlProp" Target="../ctrlProps/ctrlProp73.xml"/><Relationship Id="rId84" Type="http://schemas.openxmlformats.org/officeDocument/2006/relationships/ctrlProp" Target="../ctrlProps/ctrlProp81.xml"/><Relationship Id="rId89" Type="http://schemas.openxmlformats.org/officeDocument/2006/relationships/ctrlProp" Target="../ctrlProps/ctrlProp86.xml"/><Relationship Id="rId7" Type="http://schemas.openxmlformats.org/officeDocument/2006/relationships/ctrlProp" Target="../ctrlProps/ctrlProp4.xml"/><Relationship Id="rId71" Type="http://schemas.openxmlformats.org/officeDocument/2006/relationships/ctrlProp" Target="../ctrlProps/ctrlProp68.xml"/><Relationship Id="rId2" Type="http://schemas.openxmlformats.org/officeDocument/2006/relationships/drawing" Target="../drawings/drawing6.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1" Type="http://schemas.openxmlformats.org/officeDocument/2006/relationships/printerSettings" Target="../printerSettings/printerSettings6.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93.xml"/><Relationship Id="rId13" Type="http://schemas.openxmlformats.org/officeDocument/2006/relationships/ctrlProp" Target="../ctrlProps/ctrlProp98.xml"/><Relationship Id="rId18" Type="http://schemas.openxmlformats.org/officeDocument/2006/relationships/ctrlProp" Target="../ctrlProps/ctrlProp103.xml"/><Relationship Id="rId26" Type="http://schemas.openxmlformats.org/officeDocument/2006/relationships/ctrlProp" Target="../ctrlProps/ctrlProp111.xml"/><Relationship Id="rId3" Type="http://schemas.openxmlformats.org/officeDocument/2006/relationships/vmlDrawing" Target="../drawings/vmlDrawing2.vml"/><Relationship Id="rId21" Type="http://schemas.openxmlformats.org/officeDocument/2006/relationships/ctrlProp" Target="../ctrlProps/ctrlProp106.xml"/><Relationship Id="rId7" Type="http://schemas.openxmlformats.org/officeDocument/2006/relationships/ctrlProp" Target="../ctrlProps/ctrlProp92.xml"/><Relationship Id="rId12" Type="http://schemas.openxmlformats.org/officeDocument/2006/relationships/ctrlProp" Target="../ctrlProps/ctrlProp97.xml"/><Relationship Id="rId17" Type="http://schemas.openxmlformats.org/officeDocument/2006/relationships/ctrlProp" Target="../ctrlProps/ctrlProp102.xml"/><Relationship Id="rId25" Type="http://schemas.openxmlformats.org/officeDocument/2006/relationships/ctrlProp" Target="../ctrlProps/ctrlProp110.xml"/><Relationship Id="rId2" Type="http://schemas.openxmlformats.org/officeDocument/2006/relationships/drawing" Target="../drawings/drawing10.xml"/><Relationship Id="rId16" Type="http://schemas.openxmlformats.org/officeDocument/2006/relationships/ctrlProp" Target="../ctrlProps/ctrlProp101.xml"/><Relationship Id="rId20" Type="http://schemas.openxmlformats.org/officeDocument/2006/relationships/ctrlProp" Target="../ctrlProps/ctrlProp105.xml"/><Relationship Id="rId1" Type="http://schemas.openxmlformats.org/officeDocument/2006/relationships/printerSettings" Target="../printerSettings/printerSettings13.bin"/><Relationship Id="rId6" Type="http://schemas.openxmlformats.org/officeDocument/2006/relationships/ctrlProp" Target="../ctrlProps/ctrlProp91.xml"/><Relationship Id="rId11" Type="http://schemas.openxmlformats.org/officeDocument/2006/relationships/ctrlProp" Target="../ctrlProps/ctrlProp96.xml"/><Relationship Id="rId24" Type="http://schemas.openxmlformats.org/officeDocument/2006/relationships/ctrlProp" Target="../ctrlProps/ctrlProp109.xml"/><Relationship Id="rId5" Type="http://schemas.openxmlformats.org/officeDocument/2006/relationships/ctrlProp" Target="../ctrlProps/ctrlProp90.xml"/><Relationship Id="rId15" Type="http://schemas.openxmlformats.org/officeDocument/2006/relationships/ctrlProp" Target="../ctrlProps/ctrlProp100.xml"/><Relationship Id="rId23" Type="http://schemas.openxmlformats.org/officeDocument/2006/relationships/ctrlProp" Target="../ctrlProps/ctrlProp108.xml"/><Relationship Id="rId28" Type="http://schemas.openxmlformats.org/officeDocument/2006/relationships/ctrlProp" Target="../ctrlProps/ctrlProp113.xml"/><Relationship Id="rId10" Type="http://schemas.openxmlformats.org/officeDocument/2006/relationships/ctrlProp" Target="../ctrlProps/ctrlProp95.xml"/><Relationship Id="rId19" Type="http://schemas.openxmlformats.org/officeDocument/2006/relationships/ctrlProp" Target="../ctrlProps/ctrlProp104.xml"/><Relationship Id="rId4" Type="http://schemas.openxmlformats.org/officeDocument/2006/relationships/ctrlProp" Target="../ctrlProps/ctrlProp89.xml"/><Relationship Id="rId9" Type="http://schemas.openxmlformats.org/officeDocument/2006/relationships/ctrlProp" Target="../ctrlProps/ctrlProp94.xml"/><Relationship Id="rId14" Type="http://schemas.openxmlformats.org/officeDocument/2006/relationships/ctrlProp" Target="../ctrlProps/ctrlProp99.xml"/><Relationship Id="rId22" Type="http://schemas.openxmlformats.org/officeDocument/2006/relationships/ctrlProp" Target="../ctrlProps/ctrlProp107.xml"/><Relationship Id="rId27" Type="http://schemas.openxmlformats.org/officeDocument/2006/relationships/ctrlProp" Target="../ctrlProps/ctrlProp1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8" Type="http://schemas.openxmlformats.org/officeDocument/2006/relationships/ctrlProp" Target="../ctrlProps/ctrlProp118.xml"/><Relationship Id="rId13" Type="http://schemas.openxmlformats.org/officeDocument/2006/relationships/ctrlProp" Target="../ctrlProps/ctrlProp123.xml"/><Relationship Id="rId18" Type="http://schemas.openxmlformats.org/officeDocument/2006/relationships/ctrlProp" Target="../ctrlProps/ctrlProp128.xml"/><Relationship Id="rId26" Type="http://schemas.openxmlformats.org/officeDocument/2006/relationships/ctrlProp" Target="../ctrlProps/ctrlProp136.xml"/><Relationship Id="rId3" Type="http://schemas.openxmlformats.org/officeDocument/2006/relationships/vmlDrawing" Target="../drawings/vmlDrawing3.vml"/><Relationship Id="rId21" Type="http://schemas.openxmlformats.org/officeDocument/2006/relationships/ctrlProp" Target="../ctrlProps/ctrlProp131.xml"/><Relationship Id="rId7" Type="http://schemas.openxmlformats.org/officeDocument/2006/relationships/ctrlProp" Target="../ctrlProps/ctrlProp117.xml"/><Relationship Id="rId12" Type="http://schemas.openxmlformats.org/officeDocument/2006/relationships/ctrlProp" Target="../ctrlProps/ctrlProp122.xml"/><Relationship Id="rId17" Type="http://schemas.openxmlformats.org/officeDocument/2006/relationships/ctrlProp" Target="../ctrlProps/ctrlProp127.xml"/><Relationship Id="rId25" Type="http://schemas.openxmlformats.org/officeDocument/2006/relationships/ctrlProp" Target="../ctrlProps/ctrlProp135.xml"/><Relationship Id="rId2" Type="http://schemas.openxmlformats.org/officeDocument/2006/relationships/drawing" Target="../drawings/drawing13.xml"/><Relationship Id="rId16" Type="http://schemas.openxmlformats.org/officeDocument/2006/relationships/ctrlProp" Target="../ctrlProps/ctrlProp126.xml"/><Relationship Id="rId20" Type="http://schemas.openxmlformats.org/officeDocument/2006/relationships/ctrlProp" Target="../ctrlProps/ctrlProp130.xml"/><Relationship Id="rId1" Type="http://schemas.openxmlformats.org/officeDocument/2006/relationships/printerSettings" Target="../printerSettings/printerSettings16.bin"/><Relationship Id="rId6" Type="http://schemas.openxmlformats.org/officeDocument/2006/relationships/ctrlProp" Target="../ctrlProps/ctrlProp116.xml"/><Relationship Id="rId11" Type="http://schemas.openxmlformats.org/officeDocument/2006/relationships/ctrlProp" Target="../ctrlProps/ctrlProp121.xml"/><Relationship Id="rId24" Type="http://schemas.openxmlformats.org/officeDocument/2006/relationships/ctrlProp" Target="../ctrlProps/ctrlProp134.xml"/><Relationship Id="rId5" Type="http://schemas.openxmlformats.org/officeDocument/2006/relationships/ctrlProp" Target="../ctrlProps/ctrlProp115.xml"/><Relationship Id="rId15" Type="http://schemas.openxmlformats.org/officeDocument/2006/relationships/ctrlProp" Target="../ctrlProps/ctrlProp125.xml"/><Relationship Id="rId23" Type="http://schemas.openxmlformats.org/officeDocument/2006/relationships/ctrlProp" Target="../ctrlProps/ctrlProp133.xml"/><Relationship Id="rId28" Type="http://schemas.openxmlformats.org/officeDocument/2006/relationships/ctrlProp" Target="../ctrlProps/ctrlProp138.xml"/><Relationship Id="rId10" Type="http://schemas.openxmlformats.org/officeDocument/2006/relationships/ctrlProp" Target="../ctrlProps/ctrlProp120.xml"/><Relationship Id="rId19" Type="http://schemas.openxmlformats.org/officeDocument/2006/relationships/ctrlProp" Target="../ctrlProps/ctrlProp129.xml"/><Relationship Id="rId4" Type="http://schemas.openxmlformats.org/officeDocument/2006/relationships/ctrlProp" Target="../ctrlProps/ctrlProp114.xml"/><Relationship Id="rId9" Type="http://schemas.openxmlformats.org/officeDocument/2006/relationships/ctrlProp" Target="../ctrlProps/ctrlProp119.xml"/><Relationship Id="rId14" Type="http://schemas.openxmlformats.org/officeDocument/2006/relationships/ctrlProp" Target="../ctrlProps/ctrlProp124.xml"/><Relationship Id="rId22" Type="http://schemas.openxmlformats.org/officeDocument/2006/relationships/ctrlProp" Target="../ctrlProps/ctrlProp132.xml"/><Relationship Id="rId27" Type="http://schemas.openxmlformats.org/officeDocument/2006/relationships/ctrlProp" Target="../ctrlProps/ctrlProp1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XFC90"/>
  <sheetViews>
    <sheetView tabSelected="1" topLeftCell="A10" workbookViewId="0">
      <selection activeCell="AB6" sqref="AB6:AI7"/>
    </sheetView>
  </sheetViews>
  <sheetFormatPr defaultColWidth="0" defaultRowHeight="13.5" customHeight="1" zeroHeight="1" x14ac:dyDescent="0.2"/>
  <cols>
    <col min="1" max="2" width="2.5703125" style="100" customWidth="1"/>
    <col min="3" max="3" width="7.140625" style="100" customWidth="1"/>
    <col min="4" max="5" width="2.5703125" style="100" customWidth="1"/>
    <col min="6" max="6" width="5.42578125" style="100" customWidth="1"/>
    <col min="7" max="7" width="5.28515625" style="100" customWidth="1"/>
    <col min="8" max="8" width="2.7109375" style="100" customWidth="1"/>
    <col min="9" max="9" width="2.5703125" style="100" customWidth="1"/>
    <col min="10" max="10" width="3.7109375" style="100" customWidth="1"/>
    <col min="11" max="11" width="2.5703125" style="100" customWidth="1"/>
    <col min="12" max="12" width="1.28515625" style="100" customWidth="1"/>
    <col min="13" max="13" width="2.85546875" style="100" customWidth="1"/>
    <col min="14" max="14" width="2.5703125" style="100" customWidth="1"/>
    <col min="15" max="15" width="3.5703125" style="100" customWidth="1"/>
    <col min="16" max="16" width="2.7109375" style="100" customWidth="1"/>
    <col min="17" max="18" width="2.5703125" style="100" customWidth="1"/>
    <col min="19" max="19" width="1.7109375" style="100" customWidth="1"/>
    <col min="20" max="21" width="2.5703125" style="100" customWidth="1"/>
    <col min="22" max="22" width="3.7109375" style="100" customWidth="1"/>
    <col min="23" max="23" width="3.140625" style="100" customWidth="1"/>
    <col min="24" max="24" width="5.85546875" style="100" customWidth="1"/>
    <col min="25" max="26" width="2.5703125" style="100" customWidth="1"/>
    <col min="27" max="28" width="3.140625" style="100" customWidth="1"/>
    <col min="29" max="30" width="2.5703125" style="100" customWidth="1"/>
    <col min="31" max="31" width="3.28515625" style="100" customWidth="1"/>
    <col min="32" max="32" width="4" style="100" customWidth="1"/>
    <col min="33" max="33" width="6" style="100" customWidth="1"/>
    <col min="34" max="35" width="2.5703125" style="100" customWidth="1"/>
    <col min="36" max="36" width="3.140625" style="100" customWidth="1"/>
    <col min="37" max="37" width="2.5703125" style="100" customWidth="1"/>
    <col min="38" max="38" width="3.140625" style="100" customWidth="1"/>
    <col min="39" max="39" width="2.5703125" style="100" customWidth="1"/>
    <col min="40" max="40" width="8.5703125" style="100" customWidth="1"/>
    <col min="41" max="41" width="2.5703125" style="100" customWidth="1"/>
    <col min="42" max="16383" width="0" style="100" hidden="1"/>
    <col min="16384" max="16384" width="15" style="100" hidden="1" customWidth="1"/>
  </cols>
  <sheetData>
    <row r="1" spans="1:41" s="63" customFormat="1" ht="13.5" customHeight="1" x14ac:dyDescent="0.2">
      <c r="A1" s="58"/>
      <c r="B1" s="58"/>
      <c r="C1" s="58"/>
      <c r="D1" s="58"/>
      <c r="E1" s="58"/>
      <c r="F1" s="58"/>
      <c r="H1" s="1027"/>
      <c r="I1" s="1028"/>
      <c r="J1" s="1028"/>
      <c r="K1" s="1028"/>
      <c r="L1" s="1028"/>
      <c r="M1" s="1028"/>
      <c r="N1" s="1028"/>
      <c r="O1" s="1028"/>
      <c r="P1" s="1028"/>
      <c r="Q1" s="1028"/>
      <c r="R1" s="1028"/>
      <c r="S1" s="1028"/>
      <c r="T1" s="1028"/>
      <c r="U1" s="1028"/>
      <c r="V1" s="1028"/>
      <c r="W1" s="1028"/>
      <c r="X1" s="1028"/>
      <c r="Y1" s="1063" t="s">
        <v>543</v>
      </c>
      <c r="Z1" s="1063"/>
      <c r="AA1" s="1063"/>
      <c r="AB1" s="1063"/>
      <c r="AC1" s="1063"/>
      <c r="AD1" s="1063"/>
      <c r="AE1" s="1063"/>
      <c r="AF1" s="1063"/>
      <c r="AG1" s="1063"/>
      <c r="AH1" s="1063"/>
      <c r="AI1" s="1063"/>
      <c r="AJ1" s="1063"/>
      <c r="AK1" s="1063"/>
      <c r="AL1" s="1063"/>
      <c r="AM1" s="1063"/>
      <c r="AN1" s="1063"/>
      <c r="AO1" s="58"/>
    </row>
    <row r="2" spans="1:41" s="63" customFormat="1" ht="13.5" customHeight="1" x14ac:dyDescent="0.35">
      <c r="A2" s="58"/>
      <c r="B2" s="58"/>
      <c r="C2" s="58"/>
      <c r="D2" s="58"/>
      <c r="E2" s="58"/>
      <c r="F2" s="58"/>
      <c r="G2" s="101"/>
      <c r="H2" s="1028"/>
      <c r="I2" s="1028"/>
      <c r="J2" s="1028"/>
      <c r="K2" s="1028"/>
      <c r="L2" s="1028"/>
      <c r="M2" s="1028"/>
      <c r="N2" s="1028"/>
      <c r="O2" s="1028"/>
      <c r="P2" s="1028"/>
      <c r="Q2" s="1028"/>
      <c r="R2" s="1028"/>
      <c r="S2" s="1028"/>
      <c r="T2" s="1028"/>
      <c r="U2" s="1028"/>
      <c r="V2" s="1028"/>
      <c r="W2" s="1028"/>
      <c r="X2" s="1028"/>
      <c r="Y2" s="1064" t="s">
        <v>486</v>
      </c>
      <c r="Z2" s="1064"/>
      <c r="AA2" s="1064"/>
      <c r="AB2" s="1064"/>
      <c r="AC2" s="1064"/>
      <c r="AD2" s="1064"/>
      <c r="AE2" s="1064"/>
      <c r="AF2" s="1064"/>
      <c r="AG2" s="1064"/>
      <c r="AH2" s="1064"/>
      <c r="AI2" s="1064"/>
      <c r="AJ2" s="1064"/>
      <c r="AK2" s="1064"/>
      <c r="AL2" s="1064"/>
      <c r="AM2" s="1064"/>
      <c r="AN2" s="1064"/>
      <c r="AO2" s="58"/>
    </row>
    <row r="3" spans="1:41" s="63" customFormat="1" ht="13.5" customHeight="1" x14ac:dyDescent="0.35">
      <c r="A3" s="58"/>
      <c r="B3" s="58"/>
      <c r="C3" s="58"/>
      <c r="D3" s="58"/>
      <c r="E3" s="58"/>
      <c r="F3" s="58"/>
      <c r="G3" s="103"/>
      <c r="H3" s="1028"/>
      <c r="I3" s="1028"/>
      <c r="J3" s="1028"/>
      <c r="K3" s="1028"/>
      <c r="L3" s="1028"/>
      <c r="M3" s="1028"/>
      <c r="N3" s="1028"/>
      <c r="O3" s="1028"/>
      <c r="P3" s="1028"/>
      <c r="Q3" s="1028"/>
      <c r="R3" s="1028"/>
      <c r="S3" s="1028"/>
      <c r="T3" s="1028"/>
      <c r="U3" s="1028"/>
      <c r="V3" s="1028"/>
      <c r="W3" s="1028"/>
      <c r="X3" s="1028"/>
      <c r="Y3" s="1064"/>
      <c r="Z3" s="1064"/>
      <c r="AA3" s="1064"/>
      <c r="AB3" s="1064"/>
      <c r="AC3" s="1064"/>
      <c r="AD3" s="1064"/>
      <c r="AE3" s="1064"/>
      <c r="AF3" s="1064"/>
      <c r="AG3" s="1064"/>
      <c r="AH3" s="1064"/>
      <c r="AI3" s="1064"/>
      <c r="AJ3" s="1064"/>
      <c r="AK3" s="1064"/>
      <c r="AL3" s="1064"/>
      <c r="AM3" s="1064"/>
      <c r="AN3" s="1064"/>
      <c r="AO3" s="58"/>
    </row>
    <row r="4" spans="1:41" s="63" customFormat="1" ht="13.5" customHeight="1" x14ac:dyDescent="0.3">
      <c r="A4" s="57"/>
      <c r="B4" s="57"/>
      <c r="C4" s="57"/>
      <c r="D4" s="57"/>
      <c r="E4" s="57"/>
      <c r="F4" s="57"/>
      <c r="G4" s="102"/>
      <c r="H4" s="1028"/>
      <c r="I4" s="1028"/>
      <c r="J4" s="1028"/>
      <c r="K4" s="1028"/>
      <c r="L4" s="1028"/>
      <c r="M4" s="1028"/>
      <c r="N4" s="1028"/>
      <c r="O4" s="1028"/>
      <c r="P4" s="1028"/>
      <c r="Q4" s="1028"/>
      <c r="R4" s="1028"/>
      <c r="S4" s="1028"/>
      <c r="T4" s="1028"/>
      <c r="U4" s="1028"/>
      <c r="V4" s="1028"/>
      <c r="W4" s="1028"/>
      <c r="X4" s="1028"/>
      <c r="Y4" s="1064"/>
      <c r="Z4" s="1064"/>
      <c r="AA4" s="1064"/>
      <c r="AB4" s="1064"/>
      <c r="AC4" s="1064"/>
      <c r="AD4" s="1064"/>
      <c r="AE4" s="1064"/>
      <c r="AF4" s="1064"/>
      <c r="AG4" s="1064"/>
      <c r="AH4" s="1064"/>
      <c r="AI4" s="1064"/>
      <c r="AJ4" s="1064"/>
      <c r="AK4" s="1064"/>
      <c r="AL4" s="1064"/>
      <c r="AM4" s="1064"/>
      <c r="AN4" s="1064"/>
      <c r="AO4" s="57"/>
    </row>
    <row r="5" spans="1:41" s="63" customFormat="1" ht="20.25" customHeight="1" thickBot="1" x14ac:dyDescent="0.25">
      <c r="A5" s="58"/>
      <c r="B5" s="58"/>
      <c r="C5" s="58"/>
      <c r="D5" s="59"/>
      <c r="E5" s="59"/>
      <c r="F5" s="58"/>
      <c r="G5" s="58"/>
      <c r="H5" s="58"/>
      <c r="I5" s="58"/>
      <c r="J5" s="814"/>
      <c r="K5" s="59"/>
      <c r="L5" s="58"/>
      <c r="M5" s="58"/>
      <c r="N5" s="349"/>
      <c r="O5" s="815"/>
      <c r="P5" s="815"/>
      <c r="Q5" s="815"/>
      <c r="R5" s="815"/>
      <c r="S5" s="815"/>
      <c r="T5" s="815"/>
      <c r="U5" s="1258" t="str">
        <f>IF(AH5="WHOLESALE","Broker Compensation Plan:",IF(AH5="RETAIL","Lender Credit?",""))</f>
        <v/>
      </c>
      <c r="V5" s="1258"/>
      <c r="W5" s="1258"/>
      <c r="X5" s="1258"/>
      <c r="Y5" s="1258"/>
      <c r="Z5" s="1258"/>
      <c r="AA5" s="1258"/>
      <c r="AB5" s="1257" t="s">
        <v>407</v>
      </c>
      <c r="AC5" s="1257"/>
      <c r="AD5" s="1257"/>
      <c r="AE5" s="1257"/>
      <c r="AF5" s="1257"/>
      <c r="AG5" s="816" t="str">
        <f>IF(AH5="WHOLESALE","Broker Compensation",IF(AH5="RETAIL","RETAIL LENDER CREDIT",""))</f>
        <v/>
      </c>
      <c r="AH5" s="1268" t="s">
        <v>407</v>
      </c>
      <c r="AI5" s="1268"/>
      <c r="AJ5" s="1268"/>
      <c r="AK5" s="1268"/>
      <c r="AL5" s="1268"/>
      <c r="AM5" s="1268"/>
      <c r="AN5" s="1268"/>
      <c r="AO5" s="58"/>
    </row>
    <row r="6" spans="1:41" s="63" customFormat="1" ht="13.5" customHeight="1" x14ac:dyDescent="0.2">
      <c r="A6" s="233" t="s">
        <v>1</v>
      </c>
      <c r="B6" s="234"/>
      <c r="C6" s="234"/>
      <c r="D6" s="235"/>
      <c r="E6" s="1136"/>
      <c r="F6" s="1136"/>
      <c r="G6" s="1136"/>
      <c r="H6" s="1136"/>
      <c r="I6" s="1136"/>
      <c r="J6" s="1136"/>
      <c r="K6" s="1136"/>
      <c r="L6" s="1136"/>
      <c r="M6" s="1136"/>
      <c r="N6" s="1136"/>
      <c r="O6" s="1136"/>
      <c r="P6" s="1137"/>
      <c r="Q6" s="596" t="s">
        <v>41</v>
      </c>
      <c r="R6" s="594"/>
      <c r="S6" s="594"/>
      <c r="T6" s="594"/>
      <c r="U6" s="594"/>
      <c r="V6" s="594"/>
      <c r="W6" s="594"/>
      <c r="X6" s="595"/>
      <c r="Y6" s="236" t="s">
        <v>153</v>
      </c>
      <c r="Z6" s="234"/>
      <c r="AA6" s="234"/>
      <c r="AB6" s="1059" t="s">
        <v>407</v>
      </c>
      <c r="AC6" s="1059"/>
      <c r="AD6" s="1059"/>
      <c r="AE6" s="1059"/>
      <c r="AF6" s="1059"/>
      <c r="AG6" s="1059"/>
      <c r="AH6" s="1059"/>
      <c r="AI6" s="1060"/>
      <c r="AJ6" s="378"/>
      <c r="AK6" s="234"/>
      <c r="AL6" s="1109" t="str">
        <f>IF(AD9="X",IF(AB6="ODF",IF(U10="X","IO ODF"," "), IF(AB6="A+", IF(U10="X","IOMAG","MAG"),IF(U10="X","IONP","NP"))),IF(AD10="X","NP2"," "))</f>
        <v>NP</v>
      </c>
      <c r="AM6" s="1109"/>
      <c r="AN6" s="1110"/>
      <c r="AO6" s="58"/>
    </row>
    <row r="7" spans="1:41" s="63" customFormat="1" ht="13.5" customHeight="1" x14ac:dyDescent="0.2">
      <c r="A7" s="237"/>
      <c r="B7" s="454"/>
      <c r="C7" s="454"/>
      <c r="D7" s="454"/>
      <c r="E7" s="1173"/>
      <c r="F7" s="1173"/>
      <c r="G7" s="1173"/>
      <c r="H7" s="1173"/>
      <c r="I7" s="1173"/>
      <c r="J7" s="1173"/>
      <c r="K7" s="1173"/>
      <c r="L7" s="1173"/>
      <c r="M7" s="1173"/>
      <c r="N7" s="1173"/>
      <c r="O7" s="1173"/>
      <c r="P7" s="1174"/>
      <c r="Q7" s="1029"/>
      <c r="R7" s="1030"/>
      <c r="S7" s="1030"/>
      <c r="T7" s="1030"/>
      <c r="U7" s="1030"/>
      <c r="V7" s="1030"/>
      <c r="W7" s="1030"/>
      <c r="X7" s="1031"/>
      <c r="Y7" s="239" t="s">
        <v>154</v>
      </c>
      <c r="Z7" s="238"/>
      <c r="AA7" s="238"/>
      <c r="AB7" s="1061"/>
      <c r="AC7" s="1061"/>
      <c r="AD7" s="1061"/>
      <c r="AE7" s="1061"/>
      <c r="AF7" s="1061"/>
      <c r="AG7" s="1061"/>
      <c r="AH7" s="1061"/>
      <c r="AI7" s="1062"/>
      <c r="AJ7" s="239"/>
      <c r="AK7" s="238"/>
      <c r="AL7" s="1111"/>
      <c r="AM7" s="1111"/>
      <c r="AN7" s="1112"/>
      <c r="AO7" s="58"/>
    </row>
    <row r="8" spans="1:41" s="63" customFormat="1" ht="13.5" customHeight="1" x14ac:dyDescent="0.2">
      <c r="A8" s="240" t="s">
        <v>3</v>
      </c>
      <c r="B8" s="241"/>
      <c r="C8" s="241"/>
      <c r="D8" s="241"/>
      <c r="E8" s="241"/>
      <c r="F8" s="241"/>
      <c r="G8" s="241"/>
      <c r="H8" s="241"/>
      <c r="I8" s="241"/>
      <c r="J8" s="241"/>
      <c r="K8" s="242"/>
      <c r="L8" s="241"/>
      <c r="M8" s="241"/>
      <c r="N8" s="241"/>
      <c r="O8" s="242"/>
      <c r="P8" s="243"/>
      <c r="Q8" s="244" t="s">
        <v>4</v>
      </c>
      <c r="R8" s="245"/>
      <c r="S8" s="241"/>
      <c r="T8" s="241"/>
      <c r="U8" s="1138" t="str">
        <f>IF(AND(AD10="X",U9="X",AB9=180),"15YR FIX",IF(AND(AB6="ODF",OR(Q13="X",Q14="X"),U9="X"),"N/A",IF(AND(U10="",U9="X"),"30YR FIX",IF(AND(U10="X",V10="Int Only",Q9="X"),"7/1 ARM I/O",IF(AND(U10="X",V10="Int Only",U9="X"),"30YR FIX I/O","7/1 ARM")))))</f>
        <v>7/1 ARM</v>
      </c>
      <c r="V8" s="1138"/>
      <c r="W8" s="1138"/>
      <c r="X8" s="1139"/>
      <c r="Y8" s="244" t="s">
        <v>5</v>
      </c>
      <c r="Z8" s="241"/>
      <c r="AA8" s="241"/>
      <c r="AB8" s="241"/>
      <c r="AC8" s="241"/>
      <c r="AD8" s="244" t="s">
        <v>7</v>
      </c>
      <c r="AE8" s="241"/>
      <c r="AF8" s="243"/>
      <c r="AG8" s="244" t="s">
        <v>8</v>
      </c>
      <c r="AH8" s="241"/>
      <c r="AI8" s="241"/>
      <c r="AJ8" s="241"/>
      <c r="AK8" s="241"/>
      <c r="AL8" s="241"/>
      <c r="AM8" s="241"/>
      <c r="AN8" s="246"/>
      <c r="AO8" s="58"/>
    </row>
    <row r="9" spans="1:41" s="63" customFormat="1" ht="13.5" customHeight="1" x14ac:dyDescent="0.2">
      <c r="A9" s="1199"/>
      <c r="B9" s="1200"/>
      <c r="C9" s="1200"/>
      <c r="D9" s="1200"/>
      <c r="E9" s="1200"/>
      <c r="F9" s="1200"/>
      <c r="G9" s="1200"/>
      <c r="H9" s="1200"/>
      <c r="I9" s="1200"/>
      <c r="J9" s="1200"/>
      <c r="K9" s="1200"/>
      <c r="L9" s="1200"/>
      <c r="M9" s="1200"/>
      <c r="N9" s="1200"/>
      <c r="O9" s="1200"/>
      <c r="P9" s="1201"/>
      <c r="Q9" s="258" t="s">
        <v>288</v>
      </c>
      <c r="R9" s="1089" t="s">
        <v>90</v>
      </c>
      <c r="S9" s="1090"/>
      <c r="T9" s="1091"/>
      <c r="U9" s="258"/>
      <c r="V9" s="1170" t="str">
        <f>IF(AND(AB6="ODF",OR(Q13="X",Q14="X")),"N/A","FIXED")</f>
        <v>FIXED</v>
      </c>
      <c r="W9" s="1090"/>
      <c r="X9" s="1091"/>
      <c r="Y9" s="249" t="s">
        <v>91</v>
      </c>
      <c r="Z9" s="247"/>
      <c r="AA9" s="247"/>
      <c r="AB9" s="1092">
        <f>IF(AND(U9="X",AD10="X"),180,360)</f>
        <v>360</v>
      </c>
      <c r="AC9" s="1093"/>
      <c r="AD9" s="258" t="s">
        <v>288</v>
      </c>
      <c r="AE9" s="247" t="s">
        <v>92</v>
      </c>
      <c r="AF9" s="248"/>
      <c r="AG9" s="1178"/>
      <c r="AH9" s="1179"/>
      <c r="AI9" s="1179"/>
      <c r="AJ9" s="1179"/>
      <c r="AK9" s="1179"/>
      <c r="AL9" s="1179"/>
      <c r="AM9" s="1179"/>
      <c r="AN9" s="1180"/>
      <c r="AO9" s="58"/>
    </row>
    <row r="10" spans="1:41" s="63" customFormat="1" ht="13.5" customHeight="1" x14ac:dyDescent="0.2">
      <c r="A10" s="1194"/>
      <c r="B10" s="1195"/>
      <c r="C10" s="1195"/>
      <c r="D10" s="1195"/>
      <c r="E10" s="1195"/>
      <c r="F10" s="1195"/>
      <c r="G10" s="1195"/>
      <c r="H10" s="1195"/>
      <c r="I10" s="1195"/>
      <c r="J10" s="1195"/>
      <c r="K10" s="1195"/>
      <c r="L10" s="1190"/>
      <c r="M10" s="1030"/>
      <c r="N10" s="1191"/>
      <c r="O10" s="1192"/>
      <c r="P10" s="1193"/>
      <c r="Q10" s="258"/>
      <c r="R10" s="238" t="s">
        <v>6</v>
      </c>
      <c r="S10" s="238"/>
      <c r="T10" s="238"/>
      <c r="U10" s="258"/>
      <c r="V10" s="1175" t="str">
        <f>IF(AL6="NP2", "I/O NA", "Int Only")</f>
        <v>Int Only</v>
      </c>
      <c r="W10" s="1176"/>
      <c r="X10" s="1177"/>
      <c r="Y10" s="250" t="s">
        <v>155</v>
      </c>
      <c r="Z10" s="238"/>
      <c r="AA10" s="238"/>
      <c r="AB10" s="1181"/>
      <c r="AC10" s="1131"/>
      <c r="AD10" s="258"/>
      <c r="AE10" s="238" t="s">
        <v>93</v>
      </c>
      <c r="AF10" s="238"/>
      <c r="AG10" s="244" t="s">
        <v>9</v>
      </c>
      <c r="AH10" s="241"/>
      <c r="AI10" s="241"/>
      <c r="AJ10" s="243"/>
      <c r="AK10" s="241" t="s">
        <v>11</v>
      </c>
      <c r="AL10" s="241"/>
      <c r="AM10" s="241"/>
      <c r="AN10" s="246"/>
      <c r="AO10" s="58"/>
    </row>
    <row r="11" spans="1:41" s="63" customFormat="1" ht="13.5" customHeight="1" x14ac:dyDescent="0.2">
      <c r="A11" s="240" t="s">
        <v>13</v>
      </c>
      <c r="B11" s="241"/>
      <c r="C11" s="241"/>
      <c r="D11" s="241"/>
      <c r="E11" s="241"/>
      <c r="F11" s="241"/>
      <c r="G11" s="241"/>
      <c r="H11" s="243"/>
      <c r="I11" s="251" t="s">
        <v>14</v>
      </c>
      <c r="J11" s="252"/>
      <c r="K11" s="242"/>
      <c r="L11" s="241"/>
      <c r="M11" s="253"/>
      <c r="N11" s="241"/>
      <c r="O11" s="254"/>
      <c r="P11" s="243"/>
      <c r="Q11" s="244" t="s">
        <v>98</v>
      </c>
      <c r="R11" s="241"/>
      <c r="S11" s="241"/>
      <c r="T11" s="241"/>
      <c r="U11" s="241"/>
      <c r="V11" s="241"/>
      <c r="W11" s="241"/>
      <c r="X11" s="243"/>
      <c r="Y11" s="244" t="s">
        <v>12</v>
      </c>
      <c r="Z11" s="241"/>
      <c r="AA11" s="241"/>
      <c r="AB11" s="241"/>
      <c r="AC11" s="241"/>
      <c r="AD11" s="241"/>
      <c r="AE11" s="241"/>
      <c r="AF11" s="241"/>
      <c r="AG11" s="1121" t="e">
        <f>AG9/AI41</f>
        <v>#DIV/0!</v>
      </c>
      <c r="AH11" s="1122"/>
      <c r="AI11" s="1122"/>
      <c r="AJ11" s="1123"/>
      <c r="AK11" s="1182" t="e">
        <f>IF(AI64="NA", AG11,(AG9+AI64)/AI41)</f>
        <v>#DIV/0!</v>
      </c>
      <c r="AL11" s="1183"/>
      <c r="AM11" s="1183"/>
      <c r="AN11" s="1184"/>
      <c r="AO11" s="58"/>
    </row>
    <row r="12" spans="1:41" s="63" customFormat="1" ht="13.5" customHeight="1" x14ac:dyDescent="0.25">
      <c r="A12" s="640"/>
      <c r="B12" s="1170" t="s">
        <v>94</v>
      </c>
      <c r="C12" s="1171"/>
      <c r="D12" s="1171"/>
      <c r="E12" s="1171"/>
      <c r="F12" s="1171"/>
      <c r="G12" s="1171"/>
      <c r="H12" s="1172"/>
      <c r="I12" s="639"/>
      <c r="J12" s="1188" t="s">
        <v>96</v>
      </c>
      <c r="K12" s="1100"/>
      <c r="L12" s="1100"/>
      <c r="M12" s="1100"/>
      <c r="N12" s="1100"/>
      <c r="O12" s="1100"/>
      <c r="P12" s="1189"/>
      <c r="Q12" s="639"/>
      <c r="R12" s="1202" t="str">
        <f>IF(AL6="ODF","Owner - User", "Primary Residence")</f>
        <v>Primary Residence</v>
      </c>
      <c r="S12" s="1203"/>
      <c r="T12" s="1203"/>
      <c r="U12" s="1203"/>
      <c r="V12" s="1203"/>
      <c r="W12" s="1203"/>
      <c r="X12" s="248"/>
      <c r="Z12" s="639"/>
      <c r="AA12" s="1094" t="s">
        <v>484</v>
      </c>
      <c r="AB12" s="1100"/>
      <c r="AC12" s="1100"/>
      <c r="AD12" s="1100"/>
      <c r="AE12" s="247"/>
      <c r="AF12" s="247"/>
      <c r="AG12" s="1124"/>
      <c r="AH12" s="1125"/>
      <c r="AI12" s="1125"/>
      <c r="AJ12" s="1126"/>
      <c r="AK12" s="1185"/>
      <c r="AL12" s="1186"/>
      <c r="AM12" s="1186"/>
      <c r="AN12" s="1187"/>
      <c r="AO12" s="58"/>
    </row>
    <row r="13" spans="1:41" s="63" customFormat="1" ht="13.5" customHeight="1" x14ac:dyDescent="0.25">
      <c r="A13" s="640"/>
      <c r="B13" s="1196" t="s">
        <v>95</v>
      </c>
      <c r="C13" s="1197"/>
      <c r="D13" s="1197"/>
      <c r="E13" s="1197"/>
      <c r="F13" s="1197"/>
      <c r="G13" s="1197"/>
      <c r="H13" s="1198"/>
      <c r="I13" s="639"/>
      <c r="J13" s="1188" t="s">
        <v>97</v>
      </c>
      <c r="K13" s="1100"/>
      <c r="L13" s="1100"/>
      <c r="M13" s="1100"/>
      <c r="N13" s="1100"/>
      <c r="O13" s="1100"/>
      <c r="P13" s="1189"/>
      <c r="Q13" s="639"/>
      <c r="R13" s="255" t="str">
        <f>IF(AB6="A+"," N/A",IF(AD10="X","N/A","Second Home"))</f>
        <v>Second Home</v>
      </c>
      <c r="S13" s="247"/>
      <c r="T13" s="247"/>
      <c r="U13" s="247"/>
      <c r="V13" s="247"/>
      <c r="W13" s="590" t="str">
        <f>IF(NOT(ISBLANK(I15)),"Condo?","")</f>
        <v/>
      </c>
      <c r="X13" s="248"/>
      <c r="Y13" s="249"/>
      <c r="Z13" s="639"/>
      <c r="AA13" s="1170" t="s">
        <v>150</v>
      </c>
      <c r="AB13" s="1171"/>
      <c r="AC13" s="1171"/>
      <c r="AD13" s="1171"/>
      <c r="AE13" s="1171"/>
      <c r="AF13" s="1172"/>
      <c r="AG13" s="244" t="s">
        <v>10</v>
      </c>
      <c r="AH13" s="241"/>
      <c r="AI13" s="241"/>
      <c r="AJ13" s="243"/>
      <c r="AK13" s="241" t="s">
        <v>137</v>
      </c>
      <c r="AL13" s="241"/>
      <c r="AM13" s="241"/>
      <c r="AN13" s="246"/>
      <c r="AO13" s="58"/>
    </row>
    <row r="14" spans="1:41" s="63" customFormat="1" ht="13.5" customHeight="1" x14ac:dyDescent="0.25">
      <c r="A14" s="640"/>
      <c r="B14" s="1196" t="s">
        <v>511</v>
      </c>
      <c r="C14" s="1197"/>
      <c r="D14" s="1197"/>
      <c r="E14" s="1197"/>
      <c r="F14" s="1197"/>
      <c r="G14" s="1197"/>
      <c r="H14" s="1198"/>
      <c r="I14" s="639"/>
      <c r="J14" s="591" t="s">
        <v>440</v>
      </c>
      <c r="K14" s="260"/>
      <c r="L14" s="1095" t="s">
        <v>79</v>
      </c>
      <c r="M14" s="1095"/>
      <c r="N14" s="1095"/>
      <c r="O14" s="260"/>
      <c r="P14" s="592"/>
      <c r="Q14" s="639"/>
      <c r="R14" s="1097" t="str">
        <f>IF(AB6="A+", " N/A", IF(AD10="X", "N/A", "Non-Owner Occupied"))</f>
        <v>Non-Owner Occupied</v>
      </c>
      <c r="S14" s="1098"/>
      <c r="T14" s="1098"/>
      <c r="U14" s="1098"/>
      <c r="V14" s="1098"/>
      <c r="W14" s="1098"/>
      <c r="X14" s="1099"/>
      <c r="Y14" s="249"/>
      <c r="Z14" s="639"/>
      <c r="AA14" s="1094" t="s">
        <v>436</v>
      </c>
      <c r="AB14" s="1095"/>
      <c r="AC14" s="1095"/>
      <c r="AD14" s="1095"/>
      <c r="AE14" s="1095"/>
      <c r="AF14" s="1096"/>
      <c r="AG14" s="845" t="str">
        <f>IF(U9="X","N/A",IF(AD9="X",IF(AB6="ODF",IF(U9="X","N/A",0.0495),IF(AB6="A+",0.0295, IF(AB6="A",0.0295,IF(AB6="A-",0.035,IF(AB6="B",0.0395,IF(AB6="B-",0.045,IF(AB6="C",0.0495,IF(AB6="A+",0.0295," ")))))))),IF(AD10="X",IF(AB6="A+",0.0395,IF(AB6="A",0.0495,IF(AB6="A-",0.0595,IF(AB6="B",0.0695," INVALID GRADE ")))),” “)))</f>
        <v xml:space="preserve"> </v>
      </c>
      <c r="AH14" s="846"/>
      <c r="AI14" s="846"/>
      <c r="AJ14" s="847"/>
      <c r="AK14" s="851" t="e">
        <f>D85</f>
        <v>#DIV/0!</v>
      </c>
      <c r="AL14" s="852"/>
      <c r="AM14" s="852"/>
      <c r="AN14" s="853"/>
      <c r="AO14" s="719" t="str">
        <f>IF(AB6="ODF","ODFList"," ")</f>
        <v xml:space="preserve"> </v>
      </c>
    </row>
    <row r="15" spans="1:41" s="63" customFormat="1" ht="13.5" customHeight="1" x14ac:dyDescent="0.25">
      <c r="A15" s="640"/>
      <c r="B15" s="1168" t="s">
        <v>510</v>
      </c>
      <c r="C15" s="1168"/>
      <c r="D15" s="1168"/>
      <c r="E15" s="1168"/>
      <c r="F15" s="1168"/>
      <c r="G15" s="1168"/>
      <c r="H15" s="1169"/>
      <c r="I15" s="639"/>
      <c r="J15" s="1094" t="s">
        <v>512</v>
      </c>
      <c r="K15" s="1095"/>
      <c r="L15" s="1095"/>
      <c r="M15" s="1095"/>
      <c r="N15" s="1095"/>
      <c r="O15" s="1095"/>
      <c r="P15" s="707" t="str">
        <f>IF(I15="X","Condo Locate in SF/B&amp;D FL?","")</f>
        <v/>
      </c>
      <c r="Q15" s="831"/>
      <c r="R15" s="831"/>
      <c r="S15" s="831"/>
      <c r="T15" s="831"/>
      <c r="U15" s="831"/>
      <c r="V15" s="831"/>
      <c r="W15" s="831"/>
      <c r="X15" s="832"/>
      <c r="Y15" s="249"/>
      <c r="Z15" s="639"/>
      <c r="AA15" s="1170" t="str">
        <f>IF(OR(AL6="MAG",AL6="IOMAG"),"N/A","Asset ATR in Full")</f>
        <v>Asset ATR in Full</v>
      </c>
      <c r="AB15" s="1171"/>
      <c r="AC15" s="1171"/>
      <c r="AD15" s="1171"/>
      <c r="AE15" s="1171"/>
      <c r="AF15" s="1172"/>
      <c r="AG15" s="845"/>
      <c r="AH15" s="846"/>
      <c r="AI15" s="846"/>
      <c r="AJ15" s="847"/>
      <c r="AK15" s="851"/>
      <c r="AL15" s="852"/>
      <c r="AM15" s="852"/>
      <c r="AN15" s="853"/>
      <c r="AO15" s="58"/>
    </row>
    <row r="16" spans="1:41" s="63" customFormat="1" ht="13.5" customHeight="1" thickBot="1" x14ac:dyDescent="0.3">
      <c r="A16" s="829"/>
      <c r="B16" s="827"/>
      <c r="C16" s="827"/>
      <c r="D16" s="827"/>
      <c r="E16" s="827"/>
      <c r="F16" s="827"/>
      <c r="G16" s="827"/>
      <c r="H16" s="827"/>
      <c r="I16" s="844" t="s">
        <v>541</v>
      </c>
      <c r="J16" s="843"/>
      <c r="K16" s="843"/>
      <c r="L16" s="843"/>
      <c r="M16" s="843"/>
      <c r="N16" s="843" t="s">
        <v>407</v>
      </c>
      <c r="O16" s="843"/>
      <c r="P16" s="843"/>
      <c r="Q16" s="833"/>
      <c r="R16" s="593"/>
      <c r="S16" s="593"/>
      <c r="T16" s="593"/>
      <c r="U16" s="593"/>
      <c r="V16" s="593"/>
      <c r="W16" s="593"/>
      <c r="X16" s="830"/>
      <c r="Y16" s="257"/>
      <c r="Z16" s="714"/>
      <c r="AA16" s="857" t="s">
        <v>542</v>
      </c>
      <c r="AB16" s="858"/>
      <c r="AC16" s="858"/>
      <c r="AD16" s="858"/>
      <c r="AE16" s="858"/>
      <c r="AF16" s="828"/>
      <c r="AG16" s="848"/>
      <c r="AH16" s="849"/>
      <c r="AI16" s="849"/>
      <c r="AJ16" s="850"/>
      <c r="AK16" s="854"/>
      <c r="AL16" s="855"/>
      <c r="AM16" s="855"/>
      <c r="AN16" s="856"/>
      <c r="AO16" s="58"/>
    </row>
    <row r="17" spans="1:41" s="63" customFormat="1" ht="13.5" customHeight="1" thickBot="1" x14ac:dyDescent="0.25">
      <c r="A17" s="1140" t="s">
        <v>89</v>
      </c>
      <c r="B17" s="1141"/>
      <c r="C17" s="1067"/>
      <c r="D17" s="1067"/>
      <c r="E17" s="1067"/>
      <c r="F17" s="1067"/>
      <c r="G17" s="1067"/>
      <c r="H17" s="1067"/>
      <c r="I17" s="1067"/>
      <c r="J17" s="1067"/>
      <c r="K17" s="1067"/>
      <c r="L17" s="1067"/>
      <c r="M17" s="1067"/>
      <c r="N17" s="1067"/>
      <c r="O17" s="1067"/>
      <c r="P17" s="1067"/>
      <c r="Q17" s="1067"/>
      <c r="R17" s="1067"/>
      <c r="S17" s="1067"/>
      <c r="T17" s="1067"/>
      <c r="U17" s="1067"/>
      <c r="V17" s="1067"/>
      <c r="W17" s="1067"/>
      <c r="X17" s="1068"/>
      <c r="Y17" s="1050" t="s">
        <v>101</v>
      </c>
      <c r="Z17" s="1141"/>
      <c r="AA17" s="1067"/>
      <c r="AB17" s="1067"/>
      <c r="AC17" s="1067"/>
      <c r="AD17" s="1067"/>
      <c r="AE17" s="1067"/>
      <c r="AF17" s="1067"/>
      <c r="AG17" s="1067"/>
      <c r="AH17" s="1067"/>
      <c r="AI17" s="1067"/>
      <c r="AJ17" s="1067"/>
      <c r="AK17" s="1067"/>
      <c r="AL17" s="1067"/>
      <c r="AM17" s="1067"/>
      <c r="AN17" s="1068"/>
      <c r="AO17" s="58"/>
    </row>
    <row r="18" spans="1:41" s="63" customFormat="1" ht="13.5" customHeight="1" x14ac:dyDescent="0.2">
      <c r="A18" s="1164" t="s">
        <v>149</v>
      </c>
      <c r="B18" s="1057"/>
      <c r="C18" s="1057"/>
      <c r="D18" s="1057"/>
      <c r="E18" s="1057"/>
      <c r="F18" s="1057"/>
      <c r="G18" s="1057"/>
      <c r="H18" s="1057"/>
      <c r="I18" s="1057"/>
      <c r="J18" s="1056"/>
      <c r="K18" s="1165" t="s">
        <v>16</v>
      </c>
      <c r="L18" s="1166"/>
      <c r="M18" s="1165" t="s">
        <v>102</v>
      </c>
      <c r="N18" s="1167"/>
      <c r="O18" s="1167"/>
      <c r="P18" s="1167"/>
      <c r="Q18" s="1166"/>
      <c r="R18" s="1055" t="s">
        <v>103</v>
      </c>
      <c r="S18" s="1056"/>
      <c r="T18" s="1055" t="s">
        <v>104</v>
      </c>
      <c r="U18" s="1057"/>
      <c r="V18" s="1057"/>
      <c r="W18" s="1057"/>
      <c r="X18" s="1058"/>
      <c r="Y18" s="72" t="s">
        <v>22</v>
      </c>
      <c r="Z18" s="61"/>
      <c r="AA18" s="61"/>
      <c r="AB18" s="61"/>
      <c r="AC18" s="61"/>
      <c r="AD18" s="61"/>
      <c r="AE18" s="61"/>
      <c r="AF18" s="62"/>
      <c r="AG18" s="1101" t="s">
        <v>27</v>
      </c>
      <c r="AH18" s="1102"/>
      <c r="AI18" s="1103"/>
      <c r="AJ18" s="1104"/>
      <c r="AK18" s="1104"/>
      <c r="AL18" s="1104"/>
      <c r="AM18" s="1104"/>
      <c r="AN18" s="1105"/>
      <c r="AO18" s="58"/>
    </row>
    <row r="19" spans="1:41" s="63" customFormat="1" ht="13.5" customHeight="1" x14ac:dyDescent="0.2">
      <c r="A19" s="1032"/>
      <c r="B19" s="1033"/>
      <c r="C19" s="1033"/>
      <c r="D19" s="1033"/>
      <c r="E19" s="1033"/>
      <c r="F19" s="1033"/>
      <c r="G19" s="1033"/>
      <c r="H19" s="1033"/>
      <c r="I19" s="1033"/>
      <c r="J19" s="1034"/>
      <c r="K19" s="1035"/>
      <c r="L19" s="1036"/>
      <c r="M19" s="1204"/>
      <c r="N19" s="1205"/>
      <c r="O19" s="1205"/>
      <c r="P19" s="1205"/>
      <c r="Q19" s="1206"/>
      <c r="R19" s="1035"/>
      <c r="S19" s="1036"/>
      <c r="T19" s="1106"/>
      <c r="U19" s="1107"/>
      <c r="V19" s="1107"/>
      <c r="W19" s="1107"/>
      <c r="X19" s="1108"/>
      <c r="Y19" s="77" t="s">
        <v>26</v>
      </c>
      <c r="Z19" s="59"/>
      <c r="AA19" s="59"/>
      <c r="AB19" s="59"/>
      <c r="AC19" s="59"/>
      <c r="AD19" s="59"/>
      <c r="AE19" s="59"/>
      <c r="AF19" s="70"/>
      <c r="AG19" s="1065" t="s">
        <v>27</v>
      </c>
      <c r="AH19" s="1066"/>
      <c r="AI19" s="1219">
        <f>AG9</f>
        <v>0</v>
      </c>
      <c r="AJ19" s="1220"/>
      <c r="AK19" s="1220"/>
      <c r="AL19" s="1220"/>
      <c r="AM19" s="1220"/>
      <c r="AN19" s="1221"/>
      <c r="AO19" s="58"/>
    </row>
    <row r="20" spans="1:41" s="63" customFormat="1" ht="13.5" customHeight="1" x14ac:dyDescent="0.2">
      <c r="A20" s="1032"/>
      <c r="B20" s="1033"/>
      <c r="C20" s="1033"/>
      <c r="D20" s="1033"/>
      <c r="E20" s="1033"/>
      <c r="F20" s="1033"/>
      <c r="G20" s="1033"/>
      <c r="H20" s="1033"/>
      <c r="I20" s="1033"/>
      <c r="J20" s="1034"/>
      <c r="K20" s="1035"/>
      <c r="L20" s="1036"/>
      <c r="M20" s="1204"/>
      <c r="N20" s="1205"/>
      <c r="O20" s="1205"/>
      <c r="P20" s="1205"/>
      <c r="Q20" s="1206"/>
      <c r="R20" s="1035"/>
      <c r="S20" s="1036"/>
      <c r="T20" s="1106"/>
      <c r="U20" s="1107"/>
      <c r="V20" s="1107"/>
      <c r="W20" s="1107"/>
      <c r="X20" s="1108"/>
      <c r="Y20" s="79" t="s">
        <v>23</v>
      </c>
      <c r="Z20" s="75"/>
      <c r="AA20" s="75"/>
      <c r="AB20" s="75"/>
      <c r="AC20" s="75"/>
      <c r="AD20" s="75"/>
      <c r="AE20" s="75"/>
      <c r="AF20" s="76"/>
      <c r="AG20" s="1065" t="s">
        <v>27</v>
      </c>
      <c r="AH20" s="1066"/>
      <c r="AI20" s="1207">
        <f>SUMPRODUCT((K19:K35="X")*(R19:R35="X")*(T19:T35))+'Add''l Debt'!A43</f>
        <v>0</v>
      </c>
      <c r="AJ20" s="1208"/>
      <c r="AK20" s="1208"/>
      <c r="AL20" s="1208"/>
      <c r="AM20" s="1208"/>
      <c r="AN20" s="1209"/>
      <c r="AO20" s="58"/>
    </row>
    <row r="21" spans="1:41" s="63" customFormat="1" ht="13.5" customHeight="1" x14ac:dyDescent="0.2">
      <c r="A21" s="1032"/>
      <c r="B21" s="1033"/>
      <c r="C21" s="1033"/>
      <c r="D21" s="1033"/>
      <c r="E21" s="1033"/>
      <c r="F21" s="1033"/>
      <c r="G21" s="1033"/>
      <c r="H21" s="1033"/>
      <c r="I21" s="1033"/>
      <c r="J21" s="1034"/>
      <c r="K21" s="1035"/>
      <c r="L21" s="1036"/>
      <c r="M21" s="1204"/>
      <c r="N21" s="1205"/>
      <c r="O21" s="1205"/>
      <c r="P21" s="1205"/>
      <c r="Q21" s="1206"/>
      <c r="R21" s="1035"/>
      <c r="S21" s="1036"/>
      <c r="T21" s="1106"/>
      <c r="U21" s="1107"/>
      <c r="V21" s="1107"/>
      <c r="W21" s="1107"/>
      <c r="X21" s="1108"/>
      <c r="Y21" s="77" t="s">
        <v>24</v>
      </c>
      <c r="Z21" s="59"/>
      <c r="AA21" s="59"/>
      <c r="AB21" s="59"/>
      <c r="AC21" s="59"/>
      <c r="AD21" s="59"/>
      <c r="AE21" s="59"/>
      <c r="AF21" s="70"/>
      <c r="AG21" s="1065" t="s">
        <v>27</v>
      </c>
      <c r="AH21" s="1066"/>
      <c r="AI21" s="1216">
        <f>SUMPRODUCT((K19:K35="X")*(R19:R35&lt;&gt;"X")*(T19:T35))+'Add''l Debt'!A44</f>
        <v>0</v>
      </c>
      <c r="AJ21" s="1217"/>
      <c r="AK21" s="1217"/>
      <c r="AL21" s="1217"/>
      <c r="AM21" s="1217"/>
      <c r="AN21" s="1218"/>
      <c r="AO21" s="58"/>
    </row>
    <row r="22" spans="1:41" s="63" customFormat="1" ht="13.5" customHeight="1" x14ac:dyDescent="0.2">
      <c r="A22" s="1032"/>
      <c r="B22" s="1033"/>
      <c r="C22" s="1033"/>
      <c r="D22" s="1033"/>
      <c r="E22" s="1033"/>
      <c r="F22" s="1033"/>
      <c r="G22" s="1033"/>
      <c r="H22" s="1033"/>
      <c r="I22" s="1033"/>
      <c r="J22" s="1034"/>
      <c r="K22" s="1035"/>
      <c r="L22" s="1036"/>
      <c r="M22" s="1204"/>
      <c r="N22" s="1205"/>
      <c r="O22" s="1205"/>
      <c r="P22" s="1205"/>
      <c r="Q22" s="1206"/>
      <c r="R22" s="1035"/>
      <c r="S22" s="1036"/>
      <c r="T22" s="1106"/>
      <c r="U22" s="1107"/>
      <c r="V22" s="1107"/>
      <c r="W22" s="1107"/>
      <c r="X22" s="1108"/>
      <c r="Y22" s="79" t="s">
        <v>25</v>
      </c>
      <c r="Z22" s="75"/>
      <c r="AA22" s="75"/>
      <c r="AB22" s="75"/>
      <c r="AC22" s="75"/>
      <c r="AD22" s="75"/>
      <c r="AE22" s="75"/>
      <c r="AF22" s="76"/>
      <c r="AG22" s="1065" t="s">
        <v>28</v>
      </c>
      <c r="AH22" s="1066"/>
      <c r="AI22" s="1213"/>
      <c r="AJ22" s="1214"/>
      <c r="AK22" s="1214"/>
      <c r="AL22" s="1214"/>
      <c r="AM22" s="1214"/>
      <c r="AN22" s="1215"/>
      <c r="AO22" s="58"/>
    </row>
    <row r="23" spans="1:41" s="63" customFormat="1" ht="13.5" customHeight="1" x14ac:dyDescent="0.2">
      <c r="A23" s="1032"/>
      <c r="B23" s="1033"/>
      <c r="C23" s="1033"/>
      <c r="D23" s="1033"/>
      <c r="E23" s="1033"/>
      <c r="F23" s="1033"/>
      <c r="G23" s="1033"/>
      <c r="H23" s="1033"/>
      <c r="I23" s="1033"/>
      <c r="J23" s="1034"/>
      <c r="K23" s="1035"/>
      <c r="L23" s="1036"/>
      <c r="M23" s="1204"/>
      <c r="N23" s="1205"/>
      <c r="O23" s="1205"/>
      <c r="P23" s="1205"/>
      <c r="Q23" s="1206"/>
      <c r="R23" s="1035"/>
      <c r="S23" s="1036"/>
      <c r="T23" s="1106"/>
      <c r="U23" s="1107"/>
      <c r="V23" s="1107"/>
      <c r="W23" s="1107"/>
      <c r="X23" s="1108"/>
      <c r="Y23" s="111" t="s">
        <v>156</v>
      </c>
      <c r="Z23" s="75"/>
      <c r="AA23" s="75"/>
      <c r="AB23" s="75"/>
      <c r="AC23" s="75"/>
      <c r="AD23" s="75"/>
      <c r="AE23" s="75"/>
      <c r="AF23" s="76"/>
      <c r="AG23" s="1065" t="s">
        <v>28</v>
      </c>
      <c r="AH23" s="1066"/>
      <c r="AI23" s="1127">
        <f>SUM(AO23,P88,T88,AB88,AJ88)</f>
        <v>1295</v>
      </c>
      <c r="AJ23" s="1128"/>
      <c r="AK23" s="1128"/>
      <c r="AL23" s="1128"/>
      <c r="AM23" s="1128"/>
      <c r="AN23" s="1129"/>
      <c r="AO23" s="486">
        <f>IF(OR(AB5="yes",AB5&lt;&gt;"BORROWER paid"),0,Q87)</f>
        <v>0</v>
      </c>
    </row>
    <row r="24" spans="1:41" s="63" customFormat="1" ht="13.5" customHeight="1" x14ac:dyDescent="0.2">
      <c r="A24" s="1032"/>
      <c r="B24" s="1033"/>
      <c r="C24" s="1033"/>
      <c r="D24" s="1033"/>
      <c r="E24" s="1033"/>
      <c r="F24" s="1033"/>
      <c r="G24" s="1033"/>
      <c r="H24" s="1033"/>
      <c r="I24" s="1033"/>
      <c r="J24" s="1034"/>
      <c r="K24" s="1035"/>
      <c r="L24" s="1036"/>
      <c r="M24" s="1204"/>
      <c r="N24" s="1205"/>
      <c r="O24" s="1205"/>
      <c r="P24" s="1205"/>
      <c r="Q24" s="1206"/>
      <c r="R24" s="1035"/>
      <c r="S24" s="1036"/>
      <c r="T24" s="1106"/>
      <c r="U24" s="1107"/>
      <c r="V24" s="1107"/>
      <c r="W24" s="1107"/>
      <c r="X24" s="1108"/>
      <c r="Y24" s="1032" t="s">
        <v>157</v>
      </c>
      <c r="Z24" s="1033"/>
      <c r="AA24" s="1033"/>
      <c r="AB24" s="1033"/>
      <c r="AC24" s="1033"/>
      <c r="AD24" s="1033"/>
      <c r="AE24" s="1033"/>
      <c r="AF24" s="1034"/>
      <c r="AG24" s="1065"/>
      <c r="AH24" s="1066"/>
      <c r="AI24" s="1115"/>
      <c r="AJ24" s="1116"/>
      <c r="AK24" s="1116"/>
      <c r="AL24" s="1116"/>
      <c r="AM24" s="1116"/>
      <c r="AN24" s="1117"/>
      <c r="AO24" s="486">
        <f>IF(X87&lt;&gt;"",X87,0)</f>
        <v>0</v>
      </c>
    </row>
    <row r="25" spans="1:41" s="63" customFormat="1" ht="13.5" customHeight="1" x14ac:dyDescent="0.2">
      <c r="A25" s="1032"/>
      <c r="B25" s="1033"/>
      <c r="C25" s="1033"/>
      <c r="D25" s="1033"/>
      <c r="E25" s="1033"/>
      <c r="F25" s="1033"/>
      <c r="G25" s="1033"/>
      <c r="H25" s="1033"/>
      <c r="I25" s="1033"/>
      <c r="J25" s="1034"/>
      <c r="K25" s="1035"/>
      <c r="L25" s="1036"/>
      <c r="M25" s="1204"/>
      <c r="N25" s="1205"/>
      <c r="O25" s="1205"/>
      <c r="P25" s="1205"/>
      <c r="Q25" s="1206"/>
      <c r="R25" s="1035"/>
      <c r="S25" s="1036"/>
      <c r="T25" s="1106"/>
      <c r="U25" s="1107"/>
      <c r="V25" s="1107"/>
      <c r="W25" s="1107"/>
      <c r="X25" s="1108"/>
      <c r="Y25" s="1032" t="s">
        <v>535</v>
      </c>
      <c r="Z25" s="1033"/>
      <c r="AA25" s="1033"/>
      <c r="AB25" s="1033"/>
      <c r="AC25" s="1033"/>
      <c r="AD25" s="1033"/>
      <c r="AE25" s="1033"/>
      <c r="AF25" s="1034"/>
      <c r="AG25" s="1065"/>
      <c r="AH25" s="1066"/>
      <c r="AI25" s="1115"/>
      <c r="AJ25" s="1116"/>
      <c r="AK25" s="1116"/>
      <c r="AL25" s="1116"/>
      <c r="AM25" s="1116"/>
      <c r="AN25" s="1117"/>
      <c r="AO25" s="486"/>
    </row>
    <row r="26" spans="1:41" s="63" customFormat="1" ht="13.5" customHeight="1" x14ac:dyDescent="0.2">
      <c r="A26" s="1032"/>
      <c r="B26" s="1033"/>
      <c r="C26" s="1033"/>
      <c r="D26" s="1033"/>
      <c r="E26" s="1033"/>
      <c r="F26" s="1033"/>
      <c r="G26" s="1033"/>
      <c r="H26" s="1033"/>
      <c r="I26" s="1033"/>
      <c r="J26" s="1034"/>
      <c r="K26" s="1035"/>
      <c r="L26" s="1036"/>
      <c r="M26" s="1204"/>
      <c r="N26" s="1205"/>
      <c r="O26" s="1205"/>
      <c r="P26" s="1205"/>
      <c r="Q26" s="1206"/>
      <c r="R26" s="1035"/>
      <c r="S26" s="1036"/>
      <c r="T26" s="1106"/>
      <c r="U26" s="1107"/>
      <c r="V26" s="1107"/>
      <c r="W26" s="1107"/>
      <c r="X26" s="1108"/>
      <c r="Y26" s="1118" t="str">
        <f>IF(AND(AH5="retail",OR(AB5="Yes - 1.25%",AB5="Yes - 2.00%")),"Lender Credit","Other Credit")</f>
        <v>Other Credit</v>
      </c>
      <c r="Z26" s="1119"/>
      <c r="AA26" s="1119"/>
      <c r="AB26" s="1119"/>
      <c r="AC26" s="1119"/>
      <c r="AD26" s="1119"/>
      <c r="AE26" s="1119"/>
      <c r="AF26" s="1120"/>
      <c r="AG26" s="1065"/>
      <c r="AH26" s="1066"/>
      <c r="AI26" s="1207">
        <f>IF(AND(AH5="retail",OR(AB5="Yes - 1.25%",AB5="Yes - 2.00%")),Q87,0)</f>
        <v>0</v>
      </c>
      <c r="AJ26" s="1208"/>
      <c r="AK26" s="1208"/>
      <c r="AL26" s="1208"/>
      <c r="AM26" s="1208"/>
      <c r="AN26" s="1209"/>
      <c r="AO26" s="58"/>
    </row>
    <row r="27" spans="1:41" s="63" customFormat="1" ht="13.5" customHeight="1" thickBot="1" x14ac:dyDescent="0.25">
      <c r="A27" s="1032"/>
      <c r="B27" s="1033"/>
      <c r="C27" s="1033"/>
      <c r="D27" s="1033"/>
      <c r="E27" s="1033"/>
      <c r="F27" s="1033"/>
      <c r="G27" s="1033"/>
      <c r="H27" s="1033"/>
      <c r="I27" s="1033"/>
      <c r="J27" s="1034"/>
      <c r="K27" s="1035"/>
      <c r="L27" s="1036"/>
      <c r="M27" s="1204"/>
      <c r="N27" s="1205"/>
      <c r="O27" s="1205"/>
      <c r="P27" s="1205"/>
      <c r="Q27" s="1206"/>
      <c r="R27" s="1035"/>
      <c r="S27" s="1036"/>
      <c r="T27" s="1106"/>
      <c r="U27" s="1107"/>
      <c r="V27" s="1107"/>
      <c r="W27" s="1107"/>
      <c r="X27" s="1108"/>
      <c r="Y27" s="78" t="s">
        <v>105</v>
      </c>
      <c r="Z27" s="74"/>
      <c r="AA27" s="110" t="str">
        <f>IF(AI27&gt;0, "X"," ")</f>
        <v xml:space="preserve"> </v>
      </c>
      <c r="AB27" s="81" t="s">
        <v>106</v>
      </c>
      <c r="AC27" s="110" t="str">
        <f>IF(AI27&lt;0,"X"," ")</f>
        <v>X</v>
      </c>
      <c r="AD27" s="81" t="s">
        <v>107</v>
      </c>
      <c r="AE27" s="81"/>
      <c r="AF27" s="82"/>
      <c r="AG27" s="1113" t="s">
        <v>135</v>
      </c>
      <c r="AH27" s="1114"/>
      <c r="AI27" s="1210">
        <f>IF(OR(A12="X",A15="X"),((AI19+AI26+AI24+AI25)-(AI18+SUM(AI20:AI23))),((AI19+AI26+AI25)-(SUM(AI20:AN23))))</f>
        <v>-1295</v>
      </c>
      <c r="AJ27" s="1211"/>
      <c r="AK27" s="1211"/>
      <c r="AL27" s="1211"/>
      <c r="AM27" s="1211"/>
      <c r="AN27" s="1212"/>
      <c r="AO27" s="58"/>
    </row>
    <row r="28" spans="1:41" s="63" customFormat="1" ht="13.5" customHeight="1" thickBot="1" x14ac:dyDescent="0.25">
      <c r="A28" s="1032"/>
      <c r="B28" s="1033"/>
      <c r="C28" s="1033"/>
      <c r="D28" s="1033"/>
      <c r="E28" s="1033"/>
      <c r="F28" s="1033"/>
      <c r="G28" s="1033"/>
      <c r="H28" s="1033"/>
      <c r="I28" s="1033"/>
      <c r="J28" s="1034"/>
      <c r="K28" s="1035"/>
      <c r="L28" s="1036"/>
      <c r="M28" s="1204"/>
      <c r="N28" s="1205"/>
      <c r="O28" s="1205"/>
      <c r="P28" s="1205"/>
      <c r="Q28" s="1206"/>
      <c r="R28" s="1035"/>
      <c r="S28" s="1036"/>
      <c r="T28" s="1106"/>
      <c r="U28" s="1107"/>
      <c r="V28" s="1107"/>
      <c r="W28" s="1107"/>
      <c r="X28" s="1108"/>
      <c r="Y28" s="1050" t="s">
        <v>108</v>
      </c>
      <c r="Z28" s="1067"/>
      <c r="AA28" s="1067"/>
      <c r="AB28" s="1067"/>
      <c r="AC28" s="1067"/>
      <c r="AD28" s="1067"/>
      <c r="AE28" s="1067"/>
      <c r="AF28" s="1067"/>
      <c r="AG28" s="1067"/>
      <c r="AH28" s="1067"/>
      <c r="AI28" s="1067"/>
      <c r="AJ28" s="1067"/>
      <c r="AK28" s="1067"/>
      <c r="AL28" s="1067"/>
      <c r="AM28" s="1067"/>
      <c r="AN28" s="1068"/>
      <c r="AO28" s="58"/>
    </row>
    <row r="29" spans="1:41" s="63" customFormat="1" ht="13.5" customHeight="1" x14ac:dyDescent="0.2">
      <c r="A29" s="1032"/>
      <c r="B29" s="1033"/>
      <c r="C29" s="1033"/>
      <c r="D29" s="1033"/>
      <c r="E29" s="1033"/>
      <c r="F29" s="1033"/>
      <c r="G29" s="1033"/>
      <c r="H29" s="1033"/>
      <c r="I29" s="1033"/>
      <c r="J29" s="1034"/>
      <c r="K29" s="1035"/>
      <c r="L29" s="1036"/>
      <c r="M29" s="1052"/>
      <c r="N29" s="1053"/>
      <c r="O29" s="1053"/>
      <c r="P29" s="1053"/>
      <c r="Q29" s="1054"/>
      <c r="R29" s="1035"/>
      <c r="S29" s="1036"/>
      <c r="T29" s="1106"/>
      <c r="U29" s="1107"/>
      <c r="V29" s="1107"/>
      <c r="W29" s="1107"/>
      <c r="X29" s="1108"/>
      <c r="Y29" s="1158" t="s">
        <v>29</v>
      </c>
      <c r="Z29" s="1159"/>
      <c r="AA29" s="1159"/>
      <c r="AB29" s="1159"/>
      <c r="AC29" s="1159"/>
      <c r="AD29" s="1159"/>
      <c r="AE29" s="1159"/>
      <c r="AF29" s="1160"/>
      <c r="AG29" s="1055">
        <v>30</v>
      </c>
      <c r="AH29" s="1056"/>
      <c r="AI29" s="1055">
        <v>60</v>
      </c>
      <c r="AJ29" s="1056"/>
      <c r="AK29" s="1055">
        <v>90</v>
      </c>
      <c r="AL29" s="1056"/>
      <c r="AM29" s="1055" t="s">
        <v>110</v>
      </c>
      <c r="AN29" s="1058"/>
      <c r="AO29" s="58"/>
    </row>
    <row r="30" spans="1:41" s="63" customFormat="1" ht="13.5" customHeight="1" x14ac:dyDescent="0.2">
      <c r="A30" s="1032"/>
      <c r="B30" s="1033"/>
      <c r="C30" s="1033"/>
      <c r="D30" s="1033"/>
      <c r="E30" s="1033"/>
      <c r="F30" s="1033"/>
      <c r="G30" s="1033"/>
      <c r="H30" s="1033"/>
      <c r="I30" s="1033"/>
      <c r="J30" s="1034"/>
      <c r="K30" s="1035"/>
      <c r="L30" s="1036"/>
      <c r="M30" s="1052"/>
      <c r="N30" s="1053"/>
      <c r="O30" s="1053"/>
      <c r="P30" s="1053"/>
      <c r="Q30" s="1054"/>
      <c r="R30" s="1035"/>
      <c r="S30" s="1036"/>
      <c r="T30" s="1106"/>
      <c r="U30" s="1107"/>
      <c r="V30" s="1107"/>
      <c r="W30" s="1107"/>
      <c r="X30" s="1108"/>
      <c r="Y30" s="1161" t="s">
        <v>18</v>
      </c>
      <c r="Z30" s="1162"/>
      <c r="AA30" s="1162"/>
      <c r="AB30" s="1162"/>
      <c r="AC30" s="1162"/>
      <c r="AD30" s="1162"/>
      <c r="AE30" s="1162"/>
      <c r="AF30" s="1163"/>
      <c r="AG30" s="1130">
        <v>0</v>
      </c>
      <c r="AH30" s="1131"/>
      <c r="AI30" s="1130">
        <v>0</v>
      </c>
      <c r="AJ30" s="1131"/>
      <c r="AK30" s="1130">
        <v>0</v>
      </c>
      <c r="AL30" s="1131"/>
      <c r="AM30" s="1130">
        <v>0</v>
      </c>
      <c r="AN30" s="1135"/>
      <c r="AO30" s="58"/>
    </row>
    <row r="31" spans="1:41" s="63" customFormat="1" ht="13.5" customHeight="1" x14ac:dyDescent="0.2">
      <c r="A31" s="1032"/>
      <c r="B31" s="1033"/>
      <c r="C31" s="1033"/>
      <c r="D31" s="1033"/>
      <c r="E31" s="1033"/>
      <c r="F31" s="1033"/>
      <c r="G31" s="1033"/>
      <c r="H31" s="1033"/>
      <c r="I31" s="1033"/>
      <c r="J31" s="1034"/>
      <c r="K31" s="1035"/>
      <c r="L31" s="1036"/>
      <c r="M31" s="1052"/>
      <c r="N31" s="1053"/>
      <c r="O31" s="1053"/>
      <c r="P31" s="1053"/>
      <c r="Q31" s="1054"/>
      <c r="R31" s="1035"/>
      <c r="S31" s="1036"/>
      <c r="T31" s="1106"/>
      <c r="U31" s="1107"/>
      <c r="V31" s="1107"/>
      <c r="W31" s="1107"/>
      <c r="X31" s="1108"/>
      <c r="Y31" s="1161" t="s">
        <v>111</v>
      </c>
      <c r="Z31" s="1162"/>
      <c r="AA31" s="1162"/>
      <c r="AB31" s="1162"/>
      <c r="AC31" s="1162"/>
      <c r="AD31" s="1162"/>
      <c r="AE31" s="1162"/>
      <c r="AF31" s="1163"/>
      <c r="AG31" s="1132" t="s">
        <v>284</v>
      </c>
      <c r="AH31" s="984"/>
      <c r="AI31" s="984"/>
      <c r="AJ31" s="984"/>
      <c r="AK31" s="984"/>
      <c r="AL31" s="984"/>
      <c r="AM31" s="984"/>
      <c r="AN31" s="1134"/>
      <c r="AO31" s="58"/>
    </row>
    <row r="32" spans="1:41" s="63" customFormat="1" ht="13.5" customHeight="1" x14ac:dyDescent="0.2">
      <c r="A32" s="1032"/>
      <c r="B32" s="1033"/>
      <c r="C32" s="1033"/>
      <c r="D32" s="1033"/>
      <c r="E32" s="1033"/>
      <c r="F32" s="1033"/>
      <c r="G32" s="1033"/>
      <c r="H32" s="1033"/>
      <c r="I32" s="1033"/>
      <c r="J32" s="1034"/>
      <c r="K32" s="1035"/>
      <c r="L32" s="1036"/>
      <c r="M32" s="1052"/>
      <c r="N32" s="1053"/>
      <c r="O32" s="1053"/>
      <c r="P32" s="1053"/>
      <c r="Q32" s="1054"/>
      <c r="R32" s="1035"/>
      <c r="S32" s="1036"/>
      <c r="T32" s="1106"/>
      <c r="U32" s="1107"/>
      <c r="V32" s="1107"/>
      <c r="W32" s="1107"/>
      <c r="X32" s="1108"/>
      <c r="Y32" s="1161" t="s">
        <v>112</v>
      </c>
      <c r="Z32" s="1162"/>
      <c r="AA32" s="1162"/>
      <c r="AB32" s="1162"/>
      <c r="AC32" s="1162"/>
      <c r="AD32" s="1162"/>
      <c r="AE32" s="1162"/>
      <c r="AF32" s="1163"/>
      <c r="AG32" s="1132" t="s">
        <v>284</v>
      </c>
      <c r="AH32" s="1088"/>
      <c r="AI32" s="1088"/>
      <c r="AJ32" s="1088"/>
      <c r="AK32" s="1088"/>
      <c r="AL32" s="1088"/>
      <c r="AM32" s="1088"/>
      <c r="AN32" s="1133"/>
      <c r="AO32" s="58"/>
    </row>
    <row r="33" spans="1:41" s="63" customFormat="1" ht="13.5" customHeight="1" x14ac:dyDescent="0.2">
      <c r="A33" s="1032"/>
      <c r="B33" s="1033"/>
      <c r="C33" s="1033"/>
      <c r="D33" s="1033"/>
      <c r="E33" s="1033"/>
      <c r="F33" s="1033"/>
      <c r="G33" s="1033"/>
      <c r="H33" s="1033"/>
      <c r="I33" s="1033"/>
      <c r="J33" s="1034"/>
      <c r="K33" s="1035"/>
      <c r="L33" s="1036"/>
      <c r="M33" s="1052"/>
      <c r="N33" s="1053"/>
      <c r="O33" s="1053"/>
      <c r="P33" s="1053"/>
      <c r="Q33" s="1054"/>
      <c r="R33" s="1035"/>
      <c r="S33" s="1036"/>
      <c r="T33" s="1106"/>
      <c r="U33" s="1107"/>
      <c r="V33" s="1107"/>
      <c r="W33" s="1107"/>
      <c r="X33" s="1108"/>
      <c r="Y33" s="569" t="s">
        <v>281</v>
      </c>
      <c r="Z33" s="570"/>
      <c r="AA33" s="570"/>
      <c r="AB33" s="570"/>
      <c r="AC33" s="1045" t="s">
        <v>426</v>
      </c>
      <c r="AD33" s="1045"/>
      <c r="AE33" s="1045"/>
      <c r="AF33" s="1046"/>
      <c r="AG33" s="1154" t="str">
        <f ca="1">IF(AJ33&lt;&gt;"",(NOW()-AJ33)/365,"NA")</f>
        <v>NA</v>
      </c>
      <c r="AH33" s="1155"/>
      <c r="AI33" s="1155"/>
      <c r="AJ33" s="1156"/>
      <c r="AK33" s="1156"/>
      <c r="AL33" s="1156"/>
      <c r="AM33" s="1156"/>
      <c r="AN33" s="1157"/>
      <c r="AO33" s="58"/>
    </row>
    <row r="34" spans="1:41" s="63" customFormat="1" ht="13.5" customHeight="1" x14ac:dyDescent="0.2">
      <c r="A34" s="1032"/>
      <c r="B34" s="1033"/>
      <c r="C34" s="1033"/>
      <c r="D34" s="1033"/>
      <c r="E34" s="1033"/>
      <c r="F34" s="1033"/>
      <c r="G34" s="1033"/>
      <c r="H34" s="1033"/>
      <c r="I34" s="1033"/>
      <c r="J34" s="1034"/>
      <c r="K34" s="1035"/>
      <c r="L34" s="1036"/>
      <c r="M34" s="1052"/>
      <c r="N34" s="1053"/>
      <c r="O34" s="1053"/>
      <c r="P34" s="1053"/>
      <c r="Q34" s="1054"/>
      <c r="R34" s="1035"/>
      <c r="S34" s="1036"/>
      <c r="T34" s="1106"/>
      <c r="U34" s="1107"/>
      <c r="V34" s="1107"/>
      <c r="W34" s="1107"/>
      <c r="X34" s="1108"/>
      <c r="Y34" s="569" t="s">
        <v>282</v>
      </c>
      <c r="Z34" s="570"/>
      <c r="AA34" s="570"/>
      <c r="AB34" s="570"/>
      <c r="AC34" s="1261" t="s">
        <v>426</v>
      </c>
      <c r="AD34" s="1261"/>
      <c r="AE34" s="1261"/>
      <c r="AF34" s="1262"/>
      <c r="AG34" s="1154" t="str">
        <f ca="1">IF(AJ34&lt;&gt;"",(NOW()-AJ34)/365,"NA")</f>
        <v>NA</v>
      </c>
      <c r="AH34" s="1155"/>
      <c r="AI34" s="1155"/>
      <c r="AJ34" s="1156"/>
      <c r="AK34" s="1156"/>
      <c r="AL34" s="1156"/>
      <c r="AM34" s="1156"/>
      <c r="AN34" s="1157"/>
      <c r="AO34" s="58"/>
    </row>
    <row r="35" spans="1:41" s="63" customFormat="1" ht="13.5" customHeight="1" x14ac:dyDescent="0.2">
      <c r="A35" s="1032"/>
      <c r="B35" s="1033"/>
      <c r="C35" s="1033"/>
      <c r="D35" s="1033"/>
      <c r="E35" s="1033"/>
      <c r="F35" s="1033"/>
      <c r="G35" s="1033"/>
      <c r="H35" s="1033"/>
      <c r="I35" s="1033"/>
      <c r="J35" s="1034"/>
      <c r="K35" s="1035"/>
      <c r="L35" s="1036"/>
      <c r="M35" s="1052"/>
      <c r="N35" s="1053"/>
      <c r="O35" s="1053"/>
      <c r="P35" s="1053"/>
      <c r="Q35" s="1054"/>
      <c r="R35" s="1035"/>
      <c r="S35" s="1036"/>
      <c r="T35" s="1106"/>
      <c r="U35" s="1107"/>
      <c r="V35" s="1107"/>
      <c r="W35" s="1107"/>
      <c r="X35" s="1108"/>
      <c r="Y35" s="569" t="s">
        <v>283</v>
      </c>
      <c r="Z35" s="570"/>
      <c r="AA35" s="570"/>
      <c r="AB35" s="570"/>
      <c r="AC35" s="1261" t="s">
        <v>426</v>
      </c>
      <c r="AD35" s="1261"/>
      <c r="AE35" s="1261"/>
      <c r="AF35" s="1262"/>
      <c r="AG35" s="1154" t="str">
        <f ca="1">IF(AJ35&lt;&gt;"",(NOW()-AJ35)/365,"NA")</f>
        <v>NA</v>
      </c>
      <c r="AH35" s="1155"/>
      <c r="AI35" s="1155"/>
      <c r="AJ35" s="1156"/>
      <c r="AK35" s="1156"/>
      <c r="AL35" s="1156"/>
      <c r="AM35" s="1156"/>
      <c r="AN35" s="1157"/>
      <c r="AO35" s="58"/>
    </row>
    <row r="36" spans="1:41" s="63" customFormat="1" ht="13.5" customHeight="1" thickBot="1" x14ac:dyDescent="0.25">
      <c r="A36" s="1292" t="s">
        <v>109</v>
      </c>
      <c r="B36" s="1293"/>
      <c r="C36" s="1293"/>
      <c r="D36" s="1293"/>
      <c r="E36" s="1293"/>
      <c r="F36" s="1293"/>
      <c r="G36" s="1293"/>
      <c r="H36" s="1293"/>
      <c r="I36" s="1293"/>
      <c r="J36" s="1293"/>
      <c r="K36" s="1293"/>
      <c r="L36" s="1294"/>
      <c r="M36" s="1151">
        <f>SUMPRODUCT((K19:K35&lt;&gt;"X")*(R19:R35&lt;&gt;"X")*(M19:M35&gt;0)*(M19:M35))</f>
        <v>0</v>
      </c>
      <c r="N36" s="1152"/>
      <c r="O36" s="1152"/>
      <c r="P36" s="1152"/>
      <c r="Q36" s="1153"/>
      <c r="R36" s="83"/>
      <c r="S36" s="84"/>
      <c r="T36" s="1145">
        <f>SUMPRODUCT((T19:T35&gt;0)*(T19:T35))</f>
        <v>0</v>
      </c>
      <c r="U36" s="1146"/>
      <c r="V36" s="1146"/>
      <c r="W36" s="1146"/>
      <c r="X36" s="1147"/>
      <c r="Y36" s="1042" t="s">
        <v>522</v>
      </c>
      <c r="Z36" s="1043"/>
      <c r="AA36" s="1043"/>
      <c r="AB36" s="1043"/>
      <c r="AC36" s="1043"/>
      <c r="AD36" s="1043"/>
      <c r="AE36" s="1043"/>
      <c r="AF36" s="1044"/>
      <c r="AG36" s="1240" t="str">
        <f ca="1">IF(AJ36&lt;&gt;"",(NOW()-AJ36)/365,"NA")</f>
        <v>NA</v>
      </c>
      <c r="AH36" s="1241"/>
      <c r="AI36" s="1241"/>
      <c r="AJ36" s="1249"/>
      <c r="AK36" s="1249"/>
      <c r="AL36" s="1249"/>
      <c r="AM36" s="1249"/>
      <c r="AN36" s="1250"/>
      <c r="AO36" s="58"/>
    </row>
    <row r="37" spans="1:41" s="63" customFormat="1" ht="15.75" customHeight="1" thickBot="1" x14ac:dyDescent="0.3">
      <c r="A37" s="1295" t="str">
        <f>IF(AO38=1,"See Add'l Debt Obligations Page:"," ")</f>
        <v xml:space="preserve"> </v>
      </c>
      <c r="B37" s="1296"/>
      <c r="C37" s="1296"/>
      <c r="D37" s="1296"/>
      <c r="E37" s="1296"/>
      <c r="F37" s="1296"/>
      <c r="G37" s="1296"/>
      <c r="H37" s="1296"/>
      <c r="I37" s="1296"/>
      <c r="J37" s="1296"/>
      <c r="K37" s="1296"/>
      <c r="L37" s="1066"/>
      <c r="M37" s="1148">
        <f>'Add''l Debt'!E39</f>
        <v>0</v>
      </c>
      <c r="N37" s="1149"/>
      <c r="O37" s="1149"/>
      <c r="P37" s="1149"/>
      <c r="Q37" s="1150"/>
      <c r="R37" s="85"/>
      <c r="S37" s="86"/>
      <c r="T37" s="1037">
        <f>'Add''l Debt'!G39</f>
        <v>0</v>
      </c>
      <c r="U37" s="1038"/>
      <c r="V37" s="1038"/>
      <c r="W37" s="1038"/>
      <c r="X37" s="1039"/>
      <c r="Y37" s="1259" t="s">
        <v>523</v>
      </c>
      <c r="Z37" s="1260"/>
      <c r="AA37" s="1260"/>
      <c r="AB37" s="1260"/>
      <c r="AC37" s="1260"/>
      <c r="AD37" s="1260"/>
      <c r="AE37" s="1260"/>
      <c r="AF37" s="1260"/>
      <c r="AG37" s="1260"/>
      <c r="AH37" s="1260"/>
      <c r="AI37" s="1260"/>
      <c r="AJ37" s="1142"/>
      <c r="AK37" s="1143"/>
      <c r="AL37" s="1143"/>
      <c r="AM37" s="1143"/>
      <c r="AN37" s="1144"/>
      <c r="AO37" s="58"/>
    </row>
    <row r="38" spans="1:41" s="63" customFormat="1" ht="13.5" customHeight="1" thickBot="1" x14ac:dyDescent="0.25">
      <c r="A38" s="1007" t="s">
        <v>21</v>
      </c>
      <c r="B38" s="1008"/>
      <c r="C38" s="1008"/>
      <c r="D38" s="1008"/>
      <c r="E38" s="1008"/>
      <c r="F38" s="1008"/>
      <c r="G38" s="1008"/>
      <c r="H38" s="1008"/>
      <c r="I38" s="1008"/>
      <c r="J38" s="1008"/>
      <c r="K38" s="1008"/>
      <c r="L38" s="1009"/>
      <c r="M38" s="1047">
        <f>SUM(M36:Q37)</f>
        <v>0</v>
      </c>
      <c r="N38" s="1048"/>
      <c r="O38" s="1048"/>
      <c r="P38" s="1048"/>
      <c r="Q38" s="1049"/>
      <c r="R38" s="87"/>
      <c r="S38" s="88"/>
      <c r="T38" s="1244">
        <f>T36+'Add''l Debt'!G39</f>
        <v>0</v>
      </c>
      <c r="U38" s="1245"/>
      <c r="V38" s="1245"/>
      <c r="W38" s="1245"/>
      <c r="X38" s="1246"/>
      <c r="Y38" s="1263" t="s">
        <v>518</v>
      </c>
      <c r="Z38" s="1264"/>
      <c r="AA38" s="1264"/>
      <c r="AB38" s="1265"/>
      <c r="AC38" s="769" t="s">
        <v>519</v>
      </c>
      <c r="AD38" s="1247"/>
      <c r="AE38" s="1247"/>
      <c r="AF38" s="1248"/>
      <c r="AG38" s="770" t="s">
        <v>520</v>
      </c>
      <c r="AH38" s="1247"/>
      <c r="AI38" s="1247"/>
      <c r="AJ38" s="1248"/>
      <c r="AK38" s="771" t="s">
        <v>521</v>
      </c>
      <c r="AL38" s="772"/>
      <c r="AM38" s="1247"/>
      <c r="AN38" s="1297"/>
      <c r="AO38" s="486">
        <f>'Add''l Debt'!H8</f>
        <v>0</v>
      </c>
    </row>
    <row r="39" spans="1:41" s="63" customFormat="1" ht="13.5" customHeight="1" thickBot="1" x14ac:dyDescent="0.25">
      <c r="A39" s="1050" t="s">
        <v>40</v>
      </c>
      <c r="B39" s="1051"/>
      <c r="C39" s="1051"/>
      <c r="D39" s="1051"/>
      <c r="E39" s="1051"/>
      <c r="F39" s="1051"/>
      <c r="G39" s="1051"/>
      <c r="H39" s="1051"/>
      <c r="I39" s="1051"/>
      <c r="J39" s="1051"/>
      <c r="K39" s="1051"/>
      <c r="L39" s="1051"/>
      <c r="M39" s="1051"/>
      <c r="N39" s="1051"/>
      <c r="O39" s="1050" t="s">
        <v>113</v>
      </c>
      <c r="P39" s="1067"/>
      <c r="Q39" s="1067"/>
      <c r="R39" s="1067"/>
      <c r="S39" s="1067"/>
      <c r="T39" s="1067"/>
      <c r="U39" s="1067"/>
      <c r="V39" s="1067"/>
      <c r="W39" s="1067"/>
      <c r="X39" s="1067"/>
      <c r="Y39" s="1067"/>
      <c r="Z39" s="1067"/>
      <c r="AA39" s="1067"/>
      <c r="AB39" s="1067"/>
      <c r="AC39" s="1050" t="s">
        <v>114</v>
      </c>
      <c r="AD39" s="1067"/>
      <c r="AE39" s="1067"/>
      <c r="AF39" s="1067"/>
      <c r="AG39" s="1067"/>
      <c r="AH39" s="1067"/>
      <c r="AI39" s="1067"/>
      <c r="AJ39" s="1067"/>
      <c r="AK39" s="1067"/>
      <c r="AL39" s="1067"/>
      <c r="AM39" s="1067"/>
      <c r="AN39" s="1068"/>
      <c r="AO39" s="486"/>
    </row>
    <row r="40" spans="1:41" s="63" customFormat="1" ht="13.5" customHeight="1" x14ac:dyDescent="0.2">
      <c r="A40" s="77" t="s">
        <v>115</v>
      </c>
      <c r="B40" s="59"/>
      <c r="C40" s="59"/>
      <c r="D40" s="65"/>
      <c r="E40" s="65"/>
      <c r="F40" s="65"/>
      <c r="G40" s="56"/>
      <c r="H40" s="986" t="e">
        <f>IF(AND(U10="X",OR(Q9="X",U9="X")), " ",-PMT(AK14/12,AB9,AG9))</f>
        <v>#DIV/0!</v>
      </c>
      <c r="I40" s="987"/>
      <c r="J40" s="987"/>
      <c r="K40" s="987"/>
      <c r="L40" s="987"/>
      <c r="M40" s="987"/>
      <c r="N40" s="988"/>
      <c r="O40" s="77" t="s">
        <v>99</v>
      </c>
      <c r="P40" s="59"/>
      <c r="Q40" s="59"/>
      <c r="R40" s="59"/>
      <c r="S40" s="59"/>
      <c r="T40" s="59"/>
      <c r="U40" s="59"/>
      <c r="V40" s="1040"/>
      <c r="W40" s="1040"/>
      <c r="X40" s="1040"/>
      <c r="Y40" s="1040"/>
      <c r="Z40" s="1040"/>
      <c r="AA40" s="1040"/>
      <c r="AB40" s="1041"/>
      <c r="AC40" s="77" t="s">
        <v>128</v>
      </c>
      <c r="AD40" s="59"/>
      <c r="AE40" s="59"/>
      <c r="AF40" s="59"/>
      <c r="AG40" s="59"/>
      <c r="AH40" s="71"/>
      <c r="AI40" s="1269" t="str">
        <f t="array" ref="AI40">IF('Appraisal Checklist'!D8:G8="","TBD",'Appraisal Checklist'!D8:G8)</f>
        <v>TBD</v>
      </c>
      <c r="AJ40" s="1270"/>
      <c r="AK40" s="1270"/>
      <c r="AL40" s="1270"/>
      <c r="AM40" s="1270"/>
      <c r="AN40" s="1271"/>
      <c r="AO40" s="486">
        <f>'Add''l Debt'!B44</f>
        <v>0</v>
      </c>
    </row>
    <row r="41" spans="1:41" s="63" customFormat="1" ht="13.5" customHeight="1" x14ac:dyDescent="0.2">
      <c r="A41" s="77" t="s">
        <v>116</v>
      </c>
      <c r="B41" s="59"/>
      <c r="C41" s="59"/>
      <c r="D41" s="59"/>
      <c r="E41" s="65"/>
      <c r="F41" s="65"/>
      <c r="G41" s="56"/>
      <c r="H41" s="1273" t="str">
        <f>IF(AND(U10="X",OR(Q9="X",U9="X")),AG9*AK14/12," ")</f>
        <v xml:space="preserve"> </v>
      </c>
      <c r="I41" s="1273"/>
      <c r="J41" s="1273"/>
      <c r="K41" s="1273"/>
      <c r="L41" s="1273"/>
      <c r="M41" s="1273"/>
      <c r="N41" s="1274"/>
      <c r="O41" s="77" t="s">
        <v>123</v>
      </c>
      <c r="P41" s="59"/>
      <c r="Q41" s="59"/>
      <c r="R41" s="59"/>
      <c r="S41" s="59"/>
      <c r="T41" s="59"/>
      <c r="U41" s="59"/>
      <c r="V41" s="1242" t="e">
        <f>IF(AND(Q14="X",Q9="X",U10="X"),IF(AH59&lt;0,-AH59,"SEE INCOME"),IF(U10="X",IF(Q9="X",(SUM((-PMT(((AK14+2%)/12),276,AG9)),H42:N48)),IF(U9="X",(SUM((-PMT(((AK14)/12),276,AG9)),H42:N48)))),IF(AND(Q14="X",AH59&lt;0),-AH59,IF(AND(Q14="X",AH59&gt;0),"SEE INCOME",H49))))</f>
        <v>#DIV/0!</v>
      </c>
      <c r="W41" s="1242"/>
      <c r="X41" s="1242"/>
      <c r="Y41" s="1242"/>
      <c r="Z41" s="1242"/>
      <c r="AA41" s="1242"/>
      <c r="AB41" s="1243"/>
      <c r="AC41" s="79" t="s">
        <v>129</v>
      </c>
      <c r="AD41" s="75"/>
      <c r="AE41" s="75"/>
      <c r="AF41" s="75"/>
      <c r="AG41" s="75"/>
      <c r="AH41" s="76"/>
      <c r="AI41" s="1283"/>
      <c r="AJ41" s="1284"/>
      <c r="AK41" s="1284"/>
      <c r="AL41" s="1284"/>
      <c r="AM41" s="1284"/>
      <c r="AN41" s="1285"/>
      <c r="AO41" s="486">
        <f>'Add''l Debt'!B43</f>
        <v>0</v>
      </c>
    </row>
    <row r="42" spans="1:41" s="63" customFormat="1" ht="13.5" customHeight="1" x14ac:dyDescent="0.2">
      <c r="A42" s="77" t="s">
        <v>117</v>
      </c>
      <c r="B42" s="59"/>
      <c r="C42" s="59"/>
      <c r="D42" s="65"/>
      <c r="E42" s="65"/>
      <c r="F42" s="65"/>
      <c r="G42" s="56"/>
      <c r="H42" s="905"/>
      <c r="I42" s="905"/>
      <c r="J42" s="905"/>
      <c r="K42" s="905"/>
      <c r="L42" s="905"/>
      <c r="M42" s="905"/>
      <c r="N42" s="906"/>
      <c r="O42" s="287" t="s">
        <v>124</v>
      </c>
      <c r="P42" s="261"/>
      <c r="Q42" s="261"/>
      <c r="R42" s="261"/>
      <c r="S42" s="261"/>
      <c r="T42" s="261"/>
      <c r="U42" s="261"/>
      <c r="V42" s="994" t="str">
        <f>IF('REO Schedule'!L49&lt;0,-'REO Schedule'!L49,IF('REO Schedule'!L49=0," ","SEE INCOME"))</f>
        <v xml:space="preserve"> </v>
      </c>
      <c r="W42" s="994"/>
      <c r="X42" s="994"/>
      <c r="Y42" s="994"/>
      <c r="Z42" s="994"/>
      <c r="AA42" s="994"/>
      <c r="AB42" s="995"/>
      <c r="AC42" s="1280" t="s">
        <v>127</v>
      </c>
      <c r="AD42" s="1281"/>
      <c r="AE42" s="1281"/>
      <c r="AF42" s="1281"/>
      <c r="AG42" s="1281"/>
      <c r="AH42" s="1281"/>
      <c r="AI42" s="1281"/>
      <c r="AJ42" s="1281"/>
      <c r="AK42" s="1281"/>
      <c r="AL42" s="1281"/>
      <c r="AM42" s="1281"/>
      <c r="AN42" s="1282"/>
      <c r="AO42" s="58"/>
    </row>
    <row r="43" spans="1:41" s="63" customFormat="1" ht="13.5" customHeight="1" x14ac:dyDescent="0.2">
      <c r="A43" s="77" t="s">
        <v>118</v>
      </c>
      <c r="B43" s="59"/>
      <c r="C43" s="59"/>
      <c r="D43" s="64"/>
      <c r="E43" s="67"/>
      <c r="F43" s="67"/>
      <c r="G43" s="56"/>
      <c r="H43" s="905" t="str">
        <f>IF(OR(A12="X",A15="X"),ROUNDUP((AI18*0.35%/12), 2),"")</f>
        <v/>
      </c>
      <c r="I43" s="905"/>
      <c r="J43" s="905"/>
      <c r="K43" s="905"/>
      <c r="L43" s="905"/>
      <c r="M43" s="905"/>
      <c r="N43" s="906"/>
      <c r="O43" s="999" t="s">
        <v>30</v>
      </c>
      <c r="P43" s="1000"/>
      <c r="Q43" s="1000"/>
      <c r="R43" s="1000"/>
      <c r="S43" s="1000"/>
      <c r="T43" s="1000"/>
      <c r="U43" s="1000"/>
      <c r="V43" s="905"/>
      <c r="W43" s="905"/>
      <c r="X43" s="905"/>
      <c r="Y43" s="905"/>
      <c r="Z43" s="905"/>
      <c r="AA43" s="905"/>
      <c r="AB43" s="906"/>
      <c r="AC43" s="77" t="s">
        <v>74</v>
      </c>
      <c r="AD43" s="59"/>
      <c r="AE43" s="59"/>
      <c r="AF43" s="59"/>
      <c r="AG43" s="59"/>
      <c r="AH43" s="60"/>
      <c r="AI43" s="996" t="str">
        <f>IF(ISBLANK(AI65)=TRUE," ",AI65+60 )</f>
        <v xml:space="preserve"> </v>
      </c>
      <c r="AJ43" s="997"/>
      <c r="AK43" s="997"/>
      <c r="AL43" s="997"/>
      <c r="AM43" s="997"/>
      <c r="AN43" s="998"/>
      <c r="AO43" s="58"/>
    </row>
    <row r="44" spans="1:41" s="63" customFormat="1" ht="13.5" customHeight="1" x14ac:dyDescent="0.2">
      <c r="A44" s="77" t="s">
        <v>119</v>
      </c>
      <c r="B44" s="59"/>
      <c r="C44" s="59"/>
      <c r="D44" s="59"/>
      <c r="E44" s="65"/>
      <c r="F44" s="805"/>
      <c r="G44" s="790"/>
      <c r="H44" s="905" t="str">
        <f>IF(AND(L10="CA",OR(A12="X",A15="X")),AI18*1.25%/12,"")</f>
        <v/>
      </c>
      <c r="I44" s="905"/>
      <c r="J44" s="905"/>
      <c r="K44" s="905"/>
      <c r="L44" s="905"/>
      <c r="M44" s="905"/>
      <c r="N44" s="906"/>
      <c r="O44" s="1266" t="s">
        <v>30</v>
      </c>
      <c r="P44" s="1267"/>
      <c r="Q44" s="1267"/>
      <c r="R44" s="1267"/>
      <c r="S44" s="1267"/>
      <c r="T44" s="1267"/>
      <c r="U44" s="1267"/>
      <c r="V44" s="905"/>
      <c r="W44" s="905"/>
      <c r="X44" s="905"/>
      <c r="Y44" s="905"/>
      <c r="Z44" s="905"/>
      <c r="AA44" s="905"/>
      <c r="AB44" s="906"/>
      <c r="AC44" s="79" t="s">
        <v>36</v>
      </c>
      <c r="AD44" s="75"/>
      <c r="AE44" s="75"/>
      <c r="AF44" s="75"/>
      <c r="AG44" s="75"/>
      <c r="AH44" s="76"/>
      <c r="AI44" s="1289" t="str">
        <f>IF(ISBLANK(AI66)=TRUE,"TBD",AI66+60)</f>
        <v>TBD</v>
      </c>
      <c r="AJ44" s="1290"/>
      <c r="AK44" s="1290"/>
      <c r="AL44" s="1290"/>
      <c r="AM44" s="1290"/>
      <c r="AN44" s="1291"/>
      <c r="AO44" s="58"/>
    </row>
    <row r="45" spans="1:41" s="63" customFormat="1" ht="13.5" customHeight="1" x14ac:dyDescent="0.2">
      <c r="A45" s="73" t="s">
        <v>120</v>
      </c>
      <c r="B45" s="59"/>
      <c r="C45" s="59"/>
      <c r="D45" s="65"/>
      <c r="E45" s="791" t="s">
        <v>162</v>
      </c>
      <c r="F45" s="789"/>
      <c r="G45" s="792"/>
      <c r="H45" s="905"/>
      <c r="I45" s="905"/>
      <c r="J45" s="905"/>
      <c r="K45" s="905"/>
      <c r="L45" s="905"/>
      <c r="M45" s="905"/>
      <c r="N45" s="906"/>
      <c r="O45" s="999" t="s">
        <v>30</v>
      </c>
      <c r="P45" s="1000"/>
      <c r="Q45" s="1000"/>
      <c r="R45" s="1000"/>
      <c r="S45" s="1000"/>
      <c r="T45" s="1000"/>
      <c r="U45" s="1000"/>
      <c r="V45" s="905"/>
      <c r="W45" s="905"/>
      <c r="X45" s="905"/>
      <c r="Y45" s="905"/>
      <c r="Z45" s="905"/>
      <c r="AA45" s="905"/>
      <c r="AB45" s="906"/>
      <c r="AC45" s="79" t="s">
        <v>37</v>
      </c>
      <c r="AD45" s="75"/>
      <c r="AE45" s="75"/>
      <c r="AF45" s="75"/>
      <c r="AG45" s="75"/>
      <c r="AH45" s="76"/>
      <c r="AI45" s="996" t="str">
        <f t="array" ref="AI45">IF(ISBLANK('Appraisal Checklist'!J8:K8)=TRUE,"TBD",'Appraisal Checklist'!J8:K8+120)</f>
        <v>TBD</v>
      </c>
      <c r="AJ45" s="997"/>
      <c r="AK45" s="997"/>
      <c r="AL45" s="997"/>
      <c r="AM45" s="997"/>
      <c r="AN45" s="998"/>
      <c r="AO45" s="58"/>
    </row>
    <row r="46" spans="1:41" s="63" customFormat="1" ht="13.5" customHeight="1" x14ac:dyDescent="0.2">
      <c r="A46" s="1001" t="s">
        <v>30</v>
      </c>
      <c r="B46" s="1000"/>
      <c r="C46" s="1000"/>
      <c r="D46" s="1000"/>
      <c r="E46" s="1000"/>
      <c r="F46" s="1000"/>
      <c r="G46" s="1000"/>
      <c r="H46" s="905"/>
      <c r="I46" s="905"/>
      <c r="J46" s="905"/>
      <c r="K46" s="905"/>
      <c r="L46" s="905"/>
      <c r="M46" s="905"/>
      <c r="N46" s="906"/>
      <c r="O46" s="1001" t="s">
        <v>30</v>
      </c>
      <c r="P46" s="1000"/>
      <c r="Q46" s="1000"/>
      <c r="R46" s="1000"/>
      <c r="S46" s="1000"/>
      <c r="T46" s="1000"/>
      <c r="U46" s="1000"/>
      <c r="V46" s="905"/>
      <c r="W46" s="905"/>
      <c r="X46" s="905"/>
      <c r="Y46" s="905"/>
      <c r="Z46" s="905"/>
      <c r="AA46" s="905"/>
      <c r="AB46" s="906"/>
      <c r="AC46" s="111" t="s">
        <v>374</v>
      </c>
      <c r="AD46" s="75"/>
      <c r="AE46" s="75"/>
      <c r="AF46" s="75"/>
      <c r="AG46" s="75"/>
      <c r="AH46" s="76"/>
      <c r="AI46" s="989" t="str">
        <f>ASSETS!Y4</f>
        <v/>
      </c>
      <c r="AJ46" s="990"/>
      <c r="AK46" s="990"/>
      <c r="AL46" s="990"/>
      <c r="AM46" s="990"/>
      <c r="AN46" s="991"/>
      <c r="AO46" s="58"/>
    </row>
    <row r="47" spans="1:41" s="63" customFormat="1" ht="13.5" customHeight="1" x14ac:dyDescent="0.2">
      <c r="A47" s="999" t="s">
        <v>121</v>
      </c>
      <c r="B47" s="1000"/>
      <c r="C47" s="1000"/>
      <c r="D47" s="1000"/>
      <c r="E47" s="1000"/>
      <c r="F47" s="1000"/>
      <c r="G47" s="1000"/>
      <c r="H47" s="905"/>
      <c r="I47" s="905"/>
      <c r="J47" s="905"/>
      <c r="K47" s="905"/>
      <c r="L47" s="905"/>
      <c r="M47" s="905"/>
      <c r="N47" s="906"/>
      <c r="O47" s="999" t="s">
        <v>30</v>
      </c>
      <c r="P47" s="1000"/>
      <c r="Q47" s="1000"/>
      <c r="R47" s="1000"/>
      <c r="S47" s="1000"/>
      <c r="T47" s="1000"/>
      <c r="U47" s="1000"/>
      <c r="V47" s="905"/>
      <c r="W47" s="905"/>
      <c r="X47" s="905"/>
      <c r="Y47" s="905"/>
      <c r="Z47" s="905"/>
      <c r="AA47" s="905"/>
      <c r="AB47" s="906"/>
      <c r="AC47" s="107" t="str">
        <f>IF(Z13="X", "Bank Stmnts","Paystub")</f>
        <v>Paystub</v>
      </c>
      <c r="AD47" s="59"/>
      <c r="AE47" s="59"/>
      <c r="AF47" s="288"/>
      <c r="AG47" s="288"/>
      <c r="AH47" s="291"/>
      <c r="AI47" s="989"/>
      <c r="AJ47" s="1237"/>
      <c r="AK47" s="1237"/>
      <c r="AL47" s="1237"/>
      <c r="AM47" s="1237"/>
      <c r="AN47" s="1238"/>
      <c r="AO47" s="58"/>
    </row>
    <row r="48" spans="1:41" s="63" customFormat="1" ht="13.5" customHeight="1" x14ac:dyDescent="0.2">
      <c r="A48" s="999" t="s">
        <v>121</v>
      </c>
      <c r="B48" s="1000"/>
      <c r="C48" s="1000"/>
      <c r="D48" s="1000"/>
      <c r="E48" s="1000"/>
      <c r="F48" s="1000"/>
      <c r="G48" s="1000"/>
      <c r="H48" s="1234"/>
      <c r="I48" s="1234"/>
      <c r="J48" s="1234"/>
      <c r="K48" s="1234"/>
      <c r="L48" s="1234"/>
      <c r="M48" s="1234"/>
      <c r="N48" s="1235"/>
      <c r="O48" s="89" t="s">
        <v>125</v>
      </c>
      <c r="P48" s="59"/>
      <c r="Q48" s="59"/>
      <c r="R48" s="59"/>
      <c r="S48" s="59"/>
      <c r="T48" s="59"/>
      <c r="U48" s="59"/>
      <c r="V48" s="994">
        <f>M38</f>
        <v>0</v>
      </c>
      <c r="W48" s="994"/>
      <c r="X48" s="994"/>
      <c r="Y48" s="994"/>
      <c r="Z48" s="994"/>
      <c r="AA48" s="994"/>
      <c r="AB48" s="995"/>
      <c r="AC48" s="1075" t="s">
        <v>138</v>
      </c>
      <c r="AD48" s="1076"/>
      <c r="AE48" s="1076"/>
      <c r="AF48" s="1076"/>
      <c r="AG48" s="1076"/>
      <c r="AH48" s="1077"/>
      <c r="AI48" s="1222" t="str">
        <f>IF(AND(AB6="A+",AD9="X"), "MAX 43%","")</f>
        <v/>
      </c>
      <c r="AJ48" s="1223"/>
      <c r="AK48" s="1224"/>
      <c r="AL48" s="1228" t="e">
        <f>IF((AND(Z15="X",AA15="Asset ATR in Full")),"DTI N/A",V49/AH58)</f>
        <v>#DIV/0!</v>
      </c>
      <c r="AM48" s="1229"/>
      <c r="AN48" s="1230"/>
      <c r="AO48" s="58"/>
    </row>
    <row r="49" spans="1:41" s="63" customFormat="1" ht="13.5" customHeight="1" thickBot="1" x14ac:dyDescent="0.25">
      <c r="A49" s="992" t="s">
        <v>122</v>
      </c>
      <c r="B49" s="1239"/>
      <c r="C49" s="1239"/>
      <c r="D49" s="1239"/>
      <c r="E49" s="1239"/>
      <c r="F49" s="1239"/>
      <c r="G49" s="1239"/>
      <c r="H49" s="872" t="e">
        <f>SUM(H40:N48)</f>
        <v>#DIV/0!</v>
      </c>
      <c r="I49" s="873"/>
      <c r="J49" s="873"/>
      <c r="K49" s="873"/>
      <c r="L49" s="873"/>
      <c r="M49" s="873"/>
      <c r="N49" s="874"/>
      <c r="O49" s="992" t="s">
        <v>126</v>
      </c>
      <c r="P49" s="993"/>
      <c r="Q49" s="993"/>
      <c r="R49" s="993"/>
      <c r="S49" s="993"/>
      <c r="T49" s="993"/>
      <c r="U49" s="993"/>
      <c r="V49" s="873" t="e">
        <f>SUM(V40:AB48)</f>
        <v>#DIV/0!</v>
      </c>
      <c r="W49" s="873"/>
      <c r="X49" s="873"/>
      <c r="Y49" s="873"/>
      <c r="Z49" s="873"/>
      <c r="AA49" s="873"/>
      <c r="AB49" s="874"/>
      <c r="AC49" s="1078"/>
      <c r="AD49" s="1079"/>
      <c r="AE49" s="1079"/>
      <c r="AF49" s="1079"/>
      <c r="AG49" s="1079"/>
      <c r="AH49" s="1080"/>
      <c r="AI49" s="1225"/>
      <c r="AJ49" s="1226"/>
      <c r="AK49" s="1227"/>
      <c r="AL49" s="1231"/>
      <c r="AM49" s="1232"/>
      <c r="AN49" s="1233"/>
      <c r="AO49" s="58"/>
    </row>
    <row r="50" spans="1:41" s="63" customFormat="1" ht="13.5" customHeight="1" thickBot="1" x14ac:dyDescent="0.25">
      <c r="A50" s="1050" t="s">
        <v>32</v>
      </c>
      <c r="B50" s="1067"/>
      <c r="C50" s="1067"/>
      <c r="D50" s="1067"/>
      <c r="E50" s="1067"/>
      <c r="F50" s="1067"/>
      <c r="G50" s="1067"/>
      <c r="H50" s="1067"/>
      <c r="I50" s="1067"/>
      <c r="J50" s="1067"/>
      <c r="K50" s="1067"/>
      <c r="L50" s="1067"/>
      <c r="M50" s="1067"/>
      <c r="N50" s="1067"/>
      <c r="O50" s="1067"/>
      <c r="P50" s="1067"/>
      <c r="Q50" s="1067"/>
      <c r="R50" s="1067"/>
      <c r="S50" s="1067"/>
      <c r="T50" s="1067"/>
      <c r="U50" s="1067"/>
      <c r="V50" s="1067"/>
      <c r="W50" s="1067"/>
      <c r="X50" s="1067"/>
      <c r="Y50" s="1067"/>
      <c r="Z50" s="1067"/>
      <c r="AA50" s="1067"/>
      <c r="AB50" s="1067"/>
      <c r="AC50" s="1067"/>
      <c r="AD50" s="1067"/>
      <c r="AE50" s="1067"/>
      <c r="AF50" s="1067"/>
      <c r="AG50" s="1067"/>
      <c r="AH50" s="1067"/>
      <c r="AI50" s="1067"/>
      <c r="AJ50" s="1067"/>
      <c r="AK50" s="1067"/>
      <c r="AL50" s="1067"/>
      <c r="AM50" s="1067"/>
      <c r="AN50" s="1068"/>
      <c r="AO50" s="58"/>
    </row>
    <row r="51" spans="1:41" s="63" customFormat="1" ht="13.5" customHeight="1" x14ac:dyDescent="0.2">
      <c r="A51" s="1158"/>
      <c r="B51" s="1159"/>
      <c r="C51" s="1159"/>
      <c r="D51" s="1159"/>
      <c r="E51" s="1159"/>
      <c r="F51" s="875" t="s">
        <v>428</v>
      </c>
      <c r="G51" s="876"/>
      <c r="H51" s="876"/>
      <c r="I51" s="876"/>
      <c r="J51" s="876"/>
      <c r="K51" s="876"/>
      <c r="L51" s="876"/>
      <c r="M51" s="876"/>
      <c r="N51" s="877"/>
      <c r="O51" s="1072" t="s">
        <v>33</v>
      </c>
      <c r="P51" s="876"/>
      <c r="Q51" s="876"/>
      <c r="R51" s="876"/>
      <c r="S51" s="877"/>
      <c r="T51" s="1236" t="s">
        <v>429</v>
      </c>
      <c r="U51" s="1057"/>
      <c r="V51" s="1057"/>
      <c r="W51" s="1057"/>
      <c r="X51" s="1057"/>
      <c r="Y51" s="1057"/>
      <c r="Z51" s="1056"/>
      <c r="AA51" s="1082" t="s">
        <v>430</v>
      </c>
      <c r="AB51" s="1057"/>
      <c r="AC51" s="1057"/>
      <c r="AD51" s="1057"/>
      <c r="AE51" s="1057"/>
      <c r="AF51" s="1057"/>
      <c r="AG51" s="1056"/>
      <c r="AH51" s="1055" t="s">
        <v>130</v>
      </c>
      <c r="AI51" s="1057"/>
      <c r="AJ51" s="1057"/>
      <c r="AK51" s="1057"/>
      <c r="AL51" s="1057"/>
      <c r="AM51" s="1057"/>
      <c r="AN51" s="1058"/>
      <c r="AO51" s="58"/>
    </row>
    <row r="52" spans="1:41" s="63" customFormat="1" ht="13.5" customHeight="1" x14ac:dyDescent="0.2">
      <c r="A52" s="983" t="s">
        <v>34</v>
      </c>
      <c r="B52" s="984"/>
      <c r="C52" s="984"/>
      <c r="D52" s="984"/>
      <c r="E52" s="984"/>
      <c r="F52" s="918"/>
      <c r="G52" s="908"/>
      <c r="H52" s="908"/>
      <c r="I52" s="908"/>
      <c r="J52" s="908"/>
      <c r="K52" s="908"/>
      <c r="L52" s="908"/>
      <c r="M52" s="908"/>
      <c r="N52" s="914"/>
      <c r="O52" s="1272"/>
      <c r="P52" s="896"/>
      <c r="Q52" s="896"/>
      <c r="R52" s="896"/>
      <c r="S52" s="897"/>
      <c r="T52" s="916"/>
      <c r="U52" s="881"/>
      <c r="V52" s="881"/>
      <c r="W52" s="881"/>
      <c r="X52" s="881"/>
      <c r="Y52" s="881"/>
      <c r="Z52" s="882"/>
      <c r="AA52" s="916" t="s">
        <v>28</v>
      </c>
      <c r="AB52" s="881"/>
      <c r="AC52" s="881"/>
      <c r="AD52" s="881"/>
      <c r="AE52" s="881"/>
      <c r="AF52" s="881"/>
      <c r="AG52" s="882"/>
      <c r="AH52" s="904"/>
      <c r="AI52" s="905"/>
      <c r="AJ52" s="905"/>
      <c r="AK52" s="905"/>
      <c r="AL52" s="905"/>
      <c r="AM52" s="905"/>
      <c r="AN52" s="906"/>
      <c r="AO52" s="58"/>
    </row>
    <row r="53" spans="1:41" s="63" customFormat="1" ht="13.5" customHeight="1" x14ac:dyDescent="0.2">
      <c r="A53" s="985" t="s">
        <v>389</v>
      </c>
      <c r="B53" s="984"/>
      <c r="C53" s="984"/>
      <c r="D53" s="984"/>
      <c r="E53" s="984"/>
      <c r="F53" s="918"/>
      <c r="G53" s="908"/>
      <c r="H53" s="908"/>
      <c r="I53" s="908"/>
      <c r="J53" s="908"/>
      <c r="K53" s="908"/>
      <c r="L53" s="908"/>
      <c r="M53" s="908"/>
      <c r="N53" s="914"/>
      <c r="O53" s="895"/>
      <c r="P53" s="896"/>
      <c r="Q53" s="896"/>
      <c r="R53" s="896"/>
      <c r="S53" s="897"/>
      <c r="T53" s="916"/>
      <c r="U53" s="881"/>
      <c r="V53" s="881"/>
      <c r="W53" s="881"/>
      <c r="X53" s="881"/>
      <c r="Y53" s="881"/>
      <c r="Z53" s="882"/>
      <c r="AA53" s="916" t="s">
        <v>28</v>
      </c>
      <c r="AB53" s="881"/>
      <c r="AC53" s="881"/>
      <c r="AD53" s="881"/>
      <c r="AE53" s="881"/>
      <c r="AF53" s="881"/>
      <c r="AG53" s="882"/>
      <c r="AH53" s="915"/>
      <c r="AI53" s="905"/>
      <c r="AJ53" s="905"/>
      <c r="AK53" s="905"/>
      <c r="AL53" s="905"/>
      <c r="AM53" s="905"/>
      <c r="AN53" s="906"/>
      <c r="AO53" s="58"/>
    </row>
    <row r="54" spans="1:41" s="63" customFormat="1" ht="13.5" customHeight="1" x14ac:dyDescent="0.2">
      <c r="A54" s="983"/>
      <c r="B54" s="984"/>
      <c r="C54" s="984"/>
      <c r="D54" s="984"/>
      <c r="E54" s="984"/>
      <c r="F54" s="913"/>
      <c r="G54" s="908"/>
      <c r="H54" s="908"/>
      <c r="I54" s="908"/>
      <c r="J54" s="908"/>
      <c r="K54" s="908"/>
      <c r="L54" s="908"/>
      <c r="M54" s="908"/>
      <c r="N54" s="914"/>
      <c r="O54" s="895"/>
      <c r="P54" s="896"/>
      <c r="Q54" s="896"/>
      <c r="R54" s="896"/>
      <c r="S54" s="897"/>
      <c r="T54" s="880"/>
      <c r="U54" s="881"/>
      <c r="V54" s="881"/>
      <c r="W54" s="881"/>
      <c r="X54" s="881"/>
      <c r="Y54" s="881"/>
      <c r="Z54" s="882"/>
      <c r="AA54" s="916" t="s">
        <v>28</v>
      </c>
      <c r="AB54" s="881"/>
      <c r="AC54" s="881"/>
      <c r="AD54" s="881"/>
      <c r="AE54" s="881"/>
      <c r="AF54" s="881"/>
      <c r="AG54" s="882"/>
      <c r="AH54" s="915"/>
      <c r="AI54" s="905"/>
      <c r="AJ54" s="905"/>
      <c r="AK54" s="905"/>
      <c r="AL54" s="905"/>
      <c r="AM54" s="905"/>
      <c r="AN54" s="906"/>
      <c r="AO54" s="58"/>
    </row>
    <row r="55" spans="1:41" s="63" customFormat="1" ht="13.5" customHeight="1" x14ac:dyDescent="0.2">
      <c r="A55" s="983"/>
      <c r="B55" s="984"/>
      <c r="C55" s="984"/>
      <c r="D55" s="984"/>
      <c r="E55" s="984"/>
      <c r="F55" s="913"/>
      <c r="G55" s="908"/>
      <c r="H55" s="908"/>
      <c r="I55" s="908"/>
      <c r="J55" s="908"/>
      <c r="K55" s="908"/>
      <c r="L55" s="908"/>
      <c r="M55" s="908"/>
      <c r="N55" s="914"/>
      <c r="O55" s="895"/>
      <c r="P55" s="896"/>
      <c r="Q55" s="896"/>
      <c r="R55" s="896"/>
      <c r="S55" s="897"/>
      <c r="T55" s="880"/>
      <c r="U55" s="881"/>
      <c r="V55" s="881"/>
      <c r="W55" s="881"/>
      <c r="X55" s="881"/>
      <c r="Y55" s="881"/>
      <c r="Z55" s="882"/>
      <c r="AA55" s="916" t="s">
        <v>28</v>
      </c>
      <c r="AB55" s="881"/>
      <c r="AC55" s="881"/>
      <c r="AD55" s="881"/>
      <c r="AE55" s="881"/>
      <c r="AF55" s="881"/>
      <c r="AG55" s="882"/>
      <c r="AH55" s="915"/>
      <c r="AI55" s="905"/>
      <c r="AJ55" s="905"/>
      <c r="AK55" s="905"/>
      <c r="AL55" s="905"/>
      <c r="AM55" s="905"/>
      <c r="AN55" s="906"/>
      <c r="AO55" s="58"/>
    </row>
    <row r="56" spans="1:41" s="63" customFormat="1" ht="13.5" customHeight="1" x14ac:dyDescent="0.2">
      <c r="A56" s="1022"/>
      <c r="B56" s="1023"/>
      <c r="C56" s="1023"/>
      <c r="D56" s="1023"/>
      <c r="E56" s="1023"/>
      <c r="F56" s="898" t="str">
        <f>IF('REO Schedule'!L49&gt;0," REO RENTAL INCOME"," ")</f>
        <v xml:space="preserve"> </v>
      </c>
      <c r="G56" s="899"/>
      <c r="H56" s="899"/>
      <c r="I56" s="899"/>
      <c r="J56" s="899"/>
      <c r="K56" s="899"/>
      <c r="L56" s="899"/>
      <c r="M56" s="899"/>
      <c r="N56" s="900"/>
      <c r="O56" s="895"/>
      <c r="P56" s="896"/>
      <c r="Q56" s="896"/>
      <c r="R56" s="896"/>
      <c r="S56" s="897"/>
      <c r="T56" s="880"/>
      <c r="U56" s="881"/>
      <c r="V56" s="881"/>
      <c r="W56" s="881"/>
      <c r="X56" s="881"/>
      <c r="Y56" s="881"/>
      <c r="Z56" s="882"/>
      <c r="AA56" s="916" t="s">
        <v>28</v>
      </c>
      <c r="AB56" s="881"/>
      <c r="AC56" s="881"/>
      <c r="AD56" s="881"/>
      <c r="AE56" s="881"/>
      <c r="AF56" s="881"/>
      <c r="AG56" s="882"/>
      <c r="AH56" s="1286" t="str">
        <f>IF('REO Schedule'!L49&gt;0,'REO Schedule'!L49," ")</f>
        <v xml:space="preserve"> </v>
      </c>
      <c r="AI56" s="994"/>
      <c r="AJ56" s="994"/>
      <c r="AK56" s="994"/>
      <c r="AL56" s="994"/>
      <c r="AM56" s="994"/>
      <c r="AN56" s="995"/>
      <c r="AO56" s="58"/>
    </row>
    <row r="57" spans="1:41" s="63" customFormat="1" ht="13.5" customHeight="1" x14ac:dyDescent="0.2">
      <c r="A57" s="1024"/>
      <c r="B57" s="1025"/>
      <c r="C57" s="1025"/>
      <c r="D57" s="1025"/>
      <c r="E57" s="1025"/>
      <c r="F57" s="898" t="str">
        <f>IF(AND(Q14="X",AH59&gt;0),"SUBJECT RENTAL",IF(AND(Q12="X",I15="X",N59&gt;0),"SUBJECT RENTAL",""))</f>
        <v/>
      </c>
      <c r="G57" s="899"/>
      <c r="H57" s="899"/>
      <c r="I57" s="899"/>
      <c r="J57" s="899"/>
      <c r="K57" s="899"/>
      <c r="L57" s="899"/>
      <c r="M57" s="899"/>
      <c r="N57" s="900"/>
      <c r="O57" s="895"/>
      <c r="P57" s="896"/>
      <c r="Q57" s="896"/>
      <c r="R57" s="896"/>
      <c r="S57" s="897"/>
      <c r="T57" s="880"/>
      <c r="U57" s="881"/>
      <c r="V57" s="881"/>
      <c r="W57" s="881"/>
      <c r="X57" s="881"/>
      <c r="Y57" s="881"/>
      <c r="Z57" s="882"/>
      <c r="AA57" s="916" t="s">
        <v>28</v>
      </c>
      <c r="AB57" s="881"/>
      <c r="AC57" s="881"/>
      <c r="AD57" s="881"/>
      <c r="AE57" s="881"/>
      <c r="AF57" s="881"/>
      <c r="AG57" s="882"/>
      <c r="AH57" s="1286" t="str">
        <f>IF(AND(Q14="X",AH59&gt;0),AH59,IF(AND(Q12="X",I15="X",N59&gt;0),N59,""))</f>
        <v/>
      </c>
      <c r="AI57" s="994"/>
      <c r="AJ57" s="994"/>
      <c r="AK57" s="994"/>
      <c r="AL57" s="994"/>
      <c r="AM57" s="994"/>
      <c r="AN57" s="995"/>
      <c r="AO57" s="58"/>
    </row>
    <row r="58" spans="1:41" s="63" customFormat="1" ht="13.5" customHeight="1" thickBot="1" x14ac:dyDescent="0.25">
      <c r="A58" s="1007" t="s">
        <v>35</v>
      </c>
      <c r="B58" s="1008"/>
      <c r="C58" s="1008"/>
      <c r="D58" s="1008"/>
      <c r="E58" s="1008"/>
      <c r="F58" s="1008"/>
      <c r="G58" s="1008"/>
      <c r="H58" s="1008"/>
      <c r="I58" s="1008"/>
      <c r="J58" s="1008"/>
      <c r="K58" s="1008"/>
      <c r="L58" s="1008"/>
      <c r="M58" s="1008"/>
      <c r="N58" s="1008"/>
      <c r="O58" s="1008"/>
      <c r="P58" s="1008"/>
      <c r="Q58" s="1008"/>
      <c r="R58" s="1008"/>
      <c r="S58" s="1008"/>
      <c r="T58" s="1008"/>
      <c r="U58" s="1008"/>
      <c r="V58" s="1008"/>
      <c r="W58" s="1008"/>
      <c r="X58" s="1008"/>
      <c r="Y58" s="1008"/>
      <c r="Z58" s="1008"/>
      <c r="AA58" s="1008"/>
      <c r="AB58" s="1008"/>
      <c r="AC58" s="1008"/>
      <c r="AD58" s="1008"/>
      <c r="AE58" s="1008"/>
      <c r="AF58" s="1008"/>
      <c r="AG58" s="1009"/>
      <c r="AH58" s="1277">
        <f>SUM(AH52:AN57)</f>
        <v>0</v>
      </c>
      <c r="AI58" s="1278"/>
      <c r="AJ58" s="1278"/>
      <c r="AK58" s="1278"/>
      <c r="AL58" s="1278"/>
      <c r="AM58" s="1278"/>
      <c r="AN58" s="1279"/>
      <c r="AO58" s="58"/>
    </row>
    <row r="59" spans="1:41" s="63" customFormat="1" ht="13.5" customHeight="1" x14ac:dyDescent="0.2">
      <c r="A59" s="93" t="s">
        <v>131</v>
      </c>
      <c r="B59" s="59"/>
      <c r="C59" s="59"/>
      <c r="D59" s="59"/>
      <c r="E59" s="59"/>
      <c r="F59" s="59"/>
      <c r="G59" s="67" t="s">
        <v>123</v>
      </c>
      <c r="H59" s="67"/>
      <c r="I59" s="66"/>
      <c r="J59" s="66"/>
      <c r="K59" s="68"/>
      <c r="L59" s="68"/>
      <c r="M59" s="69" t="s">
        <v>132</v>
      </c>
      <c r="N59" s="917"/>
      <c r="O59" s="917"/>
      <c r="P59" s="917"/>
      <c r="Q59" s="917"/>
      <c r="R59" s="917"/>
      <c r="S59" s="336"/>
      <c r="T59" s="336"/>
      <c r="U59" s="260"/>
      <c r="V59" s="261"/>
      <c r="W59" s="261"/>
      <c r="X59" s="379"/>
      <c r="Y59" s="379"/>
      <c r="Z59" s="379"/>
      <c r="AA59" s="1087" t="str">
        <f>IF(AND(Q14="X",OR(AL6="IONP",AL6="IO ODF",AL6="IOMAG")),IF(U10="X",IF(Q9="X",(SUM((-PMT(((AK14+2% )/12),276,AG9)),H42:N48)),IF(U9="X",(SUM((-PMT(((AK14 )/12),276,AG9)),H42:N48)),IF(Q14="X",H49, " O/O ")))),IF(Q14="X",H49, " O/O "))</f>
        <v xml:space="preserve"> O/O </v>
      </c>
      <c r="AB59" s="1087"/>
      <c r="AC59" s="1087"/>
      <c r="AD59" s="1087"/>
      <c r="AE59" s="1087"/>
      <c r="AF59" s="1087"/>
      <c r="AG59" s="1087"/>
      <c r="AH59" s="901" t="str">
        <f>IF(Q14="X",N59-AA59,"  ")</f>
        <v xml:space="preserve">  </v>
      </c>
      <c r="AI59" s="902"/>
      <c r="AJ59" s="902"/>
      <c r="AK59" s="902"/>
      <c r="AL59" s="902"/>
      <c r="AM59" s="902"/>
      <c r="AN59" s="903"/>
      <c r="AO59" s="58"/>
    </row>
    <row r="60" spans="1:41" s="63" customFormat="1" ht="13.5" customHeight="1" x14ac:dyDescent="0.2">
      <c r="A60" s="907" t="str">
        <f>IF('REO Schedule'!A7="","","See REO Schedule Next Page")</f>
        <v/>
      </c>
      <c r="B60" s="908"/>
      <c r="C60" s="908"/>
      <c r="D60" s="908"/>
      <c r="E60" s="908"/>
      <c r="F60" s="908"/>
      <c r="G60" s="908"/>
      <c r="H60" s="908"/>
      <c r="I60" s="908"/>
      <c r="J60" s="908"/>
      <c r="K60" s="908"/>
      <c r="L60" s="908"/>
      <c r="M60" s="94" t="s">
        <v>132</v>
      </c>
      <c r="N60" s="1081"/>
      <c r="O60" s="1081"/>
      <c r="P60" s="1081"/>
      <c r="Q60" s="1081"/>
      <c r="R60" s="1081"/>
      <c r="S60" s="338" t="s">
        <v>315</v>
      </c>
      <c r="T60" s="339"/>
      <c r="U60" s="333"/>
      <c r="V60" s="894"/>
      <c r="W60" s="894"/>
      <c r="X60" s="894"/>
      <c r="Y60" s="894"/>
      <c r="Z60" s="332"/>
      <c r="AA60" s="883"/>
      <c r="AB60" s="883"/>
      <c r="AC60" s="883"/>
      <c r="AD60" s="332"/>
      <c r="AE60" s="1074"/>
      <c r="AF60" s="1074"/>
      <c r="AG60" s="1074"/>
      <c r="AH60" s="919">
        <f>N60-(SUM(V60,AA60,AE60))</f>
        <v>0</v>
      </c>
      <c r="AI60" s="919"/>
      <c r="AJ60" s="919"/>
      <c r="AK60" s="919"/>
      <c r="AL60" s="919"/>
      <c r="AM60" s="919"/>
      <c r="AN60" s="920"/>
      <c r="AO60" s="58"/>
    </row>
    <row r="61" spans="1:41" s="63" customFormat="1" ht="13.5" customHeight="1" thickBot="1" x14ac:dyDescent="0.25">
      <c r="A61" s="909"/>
      <c r="B61" s="910"/>
      <c r="C61" s="910"/>
      <c r="D61" s="910"/>
      <c r="E61" s="910"/>
      <c r="F61" s="910"/>
      <c r="G61" s="910"/>
      <c r="H61" s="910"/>
      <c r="I61" s="910"/>
      <c r="J61" s="910"/>
      <c r="K61" s="910"/>
      <c r="L61" s="910"/>
      <c r="M61" s="90" t="s">
        <v>132</v>
      </c>
      <c r="N61" s="893"/>
      <c r="O61" s="893"/>
      <c r="P61" s="893"/>
      <c r="Q61" s="893"/>
      <c r="R61" s="893"/>
      <c r="S61" s="340" t="s">
        <v>315</v>
      </c>
      <c r="T61" s="337"/>
      <c r="U61" s="335"/>
      <c r="V61" s="921"/>
      <c r="W61" s="921"/>
      <c r="X61" s="921"/>
      <c r="Y61" s="921"/>
      <c r="Z61" s="334"/>
      <c r="AA61" s="1086"/>
      <c r="AB61" s="1086"/>
      <c r="AC61" s="1086"/>
      <c r="AD61" s="334"/>
      <c r="AE61" s="1085"/>
      <c r="AF61" s="1085"/>
      <c r="AG61" s="1085"/>
      <c r="AH61" s="1083">
        <f>N61-(SUM(V61,AA61,AE61))</f>
        <v>0</v>
      </c>
      <c r="AI61" s="1083"/>
      <c r="AJ61" s="1083"/>
      <c r="AK61" s="1083"/>
      <c r="AL61" s="1083"/>
      <c r="AM61" s="1083"/>
      <c r="AN61" s="1084"/>
      <c r="AO61" s="58"/>
    </row>
    <row r="62" spans="1:41" s="63" customFormat="1" ht="13.5" customHeight="1" thickBot="1" x14ac:dyDescent="0.25">
      <c r="A62" s="1050"/>
      <c r="B62" s="1067"/>
      <c r="C62" s="1067"/>
      <c r="D62" s="1067"/>
      <c r="E62" s="1067"/>
      <c r="F62" s="1067"/>
      <c r="G62" s="1067"/>
      <c r="H62" s="1067"/>
      <c r="I62" s="1067"/>
      <c r="J62" s="1068"/>
      <c r="K62" s="1050" t="s">
        <v>133</v>
      </c>
      <c r="L62" s="1067"/>
      <c r="M62" s="1067"/>
      <c r="N62" s="1067"/>
      <c r="O62" s="1067"/>
      <c r="P62" s="1067"/>
      <c r="Q62" s="1067"/>
      <c r="R62" s="1067"/>
      <c r="S62" s="1067"/>
      <c r="T62" s="1067"/>
      <c r="U62" s="1067"/>
      <c r="V62" s="1067"/>
      <c r="W62" s="1067"/>
      <c r="X62" s="1067"/>
      <c r="Y62" s="1067"/>
      <c r="Z62" s="1067"/>
      <c r="AA62" s="1067"/>
      <c r="AB62" s="1067"/>
      <c r="AC62" s="1067"/>
      <c r="AD62" s="1067"/>
      <c r="AE62" s="1067"/>
      <c r="AF62" s="1067"/>
      <c r="AG62" s="1067"/>
      <c r="AH62" s="1067"/>
      <c r="AI62" s="1067"/>
      <c r="AJ62" s="1067"/>
      <c r="AK62" s="1067"/>
      <c r="AL62" s="1067"/>
      <c r="AM62" s="1067"/>
      <c r="AN62" s="1068"/>
      <c r="AO62" s="58"/>
    </row>
    <row r="63" spans="1:41" s="63" customFormat="1" ht="13.5" customHeight="1" x14ac:dyDescent="0.2">
      <c r="A63" s="93" t="s">
        <v>152</v>
      </c>
      <c r="B63" s="104"/>
      <c r="C63" s="104"/>
      <c r="D63" s="765"/>
      <c r="E63" s="487"/>
      <c r="F63" s="487"/>
      <c r="G63" s="487"/>
      <c r="H63" s="487"/>
      <c r="I63" s="487"/>
      <c r="J63" s="488"/>
      <c r="K63" s="263" t="s">
        <v>164</v>
      </c>
      <c r="L63" s="264"/>
      <c r="M63" s="264"/>
      <c r="N63" s="264"/>
      <c r="O63" s="264"/>
      <c r="P63" s="264"/>
      <c r="Q63" s="967"/>
      <c r="R63" s="967"/>
      <c r="S63" s="967"/>
      <c r="T63" s="967"/>
      <c r="U63" s="967"/>
      <c r="V63" s="967"/>
      <c r="W63" s="967"/>
      <c r="X63" s="967"/>
      <c r="Y63" s="967"/>
      <c r="Z63" s="967"/>
      <c r="AA63" s="967"/>
      <c r="AB63" s="967"/>
      <c r="AC63" s="264" t="s">
        <v>357</v>
      </c>
      <c r="AD63" s="264"/>
      <c r="AE63" s="264"/>
      <c r="AF63" s="264"/>
      <c r="AG63" s="967"/>
      <c r="AH63" s="967"/>
      <c r="AI63" s="967"/>
      <c r="AJ63" s="967"/>
      <c r="AK63" s="967"/>
      <c r="AL63" s="967"/>
      <c r="AM63" s="967"/>
      <c r="AN63" s="968"/>
      <c r="AO63" s="58"/>
    </row>
    <row r="64" spans="1:41" s="63" customFormat="1" ht="13.5" customHeight="1" thickBot="1" x14ac:dyDescent="0.25">
      <c r="A64" s="911"/>
      <c r="B64" s="912"/>
      <c r="C64" s="912"/>
      <c r="D64" s="105" t="s">
        <v>158</v>
      </c>
      <c r="E64" s="106"/>
      <c r="F64" s="106"/>
      <c r="G64" s="105" t="s">
        <v>159</v>
      </c>
      <c r="H64" s="106"/>
      <c r="I64" s="106"/>
      <c r="J64" s="105"/>
      <c r="K64" s="1073" t="s">
        <v>165</v>
      </c>
      <c r="L64" s="1026"/>
      <c r="M64" s="1026"/>
      <c r="N64" s="962"/>
      <c r="O64" s="1088"/>
      <c r="P64" s="1088"/>
      <c r="Q64" s="1088"/>
      <c r="R64" s="1088"/>
      <c r="S64" s="1088"/>
      <c r="T64" s="1088"/>
      <c r="U64" s="1088"/>
      <c r="V64" s="1088"/>
      <c r="W64" s="1088"/>
      <c r="X64" s="1088"/>
      <c r="Y64" s="1088"/>
      <c r="Z64" s="892" t="s">
        <v>356</v>
      </c>
      <c r="AA64" s="892"/>
      <c r="AB64" s="892"/>
      <c r="AC64" s="892"/>
      <c r="AD64" s="892"/>
      <c r="AE64" s="892"/>
      <c r="AF64" s="892"/>
      <c r="AG64" s="892"/>
      <c r="AH64" s="892"/>
      <c r="AI64" s="927"/>
      <c r="AJ64" s="927"/>
      <c r="AK64" s="927"/>
      <c r="AL64" s="927"/>
      <c r="AM64" s="927"/>
      <c r="AN64" s="928"/>
      <c r="AO64" s="58"/>
    </row>
    <row r="65" spans="1:42" s="63" customFormat="1" ht="13.5" customHeight="1" thickBot="1" x14ac:dyDescent="0.25">
      <c r="A65" s="114" t="s">
        <v>160</v>
      </c>
      <c r="B65" s="115"/>
      <c r="C65" s="116"/>
      <c r="D65" s="878"/>
      <c r="E65" s="879"/>
      <c r="F65" s="879"/>
      <c r="G65" s="1251"/>
      <c r="H65" s="1252"/>
      <c r="I65" s="1253"/>
      <c r="J65" s="105"/>
      <c r="K65" s="1073" t="s">
        <v>166</v>
      </c>
      <c r="L65" s="1026"/>
      <c r="M65" s="1026"/>
      <c r="N65" s="1088" t="str">
        <f>IF(OR(ASSETS!F30&gt;0,ASSETS!D56&gt;0,ASSETS!K56&gt;0),"SEE ASSET SUMMARY REPORT","")</f>
        <v/>
      </c>
      <c r="O65" s="1088"/>
      <c r="P65" s="1088"/>
      <c r="Q65" s="1088"/>
      <c r="R65" s="1088"/>
      <c r="S65" s="1088"/>
      <c r="T65" s="1088"/>
      <c r="U65" s="1088"/>
      <c r="V65" s="1088"/>
      <c r="W65" s="1088"/>
      <c r="X65" s="1088"/>
      <c r="Y65" s="1088"/>
      <c r="Z65" s="892" t="s">
        <v>406</v>
      </c>
      <c r="AA65" s="892"/>
      <c r="AB65" s="892"/>
      <c r="AC65" s="892"/>
      <c r="AD65" s="892"/>
      <c r="AE65" s="892"/>
      <c r="AF65" s="892"/>
      <c r="AG65" s="892"/>
      <c r="AH65" s="892"/>
      <c r="AI65" s="962"/>
      <c r="AJ65" s="962"/>
      <c r="AK65" s="962"/>
      <c r="AL65" s="962"/>
      <c r="AM65" s="962"/>
      <c r="AN65" s="963"/>
      <c r="AO65" s="260"/>
      <c r="AP65" s="377"/>
    </row>
    <row r="66" spans="1:42" s="63" customFormat="1" ht="13.5" customHeight="1" x14ac:dyDescent="0.2">
      <c r="A66" s="589" t="str">
        <f>IF(AB6&lt;&gt;"ODF",IF(AND(AB6="A+",OR(AL6="MAG",AL6="IOMAG")),"BS",IF(AND(Z12="X",AA12="Full - ITIN"),"ITIN",IF(Z16="X","VOE","BS"))),"MLS&lt;6")</f>
        <v>BS</v>
      </c>
      <c r="B66" s="376"/>
      <c r="C66" s="376"/>
      <c r="D66" s="976" t="str">
        <f>IF(AB6&lt;&gt;"ODF",IF(Z13="X",IF(AND('Bnk Stmts'!Q28&lt;&gt;"TBD",'Bnk Stmts'!B36&lt;&gt;"TBD"),IF(AND(AB6="A+",AD9="X",Z13="X"),IF(AG11&lt;=70%,IF('Bnk Stmts'!B36=12,IF('Bnk Stmts'!Q28&lt;&gt;"PERSONAL",0.00375,0.0025),0.00125),IF('Bnk Stmts'!B36=12,IF('Bnk Stmts'!Q28&lt;&gt;"PERSONAL",0.005,0.00375),IF('Bnk Stmts'!B36=24,0.0025,"C Bnk Stmt"))),IF(Q14&lt;&gt;"X",IF(OR(AB6="A",AB6="A-",AB6="B"),IF(AND('Bnk Stmts'!Q28&lt;&gt;"PERSONAL",'Bnk Stmts'!B36=24),0.0025,IF(AND(AB6="A",'Bnk Stmts'!B36=1,Q12="X",'Bnk Stmts'!Q28&lt;&gt;"BUSINESS"),IF(AND(AJ37&gt;=700,Approval!AJ37&lt;725),0.005,IF(AND(AJ37&gt;=725,AJ37&lt;750),0.00375,IF(AJ37&gt;=750,0.0025,"Min 700 "))),IF('Bnk Stmts'!B36=24,0.00125,"NA-CMATRIX"))),"NA-CMATRIX"),0.00375)),"C Bnk Stmt"),IF(AND(Z12="X",AA12="Full - ITIN"),0.005,IF(Z16="X",0.0025,""))),"")</f>
        <v/>
      </c>
      <c r="E66" s="977"/>
      <c r="F66" s="978"/>
      <c r="G66" s="979" t="str">
        <f>IF(AND(AB6="ODF",OR(A13="X",A14="X")),IF(AND(AB69="WAIVE FEE FOR 1YR HARD PPP (80% OF 6-MTH INT)?",AN69="YES"),"FEE WAIVE",IF(Z69="Y &lt;= 3m",0.01,IF(Z69="Y &lt;= 6m",0.005,""))),"")</f>
        <v/>
      </c>
      <c r="H66" s="979"/>
      <c r="I66" s="979"/>
      <c r="J66" s="112"/>
      <c r="K66" s="1287" t="str">
        <f>IF(AND(AB6="A+",AD9="X"),IF(AG11&lt;=80%,"MAGGI - 6 MO PITIA RESERVES FOR LTV&lt;=80%","MAGGI - 12 MO PITIA RESERVES FOR LTV&gt;80%"),IF(AND(AB6="ODF",Approval!AA14="DSCR+",Q14="X",AH59&lt;0),"ODF N/O/O 84 MO OF ASSET DEPLETION REQ.",""))</f>
        <v/>
      </c>
      <c r="L66" s="1288"/>
      <c r="M66" s="1288"/>
      <c r="N66" s="1288"/>
      <c r="O66" s="1288"/>
      <c r="P66" s="1288"/>
      <c r="Q66" s="1288"/>
      <c r="R66" s="1288"/>
      <c r="S66" s="1288"/>
      <c r="T66" s="1288"/>
      <c r="U66" s="1288"/>
      <c r="V66" s="1288"/>
      <c r="W66" s="1288"/>
      <c r="X66" s="1288"/>
      <c r="Y66" s="1288"/>
      <c r="Z66" s="1288"/>
      <c r="AA66" s="1288"/>
      <c r="AB66" s="471" t="s">
        <v>405</v>
      </c>
      <c r="AC66" s="471"/>
      <c r="AD66" s="471"/>
      <c r="AE66" s="471"/>
      <c r="AF66" s="471"/>
      <c r="AG66" s="471"/>
      <c r="AH66" s="471"/>
      <c r="AI66" s="962"/>
      <c r="AJ66" s="962"/>
      <c r="AK66" s="962"/>
      <c r="AL66" s="962"/>
      <c r="AM66" s="962"/>
      <c r="AN66" s="963"/>
      <c r="AO66" s="58"/>
    </row>
    <row r="67" spans="1:42" s="63" customFormat="1" ht="13.5" customHeight="1" x14ac:dyDescent="0.2">
      <c r="A67" s="585" t="str">
        <f>IF(AB6&lt;&gt;"ODF","ATR/Full",IF(AA14="Foreign Nat'l","FN","FIX&amp;FLIP"))</f>
        <v>ATR/Full</v>
      </c>
      <c r="B67" s="375"/>
      <c r="C67" s="375"/>
      <c r="D67" s="889" t="str">
        <f>IF(Z15="X",IF(AD10&lt;&gt;"X",IF(OR(AB6="A",AB6="A-",AB6="B"),0.005,"N/A"),0.005),IF(AND(AA14="Foreign Nat'l",AB6="ODF",Z14="X"),IF(AG11&gt;65%,0.00125,""),IF(AND(AA14="Fix &amp; Flip/Keep",AB6="ODF",Z14="X"),0.0025,"")))</f>
        <v/>
      </c>
      <c r="E67" s="889"/>
      <c r="F67" s="889"/>
      <c r="G67" s="889" t="str">
        <f>IF(AND(AA14="Foreign Nat'l",AB6="ODF"),IF(AG11&gt;65%,"",""),IF(AND(AA14="Fix &amp; Flip/Keep",AB6="ODF",Z14="X"),"",""))</f>
        <v/>
      </c>
      <c r="H67" s="889"/>
      <c r="I67" s="889"/>
      <c r="J67" s="112"/>
      <c r="K67" s="1254" t="str">
        <f>IF(AND(AB6="A+",AD9="X"),IF(ASSETS!D56&gt;=ASSETS!D59,"RESERVES OF $" &amp; ROUNDDOWN(ASSETS!D59,2) &amp;" HAVE BEEN PROVIDED &amp; MEET RESERVES REQUIREMENT","RESERVES NOT MET - ADD'L PERSONAL FUNDS OF $" &amp;-(ROUNDDOWN(ASSETS!D56-ASSETS!D59,2)) &amp; " ARE NEEDED"),IF(AND(AB6="ODF",Approval!AA14="DSCR+",Q14="X",AH59&lt;0),IF(ASSETS!K56&gt;=ASSETS!D62,"ASSET DEPLETION OF $" &amp; ROUNDDOWN(ASSETS!D62,2) &amp;" TO OFFSET SUBJECT RENT LOSS HAVE BEEN MET", "ASSET DEPLETION TO OFFSET SUBJECT RENT LOSS NOT MET -NEED ADD'L PERS FUNDS OF $" &amp;-(ROUNDUP(ASSETS!K56-ASSETS!D62,2)))," "))</f>
        <v xml:space="preserve"> </v>
      </c>
      <c r="L67" s="1255"/>
      <c r="M67" s="1255"/>
      <c r="N67" s="1255"/>
      <c r="O67" s="1255"/>
      <c r="P67" s="1255"/>
      <c r="Q67" s="1255"/>
      <c r="R67" s="1255"/>
      <c r="S67" s="1255"/>
      <c r="T67" s="1255"/>
      <c r="U67" s="1255"/>
      <c r="V67" s="1255"/>
      <c r="W67" s="1255"/>
      <c r="X67" s="1255"/>
      <c r="Y67" s="1255"/>
      <c r="Z67" s="1255"/>
      <c r="AA67" s="1255"/>
      <c r="AB67" s="1255"/>
      <c r="AC67" s="1255"/>
      <c r="AD67" s="1255"/>
      <c r="AE67" s="1255"/>
      <c r="AF67" s="1255"/>
      <c r="AG67" s="1255"/>
      <c r="AH67" s="1255"/>
      <c r="AI67" s="1255"/>
      <c r="AJ67" s="1255"/>
      <c r="AK67" s="1255"/>
      <c r="AL67" s="1255"/>
      <c r="AM67" s="1255"/>
      <c r="AN67" s="1256"/>
      <c r="AO67" s="58"/>
    </row>
    <row r="68" spans="1:42" s="63" customFormat="1" ht="13.5" customHeight="1" x14ac:dyDescent="0.2">
      <c r="A68" s="588" t="str">
        <f>IF(Q14="X","N/O/O","2nd Hm")</f>
        <v>2nd Hm</v>
      </c>
      <c r="B68" s="375"/>
      <c r="C68" s="375"/>
      <c r="D68" s="889" t="str">
        <f>IF(AND(OR(AL6="NP",AL6="IONP"),OR(Q13="X",Q14="X")),0.0025,"")</f>
        <v/>
      </c>
      <c r="E68" s="889"/>
      <c r="F68" s="889"/>
      <c r="G68" s="889"/>
      <c r="H68" s="889"/>
      <c r="I68" s="889"/>
      <c r="J68" s="112"/>
      <c r="K68" s="887" t="str">
        <f>IF(ASSETS!F32&lt;0,"ADDITIONAL FUNDS REQUIRED:","FUND TO CLOSE NOT TO EXCEED")</f>
        <v>ADDITIONAL FUNDS REQUIRED:</v>
      </c>
      <c r="L68" s="888"/>
      <c r="M68" s="888"/>
      <c r="N68" s="888"/>
      <c r="O68" s="888"/>
      <c r="P68" s="888"/>
      <c r="Q68" s="888"/>
      <c r="R68" s="888"/>
      <c r="S68" s="888"/>
      <c r="T68" s="888"/>
      <c r="U68" s="888"/>
      <c r="V68" s="888"/>
      <c r="W68" s="888"/>
      <c r="X68" s="926">
        <f>IF(ASSETS!F32&lt;0,ASSETS!F32,ASSETS!F30)</f>
        <v>-1295</v>
      </c>
      <c r="Y68" s="926"/>
      <c r="Z68" s="926"/>
      <c r="AA68" s="926"/>
      <c r="AB68" s="926"/>
      <c r="AC68" s="1026" t="s">
        <v>280</v>
      </c>
      <c r="AD68" s="1026"/>
      <c r="AE68" s="1026"/>
      <c r="AF68" s="1026"/>
      <c r="AG68" s="929" t="str">
        <f>IF(AI68&lt;0,"FRM","TO")</f>
        <v>TO</v>
      </c>
      <c r="AH68" s="929"/>
      <c r="AI68" s="927" t="s">
        <v>407</v>
      </c>
      <c r="AJ68" s="927"/>
      <c r="AK68" s="927"/>
      <c r="AL68" s="927"/>
      <c r="AM68" s="927"/>
      <c r="AN68" s="928"/>
      <c r="AO68" s="58"/>
    </row>
    <row r="69" spans="1:42" s="63" customFormat="1" ht="13.5" customHeight="1" x14ac:dyDescent="0.2">
      <c r="A69" s="588" t="s">
        <v>443</v>
      </c>
      <c r="B69" s="375"/>
      <c r="C69" s="375"/>
      <c r="D69" s="889" t="str">
        <f>IF(AD9="X",IF(AB6="ODF",IF(AG9&gt;2000000,0.0025,""),IF(AB6="A+",IF(AG9&lt;350000,0.0025,IF(AG9&gt;1000000,IF(AG9&lt;=1500000,0.00125,IF(AND(AG9&gt;1500000, AG9&lt;=2000000),0.0025,IF(AG9&gt;2000000,0.00375," ")))," ")),IF(AND(AG9&lt;100000,AG9&gt;0),0.005,IF(AND(AG9&lt;150000,AG9&gt;=100000),0.0025,IF(AND(AG9&gt;1000000,AG9&lt;=1500000),0.0025,IF(AND(AG9&gt;1500000,AG9&lt;=2000000),0.005,IF(AG9&gt;2000000,0.00625," "))))))),IF(AD10="X",IF(AG9&lt;150000,0.0025,IF(AG9&gt;350000,0.0025," "))))</f>
        <v xml:space="preserve"> </v>
      </c>
      <c r="E69" s="889"/>
      <c r="F69" s="889"/>
      <c r="G69" s="1016" t="str">
        <f>IF(AND(AB6="ODF",AG9&gt;1000000),""," ")</f>
        <v xml:space="preserve"> </v>
      </c>
      <c r="H69" s="1017"/>
      <c r="I69" s="1018"/>
      <c r="J69" s="112"/>
      <c r="K69" s="890" t="str">
        <f>IF(OR(A12="X",A15="X"),"Has subject been transferred &lt;=6mos? If so, #mo?","Has Subject been listed on MLS &lt;= 6mos? If so, # of mo?")</f>
        <v>Has Subject been listed on MLS &lt;= 6mos? If so, # of mo?</v>
      </c>
      <c r="L69" s="891"/>
      <c r="M69" s="891"/>
      <c r="N69" s="891"/>
      <c r="O69" s="891"/>
      <c r="P69" s="891"/>
      <c r="Q69" s="891"/>
      <c r="R69" s="891"/>
      <c r="S69" s="891"/>
      <c r="T69" s="891"/>
      <c r="U69" s="891"/>
      <c r="V69" s="891"/>
      <c r="W69" s="891"/>
      <c r="X69" s="891"/>
      <c r="Y69" s="891"/>
      <c r="Z69" s="941" t="s">
        <v>407</v>
      </c>
      <c r="AA69" s="941"/>
      <c r="AB69" s="859" t="str">
        <f>IF(AND(OR(Z69="Y &lt;= 3m",Z69="Y &lt;= 6m"),OR(AND(Q12="X",Z14="X",AA14="BUSINESS LN"),Q13="X",Q14="X"),OR(A13="X",A14="X",AND(A15="X",B15="Lease Option-Purch AV"))),"WAIVE FEE FOR 1YR HARD PPP (80% OF 6-MTH INT)?","")</f>
        <v/>
      </c>
      <c r="AC69" s="859"/>
      <c r="AD69" s="859"/>
      <c r="AE69" s="859"/>
      <c r="AF69" s="859"/>
      <c r="AG69" s="859"/>
      <c r="AH69" s="859"/>
      <c r="AI69" s="859"/>
      <c r="AJ69" s="859"/>
      <c r="AK69" s="859"/>
      <c r="AL69" s="859"/>
      <c r="AM69" s="859"/>
      <c r="AN69" s="835" t="s">
        <v>425</v>
      </c>
      <c r="AO69" s="58"/>
    </row>
    <row r="70" spans="1:42" s="63" customFormat="1" ht="13.5" customHeight="1" x14ac:dyDescent="0.2">
      <c r="A70" s="588" t="str">
        <f>IF(AND(I15="X",J15="Condotel"),"ConTel",IF(AND(I15="x",J15="Non Warr Condo"),"NonWr","Units"))</f>
        <v>Units</v>
      </c>
      <c r="B70" s="375"/>
      <c r="C70" s="375"/>
      <c r="D70" s="889" t="str">
        <f>IF(AND(I15="X",J15="Condotel"),0.00375,IF(AND(I15="X",J15="Non Warr Condo"),0.005,IF(I14="X",IF(AB6="odf",0.00125,0.0025),"")))</f>
        <v/>
      </c>
      <c r="E70" s="889"/>
      <c r="F70" s="889"/>
      <c r="G70" s="889" t="str">
        <f>IF(AND(AB6="ODF",I14="X"),"", " ")</f>
        <v xml:space="preserve"> </v>
      </c>
      <c r="H70" s="889"/>
      <c r="I70" s="889"/>
      <c r="J70" s="112"/>
      <c r="K70" s="922" t="s">
        <v>482</v>
      </c>
      <c r="L70" s="923"/>
      <c r="M70" s="923"/>
      <c r="N70" s="923"/>
      <c r="O70" s="923"/>
      <c r="P70" s="923"/>
      <c r="Q70" s="923"/>
      <c r="R70" s="924" t="e">
        <f>(AH58-V49)</f>
        <v>#DIV/0!</v>
      </c>
      <c r="S70" s="925"/>
      <c r="T70" s="925"/>
      <c r="U70" s="925"/>
      <c r="V70" s="925"/>
      <c r="W70" s="942" t="s">
        <v>483</v>
      </c>
      <c r="X70" s="942"/>
      <c r="Y70" s="942"/>
      <c r="Z70" s="942"/>
      <c r="AA70" s="942"/>
      <c r="AB70" s="884" t="s">
        <v>528</v>
      </c>
      <c r="AC70" s="884"/>
      <c r="AD70" s="884"/>
      <c r="AE70" s="884"/>
      <c r="AF70" s="884"/>
      <c r="AG70" s="884"/>
      <c r="AH70" s="884"/>
      <c r="AI70" s="884"/>
      <c r="AJ70" s="884"/>
      <c r="AK70" s="885" t="str">
        <f>IF('Appraisal Checklist'!U27="N/A","TBD",'Appraisal Checklist'!U27)</f>
        <v>TBD</v>
      </c>
      <c r="AL70" s="885"/>
      <c r="AM70" s="885"/>
      <c r="AN70" s="886"/>
      <c r="AO70" s="58"/>
    </row>
    <row r="71" spans="1:42" s="63" customFormat="1" ht="13.5" customHeight="1" x14ac:dyDescent="0.2">
      <c r="A71" s="588" t="s">
        <v>508</v>
      </c>
      <c r="B71" s="375"/>
      <c r="C71" s="375"/>
      <c r="D71" s="889" t="str">
        <f>IF(U10="X",IF(AL6&lt;&gt;"IONP",0.00125,0.0025),"")</f>
        <v/>
      </c>
      <c r="E71" s="889"/>
      <c r="F71" s="889"/>
      <c r="G71" s="889"/>
      <c r="H71" s="889"/>
      <c r="I71" s="889"/>
      <c r="J71" s="112"/>
      <c r="K71" s="1010" t="s">
        <v>488</v>
      </c>
      <c r="L71" s="1011"/>
      <c r="M71" s="1011"/>
      <c r="N71" s="1011"/>
      <c r="O71" s="1011"/>
      <c r="P71" s="1011"/>
      <c r="Q71" s="1011"/>
      <c r="R71" s="1012"/>
      <c r="S71" s="1012"/>
      <c r="T71" s="1012"/>
      <c r="U71" s="1012"/>
      <c r="V71" s="1012"/>
      <c r="W71" s="934" t="str">
        <f>IF(AND(Z14="x",AA14="NOO Business"),"NOO Bussiness must document loan is: ?","")</f>
        <v/>
      </c>
      <c r="X71" s="934"/>
      <c r="Y71" s="934"/>
      <c r="Z71" s="934"/>
      <c r="AA71" s="934"/>
      <c r="AB71" s="934"/>
      <c r="AC71" s="934"/>
      <c r="AD71" s="934"/>
      <c r="AE71" s="934"/>
      <c r="AF71" s="934"/>
      <c r="AG71" s="934"/>
      <c r="AH71" s="934"/>
      <c r="AI71" s="1275" t="s">
        <v>426</v>
      </c>
      <c r="AJ71" s="1275"/>
      <c r="AK71" s="1275"/>
      <c r="AL71" s="1275"/>
      <c r="AM71" s="1275"/>
      <c r="AN71" s="1276"/>
      <c r="AO71" s="58"/>
    </row>
    <row r="72" spans="1:42" s="63" customFormat="1" ht="13.5" customHeight="1" x14ac:dyDescent="0.2">
      <c r="A72" s="711" t="s">
        <v>509</v>
      </c>
      <c r="B72" s="712"/>
      <c r="C72" s="712"/>
      <c r="D72" s="889" t="str">
        <f>IF(AND(U9="X",V9="FIXED"),0.00375,"")</f>
        <v/>
      </c>
      <c r="E72" s="889"/>
      <c r="F72" s="889"/>
      <c r="G72" s="889"/>
      <c r="H72" s="889"/>
      <c r="I72" s="889"/>
      <c r="J72" s="112"/>
      <c r="K72" s="1013" t="str">
        <f>IF(A13="x","Max incidental cash back is $1000 or 1% of loan amount whichever is greater but cannot exceed $5K","")</f>
        <v/>
      </c>
      <c r="L72" s="1014"/>
      <c r="M72" s="1014"/>
      <c r="N72" s="1014"/>
      <c r="O72" s="1014"/>
      <c r="P72" s="1014"/>
      <c r="Q72" s="1014"/>
      <c r="R72" s="1014"/>
      <c r="S72" s="1014"/>
      <c r="T72" s="1014"/>
      <c r="U72" s="1014"/>
      <c r="V72" s="1014"/>
      <c r="W72" s="1014"/>
      <c r="X72" s="1014"/>
      <c r="Y72" s="1014"/>
      <c r="Z72" s="1014"/>
      <c r="AA72" s="1014"/>
      <c r="AB72" s="1014"/>
      <c r="AC72" s="1014"/>
      <c r="AD72" s="1014"/>
      <c r="AE72" s="1014"/>
      <c r="AF72" s="1014"/>
      <c r="AG72" s="1014"/>
      <c r="AH72" s="1014"/>
      <c r="AI72" s="1014"/>
      <c r="AJ72" s="1014"/>
      <c r="AK72" s="1014"/>
      <c r="AL72" s="1014"/>
      <c r="AM72" s="1014"/>
      <c r="AN72" s="1015"/>
      <c r="AO72" s="58"/>
    </row>
    <row r="73" spans="1:42" s="63" customFormat="1" ht="13.5" customHeight="1" x14ac:dyDescent="0.2">
      <c r="A73" s="587" t="s">
        <v>435</v>
      </c>
      <c r="B73" s="375"/>
      <c r="C73" s="375"/>
      <c r="D73" s="889" t="str">
        <f>IF(AND(I15="X",X15="YES",AB6&lt;&gt;"ODF"),0.0025,"")</f>
        <v/>
      </c>
      <c r="E73" s="889"/>
      <c r="F73" s="889"/>
      <c r="G73" s="889"/>
      <c r="H73" s="889"/>
      <c r="I73" s="889"/>
      <c r="J73" s="112"/>
      <c r="K73" s="861"/>
      <c r="L73" s="862"/>
      <c r="M73" s="862"/>
      <c r="N73" s="862"/>
      <c r="O73" s="862"/>
      <c r="P73" s="862"/>
      <c r="Q73" s="862"/>
      <c r="R73" s="862"/>
      <c r="S73" s="862"/>
      <c r="T73" s="862"/>
      <c r="U73" s="862"/>
      <c r="V73" s="862"/>
      <c r="W73" s="862"/>
      <c r="X73" s="862"/>
      <c r="Y73" s="862"/>
      <c r="Z73" s="862"/>
      <c r="AA73" s="862"/>
      <c r="AB73" s="862"/>
      <c r="AC73" s="862"/>
      <c r="AD73" s="862"/>
      <c r="AE73" s="862"/>
      <c r="AF73" s="860" t="str">
        <f>IF(N59&gt;0,"RENT LOSS COV INCL IN EOI?","")</f>
        <v/>
      </c>
      <c r="AG73" s="860"/>
      <c r="AH73" s="860"/>
      <c r="AI73" s="860"/>
      <c r="AJ73" s="860"/>
      <c r="AK73" s="860"/>
      <c r="AL73" s="860"/>
      <c r="AM73" s="860"/>
      <c r="AN73" s="834" t="s">
        <v>425</v>
      </c>
      <c r="AO73" s="58"/>
    </row>
    <row r="74" spans="1:42" s="63" customFormat="1" ht="13.5" customHeight="1" x14ac:dyDescent="0.2">
      <c r="A74" s="969" t="s">
        <v>161</v>
      </c>
      <c r="B74" s="970"/>
      <c r="C74" s="971"/>
      <c r="D74" s="889" t="str">
        <f>IF(N16="Rural",IF(OR(AB6="A",AB6="A-"),0.0025,IF(AB6="B",0.00375,IF(OR(AB6="B-",AB6="C"),0.005,""))),"")</f>
        <v/>
      </c>
      <c r="E74" s="889"/>
      <c r="F74" s="889"/>
      <c r="G74" s="889"/>
      <c r="H74" s="889"/>
      <c r="I74" s="889"/>
      <c r="J74" s="112"/>
      <c r="K74" s="869"/>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1"/>
      <c r="AO74" s="58"/>
    </row>
    <row r="75" spans="1:42" s="63" customFormat="1" ht="13.5" customHeight="1" x14ac:dyDescent="0.2">
      <c r="A75" s="1019" t="str">
        <f>IF(AB6="ODF",IF(OR(AA14="Business Ln",AA14="NOO Business"),"BUS LN","Mixed Use"),"C/O")</f>
        <v>C/O</v>
      </c>
      <c r="B75" s="1020"/>
      <c r="C75" s="1021"/>
      <c r="D75" s="1069" t="e">
        <f>IF(AND(AA14="Mixed Use (Res)",AB6="ODF",Z14="X"),0.0025,IF(AND(OR(AA14="Business Ln",AA14="NOO Business"),AB6="ODF",Z14="X"),0.00125,IF(AND(AB6="A+",AG11&gt;70%,AD9="X",A14="X"),0.0025,"")))</f>
        <v>#DIV/0!</v>
      </c>
      <c r="E75" s="1070"/>
      <c r="F75" s="1071"/>
      <c r="G75" s="1069" t="str">
        <f>IF(AND(AA14="X-Collateral",AB6="ODF",Z14="X"),"",IF(AND(OR(AA14="Business Ln",AA14="NOO Business"),AB6="ODF",Z14="X"),"",""))</f>
        <v/>
      </c>
      <c r="H75" s="1070"/>
      <c r="I75" s="1071"/>
      <c r="J75" s="112"/>
      <c r="K75" s="869"/>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1"/>
      <c r="AO75" s="58"/>
    </row>
    <row r="76" spans="1:42" s="63" customFormat="1" ht="13.5" customHeight="1" x14ac:dyDescent="0.2">
      <c r="A76" s="767" t="s">
        <v>454</v>
      </c>
      <c r="B76" s="768"/>
      <c r="C76" s="586"/>
      <c r="D76" s="889" t="str">
        <f>IF(AB6="ODF",IF(AJ37&gt;=600,"",IF(AND(AJ37&gt;=550,AJ37&lt;=599),0.0025,IF(AND(AJ37&gt;=500,AJ37&lt;=549),0.005,IF(AJ37&lt;=499,"SEE MGMT","")))),"")</f>
        <v/>
      </c>
      <c r="E76" s="889"/>
      <c r="F76" s="889"/>
      <c r="G76" s="889" t="str">
        <f>IF(AB6="ODF",IF(AJ37&gt;=600,"",IF(AND(AJ37&gt;=550,AJ37&lt;=599),IF(AG11&gt;50%,"",""),IF(AND(AJ37&gt;=500,AJ37&lt;=549),IF(AG11&gt;50%,"",""),IF(AJ37&lt;=499,"SEE MGMT","")))),"")</f>
        <v/>
      </c>
      <c r="H76" s="889"/>
      <c r="I76" s="889"/>
      <c r="J76" s="112"/>
      <c r="K76" s="869"/>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1"/>
      <c r="AO76" s="58"/>
    </row>
    <row r="77" spans="1:42" s="63" customFormat="1" ht="13.5" customHeight="1" x14ac:dyDescent="0.2">
      <c r="A77" s="767" t="s">
        <v>516</v>
      </c>
      <c r="B77" s="768"/>
      <c r="C77" s="586"/>
      <c r="D77" s="889"/>
      <c r="E77" s="889"/>
      <c r="F77" s="889"/>
      <c r="G77" s="889"/>
      <c r="H77" s="889"/>
      <c r="I77" s="889"/>
      <c r="J77" s="112"/>
      <c r="K77" s="869"/>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1"/>
      <c r="AO77" s="58"/>
    </row>
    <row r="78" spans="1:42" s="63" customFormat="1" ht="13.5" customHeight="1" x14ac:dyDescent="0.2">
      <c r="A78" s="806" t="s">
        <v>516</v>
      </c>
      <c r="B78" s="807"/>
      <c r="C78" s="586"/>
      <c r="D78" s="889"/>
      <c r="E78" s="889"/>
      <c r="F78" s="889"/>
      <c r="G78" s="889"/>
      <c r="H78" s="889"/>
      <c r="I78" s="889"/>
      <c r="J78" s="112"/>
      <c r="K78" s="869"/>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1"/>
      <c r="AO78" s="58"/>
    </row>
    <row r="79" spans="1:42" s="63" customFormat="1" ht="13.5" customHeight="1" x14ac:dyDescent="0.2">
      <c r="A79" s="806" t="s">
        <v>516</v>
      </c>
      <c r="B79" s="807"/>
      <c r="C79" s="586"/>
      <c r="D79" s="933"/>
      <c r="E79" s="889"/>
      <c r="F79" s="889"/>
      <c r="G79" s="889"/>
      <c r="H79" s="889"/>
      <c r="I79" s="889"/>
      <c r="J79" s="112"/>
      <c r="K79" s="869"/>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1"/>
      <c r="AO79" s="58"/>
    </row>
    <row r="80" spans="1:42" s="63" customFormat="1" ht="13.5" customHeight="1" x14ac:dyDescent="0.2">
      <c r="A80" s="588" t="s">
        <v>516</v>
      </c>
      <c r="B80" s="584"/>
      <c r="C80" s="586"/>
      <c r="D80" s="889"/>
      <c r="E80" s="889"/>
      <c r="F80" s="889"/>
      <c r="G80" s="889"/>
      <c r="H80" s="889"/>
      <c r="I80" s="889"/>
      <c r="J80" s="112"/>
      <c r="K80" s="869"/>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1"/>
      <c r="AO80" s="58"/>
    </row>
    <row r="81" spans="1:41" s="63" customFormat="1" ht="13.5" customHeight="1" x14ac:dyDescent="0.2">
      <c r="A81" s="973" t="s">
        <v>422</v>
      </c>
      <c r="B81" s="974"/>
      <c r="C81" s="974"/>
      <c r="D81" s="974"/>
      <c r="E81" s="974"/>
      <c r="F81" s="975"/>
      <c r="G81" s="972">
        <f>SUM(G65:I80)</f>
        <v>0</v>
      </c>
      <c r="H81" s="972"/>
      <c r="I81" s="972"/>
      <c r="J81" s="113"/>
      <c r="K81" s="869"/>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1"/>
      <c r="AO81" s="58"/>
    </row>
    <row r="82" spans="1:41" s="63" customFormat="1" ht="13.5" customHeight="1" x14ac:dyDescent="0.2">
      <c r="A82" s="863" t="str">
        <f>IF(AH5="RETAIL","RETAIL","")</f>
        <v/>
      </c>
      <c r="B82" s="864"/>
      <c r="C82" s="865"/>
      <c r="D82" s="866"/>
      <c r="E82" s="867"/>
      <c r="F82" s="868"/>
      <c r="G82" s="866" t="str">
        <f>IF(AH5="RETAIL",IF(OR(AB6="A+",AB6="A",AB6="A-"),0.01,IF(OR(AB6="B",AB6="B-",AB6="ODF"),0.015,IF(AB6="C",0.02,""))),"")</f>
        <v/>
      </c>
      <c r="H82" s="867"/>
      <c r="I82" s="868"/>
      <c r="J82" s="554"/>
      <c r="K82" s="869"/>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1"/>
      <c r="AO82" s="58"/>
    </row>
    <row r="83" spans="1:41" s="63" customFormat="1" ht="13.5" customHeight="1" x14ac:dyDescent="0.2">
      <c r="A83" s="863" t="str">
        <f>IF(AND(AH5="RETAIL",OR(AB5="YES - 1.25%",AB5="YES - 2.00%")),"LENDER CREDIT",IF(AND(AH5="WHOLESALE",AB5&lt;&gt;"BORROWER PAID"),"LENDER PAID",""))</f>
        <v/>
      </c>
      <c r="B83" s="864"/>
      <c r="C83" s="865"/>
      <c r="D83" s="866" t="str">
        <f>IF(AH5="RETAIL",IF(AB5="Yes - 1.25%",0.005,IF(AB5="Yes - 2.00%",0.01,"")),IF(AND(AB5&lt;&gt;"TBD",AH5="wholesale",AB5&lt;&gt;"BORROWER PAID"),IF(AB5="Lender Paid 1.25%",0.005,0.01),""))</f>
        <v/>
      </c>
      <c r="E83" s="867"/>
      <c r="F83" s="868"/>
      <c r="G83" s="866"/>
      <c r="H83" s="867"/>
      <c r="I83" s="868"/>
      <c r="J83" s="554"/>
      <c r="K83" s="869"/>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1"/>
      <c r="AO83" s="58"/>
    </row>
    <row r="84" spans="1:41" s="63" customFormat="1" ht="13.5" customHeight="1" x14ac:dyDescent="0.2">
      <c r="A84" s="560" t="s">
        <v>420</v>
      </c>
      <c r="B84" s="555"/>
      <c r="C84" s="556"/>
      <c r="D84" s="1004"/>
      <c r="E84" s="1005"/>
      <c r="F84" s="1006"/>
      <c r="G84" s="1004"/>
      <c r="H84" s="1005"/>
      <c r="I84" s="1006"/>
      <c r="J84" s="554"/>
      <c r="K84" s="869"/>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1"/>
      <c r="AO84" s="58"/>
    </row>
    <row r="85" spans="1:41" s="63" customFormat="1" ht="13.5" customHeight="1" x14ac:dyDescent="0.2">
      <c r="A85" s="561" t="s">
        <v>421</v>
      </c>
      <c r="B85" s="562"/>
      <c r="C85" s="562"/>
      <c r="D85" s="930" t="e">
        <f>SUM(D65:F80,D83,D84)</f>
        <v>#DIV/0!</v>
      </c>
      <c r="E85" s="931"/>
      <c r="F85" s="932"/>
      <c r="G85" s="930">
        <f>SUM(G65:I80,G82,G83,G84)</f>
        <v>0</v>
      </c>
      <c r="H85" s="931"/>
      <c r="I85" s="932"/>
      <c r="J85" s="559"/>
      <c r="K85" s="869"/>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1"/>
      <c r="AO85" s="58"/>
    </row>
    <row r="86" spans="1:41" s="63" customFormat="1" ht="13.5" customHeight="1" thickBot="1" x14ac:dyDescent="0.25">
      <c r="A86" s="980"/>
      <c r="B86" s="981"/>
      <c r="C86" s="981"/>
      <c r="D86" s="981"/>
      <c r="E86" s="981"/>
      <c r="F86" s="981"/>
      <c r="G86" s="981"/>
      <c r="H86" s="981"/>
      <c r="I86" s="981"/>
      <c r="J86" s="982"/>
      <c r="K86" s="1002" t="s">
        <v>513</v>
      </c>
      <c r="L86" s="1003"/>
      <c r="M86" s="1003"/>
      <c r="N86" s="1003"/>
      <c r="O86" s="1003"/>
      <c r="P86" s="1003"/>
      <c r="Q86" s="1003"/>
      <c r="R86" s="1003"/>
      <c r="S86" s="1003"/>
      <c r="T86" s="1003"/>
      <c r="U86" s="1003"/>
      <c r="V86" s="1003"/>
      <c r="W86" s="1003"/>
      <c r="X86" s="1003"/>
      <c r="Y86" s="1003"/>
      <c r="Z86" s="1003"/>
      <c r="AA86" s="862" t="s">
        <v>407</v>
      </c>
      <c r="AB86" s="862"/>
      <c r="AC86" s="862"/>
      <c r="AD86" s="862"/>
      <c r="AE86" s="266" t="s">
        <v>279</v>
      </c>
      <c r="AF86" s="265"/>
      <c r="AG86" s="265"/>
      <c r="AH86" s="265"/>
      <c r="AI86" s="265"/>
      <c r="AJ86" s="267"/>
      <c r="AK86" s="267"/>
      <c r="AL86" s="954" t="str">
        <f>IF(AA86="YES","TBD",IF(AA86="TBD","TBD","N/A"))</f>
        <v>TBD</v>
      </c>
      <c r="AM86" s="954"/>
      <c r="AN86" s="955"/>
      <c r="AO86" s="58"/>
    </row>
    <row r="87" spans="1:41" s="63" customFormat="1" ht="27.75" customHeight="1" x14ac:dyDescent="0.3">
      <c r="A87" s="469" t="s">
        <v>134</v>
      </c>
      <c r="B87" s="91"/>
      <c r="C87" s="91"/>
      <c r="D87" s="92"/>
      <c r="E87" s="965" t="s">
        <v>407</v>
      </c>
      <c r="F87" s="965"/>
      <c r="G87" s="965"/>
      <c r="H87" s="965"/>
      <c r="I87" s="965"/>
      <c r="J87" s="966"/>
      <c r="K87" s="949" t="str">
        <f>IF(AB5&lt;&gt;"TBD",IF(AH5="RETAIL","RETAIL- LENDER CREDIT",IF(AB5&lt;&gt;"BORROWER paid","LENDER PAID COMPENSATION","BROKER FEE")),"BROKER FEE")</f>
        <v>BROKER FEE</v>
      </c>
      <c r="L87" s="950"/>
      <c r="M87" s="950"/>
      <c r="N87" s="950"/>
      <c r="O87" s="950"/>
      <c r="P87" s="950"/>
      <c r="Q87" s="951" t="str">
        <f>IF(AH5="RETAIL",IF(AB5="Yes - 1.25%",AG9*1.25%,IF(AB5="Yes - 2.00%",AG9*2%,"N/A")),IF(AND(AB5&lt;&gt;"TBD",AH5="wholesale",AB5&lt;&gt;"Borrower Paid"),IF(AB5="Lender Paid 1.25%",AG9*1.25%,AG9*2%),IF(AND(AJ87="",X87=""),"",((AG9*AO24%)+AO87))))</f>
        <v/>
      </c>
      <c r="R87" s="952"/>
      <c r="S87" s="952"/>
      <c r="T87" s="952"/>
      <c r="U87" s="952"/>
      <c r="V87" s="953"/>
      <c r="W87" s="565" t="s">
        <v>135</v>
      </c>
      <c r="X87" s="946" t="str">
        <f>IF(AB5&lt;&gt;"TBD",IF(AH5="RETAIL",IF(AB5="Yes - 1.25%",1.25,IF(AB5="Yes - 2.00%",2,"")),IF(AB5="Lender Paid 1.25%",1.25,IF(AB5="lender paid 2.00%",2,""))),"")</f>
        <v/>
      </c>
      <c r="Y87" s="947"/>
      <c r="Z87" s="947"/>
      <c r="AA87" s="948" t="s">
        <v>286</v>
      </c>
      <c r="AB87" s="948"/>
      <c r="AC87" s="566" t="s">
        <v>378</v>
      </c>
      <c r="AD87" s="566"/>
      <c r="AE87" s="566"/>
      <c r="AF87" s="566" t="s">
        <v>377</v>
      </c>
      <c r="AG87" s="567"/>
      <c r="AH87" s="567"/>
      <c r="AI87" s="567"/>
      <c r="AJ87" s="939"/>
      <c r="AK87" s="939"/>
      <c r="AL87" s="939"/>
      <c r="AM87" s="939"/>
      <c r="AN87" s="940"/>
      <c r="AO87" s="486">
        <f>IF(AJ87&lt;&gt;"",AJ87,0)</f>
        <v>0</v>
      </c>
    </row>
    <row r="88" spans="1:41" s="63" customFormat="1" ht="13.5" customHeight="1" x14ac:dyDescent="0.2">
      <c r="A88" s="79" t="s">
        <v>20</v>
      </c>
      <c r="B88" s="75"/>
      <c r="C88" s="964">
        <f ca="1">TODAY()</f>
        <v>43075</v>
      </c>
      <c r="D88" s="964"/>
      <c r="E88" s="964"/>
      <c r="F88" s="964"/>
      <c r="G88" s="75"/>
      <c r="H88" s="75"/>
      <c r="I88" s="75"/>
      <c r="J88" s="80"/>
      <c r="K88" s="557" t="s">
        <v>423</v>
      </c>
      <c r="L88" s="265"/>
      <c r="M88" s="265"/>
      <c r="N88" s="265"/>
      <c r="O88" s="558" t="s">
        <v>424</v>
      </c>
      <c r="P88" s="961">
        <f>IF(AH5="CORRESPONDENT",495,IF(AD9="X",IF(K90="71",IF(AB6&lt;&gt;"A+",695,595),IF(AB6="A+",1195,1295)),IF(AD10="X", IF(AG9&lt;150000,500,IF(AG9&gt;=150000,995," ")))))</f>
        <v>1295</v>
      </c>
      <c r="Q88" s="961"/>
      <c r="R88" s="961"/>
      <c r="S88" s="563" t="s">
        <v>27</v>
      </c>
      <c r="T88" s="960">
        <f>IF(AND(AH5="RETAIL",AB6&lt;&gt;"TBD"),AG9*G81,0)</f>
        <v>0</v>
      </c>
      <c r="U88" s="960"/>
      <c r="V88" s="960"/>
      <c r="W88" s="564"/>
      <c r="X88" s="959" t="str">
        <f>IF(A82="RETAIL","CSC ORIG FEE","")</f>
        <v/>
      </c>
      <c r="Y88" s="959"/>
      <c r="Z88" s="959"/>
      <c r="AA88" s="959"/>
      <c r="AB88" s="956" t="str">
        <f>IF(AND(A82="RETAIL",G82&lt;&gt;""),AG9*G82,"")</f>
        <v/>
      </c>
      <c r="AC88" s="956"/>
      <c r="AD88" s="956"/>
      <c r="AE88" s="956"/>
      <c r="AF88" s="265"/>
      <c r="AG88" s="558" t="s">
        <v>285</v>
      </c>
      <c r="AH88" s="265"/>
      <c r="AI88" s="265"/>
      <c r="AJ88" s="957">
        <f>AG9*G84</f>
        <v>0</v>
      </c>
      <c r="AK88" s="957"/>
      <c r="AL88" s="957"/>
      <c r="AM88" s="957"/>
      <c r="AN88" s="958"/>
      <c r="AO88" s="58"/>
    </row>
    <row r="89" spans="1:41" s="63" customFormat="1" ht="13.5" customHeight="1" thickBot="1" x14ac:dyDescent="0.25">
      <c r="A89" s="78" t="s">
        <v>139</v>
      </c>
      <c r="B89" s="74"/>
      <c r="C89" s="74"/>
      <c r="D89" s="262"/>
      <c r="E89" s="262"/>
      <c r="F89" s="262"/>
      <c r="G89" s="262"/>
      <c r="H89" s="262"/>
      <c r="I89" s="262"/>
      <c r="J89" s="268"/>
      <c r="K89" s="341" t="s">
        <v>163</v>
      </c>
      <c r="L89" s="342"/>
      <c r="M89" s="342"/>
      <c r="N89" s="342"/>
      <c r="O89" s="342"/>
      <c r="P89" s="944" t="s">
        <v>284</v>
      </c>
      <c r="Q89" s="944"/>
      <c r="R89" s="944"/>
      <c r="S89" s="342"/>
      <c r="T89" s="943" t="str">
        <f>IF(AD10="X","MAX CLTV","MAX LTV")</f>
        <v>MAX LTV</v>
      </c>
      <c r="U89" s="944"/>
      <c r="V89" s="944"/>
      <c r="W89" s="944"/>
      <c r="X89" s="945"/>
      <c r="Y89" s="945"/>
      <c r="Z89" s="945"/>
      <c r="AA89" s="935" t="s">
        <v>278</v>
      </c>
      <c r="AB89" s="935"/>
      <c r="AC89" s="935"/>
      <c r="AD89" s="935"/>
      <c r="AE89" s="936">
        <f>IF(AND(AB6="A+",AD9="X"),43.49%,IF(Z15="X","N/A",50.49%))</f>
        <v>0.50490000000000002</v>
      </c>
      <c r="AF89" s="936"/>
      <c r="AG89" s="936"/>
      <c r="AH89" s="571" t="s">
        <v>427</v>
      </c>
      <c r="AI89" s="572"/>
      <c r="AJ89" s="573"/>
      <c r="AK89" s="573"/>
      <c r="AL89" s="937"/>
      <c r="AM89" s="937"/>
      <c r="AN89" s="938"/>
      <c r="AO89" s="58"/>
    </row>
    <row r="90" spans="1:41" ht="13.5" customHeight="1" x14ac:dyDescent="0.2">
      <c r="G90" s="671"/>
      <c r="K90" s="766" t="str">
        <f>LEFT(Q7,2)</f>
        <v/>
      </c>
      <c r="AN90" s="669"/>
    </row>
  </sheetData>
  <sheetProtection sheet="1" objects="1" scenarios="1" selectLockedCells="1"/>
  <mergeCells count="420">
    <mergeCell ref="AI71:AN71"/>
    <mergeCell ref="AG34:AI34"/>
    <mergeCell ref="AJ34:AN34"/>
    <mergeCell ref="AH58:AN58"/>
    <mergeCell ref="V42:AB42"/>
    <mergeCell ref="AC42:AN42"/>
    <mergeCell ref="AI41:AN41"/>
    <mergeCell ref="AC35:AF35"/>
    <mergeCell ref="AH57:AN57"/>
    <mergeCell ref="AH56:AN56"/>
    <mergeCell ref="Z65:AH65"/>
    <mergeCell ref="V44:AB44"/>
    <mergeCell ref="V45:AB45"/>
    <mergeCell ref="AA52:AG52"/>
    <mergeCell ref="AI64:AN64"/>
    <mergeCell ref="N65:Y65"/>
    <mergeCell ref="K66:AA66"/>
    <mergeCell ref="AI65:AN65"/>
    <mergeCell ref="K65:M65"/>
    <mergeCell ref="V43:AB43"/>
    <mergeCell ref="AI44:AN44"/>
    <mergeCell ref="A36:L36"/>
    <mergeCell ref="A37:L37"/>
    <mergeCell ref="AM38:AN38"/>
    <mergeCell ref="G65:I65"/>
    <mergeCell ref="K67:AN67"/>
    <mergeCell ref="AB5:AF5"/>
    <mergeCell ref="U5:AA5"/>
    <mergeCell ref="Y37:AI37"/>
    <mergeCell ref="AC34:AF34"/>
    <mergeCell ref="Y38:AB38"/>
    <mergeCell ref="O44:U44"/>
    <mergeCell ref="O45:U45"/>
    <mergeCell ref="O47:U47"/>
    <mergeCell ref="AH5:AN5"/>
    <mergeCell ref="A27:J27"/>
    <mergeCell ref="M27:Q27"/>
    <mergeCell ref="A28:J28"/>
    <mergeCell ref="R25:S25"/>
    <mergeCell ref="T25:X25"/>
    <mergeCell ref="AG25:AH25"/>
    <mergeCell ref="A29:J29"/>
    <mergeCell ref="K29:L29"/>
    <mergeCell ref="T29:X29"/>
    <mergeCell ref="AI40:AN40"/>
    <mergeCell ref="O52:S52"/>
    <mergeCell ref="H41:N41"/>
    <mergeCell ref="H42:N42"/>
    <mergeCell ref="A32:J32"/>
    <mergeCell ref="AG36:AI36"/>
    <mergeCell ref="Y32:AF32"/>
    <mergeCell ref="K35:L35"/>
    <mergeCell ref="AG35:AI35"/>
    <mergeCell ref="R32:S32"/>
    <mergeCell ref="V41:AB41"/>
    <mergeCell ref="T38:X38"/>
    <mergeCell ref="O39:AB39"/>
    <mergeCell ref="AD38:AF38"/>
    <mergeCell ref="AH38:AJ38"/>
    <mergeCell ref="AJ35:AN35"/>
    <mergeCell ref="AJ36:AN36"/>
    <mergeCell ref="T32:X32"/>
    <mergeCell ref="M32:Q32"/>
    <mergeCell ref="A38:L38"/>
    <mergeCell ref="A47:G47"/>
    <mergeCell ref="H46:N46"/>
    <mergeCell ref="A46:G46"/>
    <mergeCell ref="H47:N47"/>
    <mergeCell ref="V49:AB49"/>
    <mergeCell ref="AI48:AK49"/>
    <mergeCell ref="AL48:AN49"/>
    <mergeCell ref="H48:N48"/>
    <mergeCell ref="T51:Z51"/>
    <mergeCell ref="AI47:AN47"/>
    <mergeCell ref="A49:G49"/>
    <mergeCell ref="A51:E51"/>
    <mergeCell ref="A19:J19"/>
    <mergeCell ref="Y30:AF30"/>
    <mergeCell ref="R23:S23"/>
    <mergeCell ref="R26:S26"/>
    <mergeCell ref="A20:J20"/>
    <mergeCell ref="K20:L20"/>
    <mergeCell ref="A21:J21"/>
    <mergeCell ref="K27:L27"/>
    <mergeCell ref="K23:L23"/>
    <mergeCell ref="M23:Q23"/>
    <mergeCell ref="M26:Q26"/>
    <mergeCell ref="A23:J23"/>
    <mergeCell ref="K26:L26"/>
    <mergeCell ref="K24:L24"/>
    <mergeCell ref="M24:Q24"/>
    <mergeCell ref="A24:J24"/>
    <mergeCell ref="A22:J22"/>
    <mergeCell ref="A25:J25"/>
    <mergeCell ref="K25:L25"/>
    <mergeCell ref="M25:Q25"/>
    <mergeCell ref="M28:Q28"/>
    <mergeCell ref="R27:S27"/>
    <mergeCell ref="R28:S28"/>
    <mergeCell ref="R29:S29"/>
    <mergeCell ref="K19:L19"/>
    <mergeCell ref="M22:Q22"/>
    <mergeCell ref="M19:Q19"/>
    <mergeCell ref="AI30:AJ30"/>
    <mergeCell ref="M20:Q20"/>
    <mergeCell ref="M21:Q21"/>
    <mergeCell ref="K22:L22"/>
    <mergeCell ref="K21:L21"/>
    <mergeCell ref="K28:L28"/>
    <mergeCell ref="T26:X26"/>
    <mergeCell ref="T27:X27"/>
    <mergeCell ref="AI26:AN26"/>
    <mergeCell ref="AI27:AN27"/>
    <mergeCell ref="AI22:AN22"/>
    <mergeCell ref="AI21:AN21"/>
    <mergeCell ref="R19:S19"/>
    <mergeCell ref="R20:S20"/>
    <mergeCell ref="AI19:AN19"/>
    <mergeCell ref="AI20:AN20"/>
    <mergeCell ref="T21:X21"/>
    <mergeCell ref="T24:X24"/>
    <mergeCell ref="R30:S30"/>
    <mergeCell ref="AG22:AH22"/>
    <mergeCell ref="R22:S22"/>
    <mergeCell ref="A18:J18"/>
    <mergeCell ref="K18:L18"/>
    <mergeCell ref="M18:Q18"/>
    <mergeCell ref="B15:H15"/>
    <mergeCell ref="AA15:AF15"/>
    <mergeCell ref="E7:P7"/>
    <mergeCell ref="V10:X10"/>
    <mergeCell ref="AG9:AN9"/>
    <mergeCell ref="AB10:AC10"/>
    <mergeCell ref="AK11:AN12"/>
    <mergeCell ref="J13:P13"/>
    <mergeCell ref="J12:P12"/>
    <mergeCell ref="L10:M10"/>
    <mergeCell ref="N10:P10"/>
    <mergeCell ref="A10:K10"/>
    <mergeCell ref="J15:O15"/>
    <mergeCell ref="L14:N14"/>
    <mergeCell ref="V9:X9"/>
    <mergeCell ref="B13:H13"/>
    <mergeCell ref="B14:H14"/>
    <mergeCell ref="AA13:AF13"/>
    <mergeCell ref="B12:H12"/>
    <mergeCell ref="A9:P9"/>
    <mergeCell ref="R12:W12"/>
    <mergeCell ref="E6:P6"/>
    <mergeCell ref="U8:X8"/>
    <mergeCell ref="A17:X17"/>
    <mergeCell ref="Y17:AN17"/>
    <mergeCell ref="AJ37:AN37"/>
    <mergeCell ref="A33:J33"/>
    <mergeCell ref="K33:L33"/>
    <mergeCell ref="M33:Q33"/>
    <mergeCell ref="R33:S33"/>
    <mergeCell ref="T33:X33"/>
    <mergeCell ref="T35:X35"/>
    <mergeCell ref="T36:X36"/>
    <mergeCell ref="M37:Q37"/>
    <mergeCell ref="M35:Q35"/>
    <mergeCell ref="M36:Q36"/>
    <mergeCell ref="T34:X34"/>
    <mergeCell ref="AG33:AI33"/>
    <mergeCell ref="AJ33:AN33"/>
    <mergeCell ref="A31:J31"/>
    <mergeCell ref="A30:J30"/>
    <mergeCell ref="K31:L31"/>
    <mergeCell ref="Y29:AF29"/>
    <mergeCell ref="Y31:AF31"/>
    <mergeCell ref="R31:S31"/>
    <mergeCell ref="M29:Q29"/>
    <mergeCell ref="T31:X31"/>
    <mergeCell ref="M30:Q30"/>
    <mergeCell ref="M31:Q31"/>
    <mergeCell ref="T30:X30"/>
    <mergeCell ref="K30:L30"/>
    <mergeCell ref="AG31:AN31"/>
    <mergeCell ref="AM30:AN30"/>
    <mergeCell ref="AG30:AH30"/>
    <mergeCell ref="R21:S21"/>
    <mergeCell ref="T22:X22"/>
    <mergeCell ref="AI24:AN24"/>
    <mergeCell ref="AK30:AL30"/>
    <mergeCell ref="T23:X23"/>
    <mergeCell ref="R24:S24"/>
    <mergeCell ref="AG32:AN32"/>
    <mergeCell ref="AG24:AH24"/>
    <mergeCell ref="T28:X28"/>
    <mergeCell ref="Y28:AN28"/>
    <mergeCell ref="AM29:AN29"/>
    <mergeCell ref="AL6:AN7"/>
    <mergeCell ref="AG27:AH27"/>
    <mergeCell ref="AI25:AN25"/>
    <mergeCell ref="Y25:AF25"/>
    <mergeCell ref="Y24:AF24"/>
    <mergeCell ref="Y26:AF26"/>
    <mergeCell ref="AI29:AJ29"/>
    <mergeCell ref="AG29:AH29"/>
    <mergeCell ref="AG11:AJ12"/>
    <mergeCell ref="AK29:AL29"/>
    <mergeCell ref="AG23:AH23"/>
    <mergeCell ref="AI23:AN23"/>
    <mergeCell ref="R9:T9"/>
    <mergeCell ref="AB9:AC9"/>
    <mergeCell ref="AA14:AF14"/>
    <mergeCell ref="R14:X14"/>
    <mergeCell ref="AA12:AD12"/>
    <mergeCell ref="AG18:AH18"/>
    <mergeCell ref="AI18:AN18"/>
    <mergeCell ref="T20:X20"/>
    <mergeCell ref="T19:X19"/>
    <mergeCell ref="AG20:AH20"/>
    <mergeCell ref="AG19:AH19"/>
    <mergeCell ref="F57:N57"/>
    <mergeCell ref="O51:S51"/>
    <mergeCell ref="K64:M64"/>
    <mergeCell ref="AE60:AG60"/>
    <mergeCell ref="AC48:AH49"/>
    <mergeCell ref="A48:G48"/>
    <mergeCell ref="N60:R60"/>
    <mergeCell ref="AH51:AN51"/>
    <mergeCell ref="AA51:AG51"/>
    <mergeCell ref="A55:E55"/>
    <mergeCell ref="K62:AN62"/>
    <mergeCell ref="AH61:AN61"/>
    <mergeCell ref="AE61:AG61"/>
    <mergeCell ref="AA61:AC61"/>
    <mergeCell ref="AA59:AG59"/>
    <mergeCell ref="AA53:AG53"/>
    <mergeCell ref="AA54:AG54"/>
    <mergeCell ref="N64:Y64"/>
    <mergeCell ref="A62:J62"/>
    <mergeCell ref="T52:Z52"/>
    <mergeCell ref="A50:AN50"/>
    <mergeCell ref="H1:X4"/>
    <mergeCell ref="Q7:X7"/>
    <mergeCell ref="A26:J26"/>
    <mergeCell ref="R35:S35"/>
    <mergeCell ref="T37:X37"/>
    <mergeCell ref="V40:AB40"/>
    <mergeCell ref="Y36:AF36"/>
    <mergeCell ref="AC33:AF33"/>
    <mergeCell ref="K32:L32"/>
    <mergeCell ref="M38:Q38"/>
    <mergeCell ref="A39:N39"/>
    <mergeCell ref="A35:J35"/>
    <mergeCell ref="A34:J34"/>
    <mergeCell ref="K34:L34"/>
    <mergeCell ref="M34:Q34"/>
    <mergeCell ref="R34:S34"/>
    <mergeCell ref="R18:S18"/>
    <mergeCell ref="T18:X18"/>
    <mergeCell ref="AB6:AI7"/>
    <mergeCell ref="Y1:AN1"/>
    <mergeCell ref="Y2:AN4"/>
    <mergeCell ref="AG26:AH26"/>
    <mergeCell ref="AG21:AH21"/>
    <mergeCell ref="AC39:AN39"/>
    <mergeCell ref="AA86:AD86"/>
    <mergeCell ref="K86:Z86"/>
    <mergeCell ref="D83:F83"/>
    <mergeCell ref="D84:F84"/>
    <mergeCell ref="G84:I84"/>
    <mergeCell ref="Q63:AB63"/>
    <mergeCell ref="O56:S56"/>
    <mergeCell ref="A58:AG58"/>
    <mergeCell ref="F53:N53"/>
    <mergeCell ref="K71:Q71"/>
    <mergeCell ref="R71:V71"/>
    <mergeCell ref="K72:AN72"/>
    <mergeCell ref="G72:I72"/>
    <mergeCell ref="G69:I69"/>
    <mergeCell ref="D76:F76"/>
    <mergeCell ref="G76:I76"/>
    <mergeCell ref="A75:C75"/>
    <mergeCell ref="A54:E54"/>
    <mergeCell ref="A56:E56"/>
    <mergeCell ref="A57:E57"/>
    <mergeCell ref="G85:I85"/>
    <mergeCell ref="K81:AN81"/>
    <mergeCell ref="AC68:AF68"/>
    <mergeCell ref="D71:F71"/>
    <mergeCell ref="AH53:AN53"/>
    <mergeCell ref="T55:Z55"/>
    <mergeCell ref="H40:N40"/>
    <mergeCell ref="V46:AB46"/>
    <mergeCell ref="AI46:AN46"/>
    <mergeCell ref="V47:AB47"/>
    <mergeCell ref="O49:U49"/>
    <mergeCell ref="V48:AB48"/>
    <mergeCell ref="H43:N43"/>
    <mergeCell ref="AI43:AN43"/>
    <mergeCell ref="O43:U43"/>
    <mergeCell ref="O46:U46"/>
    <mergeCell ref="AI45:AN45"/>
    <mergeCell ref="H44:N44"/>
    <mergeCell ref="H45:N45"/>
    <mergeCell ref="AA55:AG55"/>
    <mergeCell ref="P88:R88"/>
    <mergeCell ref="AI66:AN66"/>
    <mergeCell ref="O57:S57"/>
    <mergeCell ref="AA56:AG56"/>
    <mergeCell ref="AA57:AG57"/>
    <mergeCell ref="G83:I83"/>
    <mergeCell ref="C88:F88"/>
    <mergeCell ref="E87:J87"/>
    <mergeCell ref="A83:C83"/>
    <mergeCell ref="D68:F68"/>
    <mergeCell ref="AG63:AN63"/>
    <mergeCell ref="D67:F67"/>
    <mergeCell ref="G67:I67"/>
    <mergeCell ref="D80:F80"/>
    <mergeCell ref="A74:C74"/>
    <mergeCell ref="D74:F74"/>
    <mergeCell ref="D72:F72"/>
    <mergeCell ref="G81:I81"/>
    <mergeCell ref="G73:I73"/>
    <mergeCell ref="A81:F81"/>
    <mergeCell ref="D66:F66"/>
    <mergeCell ref="G66:I66"/>
    <mergeCell ref="A86:J86"/>
    <mergeCell ref="D73:F73"/>
    <mergeCell ref="AA89:AD89"/>
    <mergeCell ref="AE89:AG89"/>
    <mergeCell ref="AL89:AN89"/>
    <mergeCell ref="AJ87:AN87"/>
    <mergeCell ref="Z69:AA69"/>
    <mergeCell ref="W70:AA70"/>
    <mergeCell ref="K75:AN75"/>
    <mergeCell ref="K74:AN74"/>
    <mergeCell ref="K80:AN80"/>
    <mergeCell ref="T89:W89"/>
    <mergeCell ref="X89:Z89"/>
    <mergeCell ref="X87:Z87"/>
    <mergeCell ref="AA87:AB87"/>
    <mergeCell ref="K87:P87"/>
    <mergeCell ref="Q87:V87"/>
    <mergeCell ref="K83:AN83"/>
    <mergeCell ref="K84:AN84"/>
    <mergeCell ref="K85:AN85"/>
    <mergeCell ref="AL86:AN86"/>
    <mergeCell ref="P89:R89"/>
    <mergeCell ref="AB88:AE88"/>
    <mergeCell ref="AJ88:AN88"/>
    <mergeCell ref="X88:AA88"/>
    <mergeCell ref="T88:V88"/>
    <mergeCell ref="K70:Q70"/>
    <mergeCell ref="R70:V70"/>
    <mergeCell ref="D69:F69"/>
    <mergeCell ref="X68:AB68"/>
    <mergeCell ref="AI68:AN68"/>
    <mergeCell ref="AG68:AH68"/>
    <mergeCell ref="G80:I80"/>
    <mergeCell ref="G71:I71"/>
    <mergeCell ref="D85:F85"/>
    <mergeCell ref="D78:F78"/>
    <mergeCell ref="G78:I78"/>
    <mergeCell ref="K78:AN78"/>
    <mergeCell ref="D79:F79"/>
    <mergeCell ref="G79:I79"/>
    <mergeCell ref="K79:AN79"/>
    <mergeCell ref="D77:F77"/>
    <mergeCell ref="G77:I77"/>
    <mergeCell ref="K76:AN76"/>
    <mergeCell ref="K77:AN77"/>
    <mergeCell ref="W71:AH71"/>
    <mergeCell ref="D70:F70"/>
    <mergeCell ref="G75:I75"/>
    <mergeCell ref="G74:I74"/>
    <mergeCell ref="D75:F75"/>
    <mergeCell ref="N61:R61"/>
    <mergeCell ref="V60:Y60"/>
    <mergeCell ref="O55:S55"/>
    <mergeCell ref="F56:N56"/>
    <mergeCell ref="AH59:AN59"/>
    <mergeCell ref="AH52:AN52"/>
    <mergeCell ref="A60:L60"/>
    <mergeCell ref="A61:L61"/>
    <mergeCell ref="A64:C64"/>
    <mergeCell ref="F54:N54"/>
    <mergeCell ref="O54:S54"/>
    <mergeCell ref="T57:Z57"/>
    <mergeCell ref="AH55:AN55"/>
    <mergeCell ref="T53:Z53"/>
    <mergeCell ref="T54:Z54"/>
    <mergeCell ref="AH54:AN54"/>
    <mergeCell ref="N59:R59"/>
    <mergeCell ref="F55:N55"/>
    <mergeCell ref="F52:N52"/>
    <mergeCell ref="O53:S53"/>
    <mergeCell ref="AH60:AN60"/>
    <mergeCell ref="V61:Y61"/>
    <mergeCell ref="A52:E52"/>
    <mergeCell ref="A53:E53"/>
    <mergeCell ref="N16:P16"/>
    <mergeCell ref="I16:M16"/>
    <mergeCell ref="AG14:AJ16"/>
    <mergeCell ref="AK14:AN16"/>
    <mergeCell ref="AA16:AE16"/>
    <mergeCell ref="AB69:AM69"/>
    <mergeCell ref="AF73:AM73"/>
    <mergeCell ref="K73:AE73"/>
    <mergeCell ref="A82:C82"/>
    <mergeCell ref="D82:F82"/>
    <mergeCell ref="G82:I82"/>
    <mergeCell ref="K82:AN82"/>
    <mergeCell ref="H49:N49"/>
    <mergeCell ref="F51:N51"/>
    <mergeCell ref="D65:F65"/>
    <mergeCell ref="T56:Z56"/>
    <mergeCell ref="AA60:AC60"/>
    <mergeCell ref="AB70:AJ70"/>
    <mergeCell ref="AK70:AN70"/>
    <mergeCell ref="K68:W68"/>
    <mergeCell ref="G68:I68"/>
    <mergeCell ref="K69:Y69"/>
    <mergeCell ref="G70:I70"/>
    <mergeCell ref="Z64:AH64"/>
  </mergeCells>
  <phoneticPr fontId="0" type="noConversion"/>
  <conditionalFormatting sqref="M23:Q23">
    <cfRule type="expression" dxfId="534" priority="384">
      <formula>IF($K$23="X",($M$23),)</formula>
    </cfRule>
    <cfRule type="expression" dxfId="533" priority="386">
      <formula>IF($R$23="X",($M$23),)</formula>
    </cfRule>
  </conditionalFormatting>
  <conditionalFormatting sqref="M19:Q19">
    <cfRule type="expression" dxfId="532" priority="378">
      <formula>IF($R$19="X",($M$19),)</formula>
    </cfRule>
    <cfRule type="expression" dxfId="531" priority="379">
      <formula>IF($K$19="X",($M$19),)</formula>
    </cfRule>
  </conditionalFormatting>
  <conditionalFormatting sqref="M20:Q20">
    <cfRule type="expression" dxfId="530" priority="375">
      <formula>IF($R$20="X",($M$20),)</formula>
    </cfRule>
    <cfRule type="expression" dxfId="529" priority="376">
      <formula>IF($K$20="X",($M$20),)</formula>
    </cfRule>
  </conditionalFormatting>
  <conditionalFormatting sqref="M21:Q21">
    <cfRule type="expression" dxfId="528" priority="373">
      <formula>IF($R$21="X",($M$21),)</formula>
    </cfRule>
    <cfRule type="expression" dxfId="527" priority="374">
      <formula>IF($K$21="X",($M$21),)</formula>
    </cfRule>
  </conditionalFormatting>
  <conditionalFormatting sqref="M22:Q22">
    <cfRule type="expression" dxfId="526" priority="371">
      <formula>IF($R$22="X",($M$22),)</formula>
    </cfRule>
    <cfRule type="expression" dxfId="525" priority="372">
      <formula>IF($K$22="X",($M$22),)</formula>
    </cfRule>
  </conditionalFormatting>
  <conditionalFormatting sqref="M26:Q26">
    <cfRule type="expression" dxfId="524" priority="369">
      <formula>IF($R$26="X",($M$26),)</formula>
    </cfRule>
    <cfRule type="expression" dxfId="523" priority="370">
      <formula>IF($K$26="X",($M$26),)</formula>
    </cfRule>
  </conditionalFormatting>
  <conditionalFormatting sqref="M27:Q27">
    <cfRule type="expression" dxfId="522" priority="367">
      <formula>IF($R$27="X",($M$27),)</formula>
    </cfRule>
    <cfRule type="expression" dxfId="521" priority="368">
      <formula>IF($K$27="X",($M$27),)</formula>
    </cfRule>
  </conditionalFormatting>
  <conditionalFormatting sqref="M28:Q28">
    <cfRule type="expression" dxfId="520" priority="365">
      <formula>IF($R$28="X",($M$28),)</formula>
    </cfRule>
    <cfRule type="expression" dxfId="519" priority="366">
      <formula>IF($K$28="X",($M$28),)</formula>
    </cfRule>
  </conditionalFormatting>
  <conditionalFormatting sqref="M29:Q29">
    <cfRule type="expression" dxfId="518" priority="363">
      <formula>IF($R$29="X",($M$29),)</formula>
    </cfRule>
    <cfRule type="expression" dxfId="517" priority="364">
      <formula>IF($K$29="X",($M$29),)</formula>
    </cfRule>
  </conditionalFormatting>
  <conditionalFormatting sqref="M30:Q30">
    <cfRule type="expression" dxfId="516" priority="359">
      <formula>IF($R$30="X",($M$30),)</formula>
    </cfRule>
    <cfRule type="expression" dxfId="515" priority="361">
      <formula>IF($K$30="X",($M$30),)</formula>
    </cfRule>
  </conditionalFormatting>
  <conditionalFormatting sqref="M31:Q31">
    <cfRule type="expression" dxfId="514" priority="358">
      <formula>IF($R$31="X",($M$31),)</formula>
    </cfRule>
    <cfRule type="expression" dxfId="513" priority="360">
      <formula>IF($K$31="X",($M$31),)</formula>
    </cfRule>
  </conditionalFormatting>
  <conditionalFormatting sqref="M32:Q32">
    <cfRule type="expression" dxfId="512" priority="356">
      <formula>IF($R$32="X",($M$32),)</formula>
    </cfRule>
    <cfRule type="expression" dxfId="511" priority="357">
      <formula>IF($K$32="X",($M$32),)</formula>
    </cfRule>
  </conditionalFormatting>
  <conditionalFormatting sqref="M35:Q35">
    <cfRule type="expression" dxfId="510" priority="354">
      <formula>IF($R$35="X",($M$35),)</formula>
    </cfRule>
    <cfRule type="expression" dxfId="509" priority="355">
      <formula>IF($K$35="X",($M$35),)</formula>
    </cfRule>
  </conditionalFormatting>
  <conditionalFormatting sqref="AG14">
    <cfRule type="containsText" dxfId="508" priority="292" operator="containsText" text="INVALID GRADE">
      <formula>NOT(ISERROR(SEARCH("INVALID GRADE",AG14)))</formula>
    </cfRule>
    <cfRule type="expression" dxfId="507" priority="347">
      <formula>"IF($U$9=""X"",$AG$14, "" "")"</formula>
    </cfRule>
    <cfRule type="containsBlanks" dxfId="506" priority="348">
      <formula>LEN(TRIM(AG14))=0</formula>
    </cfRule>
  </conditionalFormatting>
  <conditionalFormatting sqref="AB6:AI7">
    <cfRule type="expression" dxfId="505" priority="11">
      <formula>AND($Z$15="X",OR($AB$6="C",$AB$6="B-"))</formula>
    </cfRule>
    <cfRule type="expression" dxfId="504" priority="12">
      <formula>AND($Z$16="X",OR($AB$6="B",$AB$6="B-",$AB$6="C"))</formula>
    </cfRule>
    <cfRule type="expression" dxfId="503" priority="73">
      <formula>AND($AB$6="ODF",$Z$14="X",$AA$14&lt;&gt;"FOREIGN NAT'L",$AG$9&gt;1000000,$AJ$37&lt;600)</formula>
    </cfRule>
    <cfRule type="expression" dxfId="502" priority="176">
      <formula>AND($AB$6="ODF",$AL$6="NP2")</formula>
    </cfRule>
    <cfRule type="containsText" dxfId="501" priority="351" operator="containsText" text="TBD">
      <formula>NOT(ISERROR(SEARCH("TBD",AB6)))</formula>
    </cfRule>
  </conditionalFormatting>
  <conditionalFormatting sqref="AL48:AN49">
    <cfRule type="expression" dxfId="500" priority="278">
      <formula>AND($AL$48&gt;50.49%,$AD$10="X")</formula>
    </cfRule>
    <cfRule type="containsText" dxfId="499" priority="281" operator="containsText" text="DTI N/A">
      <formula>NOT(ISERROR(SEARCH("DTI N/A",AL48)))</formula>
    </cfRule>
    <cfRule type="expression" dxfId="498" priority="288">
      <formula>AND($AL$48&gt;43.49%, $AB$6="A+",$AD$9="X")</formula>
    </cfRule>
    <cfRule type="expression" dxfId="497" priority="349">
      <formula>AND($AL$48&gt;50.49%,$AB$6&lt;&gt;"A+",$AD$9="X")</formula>
    </cfRule>
  </conditionalFormatting>
  <conditionalFormatting sqref="A37:L37">
    <cfRule type="expression" dxfId="496" priority="308">
      <formula>$AO$38=1</formula>
    </cfRule>
  </conditionalFormatting>
  <conditionalFormatting sqref="M37:Q37">
    <cfRule type="expression" dxfId="495" priority="307">
      <formula>$AO$38=1</formula>
    </cfRule>
  </conditionalFormatting>
  <conditionalFormatting sqref="T37:X37">
    <cfRule type="expression" dxfId="494" priority="306">
      <formula>$AO$38=1</formula>
    </cfRule>
  </conditionalFormatting>
  <conditionalFormatting sqref="AI21:AN21">
    <cfRule type="expression" dxfId="493" priority="305">
      <formula>$AO$40=1</formula>
    </cfRule>
  </conditionalFormatting>
  <conditionalFormatting sqref="AI20:AN20">
    <cfRule type="expression" dxfId="492" priority="302">
      <formula>$AO$41=1</formula>
    </cfRule>
  </conditionalFormatting>
  <conditionalFormatting sqref="E87:J87">
    <cfRule type="expression" dxfId="491" priority="300">
      <formula>$E$87="TBD"</formula>
    </cfRule>
  </conditionalFormatting>
  <conditionalFormatting sqref="X89:Z89">
    <cfRule type="containsBlanks" dxfId="490" priority="299">
      <formula>LEN(TRIM(X89))=0</formula>
    </cfRule>
  </conditionalFormatting>
  <conditionalFormatting sqref="Q87:V87">
    <cfRule type="containsBlanks" dxfId="489" priority="421">
      <formula>LEN(TRIM(Q87))=0</formula>
    </cfRule>
  </conditionalFormatting>
  <conditionalFormatting sqref="AI64:AN64">
    <cfRule type="expression" dxfId="488" priority="15">
      <formula>AND($Z$16="X",OR($AB$6="A",$AB$6="A-"))</formula>
    </cfRule>
    <cfRule type="expression" dxfId="487" priority="178">
      <formula>AND($AD$10="X",SUM($AG$9+$AI$64)&gt;1000000)</formula>
    </cfRule>
    <cfRule type="containsBlanks" dxfId="486" priority="297">
      <formula>LEN(TRIM(AI64))=0</formula>
    </cfRule>
  </conditionalFormatting>
  <conditionalFormatting sqref="R37">
    <cfRule type="expression" dxfId="485" priority="296">
      <formula>$AO$38=1</formula>
    </cfRule>
  </conditionalFormatting>
  <conditionalFormatting sqref="S37">
    <cfRule type="expression" dxfId="484" priority="295">
      <formula>$AO$38=1</formula>
    </cfRule>
  </conditionalFormatting>
  <conditionalFormatting sqref="K67:AN67">
    <cfRule type="containsText" dxfId="483" priority="293" operator="containsText" text="RESERVES NOT MET">
      <formula>NOT(ISERROR(SEARCH("RESERVES NOT MET",K67)))</formula>
    </cfRule>
    <cfRule type="containsText" dxfId="482" priority="294" operator="containsText" text="ASSET DEPLETION TO OFFSET SUBJECT RENT LOSS NOT MET -NEED ADD'L PERS FUNDS">
      <formula>NOT(ISERROR(SEARCH("ASSET DEPLETION TO OFFSET SUBJECT RENT LOSS NOT MET -NEED ADD'L PERS FUNDS",K67)))</formula>
    </cfRule>
  </conditionalFormatting>
  <conditionalFormatting sqref="AI27:AN27">
    <cfRule type="expression" dxfId="481" priority="195">
      <formula>AND($AB$6&lt;&gt;"ODF",$AI$27&gt;300000,$AG$9&gt;1000000,$AG$11&gt;65%)</formula>
    </cfRule>
    <cfRule type="expression" dxfId="480" priority="196">
      <formula>AND($AB$6&lt;&gt;"ODF",$AI$27&gt;500000,$AG$9&gt;2000000,$AG$11&gt;60%)</formula>
    </cfRule>
    <cfRule type="expression" dxfId="479" priority="197">
      <formula>AND($AB$6="A+",$AD$9="X",$AG$9&lt;=1000000,$AI$27&gt;500000)</formula>
    </cfRule>
    <cfRule type="expression" dxfId="478" priority="198">
      <formula>AND($AB$6="A+",$AD$9="X",$AG$9&gt;1000000,$AI$27&gt;300000)</formula>
    </cfRule>
    <cfRule type="cellIs" dxfId="477" priority="291" operator="lessThan">
      <formula>0</formula>
    </cfRule>
  </conditionalFormatting>
  <conditionalFormatting sqref="AG11:AJ12">
    <cfRule type="expression" dxfId="476" priority="72">
      <formula>AND($Z$15="X",$AA$15="ASSET ATR IN FULL",OR($AB$6="B-",$AB$6="C"))</formula>
    </cfRule>
    <cfRule type="expression" dxfId="475" priority="76">
      <formula>AND($AB$6="ODF",$Z$14="X",$AA$14="FOREIGN NAT'L",$AG$9&gt;2000000,$AG$11&gt;60%)</formula>
    </cfRule>
    <cfRule type="expression" dxfId="474" priority="79">
      <formula>AND($AB$6="ODF",$Z$14="X",$AA$14="NOO BUSINESS",$AG$11&gt;70%)</formula>
    </cfRule>
    <cfRule type="expression" dxfId="473" priority="80">
      <formula>AND($AB$6="ODF",$Z$14="X",$AA$14="FOREIGN NAT'L",$AG$9&gt;2000000,$AG$11&gt;60%)</formula>
    </cfRule>
    <cfRule type="expression" dxfId="472" priority="249">
      <formula>AND($AG$11&gt;75%,OR($Q$13="X",$Q$14="X"))</formula>
    </cfRule>
    <cfRule type="expression" dxfId="471" priority="252">
      <formula>AND($AG$11&gt;$X$89,$AD$9="X")</formula>
    </cfRule>
    <cfRule type="expression" dxfId="470" priority="290">
      <formula>AND($Z$14="X",$AA$14="Foreign Nat'l",$AG$11&gt;70%)</formula>
    </cfRule>
    <cfRule type="expression" dxfId="469" priority="3">
      <formula>AND($AA$86="yes",$AB$6="A+",$AG$11&gt;85%)</formula>
    </cfRule>
  </conditionalFormatting>
  <conditionalFormatting sqref="K68:W68">
    <cfRule type="containsText" dxfId="468" priority="286" operator="containsText" text="ADDITIONAL FUNDS REQUIRED:">
      <formula>NOT(ISERROR(SEARCH("ADDITIONAL FUNDS REQUIRED:",K68)))</formula>
    </cfRule>
    <cfRule type="containsText" dxfId="467" priority="287" operator="containsText" text="FUND TO CLOSE NOT TO EXCEED">
      <formula>NOT(ISERROR(SEARCH("FUND TO CLOSE NOT TO EXCEED",K68)))</formula>
    </cfRule>
  </conditionalFormatting>
  <conditionalFormatting sqref="X68:AB68">
    <cfRule type="cellIs" dxfId="466" priority="284" operator="lessThan">
      <formula>0</formula>
    </cfRule>
    <cfRule type="cellIs" dxfId="465" priority="285" operator="greaterThan">
      <formula>0</formula>
    </cfRule>
  </conditionalFormatting>
  <conditionalFormatting sqref="AK11:AN12">
    <cfRule type="expression" dxfId="464" priority="78">
      <formula>AND($AB$6="ODF",$Z$14="X",$AA$14="NOO BUSINESS",$AG$11&gt;70%)</formula>
    </cfRule>
    <cfRule type="expression" dxfId="463" priority="180">
      <formula>AND($AD$10="X",SUM($AG$9+$AI$64)&gt;1000000)</formula>
    </cfRule>
    <cfRule type="expression" dxfId="462" priority="181">
      <formula>AND($AD$10="X",$AK$11&gt;75%)</formula>
    </cfRule>
    <cfRule type="expression" dxfId="461" priority="182">
      <formula>AND($AD$9="X",$AB$6="ODF",$AK$11&gt;75%)</formula>
    </cfRule>
    <cfRule type="expression" dxfId="460" priority="183">
      <formula>AND($AD$9="X",$AB$6="C",$AK$11&gt;65%)</formula>
    </cfRule>
    <cfRule type="expression" dxfId="459" priority="184">
      <formula>AND($AD$9="X",$AB$6="B",$AK$11&gt;80%)</formula>
    </cfRule>
    <cfRule type="expression" dxfId="458" priority="185">
      <formula>AND($AD$9="X",$AB$6="B-",$AK$11&gt;75%)</formula>
    </cfRule>
    <cfRule type="expression" dxfId="457" priority="186">
      <formula>AND($AD$9="X",$AB$6="A-",$AK$11&gt;85%)</formula>
    </cfRule>
    <cfRule type="expression" dxfId="456" priority="187">
      <formula>AND($AD$9="X",$AB$6="A",$AK$11&gt;90%)</formula>
    </cfRule>
    <cfRule type="expression" dxfId="455" priority="251">
      <formula>AND($AJ$37="FN",$AK$11&gt;70%)</formula>
    </cfRule>
    <cfRule type="expression" dxfId="454" priority="282">
      <formula>AND($AK$11&gt;$AL$89)</formula>
    </cfRule>
  </conditionalFormatting>
  <conditionalFormatting sqref="H41:N41">
    <cfRule type="expression" dxfId="453" priority="272">
      <formula>OR($U$8="7/23 ARM I/O",$U$8="30YRS FIX I/O")</formula>
    </cfRule>
  </conditionalFormatting>
  <conditionalFormatting sqref="H40:N40">
    <cfRule type="expression" dxfId="452" priority="271">
      <formula>$U$10&lt;&gt;"X"</formula>
    </cfRule>
  </conditionalFormatting>
  <conditionalFormatting sqref="U8:X8">
    <cfRule type="expression" dxfId="451" priority="171">
      <formula>AND($U$9="X",$U$10="X",$AL$6="NP2")</formula>
    </cfRule>
    <cfRule type="expression" dxfId="450" priority="267">
      <formula>AND($U$8="30YR FIX",$AD$10="X")</formula>
    </cfRule>
  </conditionalFormatting>
  <conditionalFormatting sqref="AB9:AC9">
    <cfRule type="expression" dxfId="449" priority="266">
      <formula>AND($U$8="7/23 ARM",$AB$9&lt;&gt;360)</formula>
    </cfRule>
  </conditionalFormatting>
  <conditionalFormatting sqref="M24:Q24">
    <cfRule type="expression" dxfId="448" priority="264">
      <formula>IF($R$24="X",($M$24),)</formula>
    </cfRule>
    <cfRule type="expression" dxfId="447" priority="265">
      <formula>IF($K$24="X",($M$24),)</formula>
    </cfRule>
  </conditionalFormatting>
  <conditionalFormatting sqref="AN69">
    <cfRule type="expression" dxfId="446" priority="17">
      <formula>AND($AB$69="WAIVE FEE FOR 1YR HARD PPP (80% OF 6-MTH INT)?",$AN$69="YES")</formula>
    </cfRule>
    <cfRule type="expression" dxfId="445" priority="255">
      <formula>$N$59=""</formula>
    </cfRule>
    <cfRule type="expression" dxfId="444" priority="259">
      <formula>($AB$69="")</formula>
    </cfRule>
  </conditionalFormatting>
  <conditionalFormatting sqref="AB69">
    <cfRule type="expression" dxfId="443" priority="258">
      <formula>$N$59=""</formula>
    </cfRule>
  </conditionalFormatting>
  <conditionalFormatting sqref="H45:N45">
    <cfRule type="expression" dxfId="442" priority="248">
      <formula>AND($H$45="",OR($I$13="X",$I$15="X"))</formula>
    </cfRule>
  </conditionalFormatting>
  <conditionalFormatting sqref="AL89:AN89">
    <cfRule type="containsBlanks" dxfId="441" priority="247">
      <formula>LEN(TRIM(AL89))=0</formula>
    </cfRule>
  </conditionalFormatting>
  <conditionalFormatting sqref="AG9:AN9">
    <cfRule type="expression" dxfId="440" priority="10">
      <formula>AND($Z$16="X",$AG$9&lt;250000)</formula>
    </cfRule>
    <cfRule type="expression" dxfId="439" priority="74">
      <formula>AND($AB$6="ODF",$Z$14="X",$AA$14&lt;&gt;"FOREIGN NAT'L",$AG$9&gt;1000000,$AJ$37&lt;600)</formula>
    </cfRule>
    <cfRule type="expression" dxfId="438" priority="82">
      <formula>AND($AB$6="ODF",$Z$14="X",$AA$14="FOREIGN NAT'L",$AG$9&gt;2000000,$AG$11&gt;60%)</formula>
    </cfRule>
    <cfRule type="expression" dxfId="437" priority="140">
      <formula>AND($U$10="X",OR($AB$6="C",$AB$6="B-"))</formula>
    </cfRule>
    <cfRule type="expression" dxfId="436" priority="179">
      <formula>AND($AD$10="X",SUM($AG$9+$AI$64)&gt;1000000)</formula>
    </cfRule>
    <cfRule type="expression" dxfId="435" priority="190">
      <formula>AND($AB$6="A",$A$14="X",$AG$9&gt;1000000,$AG$11&gt;75%)</formula>
    </cfRule>
    <cfRule type="expression" dxfId="434" priority="191">
      <formula>AND($AB$6="A",$AG$9&lt;=750000,OR($A$13="X",AND($A$15="X",$B$15="Lease Option-Purch AV")),$AG$11&gt;85%)</formula>
    </cfRule>
    <cfRule type="expression" dxfId="433" priority="192">
      <formula>AND($AB$6="A",$AG$9&lt;=750000,OR($A$12="X",AND($A$15="X",$B$15="Lease Option-Purch SP")),$AG$11&gt;90%)</formula>
    </cfRule>
    <cfRule type="expression" dxfId="432" priority="193">
      <formula>AND($Z$15="X",$AA$15="Asset ATR in Full",OR($AB$6="B-",$AB$6="C"))</formula>
    </cfRule>
    <cfRule type="expression" dxfId="431" priority="201">
      <formula>AND(OR($AB$6="IO ODF",$AL$6="IOMAG"),$AG$9&lt;250000)</formula>
    </cfRule>
    <cfRule type="expression" dxfId="430" priority="210">
      <formula>AND($AB$6="A+",$AD$9="X",$AG$9&gt;1000000,$AI$27&gt;300000)</formula>
    </cfRule>
    <cfRule type="expression" dxfId="429" priority="211">
      <formula>AND($AB$6="A+",$AD$9="X",$AG$9&lt;=1000000,$AI$27&gt;500000)</formula>
    </cfRule>
    <cfRule type="expression" dxfId="428" priority="212">
      <formula>AND($AB$6="ODF",$AG$9&gt;3000000)</formula>
    </cfRule>
    <cfRule type="expression" dxfId="427" priority="214">
      <formula>AND($AB$6&lt;&gt;"ODF",$AI$27&gt;300000,$AG$9&gt;1000000,$AG$11&gt;65%)</formula>
    </cfRule>
    <cfRule type="expression" dxfId="426" priority="216">
      <formula>AND($AB$6&lt;&gt;"ODF",$AI$27&gt;500000,$AG$9&gt;2000000,$AG$11&gt;60%)</formula>
    </cfRule>
    <cfRule type="expression" dxfId="425" priority="217">
      <formula>AND($AA$12="Full - ITIN",$Z$12="X",$AG$9&gt;1000000)</formula>
    </cfRule>
    <cfRule type="expression" dxfId="424" priority="218">
      <formula>AND(OR($Q$13="X",$Q$14="X"),$AB$6&lt;&gt;"ODF",$AG$9&gt;1000000)</formula>
    </cfRule>
    <cfRule type="expression" dxfId="423" priority="219">
      <formula>AND(OR($A$14="X",$A$13="X",AND($A$15="X",$B$15="Lease Option-Purch AV")),$AG$11&gt;70%,$Q$14="X")</formula>
    </cfRule>
    <cfRule type="expression" dxfId="422" priority="220">
      <formula>AND($AB$6="A",$AG$9&lt;=750000,$A$12="X",$AG$11&gt;90%)</formula>
    </cfRule>
    <cfRule type="expression" dxfId="421" priority="221">
      <formula>AND($AB$6="A",$AG$9&gt;2000000,$AG$11&gt;75%)</formula>
    </cfRule>
    <cfRule type="expression" dxfId="420" priority="222">
      <formula>AND($AB$6="A",$A$14="X",$AG$9&lt;=1000000,$AG$11&gt;80%)</formula>
    </cfRule>
    <cfRule type="expression" dxfId="419" priority="224">
      <formula>AND($AB$6="A",$A$14&lt;&gt;"X",AND($AG$9&gt;1000000,$AG$9&lt;=2000000),$AG$11&gt;80%)</formula>
    </cfRule>
    <cfRule type="expression" dxfId="418" priority="225">
      <formula>AND($AB$6="A",$A$14&lt;&gt;"X",AND($AG$9&gt;750000,$AG$9&lt;=1000000),$AG$11&gt;85%)</formula>
    </cfRule>
    <cfRule type="expression" dxfId="417" priority="226">
      <formula>AND($AB$6="B-",$AG$9&gt;1500000)</formula>
    </cfRule>
    <cfRule type="expression" dxfId="416" priority="228">
      <formula>AND($AB$6="C",$AG$9&gt;750000)</formula>
    </cfRule>
    <cfRule type="expression" dxfId="415" priority="233">
      <formula>AND($AD$10="X",$AG$9&gt;500000)</formula>
    </cfRule>
    <cfRule type="expression" dxfId="414" priority="239">
      <formula>AND($AG$9&lt;150000,$AL$6="MAG")</formula>
    </cfRule>
    <cfRule type="expression" dxfId="413" priority="246">
      <formula>AND($U$10="X",$AG$9&lt;250000)</formula>
    </cfRule>
  </conditionalFormatting>
  <conditionalFormatting sqref="Z69:AA69">
    <cfRule type="expression" dxfId="412" priority="240">
      <formula>$Z$69="TBD"</formula>
    </cfRule>
  </conditionalFormatting>
  <conditionalFormatting sqref="V10:X10">
    <cfRule type="expression" dxfId="411" priority="139">
      <formula>OR($AB$6="C",$AB$6="B-")</formula>
    </cfRule>
    <cfRule type="expression" dxfId="410" priority="208">
      <formula>AND(OR($AB$6="IO ODF",$AL$6="IOMAG",$AL$6="IONP"),$AG$9&lt;250000)</formula>
    </cfRule>
  </conditionalFormatting>
  <conditionalFormatting sqref="R9:T9">
    <cfRule type="expression" dxfId="409" priority="235">
      <formula>AND($Q$9="X",$U$9="X")</formula>
    </cfRule>
  </conditionalFormatting>
  <conditionalFormatting sqref="V9:X9">
    <cfRule type="expression" dxfId="408" priority="234">
      <formula>AND($Q$9="X",$U$9="X")</formula>
    </cfRule>
  </conditionalFormatting>
  <conditionalFormatting sqref="L14:N14">
    <cfRule type="expression" dxfId="407" priority="232">
      <formula>AND($I$14="X",$L$14="#")</formula>
    </cfRule>
  </conditionalFormatting>
  <conditionalFormatting sqref="AA14:AF14">
    <cfRule type="expression" dxfId="406" priority="77">
      <formula>AND($AB$6="ODF",$Z$14="X",$AA$14="NOO BUSINESS",$AG$11&gt;70%)</formula>
    </cfRule>
    <cfRule type="expression" dxfId="405" priority="81">
      <formula>AND($AB$6="ODF",$Z$14="X",$AA$14="FOREIGN NAT'L",$AG$9&gt;2000000,$AG$11&gt;60%)</formula>
    </cfRule>
    <cfRule type="expression" dxfId="404" priority="229">
      <formula>AND($AB$6="ODF",$Z$14="")</formula>
    </cfRule>
  </conditionalFormatting>
  <conditionalFormatting sqref="A9:P9">
    <cfRule type="containsBlanks" dxfId="403" priority="207">
      <formula>LEN(TRIM(A9))=0</formula>
    </cfRule>
  </conditionalFormatting>
  <conditionalFormatting sqref="A10:K10">
    <cfRule type="containsBlanks" dxfId="402" priority="206">
      <formula>LEN(TRIM(A10))=0</formula>
    </cfRule>
  </conditionalFormatting>
  <conditionalFormatting sqref="L10:M10">
    <cfRule type="containsBlanks" dxfId="401" priority="205">
      <formula>LEN(TRIM(L10))=0</formula>
    </cfRule>
  </conditionalFormatting>
  <conditionalFormatting sqref="N10:P10">
    <cfRule type="containsBlanks" dxfId="400" priority="204">
      <formula>LEN(TRIM(N10))=0</formula>
    </cfRule>
  </conditionalFormatting>
  <conditionalFormatting sqref="Q7:X7">
    <cfRule type="containsBlanks" dxfId="399" priority="203">
      <formula>LEN(TRIM(Q7))=0</formula>
    </cfRule>
  </conditionalFormatting>
  <conditionalFormatting sqref="R71:V71">
    <cfRule type="containsBlanks" dxfId="398" priority="177">
      <formula>LEN(TRIM(R71))=0</formula>
    </cfRule>
  </conditionalFormatting>
  <conditionalFormatting sqref="AD10">
    <cfRule type="expression" dxfId="397" priority="174">
      <formula>AND($AB$6="ODF",$AL$6="NP2")</formula>
    </cfRule>
  </conditionalFormatting>
  <conditionalFormatting sqref="AA86:AD86">
    <cfRule type="expression" dxfId="396" priority="154">
      <formula>$AA$86="TBD"</formula>
    </cfRule>
  </conditionalFormatting>
  <conditionalFormatting sqref="K72:AN72">
    <cfRule type="expression" dxfId="395" priority="146">
      <formula>$K$72="Max incidental cash back is $1000 or 1% of loan amount whichever is greater but cannot exceed $5K"</formula>
    </cfRule>
  </conditionalFormatting>
  <conditionalFormatting sqref="AH5">
    <cfRule type="expression" dxfId="394" priority="478">
      <formula>$AH$5="TBD"</formula>
    </cfRule>
  </conditionalFormatting>
  <conditionalFormatting sqref="AI68:AN68">
    <cfRule type="expression" dxfId="393" priority="144">
      <formula>$AI$68="TBD"</formula>
    </cfRule>
  </conditionalFormatting>
  <conditionalFormatting sqref="AC68:AF68">
    <cfRule type="expression" dxfId="392" priority="143">
      <formula>$AI$68="TBD"</formula>
    </cfRule>
  </conditionalFormatting>
  <conditionalFormatting sqref="AL86:AN86">
    <cfRule type="containsText" dxfId="391" priority="67" operator="containsText" text="TBD">
      <formula>NOT(ISERROR(SEARCH("TBD",AL86)))</formula>
    </cfRule>
    <cfRule type="expression" dxfId="390" priority="142">
      <formula>AND($AA$86="YES",$AL$86&lt;&gt;"PASS")</formula>
    </cfRule>
  </conditionalFormatting>
  <conditionalFormatting sqref="V40:AB40">
    <cfRule type="expression" dxfId="389" priority="141">
      <formula>AND($V$40="",(OR($Q$13="X",$Q$14="X")))</formula>
    </cfRule>
  </conditionalFormatting>
  <conditionalFormatting sqref="M34:Q34">
    <cfRule type="expression" dxfId="388" priority="136">
      <formula>IF($R$34="X",($M$34),)</formula>
    </cfRule>
    <cfRule type="expression" dxfId="387" priority="137">
      <formula>IF($K$34="X",($M$34),)</formula>
    </cfRule>
  </conditionalFormatting>
  <conditionalFormatting sqref="M33:Q33">
    <cfRule type="expression" dxfId="386" priority="134">
      <formula>IF($R$33="X",($M$33),)</formula>
    </cfRule>
    <cfRule type="expression" dxfId="385" priority="135">
      <formula>IF($K$33="X",($M$33),)</formula>
    </cfRule>
  </conditionalFormatting>
  <conditionalFormatting sqref="AC33:AF33">
    <cfRule type="expression" dxfId="384" priority="133">
      <formula>AND($AJ$33&gt;0,$AC$33=":")</formula>
    </cfRule>
  </conditionalFormatting>
  <conditionalFormatting sqref="Y38:AB38">
    <cfRule type="expression" dxfId="383" priority="132">
      <formula>$AD$38=""</formula>
    </cfRule>
  </conditionalFormatting>
  <conditionalFormatting sqref="AJ37:AN37">
    <cfRule type="expression" dxfId="382" priority="75">
      <formula>AND($AB$6="ODF",$Z$14="X",$AA$14&lt;&gt;"FOREIGN NAT'L",$AG$9&gt;1000000,$AJ$37&lt;600)</formula>
    </cfRule>
    <cfRule type="notContainsBlanks" dxfId="381" priority="130">
      <formula>LEN(TRIM(AJ37))&gt;0</formula>
    </cfRule>
    <cfRule type="containsBlanks" dxfId="380" priority="131">
      <formula>LEN(TRIM(AJ37))=0</formula>
    </cfRule>
  </conditionalFormatting>
  <conditionalFormatting sqref="AI71:AN71">
    <cfRule type="expression" dxfId="379" priority="129">
      <formula>AND($W$71="NOO Bussiness must document loan is: ?",$AI$71=":")</formula>
    </cfRule>
  </conditionalFormatting>
  <conditionalFormatting sqref="A60:L60">
    <cfRule type="expression" dxfId="378" priority="128">
      <formula>$A$60="See REO Schedule Next Page"</formula>
    </cfRule>
  </conditionalFormatting>
  <conditionalFormatting sqref="B12:H12">
    <cfRule type="expression" dxfId="377" priority="119">
      <formula>AND($A$12="X",$AB$6="A+",$AD$9="X",$AA$86="YES",$AG$11&gt;80%)</formula>
    </cfRule>
  </conditionalFormatting>
  <conditionalFormatting sqref="B15:H16">
    <cfRule type="expression" dxfId="376" priority="117">
      <formula>AND($A$15="X",$AB$6="A+",$AD$9="X",$AA$86="YES",$AG$11&gt;80%)</formula>
    </cfRule>
  </conditionalFormatting>
  <conditionalFormatting sqref="AL6:AN7">
    <cfRule type="expression" dxfId="375" priority="99">
      <formula>$D$66="C Bnk Stmt"</formula>
    </cfRule>
    <cfRule type="expression" dxfId="374" priority="102">
      <formula>$D$66="NA-CMATRIX"</formula>
    </cfRule>
    <cfRule type="expression" dxfId="373" priority="109">
      <formula>AND($I$15="X",$J$15&lt;&gt;"Condo",$AB$6="A+",$AD$9="X")</formula>
    </cfRule>
    <cfRule type="expression" dxfId="372" priority="110">
      <formula>AND($AB$6="ODF",$AL$6="NP2")</formula>
    </cfRule>
    <cfRule type="expression" dxfId="371" priority="111">
      <formula>AND($AG$9&lt;150000,OR($AL$6="MAG",$AL$6="IOMAG"))</formula>
    </cfRule>
    <cfRule type="expression" dxfId="370" priority="112">
      <formula>AND(OR($AB$6="IO ODF",$AL$6="IOMAG"),$AG$9&lt;250000)</formula>
    </cfRule>
    <cfRule type="expression" dxfId="369" priority="2">
      <formula>AND($AA$86="yes",$AB$6="A+",$AG$11&gt;85%)</formula>
    </cfRule>
  </conditionalFormatting>
  <conditionalFormatting sqref="D66:F66">
    <cfRule type="expression" dxfId="368" priority="101">
      <formula>$D$66="C Bnk Stmt"</formula>
    </cfRule>
    <cfRule type="expression" dxfId="367" priority="104">
      <formula>$D$66="NA-CMATRIX"</formula>
    </cfRule>
  </conditionalFormatting>
  <conditionalFormatting sqref="AA13:AF13">
    <cfRule type="expression" dxfId="366" priority="100">
      <formula>$D$66="C Bnk Stmt"</formula>
    </cfRule>
    <cfRule type="expression" dxfId="365" priority="103">
      <formula>$D$66="NA-CMATRIX"</formula>
    </cfRule>
  </conditionalFormatting>
  <conditionalFormatting sqref="AA12:AD12">
    <cfRule type="expression" dxfId="364" priority="68">
      <formula>AND($Z$12="X",$AA$12="FULL - ITIN",$AG$9&gt;1000000,$AG$11&gt;75%)</formula>
    </cfRule>
    <cfRule type="expression" dxfId="363" priority="69">
      <formula>AND($Z$12="X",$AA$12="FULL - ITIN",$AG$9&gt;1000000,$AG$11&lt;=75%)</formula>
    </cfRule>
    <cfRule type="expression" dxfId="362" priority="70">
      <formula>AND($Z$12="X",$AA$12="FULL - ITIN",$AG$9&lt;=1000000,$AG$11&gt;75%)</formula>
    </cfRule>
  </conditionalFormatting>
  <conditionalFormatting sqref="AB5">
    <cfRule type="expression" dxfId="361" priority="66">
      <formula>AND($AH$5="WHOLESALE",$AB$5="TBD")</formula>
    </cfRule>
  </conditionalFormatting>
  <conditionalFormatting sqref="AB5:AF5">
    <cfRule type="expression" dxfId="360" priority="43">
      <formula>AND($AH$5="wholesale",OR($AB$5="Yes - 1.25%",$AB$5="Yes - 2.00%",$AB$5="no"))</formula>
    </cfRule>
    <cfRule type="expression" dxfId="359" priority="44">
      <formula>AND($AH$5="retail",OR($AB$5="borrower paid",$AB$5="Lender Paid 1.25%",$AB$5="Lender Paid 2.00%"))</formula>
    </cfRule>
    <cfRule type="expression" dxfId="358" priority="50">
      <formula>AND($AH$5="RETAIL",$AB$5="TBD")</formula>
    </cfRule>
    <cfRule type="expression" dxfId="357" priority="51">
      <formula>AND($AH$5="RETAIL",$AB$5="")</formula>
    </cfRule>
    <cfRule type="expression" dxfId="356" priority="62">
      <formula>AND($AH$5="WHOLESALE",$AB$5="")</formula>
    </cfRule>
    <cfRule type="expression" dxfId="355" priority="64">
      <formula>OR($AH$5="WHOLESALE",$AH$5="RETAIL")</formula>
    </cfRule>
  </conditionalFormatting>
  <conditionalFormatting sqref="U5:AA5">
    <cfRule type="expression" dxfId="354" priority="42">
      <formula>AND($AH$5="wholesale",OR($AB$5="Yes - 1.25%",$AB$5="Yes - 2.00%",$AB$5="no"))</formula>
    </cfRule>
    <cfRule type="expression" dxfId="353" priority="45">
      <formula>AND($AH$5="retail",OR($AB$5="borrower paid",$AB$5="Lender Paid 1.25%",$AB$5="Lender Paid 2.00%"))</formula>
    </cfRule>
    <cfRule type="expression" dxfId="352" priority="46">
      <formula>AND($AH$5="RETAIL",$AB$5="")</formula>
    </cfRule>
    <cfRule type="expression" dxfId="351" priority="47">
      <formula>AND($AH$5="RETAIL",$AB$5="TBD")</formula>
    </cfRule>
    <cfRule type="expression" dxfId="350" priority="61">
      <formula>AND($AH$5="WHOLESALE",$AB$5="")</formula>
    </cfRule>
    <cfRule type="expression" dxfId="349" priority="63">
      <formula>AND($AH$5="WHOLESALE",$AB$5="TBD")</formula>
    </cfRule>
  </conditionalFormatting>
  <conditionalFormatting sqref="X87:Z87">
    <cfRule type="expression" dxfId="348" priority="56">
      <formula>AND($AB$5="lender paid",$X$87&lt;&gt;1.25)</formula>
    </cfRule>
  </conditionalFormatting>
  <conditionalFormatting sqref="K87:V87">
    <cfRule type="expression" dxfId="347" priority="55">
      <formula>AND($AB$5="lender paid",$X$87&lt;&gt;1.25)</formula>
    </cfRule>
  </conditionalFormatting>
  <conditionalFormatting sqref="M25:Q25">
    <cfRule type="expression" dxfId="346" priority="48">
      <formula>IF($R$25="X",($M$25),)</formula>
    </cfRule>
    <cfRule type="expression" dxfId="345" priority="49">
      <formula>IF($K$25="X",($M$25),)</formula>
    </cfRule>
  </conditionalFormatting>
  <conditionalFormatting sqref="AI43:AN43">
    <cfRule type="expression" dxfId="344" priority="41">
      <formula>$AI$43&lt;SUM(TODAY()+8)</formula>
    </cfRule>
  </conditionalFormatting>
  <conditionalFormatting sqref="AI44:AN44">
    <cfRule type="expression" dxfId="343" priority="40">
      <formula>$AI$44&lt;SUM(TODAY()+8)</formula>
    </cfRule>
  </conditionalFormatting>
  <conditionalFormatting sqref="AI45:AN45">
    <cfRule type="expression" dxfId="342" priority="39">
      <formula>$AI$45&lt;SUM(TODAY()+8)</formula>
    </cfRule>
  </conditionalFormatting>
  <conditionalFormatting sqref="AI46:AN46">
    <cfRule type="expression" dxfId="341" priority="38">
      <formula>AND($AI$46&lt;&gt;"",$AI$46&lt;SUM(TODAY()+8))</formula>
    </cfRule>
  </conditionalFormatting>
  <conditionalFormatting sqref="AI47:AN47">
    <cfRule type="expression" dxfId="340" priority="37">
      <formula>AND($AI$47&lt;&gt;"",$AI$47&lt;SUM(TODAY()+8))</formula>
    </cfRule>
  </conditionalFormatting>
  <conditionalFormatting sqref="I16:P16">
    <cfRule type="expression" dxfId="339" priority="36">
      <formula>$N$16="TBD"</formula>
    </cfRule>
  </conditionalFormatting>
  <conditionalFormatting sqref="X15">
    <cfRule type="expression" dxfId="338" priority="241">
      <formula>$I$15&lt;&gt;"X"</formula>
    </cfRule>
    <cfRule type="containsBlanks" dxfId="337" priority="242">
      <formula>LEN(TRIM(X15))=0</formula>
    </cfRule>
    <cfRule type="expression" dxfId="336" priority="243">
      <formula>AND($X$15="Yes",$AG$11&gt;70%)</formula>
    </cfRule>
  </conditionalFormatting>
  <conditionalFormatting sqref="AA15:AF15">
    <cfRule type="expression" dxfId="335" priority="138">
      <formula>AND($Z$15="X",OR($AB$6="C",$AB$6="B-"))</formula>
    </cfRule>
  </conditionalFormatting>
  <conditionalFormatting sqref="D67:F67">
    <cfRule type="expression" dxfId="334" priority="35">
      <formula>AND($Z$15="X",$AA$15="Asset ATR in Full",OR($AB$6="B-",$AB$6="C"))</formula>
    </cfRule>
  </conditionalFormatting>
  <conditionalFormatting sqref="J15:O15">
    <cfRule type="expression" dxfId="333" priority="33">
      <formula>AND($I$15="X",$J$15="Condo Type")</formula>
    </cfRule>
    <cfRule type="expression" dxfId="332" priority="34">
      <formula>AND($I$15="X",$J$15&lt;&gt;"Condo",$AB$6="A+",$AD$9="X")</formula>
    </cfRule>
  </conditionalFormatting>
  <conditionalFormatting sqref="AN73">
    <cfRule type="expression" dxfId="331" priority="25">
      <formula>AND($N$59&lt;&gt;"",OR($AN$73="?",$AN$73="NO"))</formula>
    </cfRule>
    <cfRule type="expression" dxfId="330" priority="27">
      <formula>AND($N$59&lt;&gt;"",$AN$73="?")</formula>
    </cfRule>
    <cfRule type="expression" dxfId="329" priority="29">
      <formula>AND($N$59="",$AN$73="?")</formula>
    </cfRule>
    <cfRule type="expression" dxfId="328" priority="31">
      <formula>($AN$73="RENT LOSS COV INCL IN EOI?")</formula>
    </cfRule>
    <cfRule type="containsText" dxfId="327" priority="32" operator="containsText" text="YES">
      <formula>NOT(ISERROR(SEARCH("YES",AN73)))</formula>
    </cfRule>
  </conditionalFormatting>
  <conditionalFormatting sqref="AB69:AN69">
    <cfRule type="expression" dxfId="326" priority="19">
      <formula>AND($AB$69="WAIVE FEE FOR 1YR HARD PPP (80% OF 6-MTH INT)?",$AN$69="?")</formula>
    </cfRule>
  </conditionalFormatting>
  <conditionalFormatting sqref="AB69:AM69">
    <cfRule type="expression" dxfId="325" priority="18">
      <formula>AND($AB$69="WAIVE FEE FOR 1YR HARD PPP (80% OF 6-MTH INT)?",$AN$69="YES")</formula>
    </cfRule>
  </conditionalFormatting>
  <conditionalFormatting sqref="AA16:AE16">
    <cfRule type="expression" dxfId="324" priority="13">
      <formula>AND($Z$16="X",$AI$64&gt;0)</formula>
    </cfRule>
    <cfRule type="expression" dxfId="323" priority="14">
      <formula>AND($Z$16="X",OR($AB$6="B",$AB$6="B-",$AB$6="C"))</formula>
    </cfRule>
  </conditionalFormatting>
  <conditionalFormatting sqref="AF73">
    <cfRule type="expression" dxfId="322" priority="4">
      <formula>AND($N$59&lt;&gt;"",$AN$73="YES")</formula>
    </cfRule>
    <cfRule type="expression" dxfId="321" priority="5">
      <formula>$N$59=""</formula>
    </cfRule>
    <cfRule type="expression" dxfId="320" priority="6">
      <formula>(OR($AN$73="?",$AN$73="NO"))</formula>
    </cfRule>
  </conditionalFormatting>
  <conditionalFormatting sqref="K86:AD86">
    <cfRule type="expression" dxfId="319" priority="1">
      <formula>AND($AA$86="yes",$AB$6="A+",$AG$11&gt;85%)</formula>
    </cfRule>
  </conditionalFormatting>
  <dataValidations count="41">
    <dataValidation type="list" showInputMessage="1" showErrorMessage="1" sqref="AB6:AI7">
      <formula1>"A+,A,A-,B,B-,C,ODF,TBD"</formula1>
    </dataValidation>
    <dataValidation type="list" allowBlank="1" showInputMessage="1" showErrorMessage="1" sqref="E87:J87">
      <formula1>"TBD,Cindy L,Barry D,Cameron N,Chemeka S,Christie S,Clifton H,Damon P,Denise W,Donna K,Drew H,Edie L,Jennie R,Jennifer C,Joe G,Lisa C,Lynne SM,Lory W,Marcie BC,Marilyn T,Michael A,Michael B,Nicole L,Patty H,Raj J,Rosa P,Sara W,Tim M,Tony L,Sandra F,Jared S"</formula1>
    </dataValidation>
    <dataValidation type="list" allowBlank="1" showInputMessage="1" showErrorMessage="1" sqref="AN69 AN73">
      <formula1>"?,YES,NO"</formula1>
    </dataValidation>
    <dataValidation type="list" allowBlank="1" showInputMessage="1" showErrorMessage="1" prompt="BK CHAP 13 DISCHARGE  - PLEASE INPUT/USE FILING DATE_x000a__x000a_BK CHAP 13 DISMISSED - PLEASE INPUT/USE DISMISS DATE_x000a__x000a_ALL OTHER BK - USE DISCHARGE DATE" sqref="AC33:AF33">
      <formula1>":,Ch 7 Dischrg, Ch 7 Dismiss, Ch 13 Dischrg, Ch 13 Dismiss, Ch 11 Dischrg, Ch 11 Dismiss, Ch 12 Dischrg, Ch 12 Dismiss"</formula1>
    </dataValidation>
    <dataValidation allowBlank="1" showErrorMessage="1" promptTitle="Condo Limitation" prompt="Condotel &amp; Non-Warrantable Condo LTV Restriction:_x000a_Purchase Max 75% LTV / Refinance Max 70% LTV_x000a__x000a_Condo located in SF, CA; Broward &amp; Miami-Dade County, FL:_x000a_Max 70% LTV across the board." sqref="P14"/>
    <dataValidation type="list" allowBlank="1" showInputMessage="1" showErrorMessage="1" sqref="J12:P12">
      <formula1>"Detached SFR,Attached SFR"</formula1>
    </dataValidation>
    <dataValidation type="list" allowBlank="1" showInputMessage="1" showErrorMessage="1" sqref="J13:P13">
      <formula1>"Detached PUD,Attached PUD"</formula1>
    </dataValidation>
    <dataValidation type="list" allowBlank="1" showInputMessage="1" showErrorMessage="1" promptTitle="MAX 70% LTV " prompt="Condo located in the following counties are limited to 70% LTV_x000a_San Franciso County, CA_x000a_Broward County, FL_x000a_Miami-Dade County, FL_x000a_" sqref="X15">
      <formula1>INDIRECT(SUBSTITUTE(W13," ","_"))</formula1>
    </dataValidation>
    <dataValidation type="list" allowBlank="1" showInputMessage="1" showErrorMessage="1" sqref="AA14:AF14">
      <formula1>INDIRECT(SUBSTITUTE($AO$14," ","_"))</formula1>
    </dataValidation>
    <dataValidation type="list" showInputMessage="1" showErrorMessage="1" promptTitle="LTV RESTRICTION" prompt="MAX 80% LTV O/O_x000a_MAX 75% LTV N/O/O" sqref="L14:N14">
      <formula1>UnitList</formula1>
    </dataValidation>
    <dataValidation type="list" allowBlank="1" showInputMessage="1" showErrorMessage="1" promptTitle="FULL - ITIN" prompt="MAX $1MILLION LOAN_x000a__x000a_PURCHASE: MAX 75% LTV/CLTV_x000a_REFINANCE MAX 70% LTV/CLTV_x000a_TAX RETURN/W2/PAYSTB ONLY" sqref="AA12:AD12">
      <formula1>"Full,Full - ITIN"</formula1>
    </dataValidation>
    <dataValidation type="list" allowBlank="1" showInputMessage="1" showErrorMessage="1" sqref="Z69:AA69">
      <formula1>"TBD,Y &lt;= 3m,Y &lt;= 6m,No,N/A"</formula1>
    </dataValidation>
    <dataValidation type="list" allowBlank="1" showInputMessage="1" showErrorMessage="1" promptTitle="Condo Limitation" prompt="Condotel &amp; Non-Warrantable Condo LTV Restriction:_x000a_Purchase Max 75% LTV / Refinance Max 70% LTV_x000a__x000a_Condo located in SF, CA; Broward &amp; Miami-Dade County, FL:_x000a_Max 70% LTV across the board." sqref="J15:O15">
      <formula1>"Condo Type,Condo,Condotel,Non Warr Condo"</formula1>
    </dataValidation>
    <dataValidation type="list" allowBlank="1" showInputMessage="1" showErrorMessage="1" prompt="Lease Option-Purch SP is Lease Option to purchase using sale price to calculate LTV/CLTV whichever is lower (standard purchase)_x000a__x000a_Lease Option-Purch AV is Lease Option to purchase using appraised value to calculate LTV/CLTV" sqref="B15:H15">
      <formula1>"Lease Option-Purch SP,Lease Option-Purch AV"</formula1>
    </dataValidation>
    <dataValidation allowBlank="1" showInputMessage="1" showErrorMessage="1" promptTitle="RURAL" prompt="RURAL - MAX 65% LTV &amp; $400,000 LOAN AMOUNT" sqref="A74"/>
    <dataValidation allowBlank="1" showInputMessage="1" showErrorMessage="1" prompt="BK CHAP 13 DISCHARGE  - PLEASE INPUT/USE FILING DATE_x000a__x000a_BK CHAP 13 DISMISSED - PLEASE INPUT/USE DISMISS DATE_x000a__x000a_ALL OTHER BK - USE DISCHARGE DATE" sqref="AJ33:AN33"/>
    <dataValidation type="list" allowBlank="1" showInputMessage="1" showErrorMessage="1" sqref="Q10">
      <formula1>"X"</formula1>
    </dataValidation>
    <dataValidation type="list" allowBlank="1" showInputMessage="1" showErrorMessage="1" sqref="B13:H13">
      <formula1>"Rate/Term Refi,R/T Refi-Land Contract"</formula1>
    </dataValidation>
    <dataValidation type="list" allowBlank="1" showInputMessage="1" showErrorMessage="1" sqref="B14:H14">
      <formula1>"Cash/Out Refi,C/O Refi-Land Contract"</formula1>
    </dataValidation>
    <dataValidation type="list" allowBlank="1" showInputMessage="1" showErrorMessage="1" error="Invalid character input. Either delete cell out or pick from dropdown box or type in &quot;x&quot; or &quot;X&quot; only to make payoff." sqref="K19:L35">
      <formula1>"X,x"</formula1>
    </dataValidation>
    <dataValidation type="decimal" operator="notEqual" allowBlank="1" showInputMessage="1" showErrorMessage="1" error="Invalid character input. Either delete cell out or input in a valid number that not equal to zero." sqref="M19:Q35 T19:X35 AI18:AN25">
      <formula1>0</formula1>
    </dataValidation>
    <dataValidation type="list" allowBlank="1" showInputMessage="1" showErrorMessage="1" error="Invalid character input. Either delete cell out or input in &quot;x&quot; or &quot;X&quot; if it is a mortgage account or pick from dropdown list." sqref="R19:S35">
      <formula1>"X,x"</formula1>
    </dataValidation>
    <dataValidation type="decimal" operator="greaterThan" allowBlank="1" showInputMessage="1" showErrorMessage="1" error="Invalid character input. Please type in valid number." sqref="AI41:AN41">
      <formula1>0</formula1>
    </dataValidation>
    <dataValidation type="list" allowBlank="1" showInputMessage="1" showErrorMessage="1" sqref="Z14:Z16 A12:A15 Q12:Q14 U9 Q9 Z12 I12:I15">
      <formula1>"X,x"</formula1>
    </dataValidation>
    <dataValidation type="list" allowBlank="1" showInputMessage="1" showErrorMessage="1" sqref="AA86">
      <formula1>"TBD,YES,NO"</formula1>
    </dataValidation>
    <dataValidation type="list" sqref="AA52:AG57">
      <formula1>"-,ASSET DEPLETION,ATR IN FULL,1003,INCOME LOE,12 MOS BNK STMT,24 MOS BNK STMT,AWARD LETTER,BASE PAY,YTD PAYSTUB,YTD+ 1YR W2,YTD+2YRS W2,PRIOR YR W2,2 YRS W2,YTD P &amp; L, 1 YR SCH C, 2 YRS SCH C, 1 YR K1/BUS TAX, 2 YRS K1/BUS TAX,SUBJECT RENTAL"</formula1>
    </dataValidation>
    <dataValidation type="list" allowBlank="1" showInputMessage="1" showErrorMessage="1" sqref="AH5">
      <formula1>"TBD,WHOLESALE, RETAIL,CORRESPONDENT"</formula1>
    </dataValidation>
    <dataValidation type="list" allowBlank="1" showInputMessage="1" showErrorMessage="1" promptTitle="INTEREST ONLY - ARM OR FIX ?" prompt="PLEASE ALSO CHECK BOX &quot;ARM&quot; OR &quot;FIXED&quot;_x000a_AVAILABLE ON MAGGI AND ODF ONLY." sqref="U10">
      <formula1>"X,x"</formula1>
    </dataValidation>
    <dataValidation allowBlank="1" showInputMessage="1" showErrorMessage="1" promptTitle="INPUT EST NET PROCEEDS" prompt="IF BORROWER NEED TO BRING IN FUNDS TO CLOSE PLEASE PUT A MINUS SIGN IN FRONT OF THE DOLLAR AMOUNT SUCH AS:_x000a_-450.00_x000a__x000a_IF POSITIVE, THEN JUST INPUT THE NUMBER WITHOUT ANY SIGN SUCH AS: 450.00" sqref="AI68:AN68"/>
    <dataValidation type="list" allowBlank="1" showInputMessage="1" showErrorMessage="1" sqref="AC34:AF35">
      <formula1>":,1 Time,2 Times,3 Times,Multiple Times"</formula1>
    </dataValidation>
    <dataValidation allowBlank="1" showInputMessage="1" showErrorMessage="1" promptTitle="Loan Mod less than 12 months" prompt="If loan mod is less than 12 months, down grade to the next lower grade. If borrower is already a C, it's not applicable." sqref="AJ36:AN36"/>
    <dataValidation type="list" allowBlank="1" showInputMessage="1" showErrorMessage="1" promptTitle="PICK FROM DROP DOWN BOX" prompt="PICK FROM DROP DOWN BOX" sqref="AL86:AN86">
      <formula1>"N/A,TBD,PASS,FAIL"</formula1>
    </dataValidation>
    <dataValidation type="list" allowBlank="1" showInputMessage="1" showErrorMessage="1" sqref="AI71:AN71">
      <formula1>":,NOO BUS-Acquire,NOO BUS-Improve,NOO BUS-Maintain Subject"</formula1>
    </dataValidation>
    <dataValidation allowBlank="1" showInputMessage="1" showErrorMessage="1" promptTitle="REFI -5% LTV" prompt="MINUS 5% LTV FOR REFI ON 12 MONTHS BANK STMT MAGGI FROM GRAY AREA." sqref="AA13:AF13"/>
    <dataValidation type="list" allowBlank="1" showInputMessage="1" showErrorMessage="1" promptTitle="REFI -5% LTV FROM GRAY AREA" prompt="MINUS 5% LTV FOR REFI ON 12 MONTHS BANK STMT MAGGI FROM GRAY AREA." sqref="Z13">
      <formula1>"X,x"</formula1>
    </dataValidation>
    <dataValidation type="list" allowBlank="1" showInputMessage="1" showErrorMessage="1" sqref="AB5:AF5">
      <formula1>INDIRECT(SUBSTITUTE(AG5," ","_"))</formula1>
    </dataValidation>
    <dataValidation type="decimal" operator="greaterThanOrEqual" allowBlank="1" showInputMessage="1" showErrorMessage="1" error="Invalid character input. Either delete cell out or input in a valid number that not equal to zero." sqref="AI26:AN26">
      <formula1>0</formula1>
    </dataValidation>
    <dataValidation allowBlank="1" showErrorMessage="1" sqref="A16:H16 Q16:X16"/>
    <dataValidation allowBlank="1" showInputMessage="1" showErrorMessage="1" promptTitle="Rural LTV/Loan Amt Restriction" prompt="70% LTV Purchase _x000a_65% LTV Refinance_x000a__x000a_A &amp; A- grade: $1.5M 0.25% rate add-on_x000a_B &amp; B- grade: $750K [0.375% B / 0.500% B-]_x000a_C Grade: $500K [0.500% rate add-on]" sqref="I16:M16"/>
    <dataValidation type="list" allowBlank="1" showInputMessage="1" showErrorMessage="1" promptTitle="Rural LTV/Loan Amt Restriction" prompt="70% LTV Purchase _x000a_65% LTV Refinance_x000a__x000a_A &amp; A- grade: $1.5M 0.25% rate add-on_x000a__x000a_B &amp; B- grade: $750K [0.375% B / 0.500% B-]_x000a__x000a_C Grade: $500K [0.500% rate add-on]" sqref="N16:P16">
      <formula1>"TBD,Urban,Suburban,Rural"</formula1>
    </dataValidation>
    <dataValidation allowBlank="1" showInputMessage="1" showErrorMessage="1" promptTitle="REQUIREMENT" prompt="A &amp; A- GRADE ONLY_x000a_MAX 75% LTV PURCHASE / 70% LTV REFI_x000a__x000a_2YRS HISTORY W/ SAME EMPLOYER_x000a_MIN LOAN AMT $250K TO MAX $3M_x000a_OWNER OCCUPIED ONLY_x000a_NO FTHB_x000a_SFR/CONDO/TOWNHOUSE_x000a_PROPERTY IN GOOD COND / NO RURAL_x000a_CREDIT : SAME AS 1 MO BANK STMT" sqref="AA16:AE16"/>
  </dataValidations>
  <pageMargins left="0.3" right="0.25" top="0.25" bottom="0.5" header="0.25" footer="0.25"/>
  <pageSetup paperSize="5" scale="73" orientation="portrait" r:id="rId1"/>
  <headerFooter>
    <oddFooter>&amp;LCSC-LoanAppr.xls . 12/05/2017</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52" id="{8E370E77-2066-43A0-A727-CE1610E7DEB4}">
            <xm:f>AND($Z$13="X",'Bnk Stmts'!B36=1,$AG$9&lt;250000, $AB$6="A",$Q$12&lt;&gt;"X")</xm:f>
            <x14:dxf>
              <fill>
                <patternFill>
                  <bgColor rgb="FFFF0000"/>
                </patternFill>
              </fill>
            </x14:dxf>
          </x14:cfRule>
          <xm:sqref>AG9:AN9</xm:sqref>
        </x14:conditionalFormatting>
        <x14:conditionalFormatting xmlns:xm="http://schemas.microsoft.com/office/excel/2006/main">
          <x14:cfRule type="expression" priority="53" id="{BCB1BC44-CF58-417B-8079-FA80D06351FC}">
            <xm:f>AND($Z$13="X",'Bnk Stmts'!B36=1,$AG$9&lt;250000, $AB$6="A",$Q$12&lt;&gt;"X")</xm:f>
            <x14:dxf>
              <fill>
                <patternFill>
                  <bgColor rgb="FFFF0000"/>
                </patternFill>
              </fill>
            </x14:dxf>
          </x14:cfRule>
          <xm:sqref>AA13:AF13</xm:sqref>
        </x14:conditionalFormatting>
        <x14:conditionalFormatting xmlns:xm="http://schemas.microsoft.com/office/excel/2006/main">
          <x14:cfRule type="expression" priority="58" id="{B959FDB8-EB15-4573-B056-CEED740D4E20}">
            <xm:f>AND($Z$13="X",'Bnk Stmts'!$B$36=12,OR($AL$6="NP",$AL$6="IONP"))</xm:f>
            <x14:dxf>
              <fill>
                <patternFill>
                  <bgColor rgb="FFFF0000"/>
                </patternFill>
              </fill>
            </x14:dxf>
          </x14:cfRule>
          <xm:sqref>AL6:AN7</xm:sqref>
        </x14:conditionalFormatting>
        <x14:conditionalFormatting xmlns:xm="http://schemas.microsoft.com/office/excel/2006/main">
          <x14:cfRule type="expression" priority="57" id="{BFAA5B81-A019-4883-980E-B3EA19352F05}">
            <xm:f>AND($Z$13="X",'Bnk Stmts'!B36=1,$AG$9&gt;=250000, $AB$6="A",$Q$12&lt;&gt;"X")</xm:f>
            <x14:dxf>
              <fill>
                <patternFill>
                  <bgColor rgb="FFFF0000"/>
                </patternFill>
              </fill>
            </x14:dxf>
          </x14:cfRule>
          <x14:cfRule type="expression" priority="59" id="{97B6F966-AA2C-4EEC-B250-C9ED6EEDA1A9}">
            <xm:f>AND($Z$13="X",'Bnk Stmts'!$B$36=12,OR($AL$6="NP",$AL$6="IONP"))</xm:f>
            <x14:dxf>
              <fill>
                <patternFill>
                  <bgColor rgb="FFFF0000"/>
                </patternFill>
              </fill>
            </x14:dxf>
          </x14:cfRule>
          <xm:sqref>AA13:AF13</xm:sqref>
        </x14:conditionalFormatting>
        <x14:conditionalFormatting xmlns:xm="http://schemas.microsoft.com/office/excel/2006/main">
          <x14:cfRule type="expression" priority="87" id="{B9EA45B3-AF29-4702-95A3-B6DCF9A93EAE}">
            <xm:f>AND($Z$13="X",'Bnk Stmts'!B36=1,$AG$9&gt;=250000, $Q$12="X",$AB$6&lt;&gt;"A")</xm:f>
            <x14:dxf>
              <fill>
                <patternFill>
                  <bgColor rgb="FFFF0000"/>
                </patternFill>
              </fill>
            </x14:dxf>
          </x14:cfRule>
          <xm:sqref>AB6:AI7</xm:sqref>
        </x14:conditionalFormatting>
        <x14:conditionalFormatting xmlns:xm="http://schemas.microsoft.com/office/excel/2006/main">
          <x14:cfRule type="expression" priority="88" id="{96F4150C-C546-44A2-8C68-BA0F1D2579F8}">
            <xm:f>AND($Z$13="X",'Bnk Stmts'!B36=1,$AG$11&gt;65%,$AG$9&gt;=250000,$AJ$37&gt;=700,$AB$6="A",$Q$12="X",OR($A$13="X",$A$14="X"))</xm:f>
            <x14:dxf>
              <fill>
                <patternFill>
                  <bgColor rgb="FFFF0000"/>
                </patternFill>
              </fill>
            </x14:dxf>
          </x14:cfRule>
          <x14:cfRule type="expression" priority="95" id="{D5888596-4C99-4DAB-AFB8-05943A10484E}">
            <xm:f>AND($Z$13="X",'Bnk Stmts'!B36=1,$AG$11&gt;70%,$AG$9&gt;=250000,$AJ$37&gt;=700,$AB$6="A",$Q$12="X",OR($A$12="X",$A$15="X"))</xm:f>
            <x14:dxf>
              <fill>
                <patternFill>
                  <bgColor rgb="FFFF0000"/>
                </patternFill>
              </fill>
            </x14:dxf>
          </x14:cfRule>
          <xm:sqref>AG11:AJ12</xm:sqref>
        </x14:conditionalFormatting>
        <x14:conditionalFormatting xmlns:xm="http://schemas.microsoft.com/office/excel/2006/main">
          <x14:cfRule type="expression" priority="98" id="{CBA75237-79AE-4B3E-A56F-F12E1885EF79}">
            <xm:f>AND($Z$13="X",'Bnk Stmts'!B36=1,$AG$11&lt;=70%,$AG$9&lt;250000,$AJ$37&gt;=700,$AB$6="A",$Q$12="X")</xm:f>
            <x14:dxf>
              <fill>
                <patternFill>
                  <bgColor rgb="FFFF0000"/>
                </patternFill>
              </fill>
            </x14:dxf>
          </x14:cfRule>
          <xm:sqref>AG9:AN9</xm:sqref>
        </x14:conditionalFormatting>
        <x14:conditionalFormatting xmlns:xm="http://schemas.microsoft.com/office/excel/2006/main">
          <x14:cfRule type="expression" priority="93" id="{836CAC96-14FE-4A23-9EB4-6D28C366853A}">
            <xm:f>AND($Z$13="X",'Bnk Stmts'!B36=1,$AG$11&gt;70%,$AG$9&gt;=250000,$AJ$37&gt;=700,$AB$6="A",$Q$12="X",$A$12="X")</xm:f>
            <x14:dxf>
              <fill>
                <patternFill>
                  <bgColor rgb="FFFF0000"/>
                </patternFill>
              </fill>
            </x14:dxf>
          </x14:cfRule>
          <xm:sqref>B12:H12</xm:sqref>
        </x14:conditionalFormatting>
        <x14:conditionalFormatting xmlns:xm="http://schemas.microsoft.com/office/excel/2006/main">
          <x14:cfRule type="expression" priority="92" id="{C797C456-F573-49F8-94E3-7110F3BBB5EA}">
            <xm:f>AND($Z$13="X",'Bnk Stmts'!B36=1,$AG$11&gt;70%,$AG$9&gt;=250000,$AJ$37&gt;=700,$AB$6="A",$Q$12="X",$A$15="X")</xm:f>
            <x14:dxf>
              <fill>
                <patternFill>
                  <bgColor rgb="FFFF0000"/>
                </patternFill>
              </fill>
            </x14:dxf>
          </x14:cfRule>
          <xm:sqref>B15:H16</xm:sqref>
        </x14:conditionalFormatting>
        <x14:conditionalFormatting xmlns:xm="http://schemas.microsoft.com/office/excel/2006/main">
          <x14:cfRule type="expression" priority="147" id="{EEEA19F0-FBDF-403C-B2A9-ACB1AF67ABC5}">
            <xm:f>ASSETS!$K$56&gt;0</xm:f>
            <x14:dxf>
              <fill>
                <patternFill>
                  <bgColor rgb="FF92D050"/>
                </patternFill>
              </fill>
            </x14:dxf>
          </x14:cfRule>
          <x14:cfRule type="expression" priority="442" id="{951AEC5F-0F62-4B30-89C5-1DCCBE1A360C}">
            <xm:f>ASSETS!D$56&gt;0</xm:f>
            <x14:dxf>
              <fill>
                <patternFill>
                  <bgColor rgb="FF92D050"/>
                </patternFill>
              </fill>
            </x14:dxf>
          </x14:cfRule>
          <x14:cfRule type="expression" priority="443" id="{4A510FE4-7D15-47B8-A330-24D78AE2A26A}">
            <xm:f>ASSETS!$F$30&gt;0</xm:f>
            <x14:dxf>
              <fill>
                <patternFill>
                  <bgColor rgb="FF92D050"/>
                </patternFill>
              </fill>
            </x14:dxf>
          </x14:cfRule>
          <xm:sqref>N65:Y65</xm:sqref>
        </x14:conditionalFormatting>
        <x14:conditionalFormatting xmlns:xm="http://schemas.microsoft.com/office/excel/2006/main">
          <x14:cfRule type="expression" priority="118" id="{1ABFA8E5-157F-47E9-AC72-593E62DCD1DE}">
            <xm:f>AND($A$12="X",$AB$6="A+",$AD$9="X",$Z$13="X",'Bnk Stmts'!$B$36=12,$AG$11&gt;85%)</xm:f>
            <x14:dxf>
              <fill>
                <patternFill>
                  <bgColor rgb="FFFF0000"/>
                </patternFill>
              </fill>
            </x14:dxf>
          </x14:cfRule>
          <xm:sqref>B12:H12</xm:sqref>
        </x14:conditionalFormatting>
        <x14:conditionalFormatting xmlns:xm="http://schemas.microsoft.com/office/excel/2006/main">
          <x14:cfRule type="expression" priority="122" id="{060752BF-EB1C-4DF6-AAAC-D5B1EAF7E536}">
            <xm:f>AND($A$15="X",$AB$6="A+",$AD$9="X",$Z$13="X",'Bnk Stmts'!$B$36=12,$AG$11&gt;85%)</xm:f>
            <x14:dxf>
              <fill>
                <patternFill>
                  <bgColor rgb="FFFF0000"/>
                </patternFill>
              </fill>
            </x14:dxf>
          </x14:cfRule>
          <xm:sqref>B15:H16</xm:sqref>
        </x14:conditionalFormatting>
        <x14:conditionalFormatting xmlns:xm="http://schemas.microsoft.com/office/excel/2006/main">
          <x14:cfRule type="expression" priority="91" id="{969A1FCD-75ED-4912-B82A-3C5D2E93658B}">
            <xm:f>AND($Z$13="X",'Bnk Stmts'!B36=1,$AG$11&gt;65%,$AG$9&gt;=250000,$AJ$37&gt;=700,$AB$6="A",$Q$12="X",$A$13="X")</xm:f>
            <x14:dxf>
              <fill>
                <patternFill>
                  <bgColor rgb="FFFF0000"/>
                </patternFill>
              </fill>
            </x14:dxf>
          </x14:cfRule>
          <x14:cfRule type="expression" priority="121" id="{A27BC886-0DAD-48B4-911F-59313DBA5CF2}">
            <xm:f>AND($A$13="X",$AB$6="A+",$AD$9="X",$Z$13="X",'Bnk Stmts'!$B$36=12,$AG$11&gt;80%)</xm:f>
            <x14:dxf>
              <fill>
                <patternFill>
                  <bgColor rgb="FFFF0000"/>
                </patternFill>
              </fill>
            </x14:dxf>
          </x14:cfRule>
          <xm:sqref>B13:H13</xm:sqref>
        </x14:conditionalFormatting>
        <x14:conditionalFormatting xmlns:xm="http://schemas.microsoft.com/office/excel/2006/main">
          <x14:cfRule type="expression" priority="90" id="{5C5B0280-FAFD-4371-8541-8A350BC3DC11}">
            <xm:f>AND($Z$13="X",'Bnk Stmts'!B36=1,$AG$11&gt;65%,$AG$9&gt;=250000,$AJ$37&gt;=700,$AB$6="A",$Q$12="X",$A$14="X")</xm:f>
            <x14:dxf>
              <fill>
                <patternFill>
                  <bgColor rgb="FFFF0000"/>
                </patternFill>
              </fill>
            </x14:dxf>
          </x14:cfRule>
          <x14:cfRule type="expression" priority="120" id="{F16660A1-9839-45B0-B1D0-ED2342872CB9}">
            <xm:f>AND($A$14="X",$AB$6="A+",$AD$9="X",$Z$13="X",'Bnk Stmts'!$B$36=12,$AG$11&gt;80%)</xm:f>
            <x14:dxf>
              <fill>
                <patternFill>
                  <bgColor rgb="FFFF0000"/>
                </patternFill>
              </fill>
            </x14:dxf>
          </x14:cfRule>
          <xm:sqref>B14:H14</xm:sqref>
        </x14:conditionalFormatting>
        <x14:conditionalFormatting xmlns:xm="http://schemas.microsoft.com/office/excel/2006/main">
          <x14:cfRule type="expression" priority="89" id="{6290E145-8C14-497F-9E19-F2D73507C00B}">
            <xm:f>AND($Z$13="X",'Bnk Stmts'!B36=1,$AG$11&gt;65%,$AG$9&gt;=250000,$AJ$37&gt;=700,$AB$6="A",$Q$12="X",OR($A$13="X",$A$14="X"))</xm:f>
            <x14:dxf>
              <fill>
                <patternFill>
                  <bgColor rgb="FFFF0000"/>
                </patternFill>
              </fill>
            </x14:dxf>
          </x14:cfRule>
          <x14:cfRule type="expression" priority="94" id="{723BCF23-704A-4325-9528-A672BD95AE82}">
            <xm:f>AND($Z$13="X",'Bnk Stmts'!B36=1,$AG$11&gt;70%,$AG$9&gt;=250000,$AJ$37&gt;=700,$AB$6="A",$Q$12="X",OR($A$12="X",$A$15="X"))</xm:f>
            <x14:dxf>
              <fill>
                <patternFill>
                  <bgColor rgb="FFFF0000"/>
                </patternFill>
              </fill>
            </x14:dxf>
          </x14:cfRule>
          <x14:cfRule type="expression" priority="97" id="{3CEC064E-5407-4788-A8DE-96DD5B03CC3D}">
            <xm:f>AND($Z$13="X",'Bnk Stmts'!B36=1,$AG$11&lt;=70%,$AG$9&lt;250000,$AJ$37&gt;=700,$AB$6="A",$Q$12="X")</xm:f>
            <x14:dxf>
              <fill>
                <patternFill>
                  <bgColor rgb="FFFF0000"/>
                </patternFill>
              </fill>
            </x14:dxf>
          </x14:cfRule>
          <x14:cfRule type="expression" priority="113" id="{67861C98-05BB-4152-A4BF-BECBFA1840AE}">
            <xm:f>AND($A$14="X",$AB$6="A+",$AD$9="X",$Z$13="X",'Bnk Stmts'!$B$36=12,$AG$11&gt;80%)</xm:f>
            <x14:dxf>
              <fill>
                <patternFill>
                  <bgColor rgb="FFFF0000"/>
                </patternFill>
              </fill>
            </x14:dxf>
          </x14:cfRule>
          <x14:cfRule type="expression" priority="114" id="{CA0C1B3C-BD9C-478D-A878-88F36438E06C}">
            <xm:f>AND($A$12="X",$AB$6="A+",$AD$9="X",$Z$13="X",'Bnk Stmts'!$B$36=12,$AG$11&gt;85%)</xm:f>
            <x14:dxf>
              <fill>
                <patternFill>
                  <bgColor rgb="FFFF0000"/>
                </patternFill>
              </fill>
            </x14:dxf>
          </x14:cfRule>
          <x14:cfRule type="expression" priority="115" id="{193AD404-AB73-4936-A71B-37A7460E875B}">
            <xm:f>AND($A$13="X",$AB$6="A+",$AD$9="X",$Z$13="X",'Bnk Stmts'!$B$36=12,$AG$11&gt;80%)</xm:f>
            <x14:dxf>
              <fill>
                <patternFill>
                  <bgColor rgb="FFFF0000"/>
                </patternFill>
              </fill>
            </x14:dxf>
          </x14:cfRule>
          <x14:cfRule type="expression" priority="116" id="{8215502D-0339-44EF-9C04-67FC690174DB}">
            <xm:f>AND($A$15="X",$AB$6="A+",$AD$9="X",$Z$13="X",'Bnk Stmts'!$B$36=12,$AG$11&gt;85%)</xm:f>
            <x14:dxf>
              <fill>
                <patternFill>
                  <bgColor rgb="FFFF0000"/>
                </patternFill>
              </fill>
            </x14:dxf>
          </x14:cfRule>
          <xm:sqref>AA13:AF13</xm:sqref>
        </x14:conditionalFormatting>
        <x14:conditionalFormatting xmlns:xm="http://schemas.microsoft.com/office/excel/2006/main">
          <x14:cfRule type="expression" priority="105" id="{F4DCB0D4-B8B6-4128-88A7-6DFF26D492D9}">
            <xm:f>AND($A$14="X",$AB$6="A+",$AD$9="X",$Z$13="X",'Bnk Stmts'!$B$36=12,$AG$11&gt;80%)</xm:f>
            <x14:dxf>
              <fill>
                <patternFill>
                  <bgColor rgb="FFFF0000"/>
                </patternFill>
              </fill>
            </x14:dxf>
          </x14:cfRule>
          <xm:sqref>AL6:AN7</xm:sqref>
        </x14:conditionalFormatting>
        <x14:conditionalFormatting xmlns:xm="http://schemas.microsoft.com/office/excel/2006/main">
          <x14:cfRule type="expression" priority="106" id="{F600650A-AB2E-43CE-B061-84DE1E9B4B00}">
            <xm:f>AND($A$12="X",$AB$6="A+",$AD$9="X",$Z$13="X",'Bnk Stmts'!$B$36=12,$AG$11&gt;85%)</xm:f>
            <x14:dxf>
              <fill>
                <patternFill>
                  <bgColor rgb="FFFF0000"/>
                </patternFill>
              </fill>
            </x14:dxf>
          </x14:cfRule>
          <x14:cfRule type="expression" priority="107" id="{75D70858-0E6A-40F9-8185-7630156E6DBB}">
            <xm:f>AND($A$13="X",$AB$6="A+",$AD$9="X",$Z$13="X",'Bnk Stmts'!$B$36=12,$AG$11&gt;80%)</xm:f>
            <x14:dxf>
              <fill>
                <patternFill>
                  <bgColor rgb="FFFF0000"/>
                </patternFill>
              </fill>
            </x14:dxf>
          </x14:cfRule>
          <x14:cfRule type="expression" priority="108" id="{A2CA5459-7CE5-48F9-A6C9-8CB7EFB89E29}">
            <xm:f>AND($A$15="X",$AB$6="A+",$AD$9="X",$Z$13="X",'Bnk Stmts'!$B$36=12,$AG$11&gt;85%)</xm:f>
            <x14:dxf>
              <fill>
                <patternFill>
                  <bgColor rgb="FFFF0000"/>
                </patternFill>
              </fill>
            </x14:dxf>
          </x14:cfRule>
          <xm:sqref>AL6:AN7</xm:sqref>
        </x14:conditionalFormatting>
        <x14:conditionalFormatting xmlns:xm="http://schemas.microsoft.com/office/excel/2006/main">
          <x14:cfRule type="expression" priority="54" id="{90A744BF-6686-408E-A51D-05A0043E0521}">
            <xm:f>AND($Z$13="X",'Bnk Stmts'!B36=1,$AG$9&lt;250000, $AB$6="A",$Q$12&lt;&gt;"X")</xm:f>
            <x14:dxf>
              <fill>
                <patternFill>
                  <bgColor rgb="FFFF0000"/>
                </patternFill>
              </fill>
            </x14:dxf>
          </x14:cfRule>
          <x14:cfRule type="expression" priority="86" id="{2470640C-4BF2-454C-A01B-A5AFF5A7FD1C}">
            <xm:f>AND($Z$13="X",'Bnk Stmts'!B36=1,$AG$9&gt;=250000, $AB$6="A",$Q$12&lt;&gt;"X")</xm:f>
            <x14:dxf>
              <fill>
                <patternFill>
                  <bgColor rgb="FFFF0000"/>
                </patternFill>
              </fill>
            </x14:dxf>
          </x14:cfRule>
          <xm:sqref>R12:W12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58"/>
  <sheetViews>
    <sheetView workbookViewId="0">
      <selection activeCell="G12" sqref="G12"/>
    </sheetView>
  </sheetViews>
  <sheetFormatPr defaultRowHeight="12.75" x14ac:dyDescent="0.2"/>
  <cols>
    <col min="1" max="1" width="10.140625" style="7" customWidth="1"/>
    <col min="2" max="2" width="4.5703125" style="7" customWidth="1"/>
    <col min="3" max="3" width="25.7109375" style="7" customWidth="1"/>
    <col min="4" max="4" width="5.28515625" style="8" customWidth="1"/>
    <col min="5" max="5" width="15.28515625" style="8" customWidth="1"/>
    <col min="6" max="6" width="7.85546875" style="8" customWidth="1"/>
    <col min="7" max="7" width="18.140625" style="8" customWidth="1"/>
    <col min="8" max="8" width="10.42578125" bestFit="1" customWidth="1"/>
    <col min="10" max="10" width="15.5703125" bestFit="1" customWidth="1"/>
  </cols>
  <sheetData>
    <row r="1" spans="1:13" ht="20.25" x14ac:dyDescent="0.3">
      <c r="D1" s="7"/>
      <c r="E1" s="7"/>
      <c r="G1" s="21" t="s">
        <v>0</v>
      </c>
      <c r="H1" s="21"/>
      <c r="I1" s="21"/>
      <c r="J1" s="21"/>
      <c r="K1" s="7"/>
      <c r="L1" s="7"/>
      <c r="M1" s="7"/>
    </row>
    <row r="2" spans="1:13" s="1" customFormat="1" ht="20.25" x14ac:dyDescent="0.3">
      <c r="A2" s="9"/>
      <c r="B2" s="9"/>
      <c r="C2" s="9"/>
      <c r="D2" s="9"/>
      <c r="E2" s="9"/>
      <c r="G2" s="21" t="s">
        <v>419</v>
      </c>
      <c r="H2" s="21"/>
      <c r="I2" s="21"/>
      <c r="J2" s="21"/>
      <c r="K2" s="9"/>
      <c r="L2" s="9"/>
      <c r="M2" s="21"/>
    </row>
    <row r="3" spans="1:13" s="2" customFormat="1" ht="27" customHeight="1" x14ac:dyDescent="0.2">
      <c r="A3" s="7"/>
      <c r="B3" s="7"/>
      <c r="C3" s="7"/>
      <c r="D3" s="3"/>
      <c r="E3" s="7"/>
      <c r="H3" s="3"/>
      <c r="I3" s="7"/>
      <c r="J3" s="7"/>
      <c r="K3" s="7"/>
      <c r="L3" s="7"/>
      <c r="M3" s="7"/>
    </row>
    <row r="4" spans="1:13" ht="15.75" x14ac:dyDescent="0.25">
      <c r="A4" s="271" t="s">
        <v>1</v>
      </c>
      <c r="B4" s="374"/>
      <c r="C4" s="1298">
        <f>Approval!E6</f>
        <v>0</v>
      </c>
      <c r="D4" s="1299"/>
      <c r="E4" s="1299"/>
      <c r="F4" s="272" t="s">
        <v>41</v>
      </c>
      <c r="G4" s="278">
        <f>Approval!Q7</f>
        <v>0</v>
      </c>
    </row>
    <row r="5" spans="1:13" ht="15.75" customHeight="1" x14ac:dyDescent="0.2">
      <c r="A5" s="273"/>
      <c r="B5" s="273"/>
      <c r="C5" s="1298">
        <f>Approval!E7</f>
        <v>0</v>
      </c>
      <c r="D5" s="1300"/>
      <c r="E5" s="1300"/>
      <c r="F5" s="274"/>
      <c r="G5" s="274"/>
    </row>
    <row r="6" spans="1:13" x14ac:dyDescent="0.2">
      <c r="A6" s="4"/>
      <c r="B6" s="3"/>
      <c r="C6" s="3"/>
      <c r="D6" s="6"/>
      <c r="E6" s="6"/>
      <c r="F6" s="6"/>
      <c r="G6" s="13"/>
    </row>
    <row r="7" spans="1:13" s="16" customFormat="1" ht="15.75" x14ac:dyDescent="0.25">
      <c r="A7" s="10" t="s">
        <v>15</v>
      </c>
      <c r="B7" s="12"/>
      <c r="C7" s="14"/>
      <c r="D7" s="15" t="s">
        <v>16</v>
      </c>
      <c r="E7" s="15" t="s">
        <v>17</v>
      </c>
      <c r="F7" s="15" t="s">
        <v>103</v>
      </c>
      <c r="G7" s="15" t="s">
        <v>19</v>
      </c>
    </row>
    <row r="8" spans="1:13" s="17" customFormat="1" ht="15" x14ac:dyDescent="0.2">
      <c r="A8" s="753"/>
      <c r="B8" s="755"/>
      <c r="C8" s="756"/>
      <c r="D8" s="757"/>
      <c r="E8" s="758"/>
      <c r="F8" s="757"/>
      <c r="G8" s="759"/>
      <c r="H8" s="485">
        <f>IF(OR(COUNTBLANK(D8:D38)&lt;31,E39&gt;0,G39&lt;&gt;0),1,0)</f>
        <v>0</v>
      </c>
    </row>
    <row r="9" spans="1:13" s="17" customFormat="1" ht="15" x14ac:dyDescent="0.2">
      <c r="A9" s="753"/>
      <c r="B9" s="755"/>
      <c r="C9" s="756"/>
      <c r="D9" s="757"/>
      <c r="E9" s="760"/>
      <c r="F9" s="757"/>
      <c r="G9" s="761"/>
      <c r="H9" s="485">
        <f>IF((COUNTBLANK(D8:D38)&lt;31),1,0)</f>
        <v>0</v>
      </c>
    </row>
    <row r="10" spans="1:13" s="17" customFormat="1" ht="15" x14ac:dyDescent="0.2">
      <c r="A10" s="753"/>
      <c r="B10" s="755"/>
      <c r="C10" s="756"/>
      <c r="D10" s="757"/>
      <c r="E10" s="760"/>
      <c r="F10" s="757"/>
      <c r="G10" s="761"/>
    </row>
    <row r="11" spans="1:13" s="17" customFormat="1" ht="15" x14ac:dyDescent="0.2">
      <c r="A11" s="753"/>
      <c r="B11" s="755"/>
      <c r="C11" s="756"/>
      <c r="D11" s="757"/>
      <c r="E11" s="760"/>
      <c r="F11" s="757"/>
      <c r="G11" s="761"/>
    </row>
    <row r="12" spans="1:13" s="17" customFormat="1" ht="15" x14ac:dyDescent="0.2">
      <c r="A12" s="753"/>
      <c r="B12" s="755"/>
      <c r="C12" s="756"/>
      <c r="D12" s="757"/>
      <c r="E12" s="760"/>
      <c r="F12" s="757"/>
      <c r="G12" s="761"/>
    </row>
    <row r="13" spans="1:13" s="17" customFormat="1" ht="15" x14ac:dyDescent="0.2">
      <c r="A13" s="754"/>
      <c r="B13" s="762"/>
      <c r="C13" s="763"/>
      <c r="D13" s="757"/>
      <c r="E13" s="760"/>
      <c r="F13" s="757"/>
      <c r="G13" s="761"/>
    </row>
    <row r="14" spans="1:13" s="17" customFormat="1" ht="15" x14ac:dyDescent="0.2">
      <c r="A14" s="753"/>
      <c r="B14" s="755"/>
      <c r="C14" s="756"/>
      <c r="D14" s="757"/>
      <c r="E14" s="764"/>
      <c r="F14" s="757"/>
      <c r="G14" s="761"/>
    </row>
    <row r="15" spans="1:13" s="17" customFormat="1" ht="15" x14ac:dyDescent="0.2">
      <c r="A15" s="753"/>
      <c r="B15" s="755"/>
      <c r="C15" s="756"/>
      <c r="D15" s="757"/>
      <c r="E15" s="760"/>
      <c r="F15" s="757"/>
      <c r="G15" s="761"/>
    </row>
    <row r="16" spans="1:13" s="17" customFormat="1" ht="15" x14ac:dyDescent="0.2">
      <c r="A16" s="753"/>
      <c r="B16" s="755"/>
      <c r="C16" s="756"/>
      <c r="D16" s="757"/>
      <c r="E16" s="760"/>
      <c r="F16" s="757"/>
      <c r="G16" s="761"/>
    </row>
    <row r="17" spans="1:7" s="17" customFormat="1" ht="15" x14ac:dyDescent="0.2">
      <c r="A17" s="754"/>
      <c r="B17" s="762"/>
      <c r="C17" s="763"/>
      <c r="D17" s="757"/>
      <c r="E17" s="760"/>
      <c r="F17" s="757"/>
      <c r="G17" s="761"/>
    </row>
    <row r="18" spans="1:7" s="17" customFormat="1" ht="15" x14ac:dyDescent="0.2">
      <c r="A18" s="753"/>
      <c r="B18" s="755"/>
      <c r="C18" s="756"/>
      <c r="D18" s="757"/>
      <c r="E18" s="760"/>
      <c r="F18" s="757"/>
      <c r="G18" s="761"/>
    </row>
    <row r="19" spans="1:7" s="17" customFormat="1" ht="15" x14ac:dyDescent="0.2">
      <c r="A19" s="753"/>
      <c r="B19" s="755"/>
      <c r="C19" s="756"/>
      <c r="D19" s="757"/>
      <c r="E19" s="760"/>
      <c r="F19" s="757"/>
      <c r="G19" s="761"/>
    </row>
    <row r="20" spans="1:7" s="17" customFormat="1" ht="15" x14ac:dyDescent="0.2">
      <c r="A20" s="753"/>
      <c r="B20" s="755"/>
      <c r="C20" s="756"/>
      <c r="D20" s="757"/>
      <c r="E20" s="760"/>
      <c r="F20" s="757"/>
      <c r="G20" s="761"/>
    </row>
    <row r="21" spans="1:7" s="17" customFormat="1" ht="15" x14ac:dyDescent="0.2">
      <c r="A21" s="753"/>
      <c r="B21" s="755"/>
      <c r="C21" s="756"/>
      <c r="D21" s="757"/>
      <c r="E21" s="760"/>
      <c r="F21" s="757"/>
      <c r="G21" s="761"/>
    </row>
    <row r="22" spans="1:7" s="17" customFormat="1" ht="15" x14ac:dyDescent="0.2">
      <c r="A22" s="754"/>
      <c r="B22" s="762"/>
      <c r="C22" s="763"/>
      <c r="D22" s="757"/>
      <c r="E22" s="760"/>
      <c r="F22" s="757"/>
      <c r="G22" s="761"/>
    </row>
    <row r="23" spans="1:7" s="17" customFormat="1" ht="15" x14ac:dyDescent="0.2">
      <c r="A23" s="753"/>
      <c r="B23" s="755"/>
      <c r="C23" s="756"/>
      <c r="D23" s="757"/>
      <c r="E23" s="760"/>
      <c r="F23" s="757"/>
      <c r="G23" s="761"/>
    </row>
    <row r="24" spans="1:7" s="17" customFormat="1" ht="15" x14ac:dyDescent="0.2">
      <c r="A24" s="753"/>
      <c r="B24" s="755"/>
      <c r="C24" s="756"/>
      <c r="D24" s="757"/>
      <c r="E24" s="760"/>
      <c r="F24" s="757"/>
      <c r="G24" s="761"/>
    </row>
    <row r="25" spans="1:7" s="17" customFormat="1" ht="15" x14ac:dyDescent="0.2">
      <c r="A25" s="753"/>
      <c r="B25" s="755"/>
      <c r="C25" s="756"/>
      <c r="D25" s="757"/>
      <c r="E25" s="760"/>
      <c r="F25" s="757"/>
      <c r="G25" s="761"/>
    </row>
    <row r="26" spans="1:7" s="17" customFormat="1" ht="15" x14ac:dyDescent="0.2">
      <c r="A26" s="753"/>
      <c r="B26" s="755"/>
      <c r="C26" s="756"/>
      <c r="D26" s="757"/>
      <c r="E26" s="760"/>
      <c r="F26" s="757"/>
      <c r="G26" s="761"/>
    </row>
    <row r="27" spans="1:7" s="17" customFormat="1" ht="15" x14ac:dyDescent="0.2">
      <c r="A27" s="753"/>
      <c r="B27" s="755"/>
      <c r="C27" s="756"/>
      <c r="D27" s="757"/>
      <c r="E27" s="760"/>
      <c r="F27" s="757"/>
      <c r="G27" s="761"/>
    </row>
    <row r="28" spans="1:7" s="17" customFormat="1" ht="15" x14ac:dyDescent="0.2">
      <c r="A28" s="753"/>
      <c r="B28" s="755"/>
      <c r="C28" s="756"/>
      <c r="D28" s="757"/>
      <c r="E28" s="760"/>
      <c r="F28" s="757"/>
      <c r="G28" s="761"/>
    </row>
    <row r="29" spans="1:7" s="17" customFormat="1" ht="15" x14ac:dyDescent="0.2">
      <c r="A29" s="753"/>
      <c r="B29" s="755"/>
      <c r="C29" s="756"/>
      <c r="D29" s="757"/>
      <c r="E29" s="760"/>
      <c r="F29" s="757"/>
      <c r="G29" s="761"/>
    </row>
    <row r="30" spans="1:7" s="17" customFormat="1" ht="15" x14ac:dyDescent="0.2">
      <c r="A30" s="753"/>
      <c r="B30" s="755"/>
      <c r="C30" s="756"/>
      <c r="D30" s="757"/>
      <c r="E30" s="760"/>
      <c r="F30" s="757"/>
      <c r="G30" s="761"/>
    </row>
    <row r="31" spans="1:7" s="17" customFormat="1" ht="15" x14ac:dyDescent="0.2">
      <c r="A31" s="753"/>
      <c r="B31" s="755"/>
      <c r="C31" s="756"/>
      <c r="D31" s="757"/>
      <c r="E31" s="760"/>
      <c r="F31" s="757"/>
      <c r="G31" s="761"/>
    </row>
    <row r="32" spans="1:7" s="17" customFormat="1" ht="15" x14ac:dyDescent="0.2">
      <c r="A32" s="753"/>
      <c r="B32" s="755"/>
      <c r="C32" s="756"/>
      <c r="D32" s="757"/>
      <c r="E32" s="760"/>
      <c r="F32" s="757"/>
      <c r="G32" s="761"/>
    </row>
    <row r="33" spans="1:10" s="17" customFormat="1" ht="15" x14ac:dyDescent="0.2">
      <c r="A33" s="753"/>
      <c r="B33" s="755"/>
      <c r="C33" s="756"/>
      <c r="D33" s="757"/>
      <c r="E33" s="760"/>
      <c r="F33" s="757"/>
      <c r="G33" s="761"/>
      <c r="J33" s="290"/>
    </row>
    <row r="34" spans="1:10" s="17" customFormat="1" ht="15" x14ac:dyDescent="0.2">
      <c r="A34" s="753"/>
      <c r="B34" s="755"/>
      <c r="C34" s="756"/>
      <c r="D34" s="757"/>
      <c r="E34" s="760"/>
      <c r="F34" s="757"/>
      <c r="G34" s="761"/>
    </row>
    <row r="35" spans="1:10" s="17" customFormat="1" ht="15" x14ac:dyDescent="0.2">
      <c r="A35" s="753"/>
      <c r="B35" s="755"/>
      <c r="C35" s="756"/>
      <c r="D35" s="757"/>
      <c r="E35" s="760"/>
      <c r="F35" s="757"/>
      <c r="G35" s="761"/>
    </row>
    <row r="36" spans="1:10" s="17" customFormat="1" ht="15" x14ac:dyDescent="0.2">
      <c r="A36" s="753"/>
      <c r="B36" s="755"/>
      <c r="C36" s="756"/>
      <c r="D36" s="757"/>
      <c r="E36" s="760"/>
      <c r="F36" s="757"/>
      <c r="G36" s="761"/>
    </row>
    <row r="37" spans="1:10" s="17" customFormat="1" ht="15" x14ac:dyDescent="0.2">
      <c r="A37" s="753"/>
      <c r="B37" s="755"/>
      <c r="C37" s="756"/>
      <c r="D37" s="757"/>
      <c r="E37" s="760"/>
      <c r="F37" s="757"/>
      <c r="G37" s="761"/>
    </row>
    <row r="38" spans="1:10" s="17" customFormat="1" ht="15" x14ac:dyDescent="0.2">
      <c r="A38" s="753"/>
      <c r="B38" s="755"/>
      <c r="C38" s="756"/>
      <c r="D38" s="757"/>
      <c r="E38" s="760"/>
      <c r="F38" s="757"/>
      <c r="G38" s="761"/>
    </row>
    <row r="39" spans="1:10" s="17" customFormat="1" ht="15.75" x14ac:dyDescent="0.25">
      <c r="A39" s="10" t="s">
        <v>42</v>
      </c>
      <c r="B39" s="12"/>
      <c r="C39" s="14"/>
      <c r="D39" s="15"/>
      <c r="E39" s="269">
        <f t="array" ref="E39">SUMPRODUCT((D8:D38&lt;&gt;"X")*(F8:F38&lt;&gt;"X")*(E8:E38&gt;0)*(E8:E38))</f>
        <v>0</v>
      </c>
      <c r="F39" s="15"/>
      <c r="G39" s="270">
        <f>SUMPRODUCT((G8:G38&gt;0)*(G8:G38))</f>
        <v>0</v>
      </c>
    </row>
    <row r="40" spans="1:10" s="17" customFormat="1" ht="15.75" x14ac:dyDescent="0.25">
      <c r="A40" s="450"/>
      <c r="B40" s="450"/>
      <c r="C40" s="450"/>
      <c r="D40" s="451"/>
      <c r="E40" s="452"/>
      <c r="F40" s="451"/>
      <c r="G40" s="452"/>
    </row>
    <row r="41" spans="1:10" s="17" customFormat="1" ht="15.75" x14ac:dyDescent="0.25">
      <c r="A41" s="450"/>
      <c r="B41" s="450"/>
      <c r="C41" s="450"/>
      <c r="D41" s="451"/>
      <c r="E41" s="452"/>
      <c r="F41" s="451"/>
      <c r="G41" s="451"/>
    </row>
    <row r="42" spans="1:10" s="17" customFormat="1" ht="18" x14ac:dyDescent="0.35">
      <c r="A42" s="275" t="s">
        <v>38</v>
      </c>
      <c r="B42" s="275"/>
      <c r="C42" s="275"/>
      <c r="D42" s="453" t="str">
        <f>Approval!E87</f>
        <v>TBD</v>
      </c>
      <c r="E42" s="276"/>
      <c r="F42" s="276" t="s">
        <v>39</v>
      </c>
      <c r="G42" s="277">
        <f ca="1">Approval!C88</f>
        <v>43075</v>
      </c>
    </row>
    <row r="43" spans="1:10" s="17" customFormat="1" ht="15.75" x14ac:dyDescent="0.25">
      <c r="A43" s="289">
        <f>SUMPRODUCT((D8:D38="X")*(F8:F38="X")*(G8:G38))</f>
        <v>0</v>
      </c>
      <c r="B43" s="289">
        <f>IF(A43&gt;0,1,0)</f>
        <v>0</v>
      </c>
      <c r="C43" s="275"/>
      <c r="D43" s="276"/>
      <c r="E43" s="276"/>
      <c r="F43" s="276"/>
      <c r="G43" s="276"/>
    </row>
    <row r="44" spans="1:10" s="17" customFormat="1" ht="15.75" x14ac:dyDescent="0.25">
      <c r="A44" s="289">
        <f>SUMPRODUCT((D8:D38="X")*(F8:F38&lt;&gt;"X")*(G8:G38))</f>
        <v>0</v>
      </c>
      <c r="B44" s="289">
        <f>IF(A44&gt;0,1,0)</f>
        <v>0</v>
      </c>
      <c r="C44" s="275"/>
      <c r="D44" s="276"/>
      <c r="E44" s="276"/>
      <c r="F44" s="276"/>
      <c r="G44" s="276"/>
    </row>
    <row r="45" spans="1:10" s="17" customFormat="1" ht="15.75" x14ac:dyDescent="0.25">
      <c r="A45" s="275"/>
      <c r="B45" s="275"/>
      <c r="C45" s="275"/>
      <c r="D45" s="276"/>
      <c r="E45" s="276"/>
      <c r="F45" s="276"/>
      <c r="G45" s="276"/>
    </row>
    <row r="46" spans="1:10" s="17" customFormat="1" ht="15.75" x14ac:dyDescent="0.25">
      <c r="A46" s="275"/>
      <c r="B46" s="275"/>
      <c r="C46" s="275"/>
      <c r="D46" s="276"/>
      <c r="E46" s="276"/>
      <c r="F46" s="276"/>
      <c r="G46" s="276"/>
    </row>
    <row r="47" spans="1:10" s="17" customFormat="1" ht="15.75" x14ac:dyDescent="0.25">
      <c r="A47" s="275"/>
      <c r="B47" s="275"/>
      <c r="C47" s="275"/>
      <c r="D47" s="276"/>
      <c r="E47" s="276"/>
      <c r="F47" s="276"/>
      <c r="G47" s="276"/>
    </row>
    <row r="48" spans="1:10" s="17" customFormat="1" ht="15.75" x14ac:dyDescent="0.25">
      <c r="A48" s="275"/>
      <c r="B48" s="275"/>
      <c r="C48" s="275"/>
      <c r="D48" s="276"/>
      <c r="E48" s="276"/>
      <c r="F48" s="276"/>
      <c r="G48" s="276"/>
    </row>
    <row r="49" spans="1:7" x14ac:dyDescent="0.2">
      <c r="A49" s="273"/>
      <c r="B49" s="273"/>
      <c r="C49" s="273"/>
      <c r="D49" s="274"/>
      <c r="E49" s="274"/>
      <c r="F49" s="274"/>
      <c r="G49" s="274"/>
    </row>
    <row r="50" spans="1:7" x14ac:dyDescent="0.2">
      <c r="A50" s="273"/>
      <c r="B50" s="273"/>
      <c r="C50" s="273"/>
      <c r="D50" s="274"/>
      <c r="E50" s="274"/>
      <c r="F50" s="274"/>
      <c r="G50" s="274"/>
    </row>
    <row r="51" spans="1:7" x14ac:dyDescent="0.2">
      <c r="A51" s="273"/>
      <c r="B51" s="273"/>
      <c r="C51" s="273"/>
      <c r="D51" s="274"/>
      <c r="E51" s="274"/>
      <c r="F51" s="274"/>
      <c r="G51" s="274"/>
    </row>
    <row r="52" spans="1:7" x14ac:dyDescent="0.2">
      <c r="A52" s="273"/>
      <c r="B52" s="273"/>
      <c r="C52" s="273"/>
      <c r="D52" s="274"/>
      <c r="E52" s="274"/>
      <c r="F52" s="274"/>
      <c r="G52" s="274"/>
    </row>
    <row r="53" spans="1:7" x14ac:dyDescent="0.2">
      <c r="A53" s="273"/>
      <c r="B53" s="273"/>
      <c r="C53" s="273"/>
      <c r="D53" s="274"/>
      <c r="E53" s="274"/>
      <c r="F53" s="274"/>
      <c r="G53" s="274"/>
    </row>
    <row r="54" spans="1:7" x14ac:dyDescent="0.2">
      <c r="A54" s="273"/>
      <c r="B54" s="273"/>
      <c r="C54" s="273"/>
      <c r="D54" s="274"/>
      <c r="E54" s="274"/>
      <c r="F54" s="274"/>
      <c r="G54" s="274"/>
    </row>
    <row r="55" spans="1:7" x14ac:dyDescent="0.2">
      <c r="A55" s="273"/>
      <c r="B55" s="273"/>
      <c r="C55" s="273"/>
      <c r="D55" s="274"/>
      <c r="E55" s="274"/>
      <c r="F55" s="274"/>
      <c r="G55" s="274"/>
    </row>
    <row r="56" spans="1:7" x14ac:dyDescent="0.2">
      <c r="A56" s="273"/>
      <c r="B56" s="273"/>
      <c r="C56" s="273"/>
      <c r="D56" s="274"/>
      <c r="E56" s="274"/>
      <c r="F56" s="274"/>
      <c r="G56" s="274"/>
    </row>
    <row r="57" spans="1:7" x14ac:dyDescent="0.2">
      <c r="A57" s="273"/>
      <c r="B57" s="273"/>
      <c r="C57" s="273"/>
      <c r="D57" s="274"/>
      <c r="E57" s="274"/>
      <c r="F57" s="274"/>
      <c r="G57" s="274"/>
    </row>
    <row r="58" spans="1:7" x14ac:dyDescent="0.2">
      <c r="A58" s="273"/>
      <c r="B58" s="273"/>
      <c r="C58" s="273"/>
      <c r="D58" s="274"/>
      <c r="E58" s="274"/>
      <c r="F58" s="274"/>
      <c r="G58" s="274"/>
    </row>
  </sheetData>
  <sheetProtection sheet="1" objects="1" scenarios="1" selectLockedCells="1"/>
  <mergeCells count="2">
    <mergeCell ref="C4:E4"/>
    <mergeCell ref="C5:E5"/>
  </mergeCells>
  <phoneticPr fontId="0" type="noConversion"/>
  <conditionalFormatting sqref="E8">
    <cfRule type="expression" dxfId="285" priority="94">
      <formula>IF($D$8="X",($E$8),)</formula>
    </cfRule>
    <cfRule type="expression" dxfId="284" priority="95">
      <formula>IF($F$8="X",($E$8),)</formula>
    </cfRule>
  </conditionalFormatting>
  <conditionalFormatting sqref="E9">
    <cfRule type="expression" dxfId="283" priority="96">
      <formula>IF($F$9="X",($E$9),)</formula>
    </cfRule>
    <cfRule type="expression" dxfId="282" priority="97">
      <formula>IF($D$9="X",($E$9),)</formula>
    </cfRule>
  </conditionalFormatting>
  <conditionalFormatting sqref="E10">
    <cfRule type="expression" dxfId="281" priority="98">
      <formula>IF($F$10="X",($E$10),)</formula>
    </cfRule>
    <cfRule type="expression" dxfId="280" priority="99">
      <formula>IF($D$10="X",($E$10),)</formula>
    </cfRule>
  </conditionalFormatting>
  <conditionalFormatting sqref="E11">
    <cfRule type="expression" dxfId="279" priority="100">
      <formula>IF($F$11="X",($E$11),)</formula>
    </cfRule>
    <cfRule type="expression" dxfId="278" priority="101">
      <formula>IF($D$11="X",($E$11),)</formula>
    </cfRule>
  </conditionalFormatting>
  <conditionalFormatting sqref="E12">
    <cfRule type="expression" dxfId="277" priority="102">
      <formula>IF($F$12="X",($E$12),)</formula>
    </cfRule>
    <cfRule type="expression" dxfId="276" priority="103">
      <formula>IF($D$12="X",($E$12),)</formula>
    </cfRule>
  </conditionalFormatting>
  <conditionalFormatting sqref="E13">
    <cfRule type="expression" dxfId="275" priority="104">
      <formula>IF($F$13="X",($E$13),)</formula>
    </cfRule>
    <cfRule type="expression" dxfId="274" priority="105">
      <formula>IF($D$13="X",($E$13),)</formula>
    </cfRule>
  </conditionalFormatting>
  <conditionalFormatting sqref="E14">
    <cfRule type="expression" dxfId="273" priority="106">
      <formula>IF($F$14="X",($E$14),)</formula>
    </cfRule>
    <cfRule type="expression" dxfId="272" priority="107">
      <formula>IF($D$14="X",($E$14),)</formula>
    </cfRule>
  </conditionalFormatting>
  <conditionalFormatting sqref="E15">
    <cfRule type="expression" dxfId="271" priority="108">
      <formula>IF($F$15="X",($E$15),)</formula>
    </cfRule>
    <cfRule type="expression" dxfId="270" priority="109">
      <formula>IF($D$15="X",($E$15),)</formula>
    </cfRule>
  </conditionalFormatting>
  <conditionalFormatting sqref="E16">
    <cfRule type="expression" dxfId="269" priority="110">
      <formula>IF($F$16="X",($E$16),)</formula>
    </cfRule>
    <cfRule type="expression" dxfId="268" priority="111">
      <formula>IF($D$16="X",($E$16),)</formula>
    </cfRule>
  </conditionalFormatting>
  <conditionalFormatting sqref="E17">
    <cfRule type="expression" dxfId="267" priority="112">
      <formula>IF($F$17="X",($E$17),)</formula>
    </cfRule>
    <cfRule type="expression" dxfId="266" priority="113">
      <formula>IF($D$17="X",($E$17),)</formula>
    </cfRule>
  </conditionalFormatting>
  <conditionalFormatting sqref="E18">
    <cfRule type="expression" dxfId="265" priority="114">
      <formula>IF($F$18="X",($E$18),)</formula>
    </cfRule>
    <cfRule type="expression" dxfId="264" priority="115">
      <formula>IF($D$18="X",($E$18),)</formula>
    </cfRule>
  </conditionalFormatting>
  <conditionalFormatting sqref="E19">
    <cfRule type="expression" dxfId="263" priority="116">
      <formula>IF($F$19="X",($E$19),)</formula>
    </cfRule>
    <cfRule type="expression" dxfId="262" priority="117">
      <formula>IF($D$19="X",($E$19),)</formula>
    </cfRule>
  </conditionalFormatting>
  <conditionalFormatting sqref="E20">
    <cfRule type="expression" dxfId="261" priority="118">
      <formula>IF($F$20="X",($E$20),)</formula>
    </cfRule>
    <cfRule type="expression" dxfId="260" priority="119">
      <formula>IF($D$20="X",($E$20),)</formula>
    </cfRule>
  </conditionalFormatting>
  <conditionalFormatting sqref="E21">
    <cfRule type="expression" dxfId="259" priority="120">
      <formula>IF($F$21="X",($E$21),)</formula>
    </cfRule>
    <cfRule type="expression" dxfId="258" priority="121">
      <formula>IF($D$21="X",($E$21),)</formula>
    </cfRule>
  </conditionalFormatting>
  <conditionalFormatting sqref="E22">
    <cfRule type="expression" dxfId="257" priority="122">
      <formula>IF($F$22="X",($E$22),)</formula>
    </cfRule>
    <cfRule type="expression" dxfId="256" priority="123">
      <formula>IF($D$22="X",($E$22),)</formula>
    </cfRule>
  </conditionalFormatting>
  <conditionalFormatting sqref="E23">
    <cfRule type="expression" dxfId="255" priority="124">
      <formula>IF($F$23="X",($E$23),)</formula>
    </cfRule>
    <cfRule type="expression" dxfId="254" priority="125">
      <formula>IF($D$23="X",($E$23),)</formula>
    </cfRule>
  </conditionalFormatting>
  <conditionalFormatting sqref="E24">
    <cfRule type="expression" dxfId="253" priority="126">
      <formula>IF($F$24="X",($E$24),)</formula>
    </cfRule>
    <cfRule type="expression" dxfId="252" priority="127">
      <formula>IF($D$24="X",($E$24),)</formula>
    </cfRule>
  </conditionalFormatting>
  <conditionalFormatting sqref="E25">
    <cfRule type="expression" dxfId="251" priority="128">
      <formula>IF($F$25="X",($E$25),)</formula>
    </cfRule>
    <cfRule type="expression" dxfId="250" priority="129">
      <formula>IF($D$25="X",($E$25),)</formula>
    </cfRule>
  </conditionalFormatting>
  <conditionalFormatting sqref="E26">
    <cfRule type="expression" dxfId="249" priority="130">
      <formula>IF($F$26="X",($E$26),)</formula>
    </cfRule>
    <cfRule type="expression" dxfId="248" priority="131">
      <formula>IF($D$26="X",($E$26),)</formula>
    </cfRule>
  </conditionalFormatting>
  <conditionalFormatting sqref="E27">
    <cfRule type="expression" dxfId="247" priority="132">
      <formula>IF($F$27="X",($E$27),)</formula>
    </cfRule>
    <cfRule type="expression" dxfId="246" priority="133">
      <formula>IF($D$27="X",($E$27),)</formula>
    </cfRule>
  </conditionalFormatting>
  <conditionalFormatting sqref="E28">
    <cfRule type="expression" dxfId="245" priority="134">
      <formula>IF($F$28="X",($E$28),)</formula>
    </cfRule>
    <cfRule type="expression" dxfId="244" priority="135">
      <formula>IF($D$28="X",($E$28),)</formula>
    </cfRule>
  </conditionalFormatting>
  <conditionalFormatting sqref="E29">
    <cfRule type="expression" dxfId="243" priority="136">
      <formula>IF($F$29="X",($E$29),)</formula>
    </cfRule>
    <cfRule type="expression" dxfId="242" priority="137">
      <formula>IF($D$29="X",($E$29),)</formula>
    </cfRule>
  </conditionalFormatting>
  <conditionalFormatting sqref="E30">
    <cfRule type="expression" dxfId="241" priority="138">
      <formula>IF($F$30="X",($E$30),)</formula>
    </cfRule>
    <cfRule type="expression" dxfId="240" priority="139">
      <formula>IF($D$30="X",($E$30),)</formula>
    </cfRule>
  </conditionalFormatting>
  <conditionalFormatting sqref="E31">
    <cfRule type="expression" dxfId="239" priority="140">
      <formula>IF($F$31="X",($E$31),)</formula>
    </cfRule>
    <cfRule type="expression" dxfId="238" priority="141">
      <formula>IF($D$31="X",($E$31),)</formula>
    </cfRule>
  </conditionalFormatting>
  <conditionalFormatting sqref="E32">
    <cfRule type="expression" dxfId="237" priority="142">
      <formula>IF($F$32="X",($E$32),)</formula>
    </cfRule>
    <cfRule type="expression" dxfId="236" priority="143">
      <formula>IF($D$32="X",($E$32),)</formula>
    </cfRule>
  </conditionalFormatting>
  <conditionalFormatting sqref="E33">
    <cfRule type="expression" dxfId="235" priority="144">
      <formula>IF($F$33="X",($E$33),)</formula>
    </cfRule>
    <cfRule type="expression" dxfId="234" priority="145">
      <formula>IF($D$33="X",($E$33),)</formula>
    </cfRule>
  </conditionalFormatting>
  <conditionalFormatting sqref="E34">
    <cfRule type="expression" dxfId="233" priority="146">
      <formula>IF($F$34="X",($E$34),)</formula>
    </cfRule>
    <cfRule type="expression" dxfId="232" priority="147">
      <formula>IF($D$34="X",($E$34),)</formula>
    </cfRule>
  </conditionalFormatting>
  <conditionalFormatting sqref="E35">
    <cfRule type="expression" dxfId="231" priority="148">
      <formula>IF($F$35="X",($E$35),)</formula>
    </cfRule>
    <cfRule type="expression" dxfId="230" priority="149">
      <formula>IF($D$35="X",($E$35),)</formula>
    </cfRule>
  </conditionalFormatting>
  <conditionalFormatting sqref="E36">
    <cfRule type="expression" dxfId="229" priority="150">
      <formula>IF($F$36="X",($E$36),)</formula>
    </cfRule>
    <cfRule type="expression" dxfId="228" priority="151">
      <formula>IF($D$36="X",($E$36),)</formula>
    </cfRule>
  </conditionalFormatting>
  <conditionalFormatting sqref="E37">
    <cfRule type="expression" dxfId="227" priority="152">
      <formula>IF($F$37="X",($E$37),)</formula>
    </cfRule>
    <cfRule type="expression" dxfId="226" priority="153">
      <formula>IF($D$37="X",($E$37),)</formula>
    </cfRule>
  </conditionalFormatting>
  <conditionalFormatting sqref="E38">
    <cfRule type="expression" dxfId="225" priority="154">
      <formula>IF($F$38="X",($E$38),)</formula>
    </cfRule>
    <cfRule type="expression" dxfId="224" priority="155">
      <formula>IF($D$38="X",($E$38),)</formula>
    </cfRule>
  </conditionalFormatting>
  <dataValidations count="2">
    <dataValidation type="decimal" operator="notEqual" allowBlank="1" showInputMessage="1" showErrorMessage="1" sqref="E8:E38 G8:G38">
      <formula1>0</formula1>
    </dataValidation>
    <dataValidation type="list" allowBlank="1" showInputMessage="1" showErrorMessage="1" sqref="D8:D38 F8 F10 F9 F10 F9 F8 F11:F38">
      <formula1>"X,x"</formula1>
    </dataValidation>
  </dataValidations>
  <pageMargins left="0.5" right="0.5" top="1" bottom="0.5"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A67"/>
  <sheetViews>
    <sheetView topLeftCell="E22" workbookViewId="0">
      <selection activeCell="G39" sqref="G39:G40"/>
    </sheetView>
  </sheetViews>
  <sheetFormatPr defaultRowHeight="12.75" x14ac:dyDescent="0.2"/>
  <cols>
    <col min="1" max="1" width="2.28515625" customWidth="1"/>
    <col min="2" max="2" width="24.7109375" customWidth="1"/>
    <col min="3" max="3" width="28" customWidth="1"/>
    <col min="4" max="4" width="22.28515625" customWidth="1"/>
    <col min="5" max="5" width="21.7109375" customWidth="1"/>
    <col min="6" max="6" width="24.7109375" customWidth="1"/>
    <col min="7" max="7" width="14.85546875" customWidth="1"/>
    <col min="8" max="8" width="12.28515625" customWidth="1"/>
    <col min="9" max="9" width="10.85546875" customWidth="1"/>
    <col min="10" max="10" width="3" customWidth="1"/>
    <col min="11" max="11" width="13.28515625" customWidth="1"/>
    <col min="12" max="12" width="6.140625" customWidth="1"/>
    <col min="13" max="14" width="9.140625" hidden="1" customWidth="1"/>
    <col min="15" max="15" width="8.85546875" hidden="1" customWidth="1"/>
    <col min="16" max="16" width="3.85546875" customWidth="1"/>
    <col min="22" max="22" width="8" customWidth="1"/>
    <col min="23" max="23" width="7" customWidth="1"/>
    <col min="25" max="25" width="10.42578125" hidden="1" customWidth="1"/>
    <col min="26" max="27" width="9.140625" hidden="1" customWidth="1"/>
  </cols>
  <sheetData>
    <row r="1" spans="1:27" ht="23.25" x14ac:dyDescent="0.35">
      <c r="E1" s="1414" t="s">
        <v>410</v>
      </c>
      <c r="F1" s="1414"/>
      <c r="G1" s="1414"/>
      <c r="H1" s="1414"/>
      <c r="I1" s="1414"/>
      <c r="J1" s="1414"/>
      <c r="K1" s="681"/>
    </row>
    <row r="2" spans="1:27" ht="23.25" x14ac:dyDescent="0.35">
      <c r="E2" s="1414"/>
      <c r="F2" s="1414"/>
      <c r="G2" s="1414"/>
      <c r="H2" s="1414"/>
      <c r="I2" s="1414"/>
      <c r="J2" s="1414"/>
      <c r="K2" s="681"/>
    </row>
    <row r="3" spans="1:27" x14ac:dyDescent="0.2">
      <c r="A3" s="457"/>
      <c r="B3" s="42"/>
      <c r="C3" s="42"/>
      <c r="D3" s="42"/>
      <c r="E3" s="42"/>
      <c r="F3" s="42"/>
      <c r="G3" s="42"/>
      <c r="H3" s="42"/>
      <c r="I3" s="42"/>
      <c r="Y3" s="108">
        <f>COUNTIF(F11:F28,"")</f>
        <v>18</v>
      </c>
      <c r="Z3" s="108">
        <f>COUNTIF(F37:F52,"")</f>
        <v>16</v>
      </c>
      <c r="AA3" t="b">
        <f>AND(Y3=18,Z3=16)</f>
        <v>1</v>
      </c>
    </row>
    <row r="4" spans="1:27" x14ac:dyDescent="0.2">
      <c r="A4" s="457"/>
      <c r="B4" s="42"/>
      <c r="C4" s="42"/>
      <c r="D4" s="42"/>
      <c r="E4" s="351" t="s">
        <v>34</v>
      </c>
      <c r="F4" s="1415">
        <f>Approval!$E$6</f>
        <v>0</v>
      </c>
      <c r="G4" s="1415"/>
      <c r="H4" s="1415"/>
      <c r="I4" s="682"/>
      <c r="K4" s="108"/>
      <c r="L4" s="108"/>
      <c r="Y4" s="826" t="str">
        <f>IF(AA3=TRUE,"",SMALL(Y5:Y6,1))</f>
        <v/>
      </c>
    </row>
    <row r="5" spans="1:27" x14ac:dyDescent="0.2">
      <c r="A5" s="457"/>
      <c r="B5" s="42"/>
      <c r="C5" s="42"/>
      <c r="D5" s="42"/>
      <c r="E5" s="351" t="s">
        <v>389</v>
      </c>
      <c r="F5" s="1415">
        <f>Approval!$E$7</f>
        <v>0</v>
      </c>
      <c r="G5" s="1415"/>
      <c r="H5" s="1415"/>
      <c r="I5" s="682"/>
      <c r="K5" s="826"/>
      <c r="Y5" s="826" t="str">
        <f>IF(Z3=16,"",SMALL(H37:H52,1))</f>
        <v/>
      </c>
    </row>
    <row r="6" spans="1:27" x14ac:dyDescent="0.2">
      <c r="A6" s="457"/>
      <c r="B6" s="42"/>
      <c r="C6" s="42"/>
      <c r="D6" s="42"/>
      <c r="E6" s="42"/>
      <c r="F6" s="42"/>
      <c r="G6" s="42"/>
      <c r="H6" s="460"/>
      <c r="I6" s="460"/>
      <c r="K6" s="826"/>
      <c r="Y6" s="825" t="str">
        <f>IF(Y3=18,"",SMALL(H11:H28,1))</f>
        <v/>
      </c>
    </row>
    <row r="7" spans="1:27" ht="13.5" thickBot="1" x14ac:dyDescent="0.25">
      <c r="A7" s="457"/>
      <c r="B7" s="351" t="s">
        <v>390</v>
      </c>
      <c r="C7" s="3">
        <f>Approval!Q7</f>
        <v>0</v>
      </c>
      <c r="D7" s="42"/>
      <c r="E7" s="42" t="s">
        <v>387</v>
      </c>
      <c r="F7" s="42"/>
      <c r="G7" s="42"/>
      <c r="H7" s="42"/>
      <c r="I7" s="42"/>
      <c r="K7" s="825"/>
    </row>
    <row r="8" spans="1:27" ht="21" customHeight="1" thickBot="1" x14ac:dyDescent="0.25">
      <c r="A8" s="457"/>
      <c r="B8" s="1416" t="s">
        <v>391</v>
      </c>
      <c r="C8" s="1364"/>
      <c r="D8" s="1364"/>
      <c r="E8" s="1364"/>
      <c r="F8" s="1364"/>
      <c r="G8" s="1364"/>
      <c r="H8" s="1364"/>
      <c r="I8" s="1364"/>
      <c r="J8" s="1365"/>
      <c r="K8" s="694"/>
      <c r="L8" s="353"/>
      <c r="M8" s="353"/>
      <c r="N8" s="353"/>
      <c r="O8" s="353"/>
      <c r="P8" s="353"/>
      <c r="Q8" s="1326" t="s">
        <v>418</v>
      </c>
      <c r="R8" s="1327"/>
      <c r="S8" s="1327"/>
      <c r="T8" s="1327"/>
      <c r="U8" s="1327"/>
      <c r="V8" s="1327"/>
      <c r="W8" s="1328"/>
      <c r="X8" s="42"/>
    </row>
    <row r="9" spans="1:27" ht="12.75" customHeight="1" x14ac:dyDescent="0.2">
      <c r="A9" s="457"/>
      <c r="B9" s="1377" t="s">
        <v>401</v>
      </c>
      <c r="C9" s="1377" t="s">
        <v>400</v>
      </c>
      <c r="D9" s="1377" t="s">
        <v>399</v>
      </c>
      <c r="E9" s="1377" t="s">
        <v>398</v>
      </c>
      <c r="F9" s="1377" t="s">
        <v>397</v>
      </c>
      <c r="G9" s="1377" t="s">
        <v>395</v>
      </c>
      <c r="H9" s="1357" t="s">
        <v>396</v>
      </c>
      <c r="I9" s="1353" t="s">
        <v>409</v>
      </c>
      <c r="J9" s="1354"/>
      <c r="K9" s="692"/>
      <c r="L9" s="42"/>
      <c r="M9" s="689"/>
      <c r="N9" s="689"/>
      <c r="O9" s="689"/>
      <c r="P9" s="689"/>
      <c r="Q9" s="1329"/>
      <c r="R9" s="1330"/>
      <c r="S9" s="1330"/>
      <c r="T9" s="1330"/>
      <c r="U9" s="1330"/>
      <c r="V9" s="1330"/>
      <c r="W9" s="1331"/>
      <c r="X9" s="42"/>
    </row>
    <row r="10" spans="1:27" ht="18" customHeight="1" thickBot="1" x14ac:dyDescent="0.25">
      <c r="A10" s="457"/>
      <c r="B10" s="1378"/>
      <c r="C10" s="1378"/>
      <c r="D10" s="1378"/>
      <c r="E10" s="1378"/>
      <c r="F10" s="1378"/>
      <c r="G10" s="1378"/>
      <c r="H10" s="1358"/>
      <c r="I10" s="1355"/>
      <c r="J10" s="1356"/>
      <c r="K10" s="692"/>
      <c r="L10" s="42"/>
      <c r="M10" s="689"/>
      <c r="N10" s="689"/>
      <c r="O10" s="689"/>
      <c r="P10" s="689"/>
      <c r="Q10" s="1332"/>
      <c r="R10" s="1333"/>
      <c r="S10" s="1333"/>
      <c r="T10" s="1333"/>
      <c r="U10" s="1333"/>
      <c r="V10" s="1333"/>
      <c r="W10" s="1334"/>
      <c r="X10" s="42"/>
    </row>
    <row r="11" spans="1:27" ht="12.75" customHeight="1" x14ac:dyDescent="0.2">
      <c r="A11" s="457"/>
      <c r="B11" s="1383"/>
      <c r="C11" s="1384"/>
      <c r="D11" s="1385"/>
      <c r="E11" s="1372"/>
      <c r="F11" s="1386"/>
      <c r="G11" s="1374"/>
      <c r="H11" s="1361" t="str">
        <f>IF(ISBLANK(G11)=TRUE," ",G11+45 )</f>
        <v xml:space="preserve"> </v>
      </c>
      <c r="I11" s="1350"/>
      <c r="J11" s="1351"/>
      <c r="K11" s="693"/>
      <c r="L11" s="42"/>
      <c r="M11" s="689"/>
      <c r="N11" s="689"/>
      <c r="O11" s="689"/>
      <c r="P11" s="689"/>
      <c r="Q11" s="1332"/>
      <c r="R11" s="1333"/>
      <c r="S11" s="1333"/>
      <c r="T11" s="1333"/>
      <c r="U11" s="1333"/>
      <c r="V11" s="1333"/>
      <c r="W11" s="1334"/>
      <c r="X11" s="42"/>
    </row>
    <row r="12" spans="1:27" ht="12.75" customHeight="1" x14ac:dyDescent="0.2">
      <c r="A12" s="457"/>
      <c r="B12" s="1325"/>
      <c r="C12" s="1305"/>
      <c r="D12" s="1304"/>
      <c r="E12" s="1309"/>
      <c r="F12" s="1381"/>
      <c r="G12" s="1313"/>
      <c r="H12" s="1360"/>
      <c r="I12" s="1352"/>
      <c r="J12" s="1319"/>
      <c r="K12" s="693"/>
      <c r="L12" s="42"/>
      <c r="M12" s="689"/>
      <c r="N12" s="689"/>
      <c r="O12" s="689"/>
      <c r="P12" s="689"/>
      <c r="Q12" s="1332"/>
      <c r="R12" s="1333"/>
      <c r="S12" s="1333"/>
      <c r="T12" s="1333"/>
      <c r="U12" s="1333"/>
      <c r="V12" s="1333"/>
      <c r="W12" s="1334"/>
      <c r="X12" s="42"/>
    </row>
    <row r="13" spans="1:27" ht="12.75" customHeight="1" x14ac:dyDescent="0.2">
      <c r="A13" s="457"/>
      <c r="B13" s="1324"/>
      <c r="C13" s="1304"/>
      <c r="D13" s="1379"/>
      <c r="E13" s="1308"/>
      <c r="F13" s="1380"/>
      <c r="G13" s="1382"/>
      <c r="H13" s="1359" t="str">
        <f>IF(ISBLANK(G13)=TRUE," ",G13+45 )</f>
        <v xml:space="preserve"> </v>
      </c>
      <c r="I13" s="1316"/>
      <c r="J13" s="1317"/>
      <c r="K13" s="693"/>
      <c r="L13" s="42"/>
      <c r="M13" s="689"/>
      <c r="N13" s="689"/>
      <c r="O13" s="689"/>
      <c r="P13" s="689"/>
      <c r="Q13" s="1332"/>
      <c r="R13" s="1333"/>
      <c r="S13" s="1333"/>
      <c r="T13" s="1333"/>
      <c r="U13" s="1333"/>
      <c r="V13" s="1333"/>
      <c r="W13" s="1334"/>
      <c r="X13" s="42"/>
    </row>
    <row r="14" spans="1:27" ht="12.75" customHeight="1" x14ac:dyDescent="0.2">
      <c r="A14" s="457"/>
      <c r="B14" s="1325"/>
      <c r="C14" s="1305"/>
      <c r="D14" s="1379"/>
      <c r="E14" s="1309"/>
      <c r="F14" s="1381"/>
      <c r="G14" s="1313"/>
      <c r="H14" s="1360"/>
      <c r="I14" s="1318"/>
      <c r="J14" s="1319"/>
      <c r="K14" s="693"/>
      <c r="L14" s="42"/>
      <c r="M14" s="689"/>
      <c r="N14" s="689"/>
      <c r="O14" s="689"/>
      <c r="P14" s="689"/>
      <c r="Q14" s="1332"/>
      <c r="R14" s="1333"/>
      <c r="S14" s="1333"/>
      <c r="T14" s="1333"/>
      <c r="U14" s="1333"/>
      <c r="V14" s="1333"/>
      <c r="W14" s="1334"/>
      <c r="X14" s="42"/>
    </row>
    <row r="15" spans="1:27" ht="12.75" customHeight="1" x14ac:dyDescent="0.2">
      <c r="A15" s="457"/>
      <c r="B15" s="1375"/>
      <c r="C15" s="1304"/>
      <c r="D15" s="1379"/>
      <c r="E15" s="1322"/>
      <c r="F15" s="1404"/>
      <c r="G15" s="1312"/>
      <c r="H15" s="1402" t="str">
        <f>IF(ISBLANK(G15)=TRUE," ",G15+45 )</f>
        <v xml:space="preserve"> </v>
      </c>
      <c r="I15" s="1316"/>
      <c r="J15" s="1317"/>
      <c r="K15" s="693"/>
      <c r="L15" s="42"/>
      <c r="M15" s="689"/>
      <c r="N15" s="689"/>
      <c r="O15" s="689"/>
      <c r="P15" s="689"/>
      <c r="Q15" s="1332"/>
      <c r="R15" s="1333"/>
      <c r="S15" s="1333"/>
      <c r="T15" s="1333"/>
      <c r="U15" s="1333"/>
      <c r="V15" s="1333"/>
      <c r="W15" s="1334"/>
      <c r="X15" s="42"/>
    </row>
    <row r="16" spans="1:27" ht="12.75" customHeight="1" x14ac:dyDescent="0.2">
      <c r="A16" s="457"/>
      <c r="B16" s="1376"/>
      <c r="C16" s="1305"/>
      <c r="D16" s="1379"/>
      <c r="E16" s="1323"/>
      <c r="F16" s="1405"/>
      <c r="G16" s="1313"/>
      <c r="H16" s="1406"/>
      <c r="I16" s="1318"/>
      <c r="J16" s="1319"/>
      <c r="K16" s="693"/>
      <c r="L16" s="42"/>
      <c r="M16" s="689"/>
      <c r="N16" s="689"/>
      <c r="O16" s="689"/>
      <c r="P16" s="689"/>
      <c r="Q16" s="1332"/>
      <c r="R16" s="1333"/>
      <c r="S16" s="1333"/>
      <c r="T16" s="1333"/>
      <c r="U16" s="1333"/>
      <c r="V16" s="1333"/>
      <c r="W16" s="1334"/>
      <c r="X16" s="42"/>
    </row>
    <row r="17" spans="1:24" ht="12.75" customHeight="1" x14ac:dyDescent="0.2">
      <c r="A17" s="457"/>
      <c r="B17" s="1375"/>
      <c r="C17" s="1304"/>
      <c r="D17" s="1379"/>
      <c r="E17" s="1322"/>
      <c r="F17" s="1380"/>
      <c r="G17" s="1312"/>
      <c r="H17" s="1402" t="str">
        <f>IF(ISBLANK(G17)=TRUE," ",G17+45 )</f>
        <v xml:space="preserve"> </v>
      </c>
      <c r="I17" s="1316"/>
      <c r="J17" s="1317"/>
      <c r="K17" s="693"/>
      <c r="L17" s="42"/>
      <c r="M17" s="689"/>
      <c r="N17" s="689"/>
      <c r="O17" s="689"/>
      <c r="P17" s="689"/>
      <c r="Q17" s="1332"/>
      <c r="R17" s="1333"/>
      <c r="S17" s="1333"/>
      <c r="T17" s="1333"/>
      <c r="U17" s="1333"/>
      <c r="V17" s="1333"/>
      <c r="W17" s="1334"/>
      <c r="X17" s="42"/>
    </row>
    <row r="18" spans="1:24" ht="12.75" customHeight="1" x14ac:dyDescent="0.2">
      <c r="A18" s="457"/>
      <c r="B18" s="1376"/>
      <c r="C18" s="1305"/>
      <c r="D18" s="1379"/>
      <c r="E18" s="1323"/>
      <c r="F18" s="1381"/>
      <c r="G18" s="1313"/>
      <c r="H18" s="1406"/>
      <c r="I18" s="1318"/>
      <c r="J18" s="1319"/>
      <c r="K18" s="693"/>
      <c r="L18" s="42"/>
      <c r="M18" s="689"/>
      <c r="N18" s="689"/>
      <c r="O18" s="689"/>
      <c r="P18" s="689"/>
      <c r="Q18" s="1332"/>
      <c r="R18" s="1333"/>
      <c r="S18" s="1333"/>
      <c r="T18" s="1333"/>
      <c r="U18" s="1333"/>
      <c r="V18" s="1333"/>
      <c r="W18" s="1334"/>
      <c r="X18" s="42"/>
    </row>
    <row r="19" spans="1:24" ht="12.75" customHeight="1" x14ac:dyDescent="0.2">
      <c r="A19" s="457"/>
      <c r="B19" s="1375"/>
      <c r="C19" s="1304"/>
      <c r="D19" s="1379"/>
      <c r="E19" s="1407"/>
      <c r="F19" s="1380"/>
      <c r="G19" s="1312"/>
      <c r="H19" s="1402" t="str">
        <f>IF(ISBLANK(G19)=TRUE," ",G19+45 )</f>
        <v xml:space="preserve"> </v>
      </c>
      <c r="I19" s="1316"/>
      <c r="J19" s="1317"/>
      <c r="K19" s="693"/>
      <c r="L19" s="42"/>
      <c r="M19" s="689"/>
      <c r="N19" s="689"/>
      <c r="O19" s="689"/>
      <c r="P19" s="689"/>
      <c r="Q19" s="1332"/>
      <c r="R19" s="1333"/>
      <c r="S19" s="1333"/>
      <c r="T19" s="1333"/>
      <c r="U19" s="1333"/>
      <c r="V19" s="1333"/>
      <c r="W19" s="1334"/>
      <c r="X19" s="42"/>
    </row>
    <row r="20" spans="1:24" ht="12.75" customHeight="1" x14ac:dyDescent="0.2">
      <c r="A20" s="457"/>
      <c r="B20" s="1376"/>
      <c r="C20" s="1305"/>
      <c r="D20" s="1379"/>
      <c r="E20" s="1408"/>
      <c r="F20" s="1381"/>
      <c r="G20" s="1313"/>
      <c r="H20" s="1406"/>
      <c r="I20" s="1318"/>
      <c r="J20" s="1319"/>
      <c r="K20" s="693"/>
      <c r="L20" s="42"/>
      <c r="M20" s="689"/>
      <c r="N20" s="689"/>
      <c r="O20" s="689"/>
      <c r="P20" s="689"/>
      <c r="Q20" s="1332"/>
      <c r="R20" s="1333"/>
      <c r="S20" s="1333"/>
      <c r="T20" s="1333"/>
      <c r="U20" s="1333"/>
      <c r="V20" s="1333"/>
      <c r="W20" s="1334"/>
      <c r="X20" s="42"/>
    </row>
    <row r="21" spans="1:24" ht="12.75" customHeight="1" x14ac:dyDescent="0.2">
      <c r="A21" s="457"/>
      <c r="B21" s="1324"/>
      <c r="C21" s="1420"/>
      <c r="D21" s="1379"/>
      <c r="E21" s="1407"/>
      <c r="F21" s="1380"/>
      <c r="G21" s="1312"/>
      <c r="H21" s="1402" t="str">
        <f>IF(ISBLANK(G21)=TRUE," ",G21+45 )</f>
        <v xml:space="preserve"> </v>
      </c>
      <c r="I21" s="1316"/>
      <c r="J21" s="1317"/>
      <c r="K21" s="693"/>
      <c r="L21" s="42"/>
      <c r="M21" s="689"/>
      <c r="N21" s="689"/>
      <c r="O21" s="689"/>
      <c r="P21" s="689"/>
      <c r="Q21" s="1332"/>
      <c r="R21" s="1333"/>
      <c r="S21" s="1333"/>
      <c r="T21" s="1333"/>
      <c r="U21" s="1333"/>
      <c r="V21" s="1333"/>
      <c r="W21" s="1334"/>
      <c r="X21" s="42"/>
    </row>
    <row r="22" spans="1:24" ht="12.75" customHeight="1" x14ac:dyDescent="0.2">
      <c r="A22" s="457"/>
      <c r="B22" s="1325"/>
      <c r="C22" s="1421"/>
      <c r="D22" s="1379"/>
      <c r="E22" s="1408"/>
      <c r="F22" s="1381"/>
      <c r="G22" s="1313"/>
      <c r="H22" s="1406"/>
      <c r="I22" s="1318"/>
      <c r="J22" s="1319"/>
      <c r="K22" s="693"/>
      <c r="L22" s="42"/>
      <c r="M22" s="689"/>
      <c r="N22" s="689"/>
      <c r="O22" s="689"/>
      <c r="P22" s="689"/>
      <c r="Q22" s="1332"/>
      <c r="R22" s="1333"/>
      <c r="S22" s="1333"/>
      <c r="T22" s="1333"/>
      <c r="U22" s="1333"/>
      <c r="V22" s="1333"/>
      <c r="W22" s="1334"/>
      <c r="X22" s="42"/>
    </row>
    <row r="23" spans="1:24" ht="12.75" customHeight="1" x14ac:dyDescent="0.2">
      <c r="A23" s="457"/>
      <c r="B23" s="1324"/>
      <c r="C23" s="1417"/>
      <c r="D23" s="1379"/>
      <c r="E23" s="1322"/>
      <c r="F23" s="1397"/>
      <c r="G23" s="1312"/>
      <c r="H23" s="1402" t="str">
        <f>IF(ISBLANK(G23)=TRUE," ",G23+45 )</f>
        <v xml:space="preserve"> </v>
      </c>
      <c r="I23" s="1316"/>
      <c r="J23" s="1317"/>
      <c r="K23" s="693"/>
      <c r="L23" s="42"/>
      <c r="M23" s="689"/>
      <c r="N23" s="689"/>
      <c r="O23" s="689"/>
      <c r="P23" s="689"/>
      <c r="Q23" s="1332"/>
      <c r="R23" s="1333"/>
      <c r="S23" s="1333"/>
      <c r="T23" s="1333"/>
      <c r="U23" s="1333"/>
      <c r="V23" s="1333"/>
      <c r="W23" s="1334"/>
      <c r="X23" s="42"/>
    </row>
    <row r="24" spans="1:24" ht="12.75" customHeight="1" x14ac:dyDescent="0.2">
      <c r="A24" s="457"/>
      <c r="B24" s="1325"/>
      <c r="C24" s="1418"/>
      <c r="D24" s="1379"/>
      <c r="E24" s="1323"/>
      <c r="F24" s="1419"/>
      <c r="G24" s="1313"/>
      <c r="H24" s="1406"/>
      <c r="I24" s="1318"/>
      <c r="J24" s="1319"/>
      <c r="K24" s="693"/>
      <c r="L24" s="42"/>
      <c r="M24" s="689"/>
      <c r="N24" s="689"/>
      <c r="O24" s="689"/>
      <c r="P24" s="689"/>
      <c r="Q24" s="1332"/>
      <c r="R24" s="1333"/>
      <c r="S24" s="1333"/>
      <c r="T24" s="1333"/>
      <c r="U24" s="1333"/>
      <c r="V24" s="1333"/>
      <c r="W24" s="1334"/>
      <c r="X24" s="42"/>
    </row>
    <row r="25" spans="1:24" ht="12.75" customHeight="1" x14ac:dyDescent="0.2">
      <c r="A25" s="457"/>
      <c r="B25" s="1324"/>
      <c r="C25" s="1417"/>
      <c r="D25" s="1379"/>
      <c r="E25" s="1322"/>
      <c r="F25" s="1397"/>
      <c r="G25" s="1312"/>
      <c r="H25" s="1402" t="str">
        <f>IF(ISBLANK(G25)=TRUE," ",G25+45 )</f>
        <v xml:space="preserve"> </v>
      </c>
      <c r="I25" s="1316"/>
      <c r="J25" s="1317"/>
      <c r="K25" s="693"/>
      <c r="L25" s="42"/>
      <c r="M25" s="689"/>
      <c r="N25" s="689"/>
      <c r="O25" s="689"/>
      <c r="P25" s="689"/>
      <c r="Q25" s="1332"/>
      <c r="R25" s="1333"/>
      <c r="S25" s="1333"/>
      <c r="T25" s="1333"/>
      <c r="U25" s="1333"/>
      <c r="V25" s="1333"/>
      <c r="W25" s="1334"/>
      <c r="X25" s="42"/>
    </row>
    <row r="26" spans="1:24" ht="12.75" customHeight="1" x14ac:dyDescent="0.2">
      <c r="A26" s="457"/>
      <c r="B26" s="1325"/>
      <c r="C26" s="1418"/>
      <c r="D26" s="1379"/>
      <c r="E26" s="1323"/>
      <c r="F26" s="1419"/>
      <c r="G26" s="1313"/>
      <c r="H26" s="1406"/>
      <c r="I26" s="1318"/>
      <c r="J26" s="1319"/>
      <c r="K26" s="693"/>
      <c r="L26" s="42"/>
      <c r="M26" s="689"/>
      <c r="N26" s="689"/>
      <c r="O26" s="689"/>
      <c r="P26" s="689"/>
      <c r="Q26" s="1332"/>
      <c r="R26" s="1333"/>
      <c r="S26" s="1333"/>
      <c r="T26" s="1333"/>
      <c r="U26" s="1333"/>
      <c r="V26" s="1333"/>
      <c r="W26" s="1334"/>
      <c r="X26" s="42"/>
    </row>
    <row r="27" spans="1:24" ht="12.75" customHeight="1" x14ac:dyDescent="0.2">
      <c r="A27" s="457"/>
      <c r="B27" s="1390"/>
      <c r="C27" s="1392"/>
      <c r="D27" s="1305"/>
      <c r="E27" s="1395"/>
      <c r="F27" s="1397"/>
      <c r="G27" s="1399"/>
      <c r="H27" s="1402" t="str">
        <f>IF(ISBLANK(G27)=TRUE," ",G27+45 )</f>
        <v xml:space="preserve"> </v>
      </c>
      <c r="I27" s="1316"/>
      <c r="J27" s="1317"/>
      <c r="K27" s="693"/>
      <c r="L27" s="42"/>
      <c r="M27" s="702" t="s">
        <v>490</v>
      </c>
      <c r="N27" s="702"/>
      <c r="O27" s="702"/>
      <c r="P27" s="702"/>
      <c r="Q27" s="1332"/>
      <c r="R27" s="1333"/>
      <c r="S27" s="1333"/>
      <c r="T27" s="1333"/>
      <c r="U27" s="1333"/>
      <c r="V27" s="1333"/>
      <c r="W27" s="1334"/>
      <c r="X27" s="42"/>
    </row>
    <row r="28" spans="1:24" ht="12.75" customHeight="1" thickBot="1" x14ac:dyDescent="0.25">
      <c r="A28" s="457"/>
      <c r="B28" s="1391"/>
      <c r="C28" s="1393"/>
      <c r="D28" s="1394"/>
      <c r="E28" s="1396"/>
      <c r="F28" s="1398"/>
      <c r="G28" s="1400"/>
      <c r="H28" s="1403"/>
      <c r="I28" s="1401"/>
      <c r="J28" s="1342"/>
      <c r="K28" s="693"/>
      <c r="L28" s="42"/>
      <c r="M28" s="689"/>
      <c r="N28" s="689"/>
      <c r="O28" s="689"/>
      <c r="P28" s="689"/>
      <c r="Q28" s="1335"/>
      <c r="R28" s="1336"/>
      <c r="S28" s="1336"/>
      <c r="T28" s="1336"/>
      <c r="U28" s="1336"/>
      <c r="V28" s="1336"/>
      <c r="W28" s="1337"/>
      <c r="X28" s="42"/>
    </row>
    <row r="29" spans="1:24" x14ac:dyDescent="0.2">
      <c r="A29" s="457"/>
      <c r="B29" s="461"/>
      <c r="C29" s="461"/>
      <c r="D29" s="461"/>
      <c r="E29" s="461"/>
      <c r="F29" s="462"/>
      <c r="G29" s="462"/>
      <c r="H29" s="463"/>
      <c r="I29" s="463"/>
      <c r="M29" s="42"/>
      <c r="N29" s="42"/>
      <c r="O29" s="42"/>
      <c r="P29" s="42"/>
      <c r="Q29" s="42"/>
      <c r="R29" s="42"/>
      <c r="S29" s="42"/>
      <c r="T29" s="42"/>
      <c r="U29" s="42"/>
      <c r="V29" s="42"/>
      <c r="W29" s="42"/>
      <c r="X29" s="42"/>
    </row>
    <row r="30" spans="1:24" ht="21" customHeight="1" x14ac:dyDescent="0.2">
      <c r="A30" s="457"/>
      <c r="B30" s="458"/>
      <c r="C30" s="1387" t="s">
        <v>393</v>
      </c>
      <c r="D30" s="1387"/>
      <c r="E30" s="1387"/>
      <c r="F30" s="745">
        <f>SUM(F11:F28)</f>
        <v>0</v>
      </c>
      <c r="G30" s="1389" t="str">
        <f>IF(F32&lt;0, " ","SUFFICIENT FUNDS")</f>
        <v xml:space="preserve"> </v>
      </c>
      <c r="H30" s="1389"/>
      <c r="I30" s="1389"/>
      <c r="J30" s="1389"/>
      <c r="K30" s="680"/>
      <c r="L30" s="284"/>
      <c r="M30" s="42"/>
      <c r="N30" s="42"/>
      <c r="O30" s="42"/>
      <c r="P30" s="42"/>
      <c r="Q30" s="42"/>
      <c r="R30" s="42"/>
      <c r="S30" s="42"/>
      <c r="T30" s="42"/>
      <c r="U30" s="42"/>
      <c r="V30" s="42"/>
      <c r="W30" s="42"/>
      <c r="X30" s="42"/>
    </row>
    <row r="31" spans="1:24" ht="21" customHeight="1" thickBot="1" x14ac:dyDescent="0.25">
      <c r="A31" s="457"/>
      <c r="B31" s="459"/>
      <c r="C31" s="1388" t="s">
        <v>388</v>
      </c>
      <c r="D31" s="1388"/>
      <c r="E31" s="1388"/>
      <c r="F31" s="489">
        <f>IF(OR(Approval!AI68&lt;0,Approval!AI27&lt;0),IF((Approval!AI27)&gt;Approval!AI68,Approval!AI68,Approval!AI27),IF(Approval!AI27&gt;0,IF(Approval!AI68&gt;0,"0.00",IF(Approval!AI68&lt;0,Approval!AI68,"0.00"))))</f>
        <v>-1295</v>
      </c>
      <c r="G31" s="431"/>
      <c r="H31" s="498"/>
      <c r="I31" s="498"/>
      <c r="J31" s="284"/>
      <c r="K31" s="284"/>
      <c r="L31" s="284"/>
      <c r="M31" s="42"/>
      <c r="N31" s="42"/>
      <c r="O31" s="42"/>
      <c r="P31" s="42"/>
      <c r="Q31" s="42"/>
      <c r="R31" s="42"/>
      <c r="S31" s="42"/>
      <c r="T31" s="42"/>
      <c r="U31" s="42"/>
      <c r="V31" s="42"/>
      <c r="W31" s="42"/>
      <c r="X31" s="42"/>
    </row>
    <row r="32" spans="1:24" ht="21" customHeight="1" x14ac:dyDescent="0.25">
      <c r="A32" s="457"/>
      <c r="B32" s="350"/>
      <c r="C32" s="1409" t="str">
        <f>IF(F32&lt;0, "ADDITIONAL FUNDS REQUIRE FOR CLOSING", IF(F31&lt;&gt;"0.00","REMAINING FUNDS AVAILABLE AFTER CLOSING",""))</f>
        <v>ADDITIONAL FUNDS REQUIRE FOR CLOSING</v>
      </c>
      <c r="D32" s="1409"/>
      <c r="E32" s="1409"/>
      <c r="F32" s="746">
        <f>IF(F31="0.00","",(F30-(-F31)))</f>
        <v>-1295</v>
      </c>
      <c r="G32" s="499"/>
      <c r="H32" s="500"/>
      <c r="I32" s="500"/>
      <c r="J32" s="284"/>
      <c r="K32" s="284"/>
      <c r="L32" s="284"/>
      <c r="M32" s="42"/>
      <c r="N32" s="42"/>
      <c r="O32" s="42"/>
      <c r="P32" s="42"/>
      <c r="Q32" s="42"/>
      <c r="R32" s="42"/>
      <c r="S32" s="42"/>
      <c r="T32" s="42"/>
      <c r="U32" s="42"/>
      <c r="V32" s="42"/>
      <c r="W32" s="42"/>
      <c r="X32" s="42"/>
    </row>
    <row r="33" spans="1:24" ht="24" customHeight="1" thickBot="1" x14ac:dyDescent="0.3">
      <c r="A33" s="457"/>
      <c r="B33" s="350"/>
      <c r="C33" s="465"/>
      <c r="D33" s="464"/>
      <c r="E33" s="464"/>
      <c r="F33" s="465"/>
      <c r="G33" s="499"/>
      <c r="H33" s="500"/>
      <c r="I33" s="500"/>
      <c r="J33" s="284"/>
      <c r="K33" s="284"/>
      <c r="L33" s="501"/>
      <c r="M33" s="484"/>
      <c r="N33" s="484"/>
      <c r="O33" s="484"/>
      <c r="P33" s="484"/>
      <c r="Q33" s="42"/>
      <c r="R33" s="42"/>
      <c r="S33" s="42"/>
      <c r="T33" s="42"/>
      <c r="U33" s="42"/>
      <c r="V33" s="42"/>
      <c r="W33" s="42"/>
      <c r="X33" s="42"/>
    </row>
    <row r="34" spans="1:24" ht="21" customHeight="1" thickBot="1" x14ac:dyDescent="0.25">
      <c r="A34" s="457"/>
      <c r="B34" s="1364" t="s">
        <v>411</v>
      </c>
      <c r="C34" s="1364"/>
      <c r="D34" s="1364"/>
      <c r="E34" s="1364"/>
      <c r="F34" s="1364"/>
      <c r="G34" s="1364"/>
      <c r="H34" s="1364"/>
      <c r="I34" s="1364"/>
      <c r="J34" s="1364"/>
      <c r="K34" s="1364"/>
      <c r="L34" s="1365"/>
      <c r="M34" s="696"/>
      <c r="N34" s="484"/>
      <c r="O34" s="484"/>
      <c r="P34" s="484"/>
      <c r="Q34" s="1326" t="s">
        <v>418</v>
      </c>
      <c r="R34" s="1327"/>
      <c r="S34" s="1327"/>
      <c r="T34" s="1327"/>
      <c r="U34" s="1327"/>
      <c r="V34" s="1327"/>
      <c r="W34" s="1328"/>
    </row>
    <row r="35" spans="1:24" ht="18" customHeight="1" x14ac:dyDescent="0.2">
      <c r="A35" s="457"/>
      <c r="B35" s="1377" t="s">
        <v>401</v>
      </c>
      <c r="C35" s="1377" t="s">
        <v>400</v>
      </c>
      <c r="D35" s="1377" t="s">
        <v>399</v>
      </c>
      <c r="E35" s="1377" t="s">
        <v>398</v>
      </c>
      <c r="F35" s="1377" t="s">
        <v>397</v>
      </c>
      <c r="G35" s="1377" t="s">
        <v>395</v>
      </c>
      <c r="H35" s="1412" t="s">
        <v>396</v>
      </c>
      <c r="I35" s="1353" t="s">
        <v>409</v>
      </c>
      <c r="J35" s="1354"/>
      <c r="K35" s="695" t="s">
        <v>491</v>
      </c>
      <c r="L35" s="1362" t="s">
        <v>286</v>
      </c>
      <c r="M35" s="697"/>
      <c r="N35" s="689"/>
      <c r="O35" s="689"/>
      <c r="P35" s="689"/>
      <c r="Q35" s="1329"/>
      <c r="R35" s="1330"/>
      <c r="S35" s="1330"/>
      <c r="T35" s="1330"/>
      <c r="U35" s="1330"/>
      <c r="V35" s="1330"/>
      <c r="W35" s="1331"/>
    </row>
    <row r="36" spans="1:24" ht="18" customHeight="1" thickBot="1" x14ac:dyDescent="0.25">
      <c r="A36" s="457"/>
      <c r="B36" s="1378"/>
      <c r="C36" s="1378"/>
      <c r="D36" s="1378"/>
      <c r="E36" s="1378"/>
      <c r="F36" s="1378"/>
      <c r="G36" s="1378"/>
      <c r="H36" s="1413"/>
      <c r="I36" s="1355"/>
      <c r="J36" s="1356"/>
      <c r="K36" s="683" t="s">
        <v>492</v>
      </c>
      <c r="L36" s="1363"/>
      <c r="M36" s="697"/>
      <c r="N36" s="689"/>
      <c r="O36" s="689"/>
      <c r="P36" s="689"/>
      <c r="Q36" s="1332"/>
      <c r="R36" s="1333"/>
      <c r="S36" s="1333"/>
      <c r="T36" s="1333"/>
      <c r="U36" s="1333"/>
      <c r="V36" s="1333"/>
      <c r="W36" s="1334"/>
    </row>
    <row r="37" spans="1:24" ht="12.75" customHeight="1" x14ac:dyDescent="0.2">
      <c r="A37" s="457"/>
      <c r="B37" s="1383"/>
      <c r="C37" s="1384"/>
      <c r="D37" s="1429"/>
      <c r="E37" s="1372"/>
      <c r="F37" s="1373"/>
      <c r="G37" s="1374"/>
      <c r="H37" s="1428" t="str">
        <f>IF(ISBLANK(G37)=TRUE," ",G37+45 )</f>
        <v xml:space="preserve"> </v>
      </c>
      <c r="I37" s="1350"/>
      <c r="J37" s="1351"/>
      <c r="K37" s="1368"/>
      <c r="L37" s="1371"/>
      <c r="M37" s="1301" t="str">
        <f>IF(K37= "DEPLETION",F37*L37%,"")</f>
        <v/>
      </c>
      <c r="N37" s="1301" t="str">
        <f>IF(K37= "ATR-IN-FULL",F37*L37%,"")</f>
        <v/>
      </c>
      <c r="O37" s="1301" t="str">
        <f>IF(K37= "DSCR DEPLETION",F37*L37%,"")</f>
        <v/>
      </c>
      <c r="P37" s="701"/>
      <c r="Q37" s="1332"/>
      <c r="R37" s="1333"/>
      <c r="S37" s="1333"/>
      <c r="T37" s="1333"/>
      <c r="U37" s="1333"/>
      <c r="V37" s="1333"/>
      <c r="W37" s="1334"/>
    </row>
    <row r="38" spans="1:24" ht="12.75" customHeight="1" x14ac:dyDescent="0.2">
      <c r="A38" s="457"/>
      <c r="B38" s="1325"/>
      <c r="C38" s="1305"/>
      <c r="D38" s="1307"/>
      <c r="E38" s="1309"/>
      <c r="F38" s="1311"/>
      <c r="G38" s="1313"/>
      <c r="H38" s="1315"/>
      <c r="I38" s="1352"/>
      <c r="J38" s="1319"/>
      <c r="K38" s="1369"/>
      <c r="L38" s="1303"/>
      <c r="M38" s="1302"/>
      <c r="N38" s="1302"/>
      <c r="O38" s="1302"/>
      <c r="P38" s="690"/>
      <c r="Q38" s="1332"/>
      <c r="R38" s="1333"/>
      <c r="S38" s="1333"/>
      <c r="T38" s="1333"/>
      <c r="U38" s="1333"/>
      <c r="V38" s="1333"/>
      <c r="W38" s="1334"/>
    </row>
    <row r="39" spans="1:24" ht="12.75" customHeight="1" x14ac:dyDescent="0.2">
      <c r="A39" s="457"/>
      <c r="B39" s="1324"/>
      <c r="C39" s="1304"/>
      <c r="D39" s="1306"/>
      <c r="E39" s="1308"/>
      <c r="F39" s="1310"/>
      <c r="G39" s="1312"/>
      <c r="H39" s="1314" t="str">
        <f>IF(ISBLANK(G39)=TRUE," ",G39+45 )</f>
        <v xml:space="preserve"> </v>
      </c>
      <c r="I39" s="1316"/>
      <c r="J39" s="1317"/>
      <c r="K39" s="1320"/>
      <c r="L39" s="1303"/>
      <c r="M39" s="1301" t="str">
        <f>IF(K39= "DEPLETION",F39*L39%,"")</f>
        <v/>
      </c>
      <c r="N39" s="1301" t="str">
        <f>IF(K39= "ATR-IN-FULL",F39*L39%,"")</f>
        <v/>
      </c>
      <c r="O39" s="1301" t="str">
        <f>IF(K39= "DSCR DEPLETION",F39*L39%,"")</f>
        <v/>
      </c>
      <c r="P39" s="701"/>
      <c r="Q39" s="1332"/>
      <c r="R39" s="1333"/>
      <c r="S39" s="1333"/>
      <c r="T39" s="1333"/>
      <c r="U39" s="1333"/>
      <c r="V39" s="1333"/>
      <c r="W39" s="1334"/>
    </row>
    <row r="40" spans="1:24" ht="12.75" customHeight="1" x14ac:dyDescent="0.2">
      <c r="A40" s="457"/>
      <c r="B40" s="1325"/>
      <c r="C40" s="1305"/>
      <c r="D40" s="1307"/>
      <c r="E40" s="1309"/>
      <c r="F40" s="1311"/>
      <c r="G40" s="1313"/>
      <c r="H40" s="1315"/>
      <c r="I40" s="1318"/>
      <c r="J40" s="1319"/>
      <c r="K40" s="1321"/>
      <c r="L40" s="1303"/>
      <c r="M40" s="1302"/>
      <c r="N40" s="1302"/>
      <c r="O40" s="1302"/>
      <c r="P40" s="690"/>
      <c r="Q40" s="1332"/>
      <c r="R40" s="1333"/>
      <c r="S40" s="1333"/>
      <c r="T40" s="1333"/>
      <c r="U40" s="1333"/>
      <c r="V40" s="1333"/>
      <c r="W40" s="1334"/>
    </row>
    <row r="41" spans="1:24" ht="12.75" customHeight="1" x14ac:dyDescent="0.2">
      <c r="A41" s="457"/>
      <c r="B41" s="1375"/>
      <c r="C41" s="1304"/>
      <c r="D41" s="1306"/>
      <c r="E41" s="1322"/>
      <c r="F41" s="1410"/>
      <c r="G41" s="1312"/>
      <c r="H41" s="1314" t="str">
        <f>IF(ISBLANK(G41)=TRUE," ",G41+45 )</f>
        <v xml:space="preserve"> </v>
      </c>
      <c r="I41" s="1316"/>
      <c r="J41" s="1317"/>
      <c r="K41" s="1320"/>
      <c r="L41" s="1303"/>
      <c r="M41" s="1301" t="str">
        <f>IF(K41= "DEPLETION",F41*L41%,"")</f>
        <v/>
      </c>
      <c r="N41" s="1301" t="str">
        <f>IF(K41= "ATR-IN-FULL",F41*L41%,"")</f>
        <v/>
      </c>
      <c r="O41" s="1301" t="str">
        <f>IF(K41= "DSCR DEPLETION",F41*L41%,"")</f>
        <v/>
      </c>
      <c r="P41" s="701"/>
      <c r="Q41" s="1332"/>
      <c r="R41" s="1333"/>
      <c r="S41" s="1333"/>
      <c r="T41" s="1333"/>
      <c r="U41" s="1333"/>
      <c r="V41" s="1333"/>
      <c r="W41" s="1334"/>
    </row>
    <row r="42" spans="1:24" ht="12.75" customHeight="1" x14ac:dyDescent="0.2">
      <c r="A42" s="457"/>
      <c r="B42" s="1376"/>
      <c r="C42" s="1305"/>
      <c r="D42" s="1307"/>
      <c r="E42" s="1323"/>
      <c r="F42" s="1411"/>
      <c r="G42" s="1313"/>
      <c r="H42" s="1315"/>
      <c r="I42" s="1318"/>
      <c r="J42" s="1319"/>
      <c r="K42" s="1321"/>
      <c r="L42" s="1303"/>
      <c r="M42" s="1302"/>
      <c r="N42" s="1302"/>
      <c r="O42" s="1302"/>
      <c r="P42" s="690"/>
      <c r="Q42" s="1332"/>
      <c r="R42" s="1333"/>
      <c r="S42" s="1333"/>
      <c r="T42" s="1333"/>
      <c r="U42" s="1333"/>
      <c r="V42" s="1333"/>
      <c r="W42" s="1334"/>
    </row>
    <row r="43" spans="1:24" ht="12.75" customHeight="1" x14ac:dyDescent="0.2">
      <c r="A43" s="457"/>
      <c r="B43" s="1375"/>
      <c r="C43" s="1304"/>
      <c r="D43" s="1306"/>
      <c r="E43" s="1322"/>
      <c r="F43" s="1310"/>
      <c r="G43" s="1312"/>
      <c r="H43" s="1314" t="str">
        <f>IF(ISBLANK(G43)=TRUE," ",G43+45 )</f>
        <v xml:space="preserve"> </v>
      </c>
      <c r="I43" s="1316"/>
      <c r="J43" s="1317"/>
      <c r="K43" s="1320"/>
      <c r="L43" s="1303"/>
      <c r="M43" s="1301" t="str">
        <f>IF(K43= "DEPLETION",F43*L43%,"")</f>
        <v/>
      </c>
      <c r="N43" s="1301" t="str">
        <f>IF(K43= "ATR-IN-FULL",F43*L43%,"")</f>
        <v/>
      </c>
      <c r="O43" s="1301" t="str">
        <f>IF(K43= "DSCR DEPLETION",F43*L43%,"")</f>
        <v/>
      </c>
      <c r="P43" s="701"/>
      <c r="Q43" s="1332"/>
      <c r="R43" s="1333"/>
      <c r="S43" s="1333"/>
      <c r="T43" s="1333"/>
      <c r="U43" s="1333"/>
      <c r="V43" s="1333"/>
      <c r="W43" s="1334"/>
    </row>
    <row r="44" spans="1:24" ht="12.75" customHeight="1" x14ac:dyDescent="0.2">
      <c r="A44" s="457"/>
      <c r="B44" s="1376"/>
      <c r="C44" s="1305"/>
      <c r="D44" s="1307"/>
      <c r="E44" s="1323"/>
      <c r="F44" s="1311"/>
      <c r="G44" s="1313"/>
      <c r="H44" s="1315"/>
      <c r="I44" s="1318"/>
      <c r="J44" s="1319"/>
      <c r="K44" s="1321"/>
      <c r="L44" s="1303"/>
      <c r="M44" s="1302"/>
      <c r="N44" s="1302"/>
      <c r="O44" s="1302"/>
      <c r="P44" s="690"/>
      <c r="Q44" s="1332"/>
      <c r="R44" s="1333"/>
      <c r="S44" s="1333"/>
      <c r="T44" s="1333"/>
      <c r="U44" s="1333"/>
      <c r="V44" s="1333"/>
      <c r="W44" s="1334"/>
    </row>
    <row r="45" spans="1:24" ht="12.75" customHeight="1" x14ac:dyDescent="0.2">
      <c r="A45" s="457"/>
      <c r="B45" s="1324"/>
      <c r="C45" s="1304"/>
      <c r="D45" s="1306"/>
      <c r="E45" s="1308"/>
      <c r="F45" s="1310"/>
      <c r="G45" s="1312"/>
      <c r="H45" s="1314" t="str">
        <f>IF(ISBLANK(G45)=TRUE," ",G45+45 )</f>
        <v xml:space="preserve"> </v>
      </c>
      <c r="I45" s="1316"/>
      <c r="J45" s="1317"/>
      <c r="K45" s="1320"/>
      <c r="L45" s="1303"/>
      <c r="M45" s="1301" t="str">
        <f>IF(K45= "DEPLETION",F45*L45%,"")</f>
        <v/>
      </c>
      <c r="N45" s="1301" t="str">
        <f>IF(K45= "ATR-IN-FULL",F45*L45%,"")</f>
        <v/>
      </c>
      <c r="O45" s="1301" t="str">
        <f>IF(K45= "DSCR DEPLETION",F45*L45%,"")</f>
        <v/>
      </c>
      <c r="P45" s="690"/>
      <c r="Q45" s="1332"/>
      <c r="R45" s="1333"/>
      <c r="S45" s="1333"/>
      <c r="T45" s="1333"/>
      <c r="U45" s="1333"/>
      <c r="V45" s="1333"/>
      <c r="W45" s="1334"/>
    </row>
    <row r="46" spans="1:24" ht="12.75" customHeight="1" x14ac:dyDescent="0.2">
      <c r="A46" s="457"/>
      <c r="B46" s="1325"/>
      <c r="C46" s="1305"/>
      <c r="D46" s="1307"/>
      <c r="E46" s="1309"/>
      <c r="F46" s="1311"/>
      <c r="G46" s="1313"/>
      <c r="H46" s="1315"/>
      <c r="I46" s="1318"/>
      <c r="J46" s="1319"/>
      <c r="K46" s="1321"/>
      <c r="L46" s="1303"/>
      <c r="M46" s="1302"/>
      <c r="N46" s="1302"/>
      <c r="O46" s="1302"/>
      <c r="P46" s="690"/>
      <c r="Q46" s="1332"/>
      <c r="R46" s="1333"/>
      <c r="S46" s="1333"/>
      <c r="T46" s="1333"/>
      <c r="U46" s="1333"/>
      <c r="V46" s="1333"/>
      <c r="W46" s="1334"/>
    </row>
    <row r="47" spans="1:24" ht="12.75" customHeight="1" x14ac:dyDescent="0.2">
      <c r="A47" s="457"/>
      <c r="B47" s="1324"/>
      <c r="C47" s="1304"/>
      <c r="D47" s="1306"/>
      <c r="E47" s="1308"/>
      <c r="F47" s="1310"/>
      <c r="G47" s="1312"/>
      <c r="H47" s="1314" t="str">
        <f>IF(ISBLANK(G47)=TRUE," ",G47+45 )</f>
        <v xml:space="preserve"> </v>
      </c>
      <c r="I47" s="1316"/>
      <c r="J47" s="1317"/>
      <c r="K47" s="1320"/>
      <c r="L47" s="1303"/>
      <c r="M47" s="1301" t="str">
        <f>IF(K47= "DEPLETION",F47*L47%,"")</f>
        <v/>
      </c>
      <c r="N47" s="1301" t="str">
        <f>IF(K47= "ATR-IN-FULL",F47*L47%,"")</f>
        <v/>
      </c>
      <c r="O47" s="1301" t="str">
        <f>IF(K47= "DSCR DEPLETION",F47*L47%,"")</f>
        <v/>
      </c>
      <c r="P47" s="690"/>
      <c r="Q47" s="1332"/>
      <c r="R47" s="1333"/>
      <c r="S47" s="1333"/>
      <c r="T47" s="1333"/>
      <c r="U47" s="1333"/>
      <c r="V47" s="1333"/>
      <c r="W47" s="1334"/>
    </row>
    <row r="48" spans="1:24" ht="12.75" customHeight="1" x14ac:dyDescent="0.2">
      <c r="A48" s="457"/>
      <c r="B48" s="1325"/>
      <c r="C48" s="1305"/>
      <c r="D48" s="1307"/>
      <c r="E48" s="1309"/>
      <c r="F48" s="1311"/>
      <c r="G48" s="1313"/>
      <c r="H48" s="1315"/>
      <c r="I48" s="1318"/>
      <c r="J48" s="1319"/>
      <c r="K48" s="1321"/>
      <c r="L48" s="1303"/>
      <c r="M48" s="1302"/>
      <c r="N48" s="1302"/>
      <c r="O48" s="1302"/>
      <c r="P48" s="690"/>
      <c r="Q48" s="1332"/>
      <c r="R48" s="1333"/>
      <c r="S48" s="1333"/>
      <c r="T48" s="1333"/>
      <c r="U48" s="1333"/>
      <c r="V48" s="1333"/>
      <c r="W48" s="1334"/>
    </row>
    <row r="49" spans="1:23" ht="12.75" customHeight="1" x14ac:dyDescent="0.2">
      <c r="A49" s="457"/>
      <c r="B49" s="1324"/>
      <c r="C49" s="1304"/>
      <c r="D49" s="1306"/>
      <c r="E49" s="1308"/>
      <c r="F49" s="1310"/>
      <c r="G49" s="1312"/>
      <c r="H49" s="1314" t="str">
        <f>IF(ISBLANK(G49)=TRUE," ",G49+45 )</f>
        <v xml:space="preserve"> </v>
      </c>
      <c r="I49" s="1316"/>
      <c r="J49" s="1317"/>
      <c r="K49" s="1320"/>
      <c r="L49" s="1303"/>
      <c r="M49" s="1301" t="str">
        <f>IF(K49= "DEPLETION",F49*L49%,"")</f>
        <v/>
      </c>
      <c r="N49" s="1301" t="str">
        <f>IF(K49= "ATR-IN-FULL",F49*L49%,"")</f>
        <v/>
      </c>
      <c r="O49" s="1301" t="str">
        <f>IF(K49= "DSCR DEPLETION",F49*L49%,"")</f>
        <v/>
      </c>
      <c r="P49" s="701"/>
      <c r="Q49" s="1332"/>
      <c r="R49" s="1333"/>
      <c r="S49" s="1333"/>
      <c r="T49" s="1333"/>
      <c r="U49" s="1333"/>
      <c r="V49" s="1333"/>
      <c r="W49" s="1334"/>
    </row>
    <row r="50" spans="1:23" ht="12.75" customHeight="1" x14ac:dyDescent="0.2">
      <c r="A50" s="457"/>
      <c r="B50" s="1325"/>
      <c r="C50" s="1305"/>
      <c r="D50" s="1307"/>
      <c r="E50" s="1309"/>
      <c r="F50" s="1311"/>
      <c r="G50" s="1313"/>
      <c r="H50" s="1315"/>
      <c r="I50" s="1318"/>
      <c r="J50" s="1319"/>
      <c r="K50" s="1321"/>
      <c r="L50" s="1303"/>
      <c r="M50" s="1302"/>
      <c r="N50" s="1302"/>
      <c r="O50" s="1302"/>
      <c r="P50" s="690"/>
      <c r="Q50" s="1332"/>
      <c r="R50" s="1333"/>
      <c r="S50" s="1333"/>
      <c r="T50" s="1333"/>
      <c r="U50" s="1333"/>
      <c r="V50" s="1333"/>
      <c r="W50" s="1334"/>
    </row>
    <row r="51" spans="1:23" ht="12.75" customHeight="1" x14ac:dyDescent="0.2">
      <c r="B51" s="1375"/>
      <c r="C51" s="1304"/>
      <c r="D51" s="1306"/>
      <c r="E51" s="1407"/>
      <c r="F51" s="1310"/>
      <c r="G51" s="1312"/>
      <c r="H51" s="1314" t="str">
        <f>IF(ISBLANK(G51)=TRUE," ",G51+45 )</f>
        <v xml:space="preserve"> </v>
      </c>
      <c r="I51" s="1340"/>
      <c r="J51" s="1317"/>
      <c r="K51" s="1320"/>
      <c r="L51" s="1303"/>
      <c r="M51" s="1301" t="str">
        <f>IF(K51= "DEPLETION",F51*L51%,"")</f>
        <v/>
      </c>
      <c r="N51" s="1301" t="str">
        <f>IF(K51= "ATR-IN-FULL",F51*L51%,"")</f>
        <v/>
      </c>
      <c r="O51" s="1301" t="str">
        <f>IF(K51= "DSCR DEPLETION",F51*L51%,"")</f>
        <v/>
      </c>
      <c r="P51" s="701"/>
      <c r="Q51" s="1332"/>
      <c r="R51" s="1333"/>
      <c r="S51" s="1333"/>
      <c r="T51" s="1333"/>
      <c r="U51" s="1333"/>
      <c r="V51" s="1333"/>
      <c r="W51" s="1334"/>
    </row>
    <row r="52" spans="1:23" ht="12.75" customHeight="1" thickBot="1" x14ac:dyDescent="0.25">
      <c r="B52" s="1422"/>
      <c r="C52" s="1423"/>
      <c r="D52" s="1424"/>
      <c r="E52" s="1425"/>
      <c r="F52" s="1426"/>
      <c r="G52" s="1427"/>
      <c r="H52" s="1348"/>
      <c r="I52" s="1341"/>
      <c r="J52" s="1342"/>
      <c r="K52" s="1370"/>
      <c r="L52" s="1343"/>
      <c r="M52" s="1302"/>
      <c r="N52" s="1302"/>
      <c r="O52" s="1302"/>
      <c r="P52" s="690"/>
      <c r="Q52" s="1335"/>
      <c r="R52" s="1336"/>
      <c r="S52" s="1336"/>
      <c r="T52" s="1336"/>
      <c r="U52" s="1336"/>
      <c r="V52" s="1336"/>
      <c r="W52" s="1337"/>
    </row>
    <row r="53" spans="1:23" ht="12.75" customHeight="1" x14ac:dyDescent="0.2">
      <c r="B53" s="723"/>
      <c r="C53" s="724"/>
      <c r="D53" s="725"/>
      <c r="E53" s="726"/>
      <c r="F53" s="727"/>
      <c r="G53" s="728"/>
      <c r="H53" s="729"/>
      <c r="I53" s="730"/>
      <c r="J53" s="730"/>
      <c r="K53" s="731"/>
      <c r="L53" s="732"/>
      <c r="M53" s="690"/>
      <c r="N53" s="690"/>
      <c r="O53" s="690"/>
      <c r="P53" s="690"/>
      <c r="Q53" s="720"/>
      <c r="R53" s="720"/>
      <c r="S53" s="720"/>
      <c r="T53" s="720"/>
      <c r="U53" s="720"/>
      <c r="V53" s="720"/>
      <c r="W53" s="720"/>
    </row>
    <row r="54" spans="1:23" ht="15.75" customHeight="1" x14ac:dyDescent="0.25">
      <c r="B54" s="734"/>
      <c r="C54" s="735"/>
      <c r="D54" s="736"/>
      <c r="E54" s="737"/>
      <c r="F54" s="1344" t="str">
        <f>IF(M55=TRUE,"TOTAL ASSETS AVAILABLE TO MEET ATR-IN-FULL:","")</f>
        <v/>
      </c>
      <c r="G54" s="1345"/>
      <c r="H54" s="1345"/>
      <c r="I54" s="1345"/>
      <c r="J54" s="1345"/>
      <c r="K54" s="1346">
        <f>SUMIF(K37:K52,"=ATR-IN-FULL",N37:N52)</f>
        <v>0</v>
      </c>
      <c r="L54" s="1347"/>
      <c r="M54" s="699" t="b">
        <f>COUNTIF(K35:K50,M59)&gt;0</f>
        <v>0</v>
      </c>
      <c r="N54" s="699"/>
      <c r="O54" s="699"/>
      <c r="P54" s="690"/>
      <c r="Q54" s="1349" t="str">
        <f>IF(F54&lt;&gt;"","MINIMUM ASSETS REQUIRE TO MEET ATR-IN-FULL IS $"&amp;Approval!AG9&amp;".00","")</f>
        <v/>
      </c>
      <c r="R54" s="1349"/>
      <c r="S54" s="1349"/>
      <c r="T54" s="1349"/>
      <c r="U54" s="1349"/>
      <c r="V54" s="1349"/>
      <c r="W54" s="1349"/>
    </row>
    <row r="55" spans="1:23" s="466" customFormat="1" ht="14.1" customHeight="1" x14ac:dyDescent="0.25">
      <c r="A55"/>
      <c r="B55" s="354"/>
      <c r="C55" s="354"/>
      <c r="D55" s="354"/>
      <c r="E55" s="354"/>
      <c r="F55" s="354"/>
      <c r="G55" s="354"/>
      <c r="H55" s="354"/>
      <c r="I55" s="354"/>
      <c r="J55" s="354"/>
      <c r="K55" s="354"/>
      <c r="L55" s="494"/>
      <c r="M55" s="699" t="b">
        <f>COUNTIF(K36:K51,M58)&gt;0</f>
        <v>0</v>
      </c>
      <c r="N55" s="699"/>
      <c r="O55" s="699"/>
    </row>
    <row r="56" spans="1:23" ht="15.75" customHeight="1" x14ac:dyDescent="0.25">
      <c r="B56" s="1366" t="s">
        <v>494</v>
      </c>
      <c r="C56" s="1367"/>
      <c r="D56" s="738">
        <f>SUMIF(K37:K52,"=RESERVES",F37:F52)</f>
        <v>0</v>
      </c>
      <c r="E56" s="706"/>
      <c r="F56" s="1344" t="str">
        <f>IF(M56=TRUE,"TOTAL ASSETS AVAILABLE FOR ASSETS DEPLETION:","")</f>
        <v/>
      </c>
      <c r="G56" s="1345"/>
      <c r="H56" s="1345"/>
      <c r="I56" s="1345"/>
      <c r="J56" s="1345"/>
      <c r="K56" s="1346">
        <f>SUMIF(K37:K52,"=DEPLETION",M37:M52)</f>
        <v>0</v>
      </c>
      <c r="L56" s="1347"/>
      <c r="M56" s="699" t="b">
        <f>COUNTIF(K37:K52,M57)&gt;0</f>
        <v>0</v>
      </c>
      <c r="N56" s="698"/>
      <c r="O56" s="698"/>
      <c r="P56" s="699"/>
      <c r="Q56" s="470"/>
    </row>
    <row r="57" spans="1:23" ht="14.25" customHeight="1" x14ac:dyDescent="0.2">
      <c r="B57" s="739"/>
      <c r="C57" s="354"/>
      <c r="D57" s="354"/>
      <c r="E57" s="354"/>
      <c r="F57" s="740"/>
      <c r="G57" s="741"/>
      <c r="H57" s="741"/>
      <c r="I57" s="742" t="s">
        <v>496</v>
      </c>
      <c r="J57" s="741"/>
      <c r="K57" s="743"/>
      <c r="L57" s="744"/>
      <c r="M57" s="698" t="s">
        <v>493</v>
      </c>
      <c r="N57" s="733"/>
      <c r="O57" s="733"/>
      <c r="P57" s="698"/>
      <c r="Q57" s="284"/>
      <c r="R57" s="284"/>
      <c r="S57" s="284"/>
      <c r="T57" s="284"/>
      <c r="U57" s="284"/>
      <c r="V57" s="284"/>
    </row>
    <row r="58" spans="1:23" ht="15" x14ac:dyDescent="0.25">
      <c r="A58" s="466"/>
      <c r="B58" s="490" t="s">
        <v>392</v>
      </c>
      <c r="C58" s="491"/>
      <c r="D58" s="492"/>
      <c r="E58" s="494"/>
      <c r="F58" s="492"/>
      <c r="G58" s="492"/>
      <c r="H58" s="707"/>
      <c r="I58" s="721" t="s">
        <v>498</v>
      </c>
      <c r="J58" s="703">
        <f>IF(OR(Approval!AL6="IOMAG",Approval!AL6="MAG"),30,IF(Approval!U9="X",30,7))</f>
        <v>7</v>
      </c>
      <c r="K58" s="708" t="s">
        <v>499</v>
      </c>
      <c r="L58" s="709"/>
      <c r="M58" s="733" t="s">
        <v>514</v>
      </c>
      <c r="N58" s="468"/>
      <c r="O58" s="468"/>
      <c r="P58" s="468"/>
      <c r="Q58" s="284"/>
      <c r="R58" s="284"/>
      <c r="S58" s="284"/>
      <c r="T58" s="284"/>
      <c r="U58" s="284"/>
      <c r="V58" s="284"/>
    </row>
    <row r="59" spans="1:23" ht="15" x14ac:dyDescent="0.25">
      <c r="B59" s="357" t="str">
        <f>IF(Approval!AB6="A+",IF(Approval!AG11&lt;=80%,"6 MONTHS PITI RESERVES FOR LTV &lt;= 80% : ","12 MONTHS PITI RESERVES FOR LTV &gt; 80% : "),"NO RESERVES REQUIRE ")</f>
        <v xml:space="preserve">NO RESERVES REQUIRE </v>
      </c>
      <c r="C59" s="357"/>
      <c r="D59" s="493" t="str">
        <f>IF(AND(Approval!AB6="A+",Approval!AD9="X"),IF(Approval!AG11&lt;=80%,Approval!H49*6,Approval!H49*12)+1,"NOT APPLICABLE")</f>
        <v>NOT APPLICABLE</v>
      </c>
      <c r="E59" s="354" t="str">
        <f>IF(AND(Approval!AB6="A+",Approval!AD9="X"),IF(ASSETS!D56&gt;=ASSETS!D59,"RESERVES MET","RESERVES NOT MET - ADDITIONAL PERSONAL FUNDS OF $"&amp;-(ROUNDUP(ASSETS!D56-ASSETS!D59,2))&amp;" IS NEEDED"),"")</f>
        <v/>
      </c>
      <c r="F59" s="357"/>
      <c r="G59" s="706"/>
      <c r="H59" s="707"/>
      <c r="I59" s="1338" t="s">
        <v>497</v>
      </c>
      <c r="J59" s="1339"/>
      <c r="K59" s="704">
        <f>PMT( 0.01/12,J58*12, -K56,0,1)</f>
        <v>0</v>
      </c>
      <c r="L59" s="705" t="s">
        <v>495</v>
      </c>
      <c r="M59" s="747" t="s">
        <v>515</v>
      </c>
      <c r="N59" s="700"/>
      <c r="O59" s="700"/>
      <c r="P59" s="700"/>
    </row>
    <row r="60" spans="1:23" ht="14.25" x14ac:dyDescent="0.2">
      <c r="B60" s="354"/>
      <c r="C60" s="354"/>
      <c r="D60" s="354"/>
      <c r="E60" s="354"/>
      <c r="F60" s="354"/>
      <c r="G60" s="496"/>
      <c r="H60" s="496"/>
      <c r="I60" s="496"/>
      <c r="J60" s="496"/>
      <c r="K60" s="496"/>
      <c r="L60" s="354"/>
      <c r="M60" s="468"/>
      <c r="N60" s="468"/>
      <c r="O60" s="468"/>
      <c r="P60" s="468"/>
      <c r="Q60" s="284"/>
      <c r="R60" s="284"/>
      <c r="S60" s="284"/>
      <c r="T60" s="284"/>
      <c r="U60" s="284"/>
      <c r="V60" s="284"/>
    </row>
    <row r="61" spans="1:23" ht="15" x14ac:dyDescent="0.25">
      <c r="A61" s="466"/>
      <c r="B61" s="490" t="s">
        <v>394</v>
      </c>
      <c r="C61" s="491"/>
      <c r="D61" s="494"/>
      <c r="E61" s="494"/>
      <c r="F61" s="494"/>
      <c r="G61" s="494"/>
      <c r="H61" s="494"/>
      <c r="I61" s="494"/>
      <c r="J61" s="494"/>
      <c r="K61" s="494"/>
      <c r="L61" s="354"/>
      <c r="M61" s="722"/>
      <c r="N61" s="722"/>
      <c r="O61" s="722"/>
      <c r="P61" s="722"/>
    </row>
    <row r="62" spans="1:23" ht="14.25" x14ac:dyDescent="0.2">
      <c r="B62" s="356" t="str">
        <f>IF(AND(Approval!AB6="ODF",Approval!AA14&lt;&gt;"Foreign Nat'l",Approval!Q14="X",Approval!AH59&lt;0),"84 MONTHS OF SUBJECT RENTAL LOSS","NOT REQUIRED")</f>
        <v>NOT REQUIRED</v>
      </c>
      <c r="C62" s="354"/>
      <c r="D62" s="495" t="str">
        <f>IF(AND(Approval!AB6="ODF",Approval!AA14="DSCR+", Approval!Q14="X",Approval!AH59&lt;0),(-(Approval!AH59)*84)+1,"NOT APPLICABLE")</f>
        <v>NOT APPLICABLE</v>
      </c>
      <c r="E62" s="356" t="str">
        <f>IF(AND(Approval!AB6="ODF",Approval!Q14="X",Approval!AA14="DSCR+",Approval!AH59&lt;0),IF(ASSETS!K56&gt;=ASSETS!D62,"ASSET DEPLETION TO OFFSET SUBJECT RENT LOSS MET", "ASSET DEPLETION TO OFFSET SUBJECT RENT LOSS NOT MET - ADD'L PERSONAL FUNDS OF $" &amp;-(ROUNDUP(K56-D62,2)) &amp; " IS NEEDED"),"")</f>
        <v/>
      </c>
      <c r="F62" s="354"/>
      <c r="G62" s="496"/>
      <c r="H62" s="496"/>
      <c r="I62" s="496"/>
      <c r="J62" s="496"/>
      <c r="K62" s="496"/>
      <c r="L62" s="354"/>
      <c r="M62" s="108"/>
      <c r="N62" s="108"/>
      <c r="O62" s="108"/>
      <c r="P62" s="108"/>
    </row>
    <row r="63" spans="1:23" x14ac:dyDescent="0.2">
      <c r="B63" s="354"/>
      <c r="C63" s="354"/>
      <c r="D63" s="354"/>
      <c r="E63" s="354"/>
      <c r="F63" s="354"/>
      <c r="G63" s="354"/>
      <c r="H63" s="354"/>
      <c r="I63" s="354"/>
      <c r="J63" s="354"/>
      <c r="K63" s="354"/>
      <c r="L63" s="354"/>
      <c r="M63" s="284"/>
      <c r="N63" s="284"/>
      <c r="O63" s="284"/>
      <c r="P63" s="284"/>
      <c r="Q63" s="284"/>
      <c r="R63" s="284"/>
      <c r="S63" s="284"/>
      <c r="T63" s="284"/>
      <c r="U63" s="284"/>
      <c r="V63" s="284"/>
      <c r="W63" s="284"/>
    </row>
    <row r="64" spans="1:23" x14ac:dyDescent="0.2">
      <c r="E64" s="284"/>
      <c r="F64" s="284"/>
      <c r="G64" s="284"/>
      <c r="H64" s="284"/>
      <c r="I64" s="284"/>
      <c r="J64" s="284"/>
      <c r="K64" s="284"/>
      <c r="L64" s="284"/>
      <c r="M64" s="284"/>
      <c r="N64" s="284"/>
      <c r="O64" s="284"/>
      <c r="P64" s="284"/>
      <c r="Q64" s="284"/>
      <c r="R64" s="284"/>
      <c r="S64" s="284"/>
      <c r="T64" s="284"/>
      <c r="U64" s="284"/>
      <c r="V64" s="284"/>
      <c r="W64" s="284"/>
    </row>
    <row r="65" spans="2:2" x14ac:dyDescent="0.2">
      <c r="B65" s="45" t="str">
        <f>Approval!E87</f>
        <v>TBD</v>
      </c>
    </row>
    <row r="66" spans="2:2" x14ac:dyDescent="0.2">
      <c r="B66" s="108" t="s">
        <v>134</v>
      </c>
    </row>
    <row r="67" spans="2:2" x14ac:dyDescent="0.2">
      <c r="B67" s="108"/>
    </row>
  </sheetData>
  <sheetProtection sheet="1" objects="1" scenarios="1" selectLockedCells="1"/>
  <mergeCells count="250">
    <mergeCell ref="B51:B52"/>
    <mergeCell ref="C51:C52"/>
    <mergeCell ref="D51:D52"/>
    <mergeCell ref="E51:E52"/>
    <mergeCell ref="F51:F52"/>
    <mergeCell ref="G51:G52"/>
    <mergeCell ref="H37:H38"/>
    <mergeCell ref="B49:B50"/>
    <mergeCell ref="C49:C50"/>
    <mergeCell ref="D49:D50"/>
    <mergeCell ref="E49:E50"/>
    <mergeCell ref="F49:F50"/>
    <mergeCell ref="G49:G50"/>
    <mergeCell ref="H49:H50"/>
    <mergeCell ref="B37:B38"/>
    <mergeCell ref="C37:C38"/>
    <mergeCell ref="H43:H44"/>
    <mergeCell ref="B39:B40"/>
    <mergeCell ref="C39:C40"/>
    <mergeCell ref="D39:D40"/>
    <mergeCell ref="E39:E40"/>
    <mergeCell ref="F39:F40"/>
    <mergeCell ref="G39:G40"/>
    <mergeCell ref="D37:D38"/>
    <mergeCell ref="E1:J2"/>
    <mergeCell ref="F4:H4"/>
    <mergeCell ref="F5:H5"/>
    <mergeCell ref="H15:H16"/>
    <mergeCell ref="H23:H24"/>
    <mergeCell ref="B8:J8"/>
    <mergeCell ref="B25:B26"/>
    <mergeCell ref="C25:C26"/>
    <mergeCell ref="D25:D26"/>
    <mergeCell ref="E25:E26"/>
    <mergeCell ref="F25:F26"/>
    <mergeCell ref="G25:G26"/>
    <mergeCell ref="H25:H26"/>
    <mergeCell ref="B23:B24"/>
    <mergeCell ref="C23:C24"/>
    <mergeCell ref="D23:D24"/>
    <mergeCell ref="E23:E24"/>
    <mergeCell ref="F23:F24"/>
    <mergeCell ref="G23:G24"/>
    <mergeCell ref="B21:B22"/>
    <mergeCell ref="C21:C22"/>
    <mergeCell ref="D21:D22"/>
    <mergeCell ref="E21:E22"/>
    <mergeCell ref="H17:H18"/>
    <mergeCell ref="C32:E32"/>
    <mergeCell ref="B35:B36"/>
    <mergeCell ref="C35:C36"/>
    <mergeCell ref="D35:D36"/>
    <mergeCell ref="E35:E36"/>
    <mergeCell ref="F35:F36"/>
    <mergeCell ref="G35:G36"/>
    <mergeCell ref="F43:F44"/>
    <mergeCell ref="G43:G44"/>
    <mergeCell ref="B34:J34"/>
    <mergeCell ref="H39:H40"/>
    <mergeCell ref="B41:B42"/>
    <mergeCell ref="C41:C42"/>
    <mergeCell ref="D41:D42"/>
    <mergeCell ref="E41:E42"/>
    <mergeCell ref="F41:F42"/>
    <mergeCell ref="G41:G42"/>
    <mergeCell ref="H41:H42"/>
    <mergeCell ref="H35:H36"/>
    <mergeCell ref="B15:B16"/>
    <mergeCell ref="C15:C16"/>
    <mergeCell ref="D15:D16"/>
    <mergeCell ref="E15:E16"/>
    <mergeCell ref="F15:F16"/>
    <mergeCell ref="G15:G16"/>
    <mergeCell ref="G21:G22"/>
    <mergeCell ref="H21:H22"/>
    <mergeCell ref="B19:B20"/>
    <mergeCell ref="C19:C20"/>
    <mergeCell ref="D19:D20"/>
    <mergeCell ref="E19:E20"/>
    <mergeCell ref="F19:F20"/>
    <mergeCell ref="G19:G20"/>
    <mergeCell ref="H19:H20"/>
    <mergeCell ref="F21:F22"/>
    <mergeCell ref="C30:E30"/>
    <mergeCell ref="C31:E31"/>
    <mergeCell ref="G30:J30"/>
    <mergeCell ref="B27:B28"/>
    <mergeCell ref="C27:C28"/>
    <mergeCell ref="D27:D28"/>
    <mergeCell ref="E27:E28"/>
    <mergeCell ref="F27:F28"/>
    <mergeCell ref="G27:G28"/>
    <mergeCell ref="I27:J28"/>
    <mergeCell ref="H27:H28"/>
    <mergeCell ref="B9:B10"/>
    <mergeCell ref="C9:C10"/>
    <mergeCell ref="D9:D10"/>
    <mergeCell ref="E9:E10"/>
    <mergeCell ref="F9:F10"/>
    <mergeCell ref="G9:G10"/>
    <mergeCell ref="B17:B18"/>
    <mergeCell ref="C17:C18"/>
    <mergeCell ref="D17:D18"/>
    <mergeCell ref="E17:E18"/>
    <mergeCell ref="F17:F18"/>
    <mergeCell ref="G17:G18"/>
    <mergeCell ref="B13:B14"/>
    <mergeCell ref="C13:C14"/>
    <mergeCell ref="D13:D14"/>
    <mergeCell ref="E13:E14"/>
    <mergeCell ref="F13:F14"/>
    <mergeCell ref="G13:G14"/>
    <mergeCell ref="B11:B12"/>
    <mergeCell ref="C11:C12"/>
    <mergeCell ref="D11:D12"/>
    <mergeCell ref="E11:E12"/>
    <mergeCell ref="F11:F12"/>
    <mergeCell ref="G11:G12"/>
    <mergeCell ref="B56:C56"/>
    <mergeCell ref="M37:M38"/>
    <mergeCell ref="M39:M40"/>
    <mergeCell ref="M41:M42"/>
    <mergeCell ref="M43:M44"/>
    <mergeCell ref="M49:M50"/>
    <mergeCell ref="M51:M52"/>
    <mergeCell ref="K56:L56"/>
    <mergeCell ref="F56:J56"/>
    <mergeCell ref="K37:K38"/>
    <mergeCell ref="K39:K40"/>
    <mergeCell ref="K41:K42"/>
    <mergeCell ref="K43:K44"/>
    <mergeCell ref="K49:K50"/>
    <mergeCell ref="K51:K52"/>
    <mergeCell ref="L37:L38"/>
    <mergeCell ref="L39:L40"/>
    <mergeCell ref="B45:B46"/>
    <mergeCell ref="E37:E38"/>
    <mergeCell ref="F37:F38"/>
    <mergeCell ref="G37:G38"/>
    <mergeCell ref="B43:B44"/>
    <mergeCell ref="C43:C44"/>
    <mergeCell ref="D43:D44"/>
    <mergeCell ref="H51:H52"/>
    <mergeCell ref="Q54:W54"/>
    <mergeCell ref="I11:J12"/>
    <mergeCell ref="I9:J10"/>
    <mergeCell ref="I13:J14"/>
    <mergeCell ref="I15:J16"/>
    <mergeCell ref="I17:J18"/>
    <mergeCell ref="I19:J20"/>
    <mergeCell ref="I21:J22"/>
    <mergeCell ref="I23:J24"/>
    <mergeCell ref="I25:J26"/>
    <mergeCell ref="I35:J36"/>
    <mergeCell ref="I37:J38"/>
    <mergeCell ref="I39:J40"/>
    <mergeCell ref="I41:J42"/>
    <mergeCell ref="I43:J44"/>
    <mergeCell ref="I49:J50"/>
    <mergeCell ref="H9:H10"/>
    <mergeCell ref="H13:H14"/>
    <mergeCell ref="H11:H12"/>
    <mergeCell ref="L35:L36"/>
    <mergeCell ref="K34:L34"/>
    <mergeCell ref="Q43:W43"/>
    <mergeCell ref="Q44:W44"/>
    <mergeCell ref="Q49:W49"/>
    <mergeCell ref="Q50:W50"/>
    <mergeCell ref="Q51:W51"/>
    <mergeCell ref="Q52:W52"/>
    <mergeCell ref="I59:J59"/>
    <mergeCell ref="Q35:W35"/>
    <mergeCell ref="Q36:W36"/>
    <mergeCell ref="Q37:W37"/>
    <mergeCell ref="Q38:W38"/>
    <mergeCell ref="Q39:W39"/>
    <mergeCell ref="Q40:W40"/>
    <mergeCell ref="Q41:W41"/>
    <mergeCell ref="Q42:W42"/>
    <mergeCell ref="I51:J52"/>
    <mergeCell ref="L41:L42"/>
    <mergeCell ref="L43:L44"/>
    <mergeCell ref="L49:L50"/>
    <mergeCell ref="L51:L52"/>
    <mergeCell ref="F54:J54"/>
    <mergeCell ref="K54:L54"/>
    <mergeCell ref="Q45:W45"/>
    <mergeCell ref="Q46:W46"/>
    <mergeCell ref="Q47:W47"/>
    <mergeCell ref="Q48:W48"/>
    <mergeCell ref="Q8:W8"/>
    <mergeCell ref="Q34:W34"/>
    <mergeCell ref="Q9:W9"/>
    <mergeCell ref="Q10:W10"/>
    <mergeCell ref="Q11:W11"/>
    <mergeCell ref="Q12:W12"/>
    <mergeCell ref="Q13:W13"/>
    <mergeCell ref="Q14:W14"/>
    <mergeCell ref="Q15:W15"/>
    <mergeCell ref="Q16:W16"/>
    <mergeCell ref="Q17:W17"/>
    <mergeCell ref="Q18:W18"/>
    <mergeCell ref="Q19:W19"/>
    <mergeCell ref="Q20:W20"/>
    <mergeCell ref="Q21:W21"/>
    <mergeCell ref="Q22:W22"/>
    <mergeCell ref="Q23:W23"/>
    <mergeCell ref="Q24:W24"/>
    <mergeCell ref="Q25:W25"/>
    <mergeCell ref="Q26:W26"/>
    <mergeCell ref="Q27:W27"/>
    <mergeCell ref="Q28:W28"/>
    <mergeCell ref="B47:B48"/>
    <mergeCell ref="C47:C48"/>
    <mergeCell ref="D47:D48"/>
    <mergeCell ref="E47:E48"/>
    <mergeCell ref="F47:F48"/>
    <mergeCell ref="G47:G48"/>
    <mergeCell ref="H47:H48"/>
    <mergeCell ref="I47:J48"/>
    <mergeCell ref="K47:K48"/>
    <mergeCell ref="C45:C46"/>
    <mergeCell ref="D45:D46"/>
    <mergeCell ref="E45:E46"/>
    <mergeCell ref="F45:F46"/>
    <mergeCell ref="G45:G46"/>
    <mergeCell ref="H45:H46"/>
    <mergeCell ref="I45:J46"/>
    <mergeCell ref="K45:K46"/>
    <mergeCell ref="O37:O38"/>
    <mergeCell ref="O39:O40"/>
    <mergeCell ref="O41:O42"/>
    <mergeCell ref="O43:O44"/>
    <mergeCell ref="O45:O46"/>
    <mergeCell ref="N37:N38"/>
    <mergeCell ref="N39:N40"/>
    <mergeCell ref="N41:N42"/>
    <mergeCell ref="N43:N44"/>
    <mergeCell ref="E43:E44"/>
    <mergeCell ref="O47:O48"/>
    <mergeCell ref="O49:O50"/>
    <mergeCell ref="O51:O52"/>
    <mergeCell ref="L45:L46"/>
    <mergeCell ref="N45:N46"/>
    <mergeCell ref="N47:N48"/>
    <mergeCell ref="M45:M46"/>
    <mergeCell ref="M47:M48"/>
    <mergeCell ref="N49:N50"/>
    <mergeCell ref="N51:N52"/>
    <mergeCell ref="L47:L48"/>
  </mergeCells>
  <conditionalFormatting sqref="G30:K30">
    <cfRule type="containsText" dxfId="223" priority="73" operator="containsText" text="INSUFFICIENT FUNDS TO CLOSE">
      <formula>NOT(ISERROR(SEARCH("INSUFFICIENT FUNDS TO CLOSE",G30)))</formula>
    </cfRule>
    <cfRule type="beginsWith" dxfId="222" priority="76" operator="beginsWith" text="SUFFICIENT FUNDS TO CLOSE">
      <formula>LEFT(G30,LEN("SUFFICIENT FUNDS TO CLOSE"))="SUFFICIENT FUNDS TO CLOSE"</formula>
    </cfRule>
  </conditionalFormatting>
  <conditionalFormatting sqref="F30">
    <cfRule type="expression" dxfId="221" priority="75">
      <formula>"IF($F$32&gt;0,($F$30),)"</formula>
    </cfRule>
  </conditionalFormatting>
  <conditionalFormatting sqref="F32:F33">
    <cfRule type="cellIs" dxfId="220" priority="74" operator="lessThan">
      <formula>0</formula>
    </cfRule>
  </conditionalFormatting>
  <conditionalFormatting sqref="L37:L38">
    <cfRule type="expression" dxfId="219" priority="37">
      <formula>AND($K$37="DSCR DEPLETION",ISBLANK($L$37))</formula>
    </cfRule>
    <cfRule type="expression" dxfId="218" priority="54">
      <formula>AND($K$37="ATR-IN-FULL",ISBLANK($L$37))</formula>
    </cfRule>
    <cfRule type="expression" dxfId="217" priority="66">
      <formula>AND($K$37="DEPLETION",ISBLANK($L$37))</formula>
    </cfRule>
  </conditionalFormatting>
  <conditionalFormatting sqref="L39:L40">
    <cfRule type="expression" dxfId="216" priority="38">
      <formula>AND($K$39="DSCR DEPLETION",ISBLANK($L$39))</formula>
    </cfRule>
    <cfRule type="expression" dxfId="215" priority="53">
      <formula>AND($K$39="ATR-IN-FULL",ISBLANK($L$39))</formula>
    </cfRule>
    <cfRule type="expression" dxfId="214" priority="65">
      <formula>AND($K$39="DEPLETION",ISBLANK($L$39))</formula>
    </cfRule>
  </conditionalFormatting>
  <conditionalFormatting sqref="L41:L42">
    <cfRule type="expression" dxfId="213" priority="30">
      <formula>AND($K$41="DSCR DEPLETION",ISBLANK($L$41))</formula>
    </cfRule>
    <cfRule type="expression" dxfId="212" priority="52">
      <formula>AND($K$41="ATR-IN-FULL",ISBLANK($L$41))</formula>
    </cfRule>
    <cfRule type="expression" dxfId="211" priority="64">
      <formula>AND($K$41="DEPLETION",ISBLANK($L$41))</formula>
    </cfRule>
  </conditionalFormatting>
  <conditionalFormatting sqref="L49:L50">
    <cfRule type="expression" dxfId="210" priority="32">
      <formula>AND($K$49="DSCR DEPLETION",ISBLANK($L$49))</formula>
    </cfRule>
    <cfRule type="expression" dxfId="209" priority="50">
      <formula>AND($K$49="ATR-IN-FULL",ISBLANK($L$49))</formula>
    </cfRule>
    <cfRule type="expression" dxfId="208" priority="63">
      <formula>AND($K$49="DEPLETION",ISBLANK($L$49))</formula>
    </cfRule>
  </conditionalFormatting>
  <conditionalFormatting sqref="L43:L44">
    <cfRule type="expression" dxfId="207" priority="35">
      <formula>AND($K$43="DSCR DEPLETION",ISBLANK($L$43))</formula>
    </cfRule>
    <cfRule type="expression" dxfId="206" priority="51">
      <formula>AND($K$43="ATR-IN-FULL",ISBLANK($L$43))</formula>
    </cfRule>
    <cfRule type="expression" dxfId="205" priority="62">
      <formula>AND($K$43="DEPLETION",ISBLANK($L$43))</formula>
    </cfRule>
  </conditionalFormatting>
  <conditionalFormatting sqref="L51:L52">
    <cfRule type="expression" dxfId="204" priority="31">
      <formula>AND($K$51="DSCR DEPLETION",ISBLANK($L$51))</formula>
    </cfRule>
    <cfRule type="expression" dxfId="203" priority="42">
      <formula>AND($K$51="ATR-IN-FULL",ISBLANK($L$51))</formula>
    </cfRule>
    <cfRule type="expression" dxfId="202" priority="49">
      <formula>AND($K$51="DEPLETION",ISBLANK($L$51))</formula>
    </cfRule>
  </conditionalFormatting>
  <conditionalFormatting sqref="L47:L48">
    <cfRule type="expression" dxfId="201" priority="33">
      <formula>AND($K$47="DSCR DEPLETION",ISBLANK($L$47))</formula>
    </cfRule>
    <cfRule type="expression" dxfId="200" priority="46">
      <formula>AND($K$47="ATR-IN-FULL",ISBLANK($L$47))</formula>
    </cfRule>
    <cfRule type="expression" dxfId="199" priority="48">
      <formula>AND($K$47="DEPLETION",ISBLANK($L$47))</formula>
    </cfRule>
  </conditionalFormatting>
  <conditionalFormatting sqref="L45:L46">
    <cfRule type="expression" dxfId="198" priority="34">
      <formula>AND($K$45="DSCR DEPLETION",ISBLANK($L$45))</formula>
    </cfRule>
    <cfRule type="expression" dxfId="197" priority="43">
      <formula>AND($K$45="ATR-IN-FULL",ISBLANK($L$45))</formula>
    </cfRule>
    <cfRule type="expression" dxfId="196" priority="45">
      <formula>AND($K$45="DEPLETION",ISBLANK($L$45))</formula>
    </cfRule>
  </conditionalFormatting>
  <conditionalFormatting sqref="K54:L54">
    <cfRule type="expression" dxfId="195" priority="41">
      <formula>AND($M$55=TRUE,$K$54=0)</formula>
    </cfRule>
  </conditionalFormatting>
  <conditionalFormatting sqref="K56:L56">
    <cfRule type="expression" dxfId="194" priority="40">
      <formula>AND($M$56=TRUE,$K$56=0)</formula>
    </cfRule>
  </conditionalFormatting>
  <conditionalFormatting sqref="K37:K38">
    <cfRule type="expression" dxfId="193" priority="25">
      <formula>AND($F$37&gt;0,ISBLANK($K$37))</formula>
    </cfRule>
  </conditionalFormatting>
  <conditionalFormatting sqref="K39:K40">
    <cfRule type="expression" dxfId="192" priority="24">
      <formula>AND($F$39&gt;0,ISBLANK($K$39))</formula>
    </cfRule>
  </conditionalFormatting>
  <conditionalFormatting sqref="K51:K52">
    <cfRule type="expression" dxfId="191" priority="23">
      <formula>AND($F$51&gt;0,ISBLANK($K$51))</formula>
    </cfRule>
  </conditionalFormatting>
  <conditionalFormatting sqref="K41:K42">
    <cfRule type="expression" dxfId="190" priority="22">
      <formula>AND($F$41&gt;0,ISBLANK($K$41))</formula>
    </cfRule>
  </conditionalFormatting>
  <conditionalFormatting sqref="K43:K44">
    <cfRule type="expression" dxfId="189" priority="21">
      <formula>AND($F$43&gt;0,ISBLANK($K$43))</formula>
    </cfRule>
  </conditionalFormatting>
  <conditionalFormatting sqref="K49:K50">
    <cfRule type="expression" dxfId="188" priority="20">
      <formula>AND($F$49&gt;0,ISBLANK($K$49))</formula>
    </cfRule>
  </conditionalFormatting>
  <conditionalFormatting sqref="K47:K48">
    <cfRule type="expression" dxfId="187" priority="19">
      <formula>AND($F$47&gt;0,ISBLANK($K$47))</formula>
    </cfRule>
  </conditionalFormatting>
  <conditionalFormatting sqref="K45:K46">
    <cfRule type="expression" dxfId="186" priority="18">
      <formula>AND($F$45&gt;0,ISBLANK($K$45))</formula>
    </cfRule>
  </conditionalFormatting>
  <conditionalFormatting sqref="H11:H12">
    <cfRule type="expression" dxfId="185" priority="17">
      <formula>$H$11&lt;SUM(TODAY()+8)</formula>
    </cfRule>
  </conditionalFormatting>
  <conditionalFormatting sqref="H13:H14">
    <cfRule type="expression" dxfId="184" priority="16">
      <formula>$H$13&lt;SUM(TODAY()+8)</formula>
    </cfRule>
  </conditionalFormatting>
  <conditionalFormatting sqref="H15:H16">
    <cfRule type="expression" dxfId="183" priority="15">
      <formula>$H$15&lt;SUM(TODAY()+8)</formula>
    </cfRule>
  </conditionalFormatting>
  <conditionalFormatting sqref="H17:H18">
    <cfRule type="expression" dxfId="182" priority="14">
      <formula>$H$17&lt;SUM(TODAY()+8)</formula>
    </cfRule>
  </conditionalFormatting>
  <conditionalFormatting sqref="H19:H20">
    <cfRule type="expression" dxfId="181" priority="13">
      <formula>$H$19&lt;SUM(TODAY()+8)</formula>
    </cfRule>
  </conditionalFormatting>
  <conditionalFormatting sqref="H21:H22">
    <cfRule type="expression" dxfId="180" priority="12">
      <formula>$H$21&lt;SUM(TODAY()+8)</formula>
    </cfRule>
  </conditionalFormatting>
  <conditionalFormatting sqref="H23:H24">
    <cfRule type="expression" dxfId="179" priority="11">
      <formula>$H$23&lt;SUM(TODAY()+8)</formula>
    </cfRule>
  </conditionalFormatting>
  <conditionalFormatting sqref="H25:H26">
    <cfRule type="expression" dxfId="178" priority="10">
      <formula>$H$25&lt;SUM(TODAY()+8)</formula>
    </cfRule>
  </conditionalFormatting>
  <conditionalFormatting sqref="H27:H28">
    <cfRule type="expression" dxfId="177" priority="9">
      <formula>$H$27&lt;SUM(TODAY()+8)</formula>
    </cfRule>
  </conditionalFormatting>
  <conditionalFormatting sqref="H37:H38">
    <cfRule type="expression" dxfId="176" priority="8">
      <formula>$H$37&lt;SUM(TODAY()+8)</formula>
    </cfRule>
  </conditionalFormatting>
  <conditionalFormatting sqref="H39:H40">
    <cfRule type="expression" dxfId="175" priority="7">
      <formula>$H$39&lt;SUM(TODAY()+8)</formula>
    </cfRule>
  </conditionalFormatting>
  <conditionalFormatting sqref="H51:H52">
    <cfRule type="expression" dxfId="174" priority="6">
      <formula>$H$51&lt;SUM(TODAY()+8)</formula>
    </cfRule>
  </conditionalFormatting>
  <conditionalFormatting sqref="H41:H42">
    <cfRule type="expression" dxfId="173" priority="5">
      <formula>$H$41&lt;SUM(TODAY()+8)</formula>
    </cfRule>
  </conditionalFormatting>
  <conditionalFormatting sqref="H43:H44">
    <cfRule type="expression" dxfId="172" priority="4">
      <formula>$H$43&lt;SUM(TODAY()+8)</formula>
    </cfRule>
  </conditionalFormatting>
  <conditionalFormatting sqref="H45:H46">
    <cfRule type="expression" dxfId="171" priority="3">
      <formula>$H$45&lt;SUM(TODAY()+8)</formula>
    </cfRule>
  </conditionalFormatting>
  <conditionalFormatting sqref="H47:H48">
    <cfRule type="expression" dxfId="170" priority="2">
      <formula>$H$47&lt;SUM(TODAY()+8)</formula>
    </cfRule>
  </conditionalFormatting>
  <conditionalFormatting sqref="H49:H50">
    <cfRule type="expression" dxfId="169" priority="1">
      <formula>$H$49&lt;SUM(TODAY()+8)</formula>
    </cfRule>
  </conditionalFormatting>
  <dataValidations count="7">
    <dataValidation type="list" allowBlank="1" showInputMessage="1" showErrorMessage="1" sqref="D37:D54">
      <formula1>"401K, IRA, BROKERAGE, RETIREMENT, PERSONAL CHECKING, PERSONAL SAVINGS"</formula1>
    </dataValidation>
    <dataValidation type="list" allowBlank="1" showInputMessage="1" showErrorMessage="1" sqref="D11:D28">
      <formula1>" ,Personal Checking, Personal Savings, Business Checking, Business Savings, Brokerage, Gift Funds From Family/Relative, Gift of Equity, Net Proceeds from Sale of Property"</formula1>
    </dataValidation>
    <dataValidation type="list" allowBlank="1" showInputMessage="1" showErrorMessage="1" sqref="L37:L52">
      <formula1>"100,60,50"</formula1>
    </dataValidation>
    <dataValidation type="decimal" operator="notEqual" allowBlank="1" showInputMessage="1" showErrorMessage="1" sqref="F11:F28 F43:F53">
      <formula1>0</formula1>
    </dataValidation>
    <dataValidation type="decimal" operator="greaterThan" allowBlank="1" showInputMessage="1" showErrorMessage="1" sqref="F37:F42">
      <formula1>0</formula1>
    </dataValidation>
    <dataValidation type="list" allowBlank="1" showInputMessage="1" showErrorMessage="1" sqref="I37:J52 I11:J28">
      <formula1>"Y,N,NEED STMT TO BE UPDATED"</formula1>
    </dataValidation>
    <dataValidation type="list" allowBlank="1" showInputMessage="1" showErrorMessage="1" sqref="K37:K52">
      <formula1>"RESERVES, DEPLETION,ATR-IN-FULL"</formula1>
    </dataValidation>
  </dataValidations>
  <pageMargins left="0.4" right="0.4" top="0.3" bottom="0.3" header="0" footer="0"/>
  <pageSetup paperSize="5" scale="61"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62"/>
  <sheetViews>
    <sheetView topLeftCell="A10" workbookViewId="0">
      <selection activeCell="B32" sqref="B32"/>
    </sheetView>
  </sheetViews>
  <sheetFormatPr defaultRowHeight="12.75" x14ac:dyDescent="0.2"/>
  <cols>
    <col min="1" max="1" width="24.42578125" customWidth="1"/>
    <col min="2" max="2" width="18" customWidth="1"/>
    <col min="3" max="5" width="16.85546875" customWidth="1"/>
  </cols>
  <sheetData>
    <row r="1" spans="1:5" x14ac:dyDescent="0.2">
      <c r="A1" s="7"/>
      <c r="B1" s="7"/>
      <c r="C1" s="7"/>
      <c r="D1" s="24"/>
      <c r="E1" s="7"/>
    </row>
    <row r="2" spans="1:5" ht="20.25" x14ac:dyDescent="0.3">
      <c r="A2" s="9"/>
      <c r="B2" s="9"/>
      <c r="C2" s="9"/>
      <c r="D2" s="1430" t="s">
        <v>358</v>
      </c>
      <c r="E2" s="1430"/>
    </row>
    <row r="3" spans="1:5" ht="20.25" x14ac:dyDescent="0.3">
      <c r="A3" s="9"/>
      <c r="B3" s="9"/>
      <c r="C3" s="9"/>
      <c r="E3" s="21"/>
    </row>
    <row r="4" spans="1:5" ht="20.25" x14ac:dyDescent="0.3">
      <c r="A4" s="9"/>
      <c r="B4" s="9"/>
      <c r="C4" s="9"/>
      <c r="D4" s="476"/>
      <c r="E4" s="21"/>
    </row>
    <row r="5" spans="1:5" ht="15" x14ac:dyDescent="0.25">
      <c r="B5" s="42"/>
      <c r="D5" s="480" t="s">
        <v>2</v>
      </c>
      <c r="E5" s="427">
        <f>Approval!Q7</f>
        <v>0</v>
      </c>
    </row>
    <row r="6" spans="1:5" ht="15" x14ac:dyDescent="0.2">
      <c r="A6" s="470" t="s">
        <v>359</v>
      </c>
      <c r="B6" s="44">
        <f>Approval!E6</f>
        <v>0</v>
      </c>
      <c r="C6" s="38"/>
      <c r="D6" s="481" t="s">
        <v>360</v>
      </c>
      <c r="E6" s="502"/>
    </row>
    <row r="7" spans="1:5" ht="15" x14ac:dyDescent="0.2">
      <c r="A7" s="467" t="s">
        <v>412</v>
      </c>
      <c r="B7" s="483"/>
      <c r="C7" s="17"/>
      <c r="D7" s="481" t="s">
        <v>506</v>
      </c>
      <c r="E7" s="503">
        <f>ROUNDDOWN(IF(D9&lt;1,SUM((MONTH(E6)-1)+D9),MONTH(E6)),2)</f>
        <v>0</v>
      </c>
    </row>
    <row r="8" spans="1:5" ht="15" x14ac:dyDescent="0.2">
      <c r="A8" s="467" t="s">
        <v>402</v>
      </c>
      <c r="B8" s="479" t="str">
        <f>IF(ISBLANK(B7)=TRUE," ",B7+30 )</f>
        <v xml:space="preserve"> </v>
      </c>
      <c r="C8" s="17"/>
      <c r="D8" s="481" t="s">
        <v>361</v>
      </c>
      <c r="E8" s="503">
        <f>IF(AND(C11&lt;&gt;"",D11&lt;&gt;""),SUM(24+E7),IF(AND(C11="",D11=""),E7,IF(_xlfn.XOR(C11=" ",D11=" "),"",SUM(E7+12))))</f>
        <v>24</v>
      </c>
    </row>
    <row r="9" spans="1:5" x14ac:dyDescent="0.2">
      <c r="A9" s="284"/>
      <c r="B9" s="284"/>
      <c r="C9" s="284"/>
      <c r="D9" s="478">
        <f>DAY(E6)/E9</f>
        <v>0</v>
      </c>
      <c r="E9" s="477">
        <f>DAY(DATE(YEAR(E6),MONTH(E6)+1,1)-1)</f>
        <v>31</v>
      </c>
    </row>
    <row r="10" spans="1:5" ht="14.25" x14ac:dyDescent="0.2">
      <c r="A10" s="793" t="s">
        <v>362</v>
      </c>
      <c r="B10" s="794" t="s">
        <v>363</v>
      </c>
      <c r="C10" s="794">
        <v>2016</v>
      </c>
      <c r="D10" s="795">
        <v>2015</v>
      </c>
      <c r="E10" s="524" t="s">
        <v>47</v>
      </c>
    </row>
    <row r="11" spans="1:5" ht="14.25" x14ac:dyDescent="0.2">
      <c r="A11" s="817"/>
      <c r="B11" s="796">
        <v>0</v>
      </c>
      <c r="C11" s="796">
        <v>0</v>
      </c>
      <c r="D11" s="797">
        <v>0</v>
      </c>
      <c r="E11" s="505">
        <f>SUM(B11:D11)</f>
        <v>0</v>
      </c>
    </row>
    <row r="12" spans="1:5" ht="14.25" x14ac:dyDescent="0.2">
      <c r="A12" s="817"/>
      <c r="B12" s="796">
        <v>0</v>
      </c>
      <c r="C12" s="796">
        <v>0</v>
      </c>
      <c r="D12" s="797">
        <v>0</v>
      </c>
      <c r="E12" s="505">
        <f>SUM(B12:D12)</f>
        <v>0</v>
      </c>
    </row>
    <row r="13" spans="1:5" ht="14.25" x14ac:dyDescent="0.2">
      <c r="A13" s="818"/>
      <c r="B13" s="796">
        <v>0</v>
      </c>
      <c r="C13" s="796">
        <v>0</v>
      </c>
      <c r="D13" s="797">
        <v>0</v>
      </c>
      <c r="E13" s="505">
        <f>SUM(B13:D13)</f>
        <v>0</v>
      </c>
    </row>
    <row r="14" spans="1:5" ht="14.25" x14ac:dyDescent="0.2">
      <c r="A14" s="819"/>
      <c r="B14" s="798"/>
      <c r="C14" s="798"/>
      <c r="D14" s="798"/>
      <c r="E14" s="510"/>
    </row>
    <row r="15" spans="1:5" ht="14.25" x14ac:dyDescent="0.2">
      <c r="A15" s="504" t="s">
        <v>31</v>
      </c>
      <c r="B15" s="511">
        <f>SUM(B11:B13)</f>
        <v>0</v>
      </c>
      <c r="C15" s="511">
        <f>SUM(C11:C13)</f>
        <v>0</v>
      </c>
      <c r="D15" s="511">
        <f>SUM(D11:D13)</f>
        <v>0</v>
      </c>
      <c r="E15" s="511">
        <f>SUM(E11:E13)</f>
        <v>0</v>
      </c>
    </row>
    <row r="16" spans="1:5" ht="14.25" x14ac:dyDescent="0.2">
      <c r="A16" s="507" t="s">
        <v>364</v>
      </c>
      <c r="B16" s="511" t="e">
        <f>B15/E7</f>
        <v>#DIV/0!</v>
      </c>
      <c r="C16" s="568">
        <f>C15/12</f>
        <v>0</v>
      </c>
      <c r="D16" s="505">
        <f>D15/12</f>
        <v>0</v>
      </c>
      <c r="E16" s="505"/>
    </row>
    <row r="17" spans="1:9" ht="14.25" x14ac:dyDescent="0.2">
      <c r="A17" s="508"/>
      <c r="B17" s="512"/>
      <c r="C17" s="1433" t="s">
        <v>365</v>
      </c>
      <c r="D17" s="1434"/>
      <c r="E17" s="513">
        <f>IF(ISBLANK(C11), "N/A",SUM(B15:C15)/(E7+12))</f>
        <v>0</v>
      </c>
    </row>
    <row r="18" spans="1:9" ht="14.25" x14ac:dyDescent="0.2">
      <c r="A18" s="508"/>
      <c r="B18" s="512"/>
      <c r="C18" s="1431" t="s">
        <v>366</v>
      </c>
      <c r="D18" s="1432"/>
      <c r="E18" s="513">
        <f>IF(_xlfn.XOR(C11="",D11=""),"N/A",SUM(B15:D15)/E8)</f>
        <v>0</v>
      </c>
      <c r="I18" s="26"/>
    </row>
    <row r="19" spans="1:9" ht="14.25" x14ac:dyDescent="0.2">
      <c r="A19" s="525"/>
      <c r="B19" s="509"/>
      <c r="C19" s="1431" t="s">
        <v>367</v>
      </c>
      <c r="D19" s="1432"/>
      <c r="E19" s="514">
        <f>IF(AND(C11&lt;&gt;"",D11&lt;&gt;""),SUM(C15:D15)/24,"N/A")</f>
        <v>0</v>
      </c>
    </row>
    <row r="20" spans="1:9" ht="14.25" x14ac:dyDescent="0.2">
      <c r="A20" s="515" t="s">
        <v>416</v>
      </c>
      <c r="B20" s="516"/>
      <c r="C20" s="517"/>
      <c r="D20" s="517"/>
      <c r="E20" s="518"/>
      <c r="F20" s="42"/>
    </row>
    <row r="21" spans="1:9" ht="14.25" x14ac:dyDescent="0.2">
      <c r="A21" s="510" t="s">
        <v>194</v>
      </c>
      <c r="B21" s="802"/>
      <c r="C21" s="519">
        <f>IF(A21="Hourly",B21*40*52,IF(A21="Weekly",B21*52,IF(A21="Bi Weekly",B21*26,IF(A21="Semi Monthly",B21*24,IF(A21="Monthly",B21*12,"")))))</f>
        <v>0</v>
      </c>
      <c r="D21" s="519"/>
      <c r="E21" s="519">
        <f>IF(A21="Annually",B21/12,C21/12)</f>
        <v>0</v>
      </c>
    </row>
    <row r="22" spans="1:9" ht="14.25" x14ac:dyDescent="0.2">
      <c r="A22" s="520"/>
      <c r="B22" s="521"/>
      <c r="C22" s="521"/>
      <c r="D22" s="521"/>
      <c r="E22" s="521"/>
    </row>
    <row r="23" spans="1:9" ht="14.25" x14ac:dyDescent="0.2">
      <c r="A23" s="522" t="s">
        <v>414</v>
      </c>
      <c r="B23" s="519" t="s">
        <v>415</v>
      </c>
      <c r="C23" s="519" t="s">
        <v>507</v>
      </c>
      <c r="D23" s="519" t="s">
        <v>413</v>
      </c>
      <c r="E23" s="519" t="s">
        <v>417</v>
      </c>
    </row>
    <row r="24" spans="1:9" ht="14.25" x14ac:dyDescent="0.2">
      <c r="A24" s="820"/>
      <c r="B24" s="519"/>
      <c r="C24" s="519"/>
      <c r="D24" s="519"/>
      <c r="E24" s="505">
        <f>IF(B24&lt;&gt;"",B24,IF(AND(C24&lt;&gt;"",D24&lt;&gt;""),SUM(C24,D24)/24,IF(_xlfn.XOR(C24&lt;&gt;" ",D24&lt;&gt;" "),IF(AND(C24="",D24="",B24&lt;&gt;""),B24," "),SUM(C24:D24)/12)))</f>
        <v>0</v>
      </c>
    </row>
    <row r="25" spans="1:9" ht="14.25" x14ac:dyDescent="0.2">
      <c r="A25" s="821"/>
      <c r="B25" s="505"/>
      <c r="C25" s="505"/>
      <c r="D25" s="505"/>
      <c r="E25" s="505">
        <f>IF(B25&lt;&gt;"",B25,IF(AND(C25&lt;&gt;"",D25&lt;&gt;""),SUM(C25,D25)/24,IF(_xlfn.XOR(C25&lt;&gt;" ",D25&lt;&gt;" "),IF(AND(C25="",D25="",B25&lt;&gt;""),B25," "),SUM(C25:D25)/12)))</f>
        <v>0</v>
      </c>
    </row>
    <row r="26" spans="1:9" ht="13.5" customHeight="1" x14ac:dyDescent="0.2">
      <c r="A26" s="822"/>
      <c r="B26" s="505"/>
      <c r="C26" s="505"/>
      <c r="D26" s="505"/>
      <c r="E26" s="505">
        <f>IF(B26&lt;&gt;"",B26,IF(AND(C26&lt;&gt;"",D26&lt;&gt;""),SUM(C26,D26)/24,IF(_xlfn.XOR(C26&lt;&gt;" ",D26&lt;&gt;" "),IF(AND(C26="",D26="",B26&lt;&gt;""),B26," "),SUM(C26:D26)/12)))</f>
        <v>0</v>
      </c>
    </row>
    <row r="27" spans="1:9" ht="14.25" x14ac:dyDescent="0.2">
      <c r="A27" s="526"/>
      <c r="B27" s="527" t="s">
        <v>364</v>
      </c>
      <c r="C27" s="528">
        <f>SUM(C24:C26)/12</f>
        <v>0</v>
      </c>
      <c r="D27" s="528">
        <f>SUM(D24:D26)/12</f>
        <v>0</v>
      </c>
      <c r="E27" s="526"/>
    </row>
    <row r="28" spans="1:9" ht="14.25" x14ac:dyDescent="0.2">
      <c r="A28" s="470"/>
      <c r="B28" s="481"/>
      <c r="C28" s="482"/>
      <c r="D28" s="482"/>
      <c r="E28" s="470"/>
    </row>
    <row r="29" spans="1:9" ht="14.25" x14ac:dyDescent="0.2">
      <c r="A29" s="470"/>
      <c r="B29" s="470"/>
      <c r="C29" s="470"/>
      <c r="D29" s="470"/>
      <c r="E29" s="470"/>
    </row>
    <row r="30" spans="1:9" ht="14.25" x14ac:dyDescent="0.2">
      <c r="A30" s="526" t="s">
        <v>368</v>
      </c>
      <c r="B30" s="529">
        <f>Approval!E7</f>
        <v>0</v>
      </c>
      <c r="C30" s="516"/>
      <c r="D30" s="527" t="s">
        <v>360</v>
      </c>
      <c r="E30" s="530"/>
    </row>
    <row r="31" spans="1:9" ht="14.25" x14ac:dyDescent="0.2">
      <c r="A31" s="531" t="s">
        <v>412</v>
      </c>
      <c r="B31" s="532"/>
      <c r="C31" s="526"/>
      <c r="D31" s="527" t="s">
        <v>506</v>
      </c>
      <c r="E31" s="503">
        <f>ROUNDDOWN(IF(D33&lt;1,SUM((MONTH(E30)-1)+D33),MONTH(E30)),2)</f>
        <v>0</v>
      </c>
    </row>
    <row r="32" spans="1:9" ht="14.25" x14ac:dyDescent="0.2">
      <c r="A32" s="533" t="s">
        <v>402</v>
      </c>
      <c r="B32" s="534" t="str">
        <f>IF(ISBLANK(B31)=TRUE," ",B31+30 )</f>
        <v xml:space="preserve"> </v>
      </c>
      <c r="C32" s="526"/>
      <c r="D32" s="527" t="s">
        <v>369</v>
      </c>
      <c r="E32" s="503">
        <f>IF(AND(C35&lt;&gt;"",D35&lt;&gt;""),SUM(24+E31),IF(AND(C35="",D35=""),E31,IF(_xlfn.XOR(C35=" ",D35=" "),"",SUM(E31+12))))</f>
        <v>24</v>
      </c>
    </row>
    <row r="33" spans="1:5" ht="14.25" x14ac:dyDescent="0.2">
      <c r="A33" s="799"/>
      <c r="B33" s="799"/>
      <c r="C33" s="799"/>
      <c r="D33" s="535">
        <f>DAY(E30)/E33</f>
        <v>0</v>
      </c>
      <c r="E33" s="536">
        <f>DAY(DATE(YEAR(E30),MONTH(E30)+1,1)-1)</f>
        <v>31</v>
      </c>
    </row>
    <row r="34" spans="1:5" ht="14.25" x14ac:dyDescent="0.2">
      <c r="A34" s="793" t="s">
        <v>362</v>
      </c>
      <c r="B34" s="794" t="s">
        <v>363</v>
      </c>
      <c r="C34" s="794">
        <v>2016</v>
      </c>
      <c r="D34" s="795">
        <v>2015</v>
      </c>
      <c r="E34" s="524" t="s">
        <v>47</v>
      </c>
    </row>
    <row r="35" spans="1:5" ht="14.25" x14ac:dyDescent="0.2">
      <c r="A35" s="817"/>
      <c r="B35" s="796">
        <v>0</v>
      </c>
      <c r="C35" s="796">
        <v>0</v>
      </c>
      <c r="D35" s="797">
        <v>0</v>
      </c>
      <c r="E35" s="505">
        <f>SUM(B35:D35)</f>
        <v>0</v>
      </c>
    </row>
    <row r="36" spans="1:5" ht="14.25" x14ac:dyDescent="0.2">
      <c r="A36" s="817"/>
      <c r="B36" s="796">
        <v>0</v>
      </c>
      <c r="C36" s="796">
        <v>0</v>
      </c>
      <c r="D36" s="797">
        <v>0</v>
      </c>
      <c r="E36" s="505">
        <f>SUM(B36:D36)</f>
        <v>0</v>
      </c>
    </row>
    <row r="37" spans="1:5" ht="14.25" x14ac:dyDescent="0.2">
      <c r="A37" s="818"/>
      <c r="B37" s="796">
        <v>0</v>
      </c>
      <c r="C37" s="796">
        <v>0</v>
      </c>
      <c r="D37" s="797">
        <v>0</v>
      </c>
      <c r="E37" s="505">
        <f>SUM(B37:D37)</f>
        <v>0</v>
      </c>
    </row>
    <row r="38" spans="1:5" ht="14.25" x14ac:dyDescent="0.2">
      <c r="A38" s="819"/>
      <c r="B38" s="798"/>
      <c r="C38" s="798"/>
      <c r="D38" s="798"/>
      <c r="E38" s="510"/>
    </row>
    <row r="39" spans="1:5" ht="14.25" x14ac:dyDescent="0.2">
      <c r="A39" s="504" t="s">
        <v>31</v>
      </c>
      <c r="B39" s="511">
        <f>SUM(B35:B37)</f>
        <v>0</v>
      </c>
      <c r="C39" s="511">
        <f>SUM(C35:C37)</f>
        <v>0</v>
      </c>
      <c r="D39" s="511">
        <f>SUM(D35:D37)</f>
        <v>0</v>
      </c>
      <c r="E39" s="511">
        <f>SUM(E35:E37)</f>
        <v>0</v>
      </c>
    </row>
    <row r="40" spans="1:5" ht="14.25" x14ac:dyDescent="0.2">
      <c r="A40" s="507" t="s">
        <v>364</v>
      </c>
      <c r="B40" s="511" t="e">
        <f>B39/E31</f>
        <v>#DIV/0!</v>
      </c>
      <c r="C40" s="511">
        <f>C39/12</f>
        <v>0</v>
      </c>
      <c r="D40" s="505">
        <f>D39/12</f>
        <v>0</v>
      </c>
      <c r="E40" s="505"/>
    </row>
    <row r="41" spans="1:5" ht="14.25" x14ac:dyDescent="0.2">
      <c r="A41" s="508"/>
      <c r="B41" s="512"/>
      <c r="C41" s="1433" t="s">
        <v>365</v>
      </c>
      <c r="D41" s="1434"/>
      <c r="E41" s="513">
        <f>SUM(B39:C39)/(E31+12)</f>
        <v>0</v>
      </c>
    </row>
    <row r="42" spans="1:5" ht="14.25" x14ac:dyDescent="0.2">
      <c r="A42" s="508"/>
      <c r="B42" s="512"/>
      <c r="C42" s="1431" t="s">
        <v>366</v>
      </c>
      <c r="D42" s="1432"/>
      <c r="E42" s="513">
        <f>SUM(B39:D39)/E32</f>
        <v>0</v>
      </c>
    </row>
    <row r="43" spans="1:5" ht="14.25" x14ac:dyDescent="0.2">
      <c r="A43" s="508"/>
      <c r="B43" s="509"/>
      <c r="C43" s="1431" t="s">
        <v>367</v>
      </c>
      <c r="D43" s="1432"/>
      <c r="E43" s="514">
        <f>SUM(C39:D39)/24</f>
        <v>0</v>
      </c>
    </row>
    <row r="44" spans="1:5" ht="14.25" x14ac:dyDescent="0.2">
      <c r="A44" s="515" t="s">
        <v>416</v>
      </c>
      <c r="B44" s="516"/>
      <c r="C44" s="517"/>
      <c r="D44" s="517"/>
      <c r="E44" s="518"/>
    </row>
    <row r="45" spans="1:5" ht="14.25" x14ac:dyDescent="0.2">
      <c r="A45" s="510" t="s">
        <v>194</v>
      </c>
      <c r="B45" s="519"/>
      <c r="C45" s="519">
        <f>IF(A45="Hourly",B45*40*52,IF(A45="Weekly",B45*52,IF(A45="Bi Weekly",B45*26,IF(A45="Semi Monthly",B45*24,IF(A45="Monthly",B45*12,"")))))</f>
        <v>0</v>
      </c>
      <c r="D45" s="519"/>
      <c r="E45" s="519">
        <f>IF(A45="Annually",B45/12,C45/12)</f>
        <v>0</v>
      </c>
    </row>
    <row r="46" spans="1:5" ht="14.25" x14ac:dyDescent="0.2">
      <c r="A46" s="520"/>
      <c r="B46" s="521"/>
      <c r="C46" s="521"/>
      <c r="D46" s="521"/>
      <c r="E46" s="521"/>
    </row>
    <row r="47" spans="1:5" ht="14.25" x14ac:dyDescent="0.2">
      <c r="A47" s="522" t="s">
        <v>414</v>
      </c>
      <c r="B47" s="519" t="s">
        <v>415</v>
      </c>
      <c r="C47" s="519" t="s">
        <v>507</v>
      </c>
      <c r="D47" s="519" t="s">
        <v>413</v>
      </c>
      <c r="E47" s="519" t="s">
        <v>417</v>
      </c>
    </row>
    <row r="48" spans="1:5" ht="14.25" x14ac:dyDescent="0.2">
      <c r="A48" s="823"/>
      <c r="B48" s="800"/>
      <c r="C48" s="800"/>
      <c r="D48" s="800"/>
      <c r="E48" s="505">
        <f>IF(B48&lt;&gt;"",B48,IF(AND(C48&lt;&gt;"",D48&lt;&gt;""),SUM(C48,D48)/24,IF(_xlfn.XOR(C48&lt;&gt;" ",D48&lt;&gt;" "),IF(AND(C48="",D48="",B48&lt;&gt;""),B48," "),SUM(C48:D48)/12)))</f>
        <v>0</v>
      </c>
    </row>
    <row r="49" spans="1:5" ht="14.25" x14ac:dyDescent="0.2">
      <c r="A49" s="824"/>
      <c r="B49" s="796"/>
      <c r="C49" s="796"/>
      <c r="D49" s="796"/>
      <c r="E49" s="505">
        <f>IF(B49&lt;&gt;"",B49,IF(AND(C49&lt;&gt;"",D49&lt;&gt;""),SUM(C49,D49)/24,IF(_xlfn.XOR(C49&lt;&gt;" ",D49&lt;&gt;" "),IF(AND(C49="",D49="",B49&lt;&gt;""),B49," "),SUM(C49:D49)/12)))</f>
        <v>0</v>
      </c>
    </row>
    <row r="50" spans="1:5" ht="14.25" x14ac:dyDescent="0.2">
      <c r="A50" s="818"/>
      <c r="B50" s="796"/>
      <c r="C50" s="796"/>
      <c r="D50" s="796"/>
      <c r="E50" s="505">
        <f>IF(B50&lt;&gt;"",B50,IF(AND(C50&lt;&gt;"",D50&lt;&gt;""),SUM(C50,D50)/24,IF(_xlfn.XOR(C50&lt;&gt;" ",D50&lt;&gt;" "),IF(AND(C50="",D50="",B50&lt;&gt;""),B50," "),SUM(C50:D50)/12)))</f>
        <v>0</v>
      </c>
    </row>
    <row r="51" spans="1:5" ht="14.25" x14ac:dyDescent="0.2">
      <c r="A51" s="526"/>
      <c r="B51" s="527" t="s">
        <v>364</v>
      </c>
      <c r="C51" s="528">
        <f>SUM(C48:C50)/12</f>
        <v>0</v>
      </c>
      <c r="D51" s="528">
        <f>SUM(D48:D50)/12</f>
        <v>0</v>
      </c>
      <c r="E51" s="526"/>
    </row>
    <row r="52" spans="1:5" ht="14.25" x14ac:dyDescent="0.2">
      <c r="A52" s="526"/>
      <c r="B52" s="527"/>
      <c r="C52" s="528"/>
      <c r="D52" s="528"/>
      <c r="E52" s="526"/>
    </row>
    <row r="53" spans="1:5" x14ac:dyDescent="0.2">
      <c r="A53" s="537" t="s">
        <v>370</v>
      </c>
      <c r="B53" s="497"/>
      <c r="C53" s="497"/>
      <c r="D53" s="497"/>
      <c r="E53" s="497"/>
    </row>
    <row r="54" spans="1:5" x14ac:dyDescent="0.2">
      <c r="A54" s="1329"/>
      <c r="B54" s="1330"/>
      <c r="C54" s="1330"/>
      <c r="D54" s="1330"/>
      <c r="E54" s="1331"/>
    </row>
    <row r="55" spans="1:5" x14ac:dyDescent="0.2">
      <c r="A55" s="1332"/>
      <c r="B55" s="1333"/>
      <c r="C55" s="1333"/>
      <c r="D55" s="1333"/>
      <c r="E55" s="1334"/>
    </row>
    <row r="56" spans="1:5" x14ac:dyDescent="0.2">
      <c r="A56" s="1332"/>
      <c r="B56" s="1333"/>
      <c r="C56" s="1333"/>
      <c r="D56" s="1333"/>
      <c r="E56" s="1334"/>
    </row>
    <row r="57" spans="1:5" x14ac:dyDescent="0.2">
      <c r="A57" s="1332"/>
      <c r="B57" s="1333"/>
      <c r="C57" s="1333"/>
      <c r="D57" s="1333"/>
      <c r="E57" s="1334"/>
    </row>
    <row r="58" spans="1:5" x14ac:dyDescent="0.2">
      <c r="A58" s="1332"/>
      <c r="B58" s="1333"/>
      <c r="C58" s="1333"/>
      <c r="D58" s="1333"/>
      <c r="E58" s="1334"/>
    </row>
    <row r="59" spans="1:5" x14ac:dyDescent="0.2">
      <c r="A59" s="1335"/>
      <c r="B59" s="1336"/>
      <c r="C59" s="1336"/>
      <c r="D59" s="1336"/>
      <c r="E59" s="1337"/>
    </row>
    <row r="61" spans="1:5" ht="15" x14ac:dyDescent="0.2">
      <c r="A61" s="428" t="str">
        <f>Approval!E87</f>
        <v>TBD</v>
      </c>
      <c r="B61" s="38"/>
      <c r="C61" s="38"/>
      <c r="D61" s="17"/>
      <c r="E61" s="429">
        <f ca="1">TODAY()</f>
        <v>43075</v>
      </c>
    </row>
    <row r="62" spans="1:5" ht="15" x14ac:dyDescent="0.2">
      <c r="A62" s="17" t="s">
        <v>371</v>
      </c>
      <c r="B62" s="430"/>
      <c r="C62" s="17"/>
      <c r="D62" s="17"/>
      <c r="E62" s="17" t="s">
        <v>20</v>
      </c>
    </row>
  </sheetData>
  <sheetProtection sheet="1" objects="1" scenarios="1" selectLockedCells="1"/>
  <mergeCells count="13">
    <mergeCell ref="A59:E59"/>
    <mergeCell ref="A54:E54"/>
    <mergeCell ref="A55:E55"/>
    <mergeCell ref="A56:E56"/>
    <mergeCell ref="A57:E57"/>
    <mergeCell ref="A58:E58"/>
    <mergeCell ref="D2:E2"/>
    <mergeCell ref="C43:D43"/>
    <mergeCell ref="C17:D17"/>
    <mergeCell ref="C18:D18"/>
    <mergeCell ref="C19:D19"/>
    <mergeCell ref="C41:D41"/>
    <mergeCell ref="C42:D42"/>
  </mergeCells>
  <conditionalFormatting sqref="B8">
    <cfRule type="expression" dxfId="168" priority="2">
      <formula>$B$8&lt;SUM(TODAY()+8)</formula>
    </cfRule>
    <cfRule type="notContainsBlanks" dxfId="167" priority="14">
      <formula>LEN(TRIM(B8))&gt;0</formula>
    </cfRule>
  </conditionalFormatting>
  <conditionalFormatting sqref="B7">
    <cfRule type="expression" dxfId="166" priority="12">
      <formula>$B$7=""</formula>
    </cfRule>
    <cfRule type="expression" dxfId="165" priority="13">
      <formula>$B$8&lt;&gt;""</formula>
    </cfRule>
  </conditionalFormatting>
  <conditionalFormatting sqref="B32">
    <cfRule type="expression" dxfId="164" priority="1">
      <formula>$B$32&lt;SUM(TODAY()+8)</formula>
    </cfRule>
    <cfRule type="notContainsBlanks" dxfId="163" priority="8">
      <formula>LEN(TRIM(B32))&gt;0</formula>
    </cfRule>
  </conditionalFormatting>
  <conditionalFormatting sqref="E30">
    <cfRule type="containsBlanks" dxfId="162" priority="7">
      <formula>LEN(TRIM(E30))=0</formula>
    </cfRule>
  </conditionalFormatting>
  <conditionalFormatting sqref="B31">
    <cfRule type="containsBlanks" dxfId="161" priority="6">
      <formula>LEN(TRIM(B31))=0</formula>
    </cfRule>
  </conditionalFormatting>
  <conditionalFormatting sqref="A32">
    <cfRule type="expression" dxfId="160" priority="5">
      <formula>$B$31&lt;&gt;""</formula>
    </cfRule>
  </conditionalFormatting>
  <conditionalFormatting sqref="A8">
    <cfRule type="expression" dxfId="159" priority="4">
      <formula>$B$7&lt;&gt;""</formula>
    </cfRule>
  </conditionalFormatting>
  <conditionalFormatting sqref="E6">
    <cfRule type="containsBlanks" dxfId="158" priority="3">
      <formula>LEN(TRIM(E6))=0</formula>
    </cfRule>
  </conditionalFormatting>
  <dataValidations count="3">
    <dataValidation type="list" allowBlank="1" showInputMessage="1" showErrorMessage="1" sqref="A21 A45">
      <formula1>"Hourly,Weekly,Bi Weekly,Semi Monthly, Monthly,Annually"</formula1>
    </dataValidation>
    <dataValidation type="list" allowBlank="1" showInputMessage="1" showErrorMessage="1" sqref="D2:E2">
      <formula1>"Wage Earner Income,Income Calculation"</formula1>
    </dataValidation>
    <dataValidation type="list" allowBlank="1" sqref="A10 A34">
      <formula1>"Employer(s),Schedule C"</formula1>
    </dataValidation>
  </dataValidations>
  <pageMargins left="0.45" right="0.45" top="0.75" bottom="0.75" header="0.3" footer="0.3"/>
  <pageSetup paperSize="5" orientation="portrait" r:id="rId1"/>
  <ignoredErrors>
    <ignoredError sqref="B16" evalError="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51"/>
  <sheetViews>
    <sheetView topLeftCell="A10" zoomScaleNormal="100" workbookViewId="0">
      <selection activeCell="J10" sqref="J10:L10"/>
    </sheetView>
  </sheetViews>
  <sheetFormatPr defaultRowHeight="12.75" x14ac:dyDescent="0.2"/>
  <cols>
    <col min="1" max="1" width="0.85546875" customWidth="1"/>
    <col min="2" max="2" width="14.140625" style="7" customWidth="1"/>
    <col min="3" max="3" width="0.28515625" customWidth="1"/>
    <col min="4" max="4" width="12.85546875" customWidth="1"/>
    <col min="5" max="5" width="15.7109375" customWidth="1"/>
    <col min="6" max="6" width="12.5703125" customWidth="1"/>
    <col min="7" max="7" width="0.42578125" customWidth="1"/>
    <col min="8" max="8" width="12.5703125" customWidth="1"/>
    <col min="9" max="9" width="13.140625" customWidth="1"/>
    <col min="10" max="10" width="12.5703125" customWidth="1"/>
    <col min="11" max="11" width="0.140625" customWidth="1"/>
    <col min="12" max="12" width="6.42578125" customWidth="1"/>
    <col min="13" max="14" width="0.28515625" customWidth="1"/>
    <col min="15" max="15" width="5.140625" customWidth="1"/>
    <col min="16" max="16" width="9.140625" style="30" hidden="1" customWidth="1"/>
    <col min="17" max="17" width="9.140625" style="35" hidden="1" customWidth="1"/>
    <col min="18" max="33" width="9.140625" style="35"/>
  </cols>
  <sheetData>
    <row r="1" spans="1:34" x14ac:dyDescent="0.2">
      <c r="C1" s="7"/>
      <c r="D1" s="7"/>
      <c r="E1" s="24"/>
      <c r="F1" s="7"/>
      <c r="G1" s="7"/>
      <c r="H1" s="7"/>
      <c r="I1" s="7"/>
    </row>
    <row r="2" spans="1:34" ht="20.25" x14ac:dyDescent="0.3">
      <c r="B2" s="9"/>
      <c r="C2" s="9"/>
      <c r="D2" s="9"/>
      <c r="E2" s="25"/>
      <c r="F2" s="9"/>
      <c r="G2" s="9"/>
      <c r="I2" s="9"/>
      <c r="M2" s="812" t="str">
        <f>IF(B36=24,"24 Months Bank Statement Summary",IF(B36=12,"12 Months Bank Statement Summary",IF(B36=1," One Month Bank Statement Summary","Bank Statement Summary")))</f>
        <v>Bank Statement Summary</v>
      </c>
    </row>
    <row r="3" spans="1:34" ht="20.25" x14ac:dyDescent="0.3">
      <c r="B3" s="9"/>
      <c r="C3" s="9"/>
      <c r="D3" s="9"/>
      <c r="E3" s="25"/>
      <c r="F3" s="9"/>
      <c r="G3" s="9"/>
      <c r="I3" s="9"/>
      <c r="M3" s="21"/>
    </row>
    <row r="4" spans="1:34" x14ac:dyDescent="0.2">
      <c r="C4" s="7"/>
      <c r="D4" s="7"/>
      <c r="E4" s="24"/>
      <c r="F4" s="7"/>
      <c r="G4" s="3"/>
      <c r="H4" s="1440" t="s">
        <v>403</v>
      </c>
      <c r="I4" s="1440"/>
      <c r="J4" s="1442"/>
      <c r="K4" s="1442"/>
      <c r="L4" s="1442"/>
    </row>
    <row r="5" spans="1:34" x14ac:dyDescent="0.2">
      <c r="C5" s="7"/>
      <c r="D5" s="7"/>
      <c r="E5" s="24"/>
      <c r="F5" s="7"/>
      <c r="G5" s="3"/>
      <c r="H5" s="1441" t="s">
        <v>404</v>
      </c>
      <c r="I5" s="1441"/>
      <c r="J5" s="1443" t="str">
        <f>IF(ISBLANK(J4)=TRUE," ",J4+45)</f>
        <v xml:space="preserve"> </v>
      </c>
      <c r="K5" s="1443"/>
      <c r="L5" s="1443"/>
    </row>
    <row r="6" spans="1:34" x14ac:dyDescent="0.2">
      <c r="C6" s="7"/>
      <c r="D6" s="7"/>
      <c r="E6" s="24"/>
      <c r="F6" s="7"/>
      <c r="G6" s="3"/>
      <c r="H6" s="3"/>
      <c r="I6" s="7"/>
    </row>
    <row r="7" spans="1:34" ht="18" customHeight="1" x14ac:dyDescent="0.2">
      <c r="B7" s="282" t="s">
        <v>44</v>
      </c>
      <c r="C7" s="344" t="s">
        <v>136</v>
      </c>
      <c r="D7" s="1457">
        <f>Approval!E6</f>
        <v>0</v>
      </c>
      <c r="E7" s="1458"/>
      <c r="F7" s="1458"/>
      <c r="G7" s="1458"/>
      <c r="H7" s="1458"/>
      <c r="I7" s="51" t="s">
        <v>43</v>
      </c>
      <c r="J7" s="1454">
        <f>Approval!Q7</f>
        <v>0</v>
      </c>
      <c r="K7" s="1454"/>
      <c r="L7" s="1454"/>
    </row>
    <row r="8" spans="1:34" ht="18" customHeight="1" x14ac:dyDescent="0.2">
      <c r="B8" s="273" t="s">
        <v>48</v>
      </c>
      <c r="C8" s="345" t="s">
        <v>136</v>
      </c>
      <c r="D8" s="984" t="s">
        <v>136</v>
      </c>
      <c r="E8" s="984"/>
      <c r="F8" s="984"/>
      <c r="G8" s="984"/>
      <c r="H8" s="984"/>
      <c r="I8" s="468"/>
      <c r="J8" s="1463"/>
      <c r="K8" s="1463"/>
      <c r="L8" s="1463"/>
    </row>
    <row r="9" spans="1:34" ht="18" customHeight="1" x14ac:dyDescent="0.2">
      <c r="B9" s="273" t="s">
        <v>68</v>
      </c>
      <c r="C9" s="283"/>
      <c r="D9" s="1459" t="s">
        <v>136</v>
      </c>
      <c r="E9" s="1459"/>
      <c r="F9" s="1459"/>
      <c r="G9" s="1459"/>
      <c r="H9" s="1459"/>
      <c r="I9" s="813" t="s">
        <v>530</v>
      </c>
      <c r="J9" s="1460" t="s">
        <v>136</v>
      </c>
      <c r="K9" s="1460"/>
      <c r="L9" s="1460"/>
    </row>
    <row r="10" spans="1:34" ht="22.5" customHeight="1" x14ac:dyDescent="0.2">
      <c r="A10" s="1438" t="s">
        <v>407</v>
      </c>
      <c r="B10" s="1438"/>
      <c r="C10" s="1438"/>
      <c r="D10" s="1447"/>
      <c r="E10" s="1447"/>
      <c r="F10" s="1447"/>
      <c r="G10" s="811"/>
      <c r="H10" s="1445" t="str">
        <f>IF(B36=1,"ENDING BALANCE:","PRIOR ACCT#:")</f>
        <v>PRIOR ACCT#:</v>
      </c>
      <c r="I10" s="1445"/>
      <c r="J10" s="1446"/>
      <c r="K10" s="1446"/>
      <c r="L10" s="1446"/>
      <c r="P10" s="343"/>
      <c r="R10" s="329"/>
    </row>
    <row r="11" spans="1:34" ht="4.5" customHeight="1" x14ac:dyDescent="0.2">
      <c r="A11" s="33"/>
      <c r="B11" s="34"/>
      <c r="C11" s="33"/>
      <c r="D11" s="33"/>
      <c r="E11" s="33"/>
      <c r="F11" s="34"/>
      <c r="G11" s="33"/>
      <c r="H11" s="33"/>
      <c r="I11" s="33"/>
      <c r="J11" s="33"/>
      <c r="K11" s="33"/>
      <c r="L11" s="33"/>
      <c r="M11" s="33"/>
    </row>
    <row r="12" spans="1:34" ht="18" customHeight="1" x14ac:dyDescent="0.2">
      <c r="A12" s="33"/>
      <c r="C12" s="33"/>
      <c r="D12" s="1455" t="s">
        <v>61</v>
      </c>
      <c r="E12" s="1455"/>
      <c r="F12" s="1455"/>
      <c r="G12" s="280"/>
      <c r="H12" s="1455" t="s">
        <v>373</v>
      </c>
      <c r="I12" s="1456"/>
      <c r="J12" s="1456"/>
      <c r="K12" s="280"/>
      <c r="L12" s="1461" t="s">
        <v>62</v>
      </c>
      <c r="M12" s="33"/>
      <c r="P12" s="433"/>
      <c r="Q12" s="434"/>
      <c r="R12" s="434"/>
      <c r="S12" s="434"/>
      <c r="T12" s="434"/>
      <c r="U12" s="434"/>
      <c r="V12" s="434"/>
      <c r="W12" s="434"/>
      <c r="X12" s="434"/>
      <c r="Y12" s="434"/>
      <c r="Z12" s="434"/>
      <c r="AA12" s="434"/>
      <c r="AB12" s="434"/>
      <c r="AC12" s="434"/>
      <c r="AD12" s="434"/>
      <c r="AE12" s="434"/>
      <c r="AF12" s="434"/>
      <c r="AG12" s="434"/>
      <c r="AH12" s="437"/>
    </row>
    <row r="13" spans="1:34" ht="18" customHeight="1" x14ac:dyDescent="0.2">
      <c r="A13" s="33"/>
      <c r="B13" s="20" t="s">
        <v>67</v>
      </c>
      <c r="C13" s="33"/>
      <c r="D13" s="438">
        <v>2017</v>
      </c>
      <c r="E13" s="438">
        <f>IF(D13=2017,2016,2015)</f>
        <v>2016</v>
      </c>
      <c r="F13" s="438">
        <f>IF(E13=2016,2015,2014)</f>
        <v>2015</v>
      </c>
      <c r="G13" s="439"/>
      <c r="H13" s="438">
        <f>IF(D13=2017,2017,2016)</f>
        <v>2017</v>
      </c>
      <c r="I13" s="438">
        <f>IF(H13=2017,2016,2015)</f>
        <v>2016</v>
      </c>
      <c r="J13" s="438">
        <f>IF(I13=2016,2015,2014)</f>
        <v>2015</v>
      </c>
      <c r="K13" s="280"/>
      <c r="L13" s="1462"/>
      <c r="M13" s="33"/>
      <c r="P13" s="433"/>
      <c r="Q13" s="434"/>
      <c r="R13" s="434"/>
      <c r="S13" s="434"/>
      <c r="T13" s="434"/>
      <c r="U13" s="434"/>
      <c r="V13" s="434"/>
      <c r="W13" s="434"/>
      <c r="X13" s="434"/>
      <c r="Y13" s="434"/>
      <c r="Z13" s="434"/>
      <c r="AA13" s="434"/>
      <c r="AB13" s="434"/>
      <c r="AC13" s="434"/>
      <c r="AD13" s="434"/>
      <c r="AE13" s="434"/>
      <c r="AF13" s="434"/>
      <c r="AG13" s="434"/>
      <c r="AH13" s="437"/>
    </row>
    <row r="14" spans="1:34" ht="18" customHeight="1" x14ac:dyDescent="0.2">
      <c r="A14" s="33"/>
      <c r="B14" s="5" t="s">
        <v>49</v>
      </c>
      <c r="C14" s="33"/>
      <c r="D14" s="279"/>
      <c r="E14" s="279"/>
      <c r="F14" s="279"/>
      <c r="G14" s="280"/>
      <c r="H14" s="279"/>
      <c r="I14" s="279"/>
      <c r="J14" s="279"/>
      <c r="K14" s="280"/>
      <c r="L14" s="281"/>
      <c r="M14" s="33"/>
      <c r="P14" s="433"/>
      <c r="Q14" s="434"/>
      <c r="R14" s="434"/>
      <c r="S14" s="434"/>
      <c r="T14" s="434"/>
      <c r="U14" s="434"/>
      <c r="V14" s="434"/>
      <c r="W14" s="434"/>
      <c r="X14" s="434"/>
      <c r="Y14" s="434"/>
      <c r="Z14" s="434"/>
      <c r="AA14" s="434"/>
      <c r="AB14" s="434"/>
      <c r="AC14" s="434"/>
      <c r="AD14" s="434"/>
      <c r="AE14" s="434"/>
      <c r="AF14" s="434"/>
      <c r="AG14" s="434"/>
      <c r="AH14" s="437"/>
    </row>
    <row r="15" spans="1:34" ht="18" customHeight="1" x14ac:dyDescent="0.2">
      <c r="A15" s="33"/>
      <c r="B15" s="5" t="s">
        <v>50</v>
      </c>
      <c r="C15" s="33"/>
      <c r="D15" s="279"/>
      <c r="E15" s="279"/>
      <c r="F15" s="279"/>
      <c r="G15" s="280"/>
      <c r="H15" s="279"/>
      <c r="I15" s="279"/>
      <c r="J15" s="279"/>
      <c r="K15" s="280"/>
      <c r="L15" s="281"/>
      <c r="M15" s="33"/>
      <c r="P15" s="433"/>
      <c r="Q15" s="434"/>
      <c r="R15" s="434"/>
      <c r="S15" s="434"/>
      <c r="T15" s="434"/>
      <c r="U15" s="434"/>
      <c r="V15" s="434"/>
      <c r="W15" s="434"/>
      <c r="X15" s="434"/>
      <c r="Y15" s="434"/>
      <c r="Z15" s="434"/>
      <c r="AA15" s="434"/>
      <c r="AB15" s="434"/>
      <c r="AC15" s="434"/>
      <c r="AD15" s="434"/>
      <c r="AE15" s="434"/>
      <c r="AF15" s="434"/>
      <c r="AG15" s="434"/>
      <c r="AH15" s="437"/>
    </row>
    <row r="16" spans="1:34" ht="18" customHeight="1" x14ac:dyDescent="0.2">
      <c r="A16" s="33"/>
      <c r="B16" s="5" t="s">
        <v>51</v>
      </c>
      <c r="C16" s="33"/>
      <c r="D16" s="279"/>
      <c r="E16" s="279"/>
      <c r="F16" s="279"/>
      <c r="G16" s="280"/>
      <c r="H16" s="673"/>
      <c r="I16" s="279"/>
      <c r="J16" s="279"/>
      <c r="K16" s="280"/>
      <c r="L16" s="281"/>
      <c r="M16" s="33"/>
      <c r="P16" s="433"/>
      <c r="Q16" s="434"/>
      <c r="R16" s="434"/>
      <c r="S16" s="434"/>
      <c r="T16" s="434"/>
      <c r="U16" s="434"/>
      <c r="V16" s="434"/>
      <c r="W16" s="434"/>
      <c r="X16" s="434"/>
      <c r="Y16" s="434"/>
      <c r="Z16" s="434"/>
      <c r="AA16" s="434"/>
      <c r="AB16" s="434"/>
      <c r="AC16" s="434"/>
      <c r="AD16" s="434"/>
      <c r="AE16" s="434"/>
      <c r="AF16" s="434"/>
      <c r="AG16" s="434"/>
      <c r="AH16" s="437"/>
    </row>
    <row r="17" spans="1:34" ht="18" customHeight="1" x14ac:dyDescent="0.2">
      <c r="A17" s="33"/>
      <c r="B17" s="5" t="s">
        <v>52</v>
      </c>
      <c r="C17" s="33"/>
      <c r="D17" s="279"/>
      <c r="E17" s="279"/>
      <c r="F17" s="279"/>
      <c r="G17" s="280"/>
      <c r="H17" s="674"/>
      <c r="I17" s="279"/>
      <c r="J17" s="279"/>
      <c r="K17" s="280"/>
      <c r="L17" s="281"/>
      <c r="M17" s="33"/>
      <c r="P17" s="433"/>
      <c r="Q17" s="434"/>
      <c r="R17" s="434"/>
      <c r="S17" s="434"/>
      <c r="T17" s="434"/>
      <c r="U17" s="434"/>
      <c r="V17" s="434"/>
      <c r="W17" s="434"/>
      <c r="X17" s="434"/>
      <c r="Y17" s="434"/>
      <c r="Z17" s="434"/>
      <c r="AA17" s="434"/>
      <c r="AB17" s="434"/>
      <c r="AC17" s="434"/>
      <c r="AD17" s="434"/>
      <c r="AE17" s="434"/>
      <c r="AF17" s="434"/>
      <c r="AG17" s="434"/>
      <c r="AH17" s="437"/>
    </row>
    <row r="18" spans="1:34" ht="18" customHeight="1" x14ac:dyDescent="0.2">
      <c r="A18" s="33"/>
      <c r="B18" s="5" t="s">
        <v>53</v>
      </c>
      <c r="C18" s="33"/>
      <c r="D18" s="279"/>
      <c r="E18" s="279"/>
      <c r="F18" s="279"/>
      <c r="G18" s="280"/>
      <c r="H18" s="279"/>
      <c r="I18" s="279"/>
      <c r="J18" s="279"/>
      <c r="K18" s="280"/>
      <c r="L18" s="281"/>
      <c r="M18" s="33"/>
      <c r="P18" s="433"/>
      <c r="Q18" s="434"/>
      <c r="R18" s="434"/>
      <c r="S18" s="434"/>
      <c r="T18" s="434"/>
      <c r="U18" s="434"/>
      <c r="V18" s="434"/>
      <c r="W18" s="434"/>
      <c r="X18" s="434"/>
      <c r="Y18" s="434"/>
      <c r="Z18" s="434"/>
      <c r="AA18" s="434"/>
      <c r="AB18" s="434"/>
      <c r="AC18" s="434"/>
      <c r="AD18" s="434"/>
      <c r="AE18" s="434"/>
      <c r="AF18" s="434"/>
      <c r="AG18" s="434"/>
      <c r="AH18" s="437"/>
    </row>
    <row r="19" spans="1:34" ht="18" customHeight="1" x14ac:dyDescent="0.2">
      <c r="A19" s="33"/>
      <c r="B19" s="5" t="s">
        <v>54</v>
      </c>
      <c r="C19" s="33"/>
      <c r="D19" s="279"/>
      <c r="E19" s="279"/>
      <c r="F19" s="279"/>
      <c r="G19" s="280"/>
      <c r="H19" s="279"/>
      <c r="I19" s="279"/>
      <c r="J19" s="279"/>
      <c r="K19" s="280"/>
      <c r="L19" s="281"/>
      <c r="M19" s="33"/>
      <c r="P19" s="433"/>
      <c r="Q19" s="434"/>
      <c r="R19" s="434"/>
      <c r="S19" s="434"/>
      <c r="T19" s="688"/>
      <c r="U19" s="434"/>
      <c r="V19" s="434"/>
      <c r="W19" s="434"/>
      <c r="X19" s="434"/>
      <c r="Y19" s="434"/>
      <c r="Z19" s="434"/>
      <c r="AA19" s="434"/>
      <c r="AB19" s="434"/>
      <c r="AC19" s="434"/>
      <c r="AD19" s="434"/>
      <c r="AE19" s="434"/>
      <c r="AF19" s="434"/>
      <c r="AG19" s="434"/>
      <c r="AH19" s="437"/>
    </row>
    <row r="20" spans="1:34" ht="18" customHeight="1" x14ac:dyDescent="0.2">
      <c r="A20" s="33"/>
      <c r="B20" s="5" t="s">
        <v>55</v>
      </c>
      <c r="C20" s="33"/>
      <c r="D20" s="279"/>
      <c r="E20" s="279"/>
      <c r="F20" s="279"/>
      <c r="G20" s="280"/>
      <c r="H20" s="279"/>
      <c r="I20" s="279"/>
      <c r="J20" s="279"/>
      <c r="K20" s="280"/>
      <c r="L20" s="281"/>
      <c r="M20" s="33"/>
      <c r="P20" s="433"/>
      <c r="Q20" s="434"/>
      <c r="R20" s="434"/>
      <c r="S20" s="434"/>
      <c r="T20" s="434"/>
      <c r="U20" s="434"/>
      <c r="V20" s="434"/>
      <c r="W20" s="434"/>
      <c r="X20" s="434"/>
      <c r="Y20" s="434"/>
      <c r="Z20" s="434"/>
      <c r="AA20" s="434"/>
      <c r="AB20" s="434"/>
      <c r="AC20" s="434"/>
      <c r="AD20" s="434"/>
      <c r="AE20" s="434"/>
      <c r="AF20" s="434"/>
      <c r="AG20" s="434"/>
      <c r="AH20" s="437"/>
    </row>
    <row r="21" spans="1:34" ht="18" customHeight="1" x14ac:dyDescent="0.2">
      <c r="A21" s="33"/>
      <c r="B21" s="5" t="s">
        <v>56</v>
      </c>
      <c r="C21" s="33"/>
      <c r="D21" s="279"/>
      <c r="E21" s="279"/>
      <c r="F21" s="279"/>
      <c r="G21" s="280"/>
      <c r="H21" s="279"/>
      <c r="I21" s="279"/>
      <c r="J21" s="279"/>
      <c r="K21" s="280"/>
      <c r="L21" s="281"/>
      <c r="M21" s="33"/>
      <c r="P21" s="433"/>
      <c r="Q21" s="434"/>
      <c r="R21" s="434"/>
      <c r="S21" s="434"/>
      <c r="T21" s="434"/>
      <c r="U21" s="434"/>
      <c r="V21" s="434"/>
      <c r="W21" s="434"/>
      <c r="X21" s="434"/>
      <c r="Y21" s="434"/>
      <c r="Z21" s="434"/>
      <c r="AA21" s="434"/>
      <c r="AB21" s="434"/>
      <c r="AC21" s="434"/>
      <c r="AD21" s="434"/>
      <c r="AE21" s="434"/>
      <c r="AF21" s="434"/>
      <c r="AG21" s="434"/>
      <c r="AH21" s="437"/>
    </row>
    <row r="22" spans="1:34" ht="18" customHeight="1" x14ac:dyDescent="0.2">
      <c r="A22" s="33"/>
      <c r="B22" s="5" t="s">
        <v>57</v>
      </c>
      <c r="C22" s="33"/>
      <c r="D22" s="279"/>
      <c r="E22" s="279"/>
      <c r="F22" s="279"/>
      <c r="G22" s="280"/>
      <c r="H22" s="279"/>
      <c r="I22" s="279"/>
      <c r="J22" s="279"/>
      <c r="K22" s="280"/>
      <c r="L22" s="281"/>
      <c r="M22" s="33"/>
      <c r="P22" s="433"/>
      <c r="Q22" s="434"/>
      <c r="R22" s="434"/>
      <c r="S22" s="434"/>
      <c r="T22" s="434"/>
      <c r="U22" s="434"/>
      <c r="V22" s="434"/>
      <c r="W22" s="434"/>
      <c r="X22" s="434"/>
      <c r="Y22" s="434"/>
      <c r="Z22" s="434"/>
      <c r="AA22" s="434"/>
      <c r="AB22" s="434"/>
      <c r="AC22" s="434"/>
      <c r="AD22" s="434"/>
      <c r="AE22" s="434"/>
      <c r="AF22" s="434"/>
      <c r="AG22" s="434"/>
      <c r="AH22" s="437"/>
    </row>
    <row r="23" spans="1:34" ht="18" customHeight="1" x14ac:dyDescent="0.2">
      <c r="A23" s="33"/>
      <c r="B23" s="5" t="s">
        <v>58</v>
      </c>
      <c r="C23" s="33"/>
      <c r="D23" s="279"/>
      <c r="E23" s="279"/>
      <c r="F23" s="279"/>
      <c r="G23" s="280"/>
      <c r="H23" s="279"/>
      <c r="I23" s="279"/>
      <c r="J23" s="279"/>
      <c r="K23" s="280"/>
      <c r="L23" s="281"/>
      <c r="M23" s="33"/>
      <c r="P23" s="433"/>
      <c r="Q23" s="434"/>
      <c r="R23" s="434"/>
      <c r="S23" s="434"/>
      <c r="T23" s="434"/>
      <c r="U23" s="434"/>
      <c r="V23" s="434"/>
      <c r="W23" s="434"/>
      <c r="X23" s="434"/>
      <c r="Y23" s="434"/>
      <c r="Z23" s="434"/>
      <c r="AA23" s="434"/>
      <c r="AB23" s="434"/>
      <c r="AC23" s="434"/>
      <c r="AD23" s="434"/>
      <c r="AE23" s="434"/>
      <c r="AF23" s="434"/>
      <c r="AG23" s="434"/>
      <c r="AH23" s="437"/>
    </row>
    <row r="24" spans="1:34" ht="18" customHeight="1" x14ac:dyDescent="0.2">
      <c r="A24" s="33"/>
      <c r="B24" s="5" t="s">
        <v>59</v>
      </c>
      <c r="C24" s="33"/>
      <c r="D24" s="279"/>
      <c r="E24" s="279"/>
      <c r="F24" s="279"/>
      <c r="G24" s="280"/>
      <c r="H24" s="279"/>
      <c r="I24" s="279"/>
      <c r="J24" s="279"/>
      <c r="K24" s="280"/>
      <c r="L24" s="281"/>
      <c r="M24" s="33"/>
      <c r="P24" s="433"/>
      <c r="Q24" s="434"/>
      <c r="R24" s="434"/>
      <c r="S24" s="434"/>
      <c r="T24" s="434"/>
      <c r="U24" s="434"/>
      <c r="V24" s="434"/>
      <c r="W24" s="434"/>
      <c r="X24" s="434"/>
      <c r="Y24" s="434"/>
      <c r="Z24" s="434"/>
      <c r="AA24" s="434"/>
      <c r="AB24" s="434"/>
      <c r="AC24" s="434"/>
      <c r="AD24" s="434"/>
      <c r="AE24" s="434"/>
      <c r="AF24" s="434"/>
      <c r="AG24" s="434"/>
      <c r="AH24" s="437"/>
    </row>
    <row r="25" spans="1:34" ht="18" customHeight="1" x14ac:dyDescent="0.2">
      <c r="A25" s="33"/>
      <c r="B25" s="5" t="s">
        <v>60</v>
      </c>
      <c r="C25" s="33"/>
      <c r="D25" s="279"/>
      <c r="E25" s="279"/>
      <c r="F25" s="279"/>
      <c r="G25" s="280"/>
      <c r="H25" s="279"/>
      <c r="I25" s="279"/>
      <c r="J25" s="279"/>
      <c r="K25" s="280"/>
      <c r="L25" s="281"/>
      <c r="M25" s="33"/>
      <c r="P25" s="433"/>
      <c r="Q25" s="434"/>
      <c r="R25" s="434"/>
      <c r="S25" s="434"/>
      <c r="T25" s="434"/>
      <c r="U25" s="434"/>
      <c r="V25" s="434"/>
      <c r="W25" s="434"/>
      <c r="X25" s="434"/>
      <c r="Y25" s="434"/>
      <c r="Z25" s="434"/>
      <c r="AA25" s="434"/>
      <c r="AB25" s="434"/>
      <c r="AC25" s="434"/>
      <c r="AD25" s="434"/>
      <c r="AE25" s="434"/>
      <c r="AF25" s="434"/>
      <c r="AG25" s="434"/>
      <c r="AH25" s="437"/>
    </row>
    <row r="26" spans="1:34" s="26" customFormat="1" ht="4.5" customHeight="1" x14ac:dyDescent="0.2">
      <c r="A26" s="33"/>
      <c r="B26" s="34"/>
      <c r="C26" s="33"/>
      <c r="D26" s="33"/>
      <c r="E26" s="33"/>
      <c r="F26" s="33"/>
      <c r="G26" s="33"/>
      <c r="H26" s="33"/>
      <c r="I26" s="33"/>
      <c r="J26" s="33"/>
      <c r="K26" s="33"/>
      <c r="L26" s="33"/>
      <c r="M26" s="33"/>
      <c r="P26" s="435"/>
      <c r="Q26" s="436"/>
      <c r="R26" s="436"/>
      <c r="S26" s="436"/>
      <c r="T26" s="436"/>
      <c r="U26" s="436"/>
      <c r="V26" s="436"/>
      <c r="W26" s="436"/>
      <c r="X26" s="436"/>
      <c r="Y26" s="436"/>
      <c r="Z26" s="436"/>
      <c r="AA26" s="436"/>
      <c r="AB26" s="436"/>
      <c r="AC26" s="436"/>
      <c r="AD26" s="436"/>
      <c r="AE26" s="436"/>
      <c r="AF26" s="436"/>
      <c r="AG26" s="436"/>
      <c r="AH26" s="437"/>
    </row>
    <row r="27" spans="1:34" s="26" customFormat="1" ht="18" customHeight="1" thickBot="1" x14ac:dyDescent="0.25">
      <c r="B27" s="1444" t="str">
        <f>IF(A10="TBD","PLEASE PICK FROM DROPDOWN BOX FOR BANK STATEMENT PROGRAM TYPE: PERSONAL, BUSINESS, OR PERSONAL - USE AS BUSINESS",IF(B36="TBD","PLEASE PICK FROM DROPDOWN BOX FOR 1 OR 12 OR 24 MONTHS",IF(Q27="EXCEED","MORE THAN " &amp;B36&amp; " MONTHS BANK STATEMENTS PROVIDED",IF(Q27&gt;=0, COUNTA(D14:F25)&amp; " MONTHS BANK STATEMENTS PROVIDED ONLY, "&amp;Q27&amp;" ADDITIONAL  BANK STATEMENT(S) IS NEEDED",""))))</f>
        <v>PLEASE PICK FROM DROPDOWN BOX FOR BANK STATEMENT PROGRAM TYPE: PERSONAL, BUSINESS, OR PERSONAL - USE AS BUSINESS</v>
      </c>
      <c r="C27" s="1444"/>
      <c r="D27" s="1444"/>
      <c r="E27" s="1444"/>
      <c r="F27" s="1444"/>
      <c r="H27" s="713"/>
      <c r="J27" s="37" t="s">
        <v>69</v>
      </c>
      <c r="L27" s="36">
        <f>L14+L15+L16+L17+L18+L19+L20+L21+L22+L23+L24+L25</f>
        <v>0</v>
      </c>
      <c r="P27" s="435"/>
      <c r="Q27" s="436" t="b">
        <f>IF(B36=24,IF(COUNTA(D14:F25)&gt;24,"EXCEED",(24-(COUNTA(D14:F25)))),IF(B36=12,IF(COUNTA(D14:F25)&gt;12,"EXCEED",(12-(COUNTA(D14:F25)))),IF(B36=1,IF(COUNTA(D14:F25)&gt;1,"EXCEED",(1-(COUNTA(D14:F25)))))))</f>
        <v>0</v>
      </c>
      <c r="R27" s="436"/>
      <c r="S27" s="436"/>
      <c r="T27" s="436"/>
      <c r="U27" s="436"/>
      <c r="V27" s="436"/>
      <c r="W27" s="436"/>
      <c r="X27" s="436"/>
      <c r="Y27" s="436"/>
      <c r="Z27" s="436"/>
      <c r="AA27" s="436"/>
      <c r="AB27" s="436"/>
      <c r="AC27" s="436"/>
      <c r="AD27" s="436"/>
      <c r="AE27" s="436"/>
      <c r="AF27" s="436"/>
      <c r="AG27" s="436"/>
      <c r="AH27" s="437"/>
    </row>
    <row r="28" spans="1:34" s="26" customFormat="1" ht="18" customHeight="1" thickTop="1" x14ac:dyDescent="0.2">
      <c r="B28" s="1444"/>
      <c r="C28" s="1444"/>
      <c r="D28" s="1444"/>
      <c r="E28" s="1444"/>
      <c r="F28" s="1444"/>
      <c r="H28" s="691"/>
      <c r="I28" s="691"/>
      <c r="J28" s="691"/>
      <c r="L28" s="54"/>
      <c r="P28" s="435"/>
      <c r="Q28" s="436" t="str">
        <f>A10</f>
        <v>TBD</v>
      </c>
      <c r="R28" s="436"/>
      <c r="S28" s="436"/>
      <c r="T28" s="436"/>
      <c r="U28" s="436"/>
      <c r="V28" s="436"/>
      <c r="W28" s="436"/>
      <c r="X28" s="436"/>
      <c r="Y28" s="436"/>
      <c r="Z28" s="436"/>
      <c r="AA28" s="436"/>
      <c r="AB28" s="436"/>
      <c r="AC28" s="436"/>
      <c r="AD28" s="436"/>
      <c r="AE28" s="436"/>
      <c r="AF28" s="436"/>
      <c r="AG28" s="436"/>
      <c r="AH28" s="437"/>
    </row>
    <row r="29" spans="1:34" ht="18" customHeight="1" x14ac:dyDescent="0.2">
      <c r="B29" s="32" t="s">
        <v>63</v>
      </c>
      <c r="E29" s="440" t="str">
        <f>IF(Q27="EXCEED","# OF MOS CALCULATED EXCEED "&amp;B36&amp;" MOS",IF(B36="TBD","NEED TO PICK 1 OR 12 OR 24 MONTHS",SUMPRODUCT((ISNUMBER(D14:F25)*(D14:F25&gt;0)*(D14:F25)))))</f>
        <v>NEED TO PICK 1 OR 12 OR 24 MONTHS</v>
      </c>
      <c r="F29" s="475"/>
      <c r="G29" s="472"/>
      <c r="H29" s="472"/>
      <c r="I29" s="108" t="s">
        <v>500</v>
      </c>
      <c r="J29" s="55"/>
      <c r="L29" s="285"/>
      <c r="O29" s="26"/>
      <c r="P29" s="433"/>
      <c r="Q29" s="434"/>
      <c r="R29" s="434"/>
      <c r="S29" s="434"/>
      <c r="T29" s="434"/>
      <c r="U29" s="434"/>
      <c r="V29" s="434"/>
      <c r="W29" s="434"/>
      <c r="X29" s="434"/>
      <c r="Y29" s="434"/>
      <c r="Z29" s="434"/>
      <c r="AA29" s="434"/>
      <c r="AB29" s="434"/>
      <c r="AC29" s="434"/>
      <c r="AD29" s="434"/>
      <c r="AE29" s="434"/>
      <c r="AF29" s="434"/>
      <c r="AG29" s="434"/>
      <c r="AH29" s="437"/>
    </row>
    <row r="30" spans="1:34" ht="18" customHeight="1" x14ac:dyDescent="0.2">
      <c r="B30" s="32" t="s">
        <v>64</v>
      </c>
      <c r="E30" s="473">
        <f t="array" ref="E30">IF(COUNTBLANK(H14:J25)&lt;12,"# OF MOS CALCULATED EXCEED 24MOS",SUMPRODUCT((ISNUMBER(H14:J25)*(H14:J25&gt;0)*(H14:J25))))</f>
        <v>0</v>
      </c>
      <c r="F30" s="1439"/>
      <c r="G30" s="1439"/>
      <c r="H30" s="1439"/>
      <c r="I30" s="108" t="s">
        <v>408</v>
      </c>
      <c r="J30" s="55"/>
      <c r="L30" s="286"/>
      <c r="O30" s="26"/>
      <c r="P30" s="433"/>
      <c r="Q30" s="434"/>
      <c r="R30" s="434"/>
      <c r="S30" s="434"/>
      <c r="T30" s="434"/>
      <c r="U30" s="434"/>
      <c r="V30" s="434"/>
      <c r="W30" s="434"/>
      <c r="X30" s="434"/>
      <c r="Y30" s="434"/>
      <c r="Z30" s="434"/>
      <c r="AA30" s="434"/>
      <c r="AB30" s="434"/>
      <c r="AC30" s="434"/>
      <c r="AD30" s="434"/>
      <c r="AE30" s="434"/>
      <c r="AF30" s="434"/>
      <c r="AG30" s="434"/>
      <c r="AH30" s="437"/>
    </row>
    <row r="31" spans="1:34" ht="18" customHeight="1" x14ac:dyDescent="0.2">
      <c r="B31" s="32" t="s">
        <v>65</v>
      </c>
      <c r="E31" s="441" t="e">
        <f>E29-E30</f>
        <v>#VALUE!</v>
      </c>
      <c r="F31" s="53"/>
      <c r="I31" s="108" t="s">
        <v>42</v>
      </c>
      <c r="L31" s="109">
        <f>(L29+L30)</f>
        <v>0</v>
      </c>
      <c r="O31" s="26"/>
      <c r="P31" s="433"/>
      <c r="Q31" s="434" t="str">
        <f>B36</f>
        <v>TBD</v>
      </c>
      <c r="R31" s="434"/>
      <c r="S31" s="434"/>
      <c r="T31" s="434"/>
      <c r="U31" s="434"/>
      <c r="V31" s="434"/>
      <c r="W31" s="434"/>
      <c r="X31" s="434"/>
      <c r="Y31" s="434"/>
      <c r="Z31" s="434"/>
      <c r="AA31" s="434"/>
      <c r="AB31" s="434"/>
      <c r="AC31" s="434"/>
      <c r="AD31" s="434"/>
      <c r="AE31" s="434"/>
      <c r="AF31" s="434"/>
      <c r="AG31" s="434"/>
      <c r="AH31" s="437"/>
    </row>
    <row r="32" spans="1:34" ht="4.5" customHeight="1" x14ac:dyDescent="0.2">
      <c r="B32" s="32"/>
      <c r="E32" s="685"/>
      <c r="F32" s="684"/>
      <c r="I32" s="108"/>
      <c r="L32" s="109"/>
      <c r="O32" s="26"/>
      <c r="P32" s="433"/>
      <c r="Q32" s="434"/>
      <c r="R32" s="434"/>
      <c r="S32" s="434"/>
      <c r="T32" s="434"/>
      <c r="U32" s="434"/>
      <c r="V32" s="434"/>
      <c r="W32" s="434"/>
      <c r="X32" s="434"/>
      <c r="Y32" s="434"/>
      <c r="Z32" s="434"/>
      <c r="AA32" s="434"/>
      <c r="AB32" s="434"/>
      <c r="AC32" s="434"/>
      <c r="AD32" s="434"/>
      <c r="AE32" s="434"/>
      <c r="AF32" s="434"/>
      <c r="AG32" s="434"/>
      <c r="AH32" s="437"/>
    </row>
    <row r="33" spans="1:34" ht="12.75" customHeight="1" x14ac:dyDescent="0.2">
      <c r="B33" s="32"/>
      <c r="E33" s="785" t="e">
        <f>E31/B36</f>
        <v>#VALUE!</v>
      </c>
      <c r="F33" s="684"/>
      <c r="H33" s="1464" t="s">
        <v>489</v>
      </c>
      <c r="I33" s="1465"/>
      <c r="J33" s="1465"/>
      <c r="K33" s="1465"/>
      <c r="L33" s="1466"/>
      <c r="O33" s="26"/>
      <c r="P33" s="433"/>
      <c r="Q33" s="434"/>
      <c r="R33" s="434"/>
      <c r="S33" s="434"/>
      <c r="T33" s="434"/>
      <c r="U33" s="434"/>
      <c r="V33" s="434"/>
      <c r="W33" s="434"/>
      <c r="X33" s="434"/>
      <c r="Y33" s="434"/>
      <c r="Z33" s="434"/>
      <c r="AA33" s="434"/>
      <c r="AB33" s="434"/>
      <c r="AC33" s="434"/>
      <c r="AD33" s="434"/>
      <c r="AE33" s="434"/>
      <c r="AF33" s="434"/>
      <c r="AG33" s="434"/>
      <c r="AH33" s="437"/>
    </row>
    <row r="34" spans="1:34" ht="12.75" customHeight="1" x14ac:dyDescent="0.2">
      <c r="E34" s="442"/>
      <c r="F34" s="35"/>
      <c r="H34" s="1467"/>
      <c r="I34" s="1468"/>
      <c r="J34" s="1468"/>
      <c r="K34" s="1468"/>
      <c r="L34" s="1469"/>
      <c r="O34" s="26"/>
      <c r="P34" s="433"/>
      <c r="Q34" s="434"/>
      <c r="R34" s="434"/>
      <c r="S34" s="434"/>
      <c r="T34" s="434"/>
      <c r="U34" s="434"/>
      <c r="V34" s="434"/>
      <c r="W34" s="434"/>
      <c r="X34" s="434"/>
      <c r="Y34" s="434"/>
      <c r="Z34" s="434"/>
      <c r="AA34" s="434"/>
      <c r="AB34" s="434"/>
      <c r="AC34" s="434"/>
      <c r="AD34" s="434"/>
      <c r="AE34" s="434"/>
      <c r="AF34" s="434"/>
      <c r="AG34" s="434"/>
      <c r="AH34" s="437"/>
    </row>
    <row r="35" spans="1:34" ht="13.5" customHeight="1" x14ac:dyDescent="0.2">
      <c r="A35" s="7" t="s">
        <v>66</v>
      </c>
      <c r="E35" s="801" t="e">
        <f>E33</f>
        <v>#VALUE!</v>
      </c>
      <c r="F35" s="52"/>
      <c r="H35" s="1435"/>
      <c r="I35" s="1436"/>
      <c r="J35" s="1436"/>
      <c r="K35" s="1436"/>
      <c r="L35" s="1437"/>
      <c r="O35" s="26"/>
      <c r="P35" s="433"/>
      <c r="Q35" s="434"/>
      <c r="R35" s="434"/>
      <c r="S35" s="434"/>
      <c r="T35" s="434"/>
      <c r="U35" s="434"/>
      <c r="V35" s="434"/>
      <c r="W35" s="434"/>
      <c r="X35" s="434"/>
      <c r="Y35" s="434"/>
      <c r="Z35" s="434"/>
      <c r="AA35" s="434"/>
      <c r="AB35" s="434"/>
      <c r="AC35" s="434"/>
      <c r="AD35" s="434"/>
      <c r="AE35" s="434"/>
      <c r="AF35" s="434"/>
      <c r="AG35" s="434"/>
      <c r="AH35" s="437"/>
    </row>
    <row r="36" spans="1:34" x14ac:dyDescent="0.2">
      <c r="A36" s="7"/>
      <c r="B36" s="715" t="s">
        <v>407</v>
      </c>
      <c r="D36" s="7" t="str">
        <f>IF(B36=1,"MONTH","MONTHS")</f>
        <v>MONTHS</v>
      </c>
      <c r="E36" s="443"/>
      <c r="F36" s="672"/>
      <c r="H36" s="1448"/>
      <c r="I36" s="1449"/>
      <c r="J36" s="1449"/>
      <c r="K36" s="1449"/>
      <c r="L36" s="1450"/>
      <c r="O36" s="26"/>
      <c r="P36" s="433" t="str">
        <f>A10</f>
        <v>TBD</v>
      </c>
      <c r="Q36" s="434"/>
      <c r="R36" s="434"/>
      <c r="S36" s="434"/>
      <c r="T36" s="434"/>
      <c r="U36" s="434"/>
      <c r="V36" s="434"/>
      <c r="W36" s="434"/>
      <c r="X36" s="434"/>
      <c r="Y36" s="434"/>
      <c r="Z36" s="434"/>
      <c r="AA36" s="434"/>
      <c r="AB36" s="434"/>
      <c r="AC36" s="434"/>
      <c r="AD36" s="434"/>
      <c r="AE36" s="434"/>
      <c r="AF36" s="434"/>
      <c r="AG36" s="434"/>
      <c r="AH36" s="437"/>
    </row>
    <row r="37" spans="1:34" ht="12" customHeight="1" x14ac:dyDescent="0.2">
      <c r="B37" s="686">
        <f>IF(A10&lt;&gt;"PERSONAL",50%," - ")</f>
        <v>0.5</v>
      </c>
      <c r="E37" s="444" t="e">
        <f>IF(A10&lt;&gt;"PERSONAL",E33/2," ")</f>
        <v>#VALUE!</v>
      </c>
      <c r="F37" s="687"/>
      <c r="H37" s="1435"/>
      <c r="I37" s="1436"/>
      <c r="J37" s="1436"/>
      <c r="K37" s="1436"/>
      <c r="L37" s="1437"/>
      <c r="O37" s="26"/>
      <c r="P37" s="433"/>
      <c r="Q37" s="434"/>
      <c r="R37" s="434"/>
      <c r="S37" s="434"/>
      <c r="T37" s="434"/>
      <c r="U37" s="434"/>
      <c r="V37" s="434"/>
      <c r="W37" s="434"/>
      <c r="X37" s="434"/>
      <c r="Y37" s="434"/>
      <c r="Z37" s="434"/>
      <c r="AA37" s="434"/>
      <c r="AB37" s="434"/>
      <c r="AC37" s="434"/>
      <c r="AD37" s="434"/>
      <c r="AE37" s="434"/>
      <c r="AF37" s="434"/>
      <c r="AG37" s="434"/>
      <c r="AH37" s="437"/>
    </row>
    <row r="38" spans="1:34" ht="12" customHeight="1" x14ac:dyDescent="0.2">
      <c r="B38" s="7">
        <v>1003</v>
      </c>
      <c r="D38" s="474"/>
      <c r="E38" s="445"/>
      <c r="F38" s="284"/>
      <c r="G38" s="284"/>
      <c r="H38" s="1435"/>
      <c r="I38" s="1436"/>
      <c r="J38" s="1436"/>
      <c r="K38" s="1436"/>
      <c r="L38" s="1437"/>
      <c r="O38" s="26"/>
      <c r="P38" s="433"/>
      <c r="Q38" s="434"/>
      <c r="R38" s="434"/>
      <c r="S38" s="434"/>
      <c r="T38" s="434"/>
      <c r="U38" s="434"/>
      <c r="V38" s="434"/>
      <c r="W38" s="434"/>
      <c r="X38" s="434"/>
      <c r="Y38" s="434"/>
      <c r="Z38" s="434"/>
      <c r="AA38" s="434"/>
      <c r="AB38" s="434"/>
      <c r="AC38" s="434"/>
      <c r="AD38" s="434"/>
      <c r="AE38" s="434"/>
      <c r="AF38" s="434"/>
      <c r="AG38" s="434"/>
      <c r="AH38" s="437"/>
    </row>
    <row r="39" spans="1:34" x14ac:dyDescent="0.2">
      <c r="B39" s="273"/>
      <c r="C39" s="284"/>
      <c r="D39" s="688" t="str">
        <f>IF(AND(A10&lt;&gt;"TBD",A10&lt;&gt;"PERSONAL"),"Ownership %"," ")</f>
        <v xml:space="preserve"> </v>
      </c>
      <c r="E39" s="803"/>
      <c r="F39" s="787" t="e">
        <f>IF(A10&lt;&gt;"PERSONAL",E37*E39%," ")</f>
        <v>#VALUE!</v>
      </c>
      <c r="G39" s="284"/>
      <c r="H39" s="1435"/>
      <c r="I39" s="1436"/>
      <c r="J39" s="1436"/>
      <c r="K39" s="1436"/>
      <c r="L39" s="1437"/>
    </row>
    <row r="40" spans="1:34" x14ac:dyDescent="0.2">
      <c r="B40" s="786"/>
      <c r="C40" s="284"/>
      <c r="D40" s="284"/>
      <c r="E40" s="445" t="e">
        <f>F39</f>
        <v>#VALUE!</v>
      </c>
      <c r="F40" s="445"/>
      <c r="G40" s="284"/>
      <c r="H40" s="1435"/>
      <c r="I40" s="1436"/>
      <c r="J40" s="1436"/>
      <c r="K40" s="1436"/>
      <c r="L40" s="1437"/>
    </row>
    <row r="41" spans="1:34" x14ac:dyDescent="0.2">
      <c r="B41" s="786" t="s">
        <v>527</v>
      </c>
      <c r="C41" s="284"/>
      <c r="D41" s="474"/>
      <c r="E41" s="284"/>
      <c r="F41" s="284"/>
      <c r="G41" s="284"/>
      <c r="H41" s="1435"/>
      <c r="I41" s="1436"/>
      <c r="J41" s="1436"/>
      <c r="K41" s="1436"/>
      <c r="L41" s="1437"/>
    </row>
    <row r="42" spans="1:34" x14ac:dyDescent="0.2">
      <c r="B42" s="7" t="s">
        <v>487</v>
      </c>
      <c r="H42" s="1470"/>
      <c r="I42" s="1471"/>
      <c r="J42" s="1471"/>
      <c r="K42" s="1471"/>
      <c r="L42" s="1472"/>
    </row>
    <row r="43" spans="1:34" ht="16.5" customHeight="1" x14ac:dyDescent="0.2">
      <c r="B43" s="7" t="s">
        <v>517</v>
      </c>
    </row>
    <row r="44" spans="1:34" ht="15" customHeight="1" x14ac:dyDescent="0.2">
      <c r="B44" s="273"/>
      <c r="C44" s="284"/>
      <c r="D44" s="284"/>
      <c r="E44" s="284"/>
      <c r="F44" s="284"/>
    </row>
    <row r="45" spans="1:34" ht="13.5" x14ac:dyDescent="0.25">
      <c r="B45" s="273"/>
      <c r="C45" s="284"/>
      <c r="D45" s="284"/>
      <c r="E45" s="284"/>
      <c r="F45" s="284"/>
      <c r="G45" s="27" t="s">
        <v>45</v>
      </c>
      <c r="I45" s="1451" t="str">
        <f>Approval!E87</f>
        <v>TBD</v>
      </c>
      <c r="J45" s="1451"/>
      <c r="K45" s="1451"/>
      <c r="L45" s="1451"/>
    </row>
    <row r="46" spans="1:34" ht="8.25" customHeight="1" x14ac:dyDescent="0.2">
      <c r="B46" s="273"/>
      <c r="C46" s="284"/>
      <c r="D46" s="284"/>
      <c r="E46" s="284"/>
      <c r="F46" s="284"/>
      <c r="H46" s="22"/>
      <c r="I46" s="22"/>
      <c r="J46" s="22"/>
      <c r="K46" s="22"/>
      <c r="L46" s="23"/>
    </row>
    <row r="47" spans="1:34" ht="13.5" x14ac:dyDescent="0.25">
      <c r="B47" s="273"/>
      <c r="C47" s="284"/>
      <c r="D47" s="284"/>
      <c r="E47" s="284"/>
      <c r="F47" s="284"/>
      <c r="G47" s="27" t="s">
        <v>46</v>
      </c>
      <c r="I47" s="1452">
        <f ca="1">Approval!C88</f>
        <v>43075</v>
      </c>
      <c r="J47" s="1453"/>
      <c r="K47" s="1453"/>
      <c r="L47" s="1453"/>
    </row>
    <row r="48" spans="1:34" x14ac:dyDescent="0.2">
      <c r="B48" s="273"/>
      <c r="C48" s="284"/>
      <c r="D48" s="284"/>
      <c r="E48" s="284"/>
      <c r="F48" s="284"/>
      <c r="H48" s="284"/>
      <c r="I48" s="284"/>
      <c r="J48" s="284"/>
      <c r="K48" s="284"/>
      <c r="L48" s="284"/>
    </row>
    <row r="49" spans="2:12" x14ac:dyDescent="0.2">
      <c r="B49" s="273"/>
      <c r="C49" s="284"/>
      <c r="D49" s="284"/>
      <c r="E49" s="284"/>
      <c r="F49" s="284"/>
      <c r="H49" s="284"/>
      <c r="I49" s="284"/>
      <c r="J49" s="284"/>
      <c r="K49" s="284"/>
      <c r="L49" s="284"/>
    </row>
    <row r="50" spans="2:12" x14ac:dyDescent="0.2">
      <c r="B50" s="273"/>
      <c r="C50" s="284"/>
      <c r="D50" s="284"/>
      <c r="E50" s="284"/>
      <c r="F50" s="284"/>
      <c r="H50" s="284"/>
      <c r="I50" s="284"/>
      <c r="J50" s="284"/>
      <c r="K50" s="284"/>
      <c r="L50" s="284"/>
    </row>
    <row r="51" spans="2:12" x14ac:dyDescent="0.2">
      <c r="H51" s="284"/>
      <c r="I51" s="284"/>
      <c r="J51" s="284"/>
      <c r="K51" s="284"/>
      <c r="L51" s="284"/>
    </row>
  </sheetData>
  <sheetProtection sheet="1" objects="1" scenarios="1" selectLockedCells="1"/>
  <mergeCells count="31">
    <mergeCell ref="H36:L36"/>
    <mergeCell ref="I45:L45"/>
    <mergeCell ref="I47:L47"/>
    <mergeCell ref="J7:L7"/>
    <mergeCell ref="D12:F12"/>
    <mergeCell ref="H12:J12"/>
    <mergeCell ref="D7:H7"/>
    <mergeCell ref="D8:H8"/>
    <mergeCell ref="D9:H9"/>
    <mergeCell ref="J9:L9"/>
    <mergeCell ref="L12:L13"/>
    <mergeCell ref="J8:L8"/>
    <mergeCell ref="H33:L33"/>
    <mergeCell ref="H34:L34"/>
    <mergeCell ref="H35:L35"/>
    <mergeCell ref="H42:L42"/>
    <mergeCell ref="A10:C10"/>
    <mergeCell ref="F30:H30"/>
    <mergeCell ref="H4:I4"/>
    <mergeCell ref="H5:I5"/>
    <mergeCell ref="J4:L4"/>
    <mergeCell ref="J5:L5"/>
    <mergeCell ref="B27:F28"/>
    <mergeCell ref="H10:I10"/>
    <mergeCell ref="J10:L10"/>
    <mergeCell ref="D10:F10"/>
    <mergeCell ref="H37:L37"/>
    <mergeCell ref="H38:L38"/>
    <mergeCell ref="H39:L39"/>
    <mergeCell ref="H40:L40"/>
    <mergeCell ref="H41:L41"/>
  </mergeCells>
  <phoneticPr fontId="0" type="noConversion"/>
  <conditionalFormatting sqref="F14">
    <cfRule type="expression" dxfId="157" priority="75">
      <formula>AND($B$36=12,$E$14&lt;&gt;"",$F$14&lt;&gt;"")</formula>
    </cfRule>
    <cfRule type="expression" dxfId="156" priority="130">
      <formula>AND($F$14&lt;&gt;"",$D$14&lt;&gt;"")</formula>
    </cfRule>
  </conditionalFormatting>
  <conditionalFormatting sqref="F15">
    <cfRule type="expression" dxfId="155" priority="72">
      <formula>AND($B$36=12,$E$15&lt;&gt;"",$F$15&lt;&gt;"")</formula>
    </cfRule>
    <cfRule type="expression" dxfId="154" priority="129">
      <formula>AND($F$15&lt;&gt;"",$D$15&lt;&gt;"")</formula>
    </cfRule>
  </conditionalFormatting>
  <conditionalFormatting sqref="F25">
    <cfRule type="expression" dxfId="153" priority="43">
      <formula>AND($B$36=12,$E$25&lt;&gt;"",$F$25&lt;&gt;"")</formula>
    </cfRule>
    <cfRule type="expression" dxfId="152" priority="119">
      <formula>AND($F$25&lt;&gt;"",$D$25&lt;&gt;"")</formula>
    </cfRule>
  </conditionalFormatting>
  <conditionalFormatting sqref="J18">
    <cfRule type="expression" dxfId="151" priority="22">
      <formula>AND($B$36=12,$I$18&lt;&gt;"",$J$18&lt;&gt;"")</formula>
    </cfRule>
    <cfRule type="expression" dxfId="150" priority="102">
      <formula>AND($H$18&lt;&gt;"",$J$18&lt;&gt;"")</formula>
    </cfRule>
  </conditionalFormatting>
  <conditionalFormatting sqref="J19">
    <cfRule type="expression" dxfId="149" priority="21">
      <formula>AND($B$36=12,$I$19&lt;&gt;"",$J$19&lt;&gt;"")</formula>
    </cfRule>
    <cfRule type="expression" dxfId="148" priority="101">
      <formula>AND($H$19&lt;&gt;"",$J$19&lt;&gt;"")</formula>
    </cfRule>
  </conditionalFormatting>
  <conditionalFormatting sqref="J20">
    <cfRule type="expression" dxfId="147" priority="20">
      <formula>AND($B$36=12,$I$20&lt;&gt;"",$J$20&lt;&gt;"")</formula>
    </cfRule>
    <cfRule type="expression" dxfId="146" priority="100">
      <formula>AND($H$20&lt;&gt;"",$J$20&lt;&gt;"")</formula>
    </cfRule>
  </conditionalFormatting>
  <conditionalFormatting sqref="J21">
    <cfRule type="expression" dxfId="145" priority="19">
      <formula>AND($B$36=12,$I$21&lt;&gt;"",$J$21&lt;&gt;"")</formula>
    </cfRule>
    <cfRule type="expression" dxfId="144" priority="99">
      <formula>AND($H$21&lt;&gt;"",$J$21&lt;&gt;"")</formula>
    </cfRule>
  </conditionalFormatting>
  <conditionalFormatting sqref="J22">
    <cfRule type="expression" dxfId="143" priority="18">
      <formula>AND($B$36=12,$I$22&lt;&gt;"",$J$22&lt;&gt;"")</formula>
    </cfRule>
    <cfRule type="expression" dxfId="142" priority="98">
      <formula>AND($H$22&lt;&gt;"",$J$22&lt;&gt;"")</formula>
    </cfRule>
  </conditionalFormatting>
  <conditionalFormatting sqref="J23">
    <cfRule type="expression" dxfId="141" priority="17">
      <formula>AND($B$36=12,$I$23&lt;&gt;"",$J$23&lt;&gt;"")</formula>
    </cfRule>
    <cfRule type="expression" dxfId="140" priority="97">
      <formula>AND($H$23&lt;&gt;"",$J$23&lt;&gt;"")</formula>
    </cfRule>
  </conditionalFormatting>
  <conditionalFormatting sqref="J24">
    <cfRule type="expression" dxfId="139" priority="16">
      <formula>AND($B$36=12,$I$24&lt;&gt;"",$J$24&lt;&gt;"")</formula>
    </cfRule>
    <cfRule type="expression" dxfId="138" priority="96">
      <formula>AND($H$24&lt;&gt;"",$J$24&lt;&gt;"")</formula>
    </cfRule>
  </conditionalFormatting>
  <conditionalFormatting sqref="J25">
    <cfRule type="expression" dxfId="137" priority="15">
      <formula>AND($B$36=12,$I$25&lt;&gt;"",$J$25&lt;&gt;"")</formula>
    </cfRule>
    <cfRule type="expression" dxfId="136" priority="95">
      <formula>AND($H$25&lt;&gt;"",$J$25&lt;&gt;"")</formula>
    </cfRule>
  </conditionalFormatting>
  <conditionalFormatting sqref="E29:F29">
    <cfRule type="expression" dxfId="135" priority="94">
      <formula>OR($H$27="EXCEED",$B$36="TBD")</formula>
    </cfRule>
  </conditionalFormatting>
  <conditionalFormatting sqref="E30">
    <cfRule type="containsText" dxfId="134" priority="92" operator="containsText" text="# OF MOS CALCULATED EXCEED 24MOS">
      <formula>NOT(ISERROR(SEARCH("# OF MOS CALCULATED EXCEED 24MOS",E30)))</formula>
    </cfRule>
  </conditionalFormatting>
  <conditionalFormatting sqref="J4:L4">
    <cfRule type="containsBlanks" dxfId="133" priority="91">
      <formula>LEN(TRIM(J4))=0</formula>
    </cfRule>
  </conditionalFormatting>
  <conditionalFormatting sqref="J16">
    <cfRule type="expression" dxfId="132" priority="24">
      <formula>AND($B$36=12,$I$16&lt;&gt;"",$J$16&lt;&gt;"")</formula>
    </cfRule>
    <cfRule type="expression" dxfId="131" priority="345">
      <formula>AND($H$16&lt;&gt;"",$J$16&lt;&gt;"")</formula>
    </cfRule>
  </conditionalFormatting>
  <conditionalFormatting sqref="J17">
    <cfRule type="expression" dxfId="130" priority="23">
      <formula>AND($B$36=12,$I$17&lt;&gt;"",$J$17&lt;&gt;"")</formula>
    </cfRule>
    <cfRule type="expression" dxfId="129" priority="346">
      <formula>AND($H$17&lt;&gt;"",$J$17&lt;&gt;"")</formula>
    </cfRule>
  </conditionalFormatting>
  <conditionalFormatting sqref="J15">
    <cfRule type="expression" dxfId="128" priority="25">
      <formula>AND($B$36=12,$I$15&lt;&gt;"",$J$15&lt;&gt;"")</formula>
    </cfRule>
    <cfRule type="expression" dxfId="127" priority="90">
      <formula>AND($H$15&lt;&gt;"",$J$15&lt;&gt;"")</formula>
    </cfRule>
  </conditionalFormatting>
  <conditionalFormatting sqref="J14">
    <cfRule type="expression" dxfId="126" priority="26">
      <formula>AND($B$36=12,$I$14&lt;&gt;"",$J$14&lt;&gt;"")</formula>
    </cfRule>
    <cfRule type="expression" dxfId="125" priority="89">
      <formula>AND($H$14&lt;&gt;"",$J$14&lt;&gt;"")</formula>
    </cfRule>
  </conditionalFormatting>
  <conditionalFormatting sqref="A10:C10">
    <cfRule type="expression" dxfId="124" priority="6">
      <formula>AND($B$36=1,$A$10="BUSINESS")</formula>
    </cfRule>
    <cfRule type="expression" dxfId="123" priority="88">
      <formula>$A$10="TBD"</formula>
    </cfRule>
  </conditionalFormatting>
  <conditionalFormatting sqref="E40">
    <cfRule type="expression" dxfId="122" priority="11">
      <formula>$E$40&lt;&gt;$F$39</formula>
    </cfRule>
    <cfRule type="containsBlanks" dxfId="121" priority="82">
      <formula>LEN(TRIM(E40))=0</formula>
    </cfRule>
    <cfRule type="cellIs" dxfId="120" priority="87" operator="greaterThan">
      <formula>0</formula>
    </cfRule>
  </conditionalFormatting>
  <conditionalFormatting sqref="E39">
    <cfRule type="expression" dxfId="119" priority="83">
      <formula>$A$10="TBD"</formula>
    </cfRule>
    <cfRule type="expression" dxfId="118" priority="84">
      <formula>$E$40&gt;0</formula>
    </cfRule>
    <cfRule type="expression" dxfId="117" priority="85">
      <formula>$D$39&lt;&gt;""</formula>
    </cfRule>
  </conditionalFormatting>
  <conditionalFormatting sqref="E37">
    <cfRule type="containsBlanks" dxfId="116" priority="81">
      <formula>LEN(TRIM(E37))=0</formula>
    </cfRule>
  </conditionalFormatting>
  <conditionalFormatting sqref="B27:F28">
    <cfRule type="expression" dxfId="115" priority="77">
      <formula>AND($Q$27&gt;0,$Q$27&lt;&gt;"EXCEED")</formula>
    </cfRule>
    <cfRule type="expression" dxfId="114" priority="79">
      <formula>OR($A$10="TBD",$B$36="TBD")</formula>
    </cfRule>
    <cfRule type="expression" dxfId="113" priority="80">
      <formula>$Q$27="EXCEED"</formula>
    </cfRule>
  </conditionalFormatting>
  <conditionalFormatting sqref="B36">
    <cfRule type="expression" dxfId="112" priority="2">
      <formula>AND($B$36=1,$L$27&gt;0)</formula>
    </cfRule>
    <cfRule type="expression" dxfId="111" priority="5">
      <formula>AND($B$36=1,$A$10="BUSINESS")</formula>
    </cfRule>
    <cfRule type="expression" dxfId="110" priority="78">
      <formula>$B$36="TBD"</formula>
    </cfRule>
  </conditionalFormatting>
  <conditionalFormatting sqref="E14">
    <cfRule type="expression" dxfId="109" priority="74">
      <formula>AND($B$36=12,$D$14&lt;&gt;"",$E$14&lt;&gt;"")</formula>
    </cfRule>
  </conditionalFormatting>
  <conditionalFormatting sqref="E15">
    <cfRule type="expression" dxfId="108" priority="73">
      <formula>AND($B$36=12,$D$15&lt;&gt;"",$E$15&lt;&gt;"")</formula>
    </cfRule>
  </conditionalFormatting>
  <conditionalFormatting sqref="E16">
    <cfRule type="expression" dxfId="107" priority="71">
      <formula>AND($B$36=12,$D$16&lt;&gt;"",$E$16&lt;&gt;"")</formula>
    </cfRule>
  </conditionalFormatting>
  <conditionalFormatting sqref="E17">
    <cfRule type="expression" dxfId="106" priority="70">
      <formula>AND($B$36=12,$D$17&lt;&gt;"",$E$17&lt;&gt;"")</formula>
    </cfRule>
  </conditionalFormatting>
  <conditionalFormatting sqref="E18">
    <cfRule type="expression" dxfId="105" priority="69">
      <formula>AND($B$36=12,$D$18&lt;&gt;"",$E$18&lt;&gt;"")</formula>
    </cfRule>
  </conditionalFormatting>
  <conditionalFormatting sqref="E19">
    <cfRule type="expression" dxfId="104" priority="68">
      <formula>AND($B$36=12,$D$19&lt;&gt;"",$E$19&lt;&gt;"")</formula>
    </cfRule>
  </conditionalFormatting>
  <conditionalFormatting sqref="E20">
    <cfRule type="expression" dxfId="103" priority="67">
      <formula>AND($B$36=12,$D$20&lt;&gt;"",$E$20&lt;&gt;"")</formula>
    </cfRule>
  </conditionalFormatting>
  <conditionalFormatting sqref="E21">
    <cfRule type="expression" dxfId="102" priority="66">
      <formula>AND($B$36=12,$D$21&lt;&gt;"",$E$21&lt;&gt;"")</formula>
    </cfRule>
  </conditionalFormatting>
  <conditionalFormatting sqref="E22">
    <cfRule type="expression" dxfId="101" priority="65">
      <formula>AND($B$36=12,$D$22&lt;&gt;"",$E$22&lt;&gt;"")</formula>
    </cfRule>
  </conditionalFormatting>
  <conditionalFormatting sqref="E23">
    <cfRule type="expression" dxfId="100" priority="64">
      <formula>AND($B$36=12,$D$23&lt;&gt;"",$E$23&lt;&gt;"")</formula>
    </cfRule>
  </conditionalFormatting>
  <conditionalFormatting sqref="E24">
    <cfRule type="expression" dxfId="99" priority="63">
      <formula>AND($B$36=12,$D$24&lt;&gt;"",$E$24&lt;&gt;"")</formula>
    </cfRule>
  </conditionalFormatting>
  <conditionalFormatting sqref="E25">
    <cfRule type="expression" dxfId="98" priority="62">
      <formula>AND($B$36=12,$D$25&lt;&gt;"",$E$25&lt;&gt;"")</formula>
    </cfRule>
  </conditionalFormatting>
  <conditionalFormatting sqref="F16">
    <cfRule type="expression" dxfId="97" priority="60">
      <formula>AND($B$36=12,$E$16&lt;&gt;"",$F$16&lt;&gt;"")</formula>
    </cfRule>
    <cfRule type="expression" dxfId="96" priority="61">
      <formula>AND($F$16&lt;&gt;"",$D$16&lt;&gt;"")</formula>
    </cfRule>
  </conditionalFormatting>
  <conditionalFormatting sqref="F17">
    <cfRule type="expression" dxfId="95" priority="58">
      <formula>AND($B$36=12,$E$17&lt;&gt;"",$F$17&lt;&gt;"")</formula>
    </cfRule>
    <cfRule type="expression" dxfId="94" priority="59">
      <formula>AND($F$17&lt;&gt;"",$D$17&lt;&gt;"")</formula>
    </cfRule>
  </conditionalFormatting>
  <conditionalFormatting sqref="F18">
    <cfRule type="expression" dxfId="93" priority="56">
      <formula>AND($B$36=12,$E$18&lt;&gt;"",$F$18&lt;&gt;"")</formula>
    </cfRule>
    <cfRule type="expression" dxfId="92" priority="57">
      <formula>AND($F$18&lt;&gt;"",$D$18&lt;&gt;"")</formula>
    </cfRule>
  </conditionalFormatting>
  <conditionalFormatting sqref="F19">
    <cfRule type="expression" dxfId="91" priority="54">
      <formula>AND($B$36=12,$E$19&lt;&gt;"",$F$19&lt;&gt;"")</formula>
    </cfRule>
    <cfRule type="expression" dxfId="90" priority="55">
      <formula>AND($F$19&lt;&gt;"",$D$19&lt;&gt;"")</formula>
    </cfRule>
  </conditionalFormatting>
  <conditionalFormatting sqref="F20">
    <cfRule type="expression" dxfId="89" priority="52">
      <formula>AND($B$36=12,$E$20&lt;&gt;"",$F$20&lt;&gt;"")</formula>
    </cfRule>
    <cfRule type="expression" dxfId="88" priority="53">
      <formula>AND($F$20&lt;&gt;"",$D$20&lt;&gt;"")</formula>
    </cfRule>
  </conditionalFormatting>
  <conditionalFormatting sqref="F21">
    <cfRule type="expression" dxfId="87" priority="50">
      <formula>AND($B$36=12,$E$21&lt;&gt;"",$F$21&lt;&gt;"")</formula>
    </cfRule>
    <cfRule type="expression" dxfId="86" priority="51">
      <formula>AND($F$21&lt;&gt;"",$D$21&lt;&gt;"")</formula>
    </cfRule>
  </conditionalFormatting>
  <conditionalFormatting sqref="F22">
    <cfRule type="expression" dxfId="85" priority="48">
      <formula>AND($B$36=12,$E$22&lt;&gt;"",$F$22&lt;&gt;"")</formula>
    </cfRule>
    <cfRule type="expression" dxfId="84" priority="49">
      <formula>AND($F$22&lt;&gt;"",$D$22&lt;&gt;"")</formula>
    </cfRule>
  </conditionalFormatting>
  <conditionalFormatting sqref="F23">
    <cfRule type="expression" dxfId="83" priority="46">
      <formula>AND($B$36=12,$E$23&lt;&gt;"",$F$23&lt;&gt;"")</formula>
    </cfRule>
    <cfRule type="expression" dxfId="82" priority="47">
      <formula>AND($F$23&lt;&gt;"",$D$23&lt;&gt;"")</formula>
    </cfRule>
  </conditionalFormatting>
  <conditionalFormatting sqref="F24">
    <cfRule type="expression" dxfId="81" priority="44">
      <formula>AND($B$36=12,$E$24&lt;&gt;"",$F$24&lt;&gt;"")</formula>
    </cfRule>
    <cfRule type="expression" dxfId="80" priority="45">
      <formula>AND($F$24&lt;&gt;"",$D$24&lt;&gt;"")</formula>
    </cfRule>
  </conditionalFormatting>
  <conditionalFormatting sqref="I14">
    <cfRule type="expression" dxfId="79" priority="42">
      <formula>AND($B$36=12,$H$14&lt;&gt;"",$I$14&lt;&gt;"")</formula>
    </cfRule>
  </conditionalFormatting>
  <conditionalFormatting sqref="I15">
    <cfRule type="expression" dxfId="78" priority="40">
      <formula>AND($B$36=12,$H$15&lt;&gt;"",$I$15&lt;&gt;"")</formula>
    </cfRule>
  </conditionalFormatting>
  <conditionalFormatting sqref="I16">
    <cfRule type="expression" dxfId="77" priority="39">
      <formula>AND($B$36=12,$H$16&lt;&gt;"",$I$16&lt;&gt;"")</formula>
    </cfRule>
  </conditionalFormatting>
  <conditionalFormatting sqref="I17">
    <cfRule type="expression" dxfId="76" priority="38">
      <formula>AND($B$36=12,$H$17&lt;&gt;"",$I$17&lt;&gt;"")</formula>
    </cfRule>
  </conditionalFormatting>
  <conditionalFormatting sqref="I18">
    <cfRule type="expression" dxfId="75" priority="37">
      <formula>AND($B$36=12,$H$18&lt;&gt;"",$I$18&lt;&gt;"")</formula>
    </cfRule>
  </conditionalFormatting>
  <conditionalFormatting sqref="I19">
    <cfRule type="expression" dxfId="74" priority="36">
      <formula>AND($B$36=12,$H$19&lt;&gt;"",$I$19&lt;&gt;"")</formula>
    </cfRule>
  </conditionalFormatting>
  <conditionalFormatting sqref="I20">
    <cfRule type="expression" dxfId="73" priority="35">
      <formula>AND($B$36=12,$H$20&lt;&gt;"",$I$20&lt;&gt;"")</formula>
    </cfRule>
  </conditionalFormatting>
  <conditionalFormatting sqref="I21">
    <cfRule type="expression" dxfId="72" priority="34">
      <formula>AND($B$36=12,$H$21&lt;&gt;"",$I$21&lt;&gt;"")</formula>
    </cfRule>
  </conditionalFormatting>
  <conditionalFormatting sqref="I22">
    <cfRule type="expression" dxfId="71" priority="30">
      <formula>AND($B$36=12,$H$22&lt;&gt;"",$I$22&lt;&gt;"")</formula>
    </cfRule>
  </conditionalFormatting>
  <conditionalFormatting sqref="I23">
    <cfRule type="expression" dxfId="70" priority="29">
      <formula>AND($B$36=12,$H$23&lt;&gt;"",$I$23&lt;&gt;"")</formula>
    </cfRule>
  </conditionalFormatting>
  <conditionalFormatting sqref="I24">
    <cfRule type="expression" dxfId="69" priority="28">
      <formula>AND($B$36=12,$H$24&lt;&gt;"",$I$24&lt;&gt;"")</formula>
    </cfRule>
  </conditionalFormatting>
  <conditionalFormatting sqref="I25">
    <cfRule type="expression" dxfId="68" priority="27">
      <formula>AND($B$36=12,$H$25&lt;&gt;"",$I$25&lt;&gt;"")</formula>
    </cfRule>
  </conditionalFormatting>
  <conditionalFormatting sqref="E35">
    <cfRule type="expression" dxfId="67" priority="14">
      <formula>$E$33&lt;&gt;$E$35</formula>
    </cfRule>
  </conditionalFormatting>
  <conditionalFormatting sqref="D38">
    <cfRule type="containsBlanks" dxfId="66" priority="347">
      <formula>LEN(TRIM(D38))=0</formula>
    </cfRule>
  </conditionalFormatting>
  <conditionalFormatting sqref="D41">
    <cfRule type="containsBlanks" dxfId="65" priority="12">
      <formula>LEN(TRIM(D41))=0</formula>
    </cfRule>
  </conditionalFormatting>
  <conditionalFormatting sqref="J10:L10">
    <cfRule type="expression" dxfId="64" priority="8">
      <formula>AND($B$36=1,$J$10&lt;0)</formula>
    </cfRule>
    <cfRule type="expression" dxfId="63" priority="9">
      <formula>AND($B$36=1,$J$10="")</formula>
    </cfRule>
    <cfRule type="expression" dxfId="62" priority="10">
      <formula>AND($B$36=1,$J$10&lt;&gt;"")</formula>
    </cfRule>
  </conditionalFormatting>
  <conditionalFormatting sqref="L27">
    <cfRule type="expression" dxfId="61" priority="4">
      <formula>AND($B$36=1,$L$27&gt;0)</formula>
    </cfRule>
  </conditionalFormatting>
  <conditionalFormatting sqref="L12:L13">
    <cfRule type="expression" dxfId="60" priority="3">
      <formula>AND($B$36=1,$L$27&gt;0)</formula>
    </cfRule>
  </conditionalFormatting>
  <conditionalFormatting sqref="J5:L5">
    <cfRule type="expression" dxfId="59" priority="1">
      <formula>$J$5&lt;SUM(TODAY()+8)</formula>
    </cfRule>
  </conditionalFormatting>
  <dataValidations count="9">
    <dataValidation type="list" allowBlank="1" showInputMessage="1" showErrorMessage="1" sqref="A10:C10">
      <formula1>"TBD,PERSONAL,BUSINESS,PERSONAL - USE AS BUSINESS"</formula1>
    </dataValidation>
    <dataValidation type="decimal" operator="greaterThanOrEqual" allowBlank="1" showInputMessage="1" showErrorMessage="1" sqref="D14:F25 H14:J25">
      <formula1>0</formula1>
    </dataValidation>
    <dataValidation type="list" allowBlank="1" showInputMessage="1" showErrorMessage="1" sqref="D13">
      <formula1>"2017,2016"</formula1>
    </dataValidation>
    <dataValidation type="list" allowBlank="1" showInputMessage="1" showErrorMessage="1" sqref="E13">
      <formula1>"2016,2015"</formula1>
    </dataValidation>
    <dataValidation type="list" allowBlank="1" showInputMessage="1" showErrorMessage="1" sqref="B36">
      <formula1>"TBD,24,12,1"</formula1>
    </dataValidation>
    <dataValidation allowBlank="1" showInputMessage="1" showErrorMessage="1" promptTitle="SHOULD NOT BE RED" prompt="IF THIS FIELD IS RED, YOU HAVE OVERRIDE THE FORMULA. PLEASE SEE U/W SUPERVISOR OR INPUT &quot;=E33&quot; IN CELL E35" sqref="E35"/>
    <dataValidation allowBlank="1" showInputMessage="1" showErrorMessage="1" promptTitle="THIS CELL SHOULD NOT BE RED" prompt="IF THIS CELL IS RED, YOU HAVE OVERRIDE THE FORMULA. PLEASE SEE U/W SUPERVISOR OR INPUT &quot;=F39&quot; IN CELL E40" sqref="E40"/>
    <dataValidation allowBlank="1" showInputMessage="1" showErrorMessage="1" promptTitle="5 items on Signed Income LOE" prompt="1.) Name of business_x000a_2.) How business setup: Corp, LLC/LTD, Sole Proprietor_x000a_3.) What business does_x000a_4.) # of employee if any_x000a_5.) personal income_x000a_LOE need to be signed by self/employed brwr" sqref="D41"/>
    <dataValidation allowBlank="1" showInputMessage="1" showErrorMessage="1" promptTitle=" 1 month bank statement program" prompt="Positive ending statement_x000a_No NSF_x000a_Personal Bank Statement Only_x000a_Owner Occupied_x000a_NO FTHB_x000a_Credit: 5 years/3 accounts paid as agreed_x000a_24 Mos MTG rating_x000a_NO delinquency in the last 5 years_x000a_NO charge off/collections/tax liens_x000a_SFR/CONDO/PUD - Good Condition_x000a_NO Rural" sqref="J10:L10"/>
  </dataValidations>
  <printOptions horizontalCentered="1"/>
  <pageMargins left="0.15" right="0.15" top="0" bottom="0"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fitToPage="1"/>
  </sheetPr>
  <dimension ref="A1:AE56"/>
  <sheetViews>
    <sheetView topLeftCell="A19" workbookViewId="0">
      <selection activeCell="B26" sqref="B26"/>
    </sheetView>
  </sheetViews>
  <sheetFormatPr defaultRowHeight="15" x14ac:dyDescent="0.25"/>
  <cols>
    <col min="1" max="1" width="3" style="597" customWidth="1"/>
    <col min="2" max="2" width="7.28515625" style="597" customWidth="1"/>
    <col min="3" max="3" width="6.85546875" style="597" customWidth="1"/>
    <col min="4" max="4" width="10.42578125" style="597" customWidth="1"/>
    <col min="5" max="5" width="5.85546875" style="597" customWidth="1"/>
    <col min="6" max="6" width="5.140625" style="597" customWidth="1"/>
    <col min="7" max="7" width="7.7109375" style="597" customWidth="1"/>
    <col min="8" max="8" width="8.5703125" style="597" customWidth="1"/>
    <col min="9" max="9" width="7.28515625" style="597" customWidth="1"/>
    <col min="10" max="10" width="7" style="597" customWidth="1"/>
    <col min="11" max="11" width="8.5703125" style="597" customWidth="1"/>
    <col min="12" max="12" width="8.140625" style="597" customWidth="1"/>
    <col min="13" max="13" width="8.5703125" style="597" customWidth="1"/>
    <col min="14" max="14" width="0.5703125" style="597" hidden="1" customWidth="1"/>
    <col min="15" max="15" width="6" style="597" customWidth="1"/>
    <col min="16" max="16" width="13.42578125" style="597" customWidth="1"/>
    <col min="17" max="17" width="9.140625" style="597"/>
    <col min="18" max="18" width="9.140625" style="597" hidden="1" customWidth="1"/>
    <col min="19" max="19" width="10.5703125" style="664" hidden="1" customWidth="1"/>
    <col min="20" max="20" width="9.140625" style="597"/>
    <col min="21" max="21" width="0" style="597" hidden="1" customWidth="1"/>
    <col min="22" max="22" width="9.140625" style="597"/>
    <col min="23" max="23" width="10.7109375" style="597" bestFit="1" customWidth="1"/>
    <col min="24" max="16384" width="9.140625" style="597"/>
  </cols>
  <sheetData>
    <row r="1" spans="1:31" ht="57.75" customHeight="1" thickBot="1" x14ac:dyDescent="0.3">
      <c r="K1" s="1498" t="s">
        <v>456</v>
      </c>
      <c r="L1" s="1498"/>
      <c r="M1" s="1498"/>
      <c r="N1" s="1498"/>
      <c r="O1" s="1498"/>
      <c r="P1" s="1498"/>
    </row>
    <row r="2" spans="1:31" x14ac:dyDescent="0.25">
      <c r="A2" s="650" t="s">
        <v>1</v>
      </c>
      <c r="B2" s="594"/>
      <c r="C2" s="1521">
        <f>Approval!E6</f>
        <v>0</v>
      </c>
      <c r="D2" s="1522"/>
      <c r="E2" s="1522"/>
      <c r="F2" s="1522"/>
      <c r="G2" s="1522"/>
      <c r="H2" s="1522"/>
      <c r="I2" s="1523"/>
      <c r="J2" s="651" t="s">
        <v>41</v>
      </c>
      <c r="K2" s="594"/>
      <c r="L2" s="651" t="s">
        <v>455</v>
      </c>
      <c r="M2" s="607" t="str">
        <f>IF(Approval!AD9="x","1st Lien","2nd Lien")</f>
        <v>1st Lien</v>
      </c>
      <c r="N2" s="599"/>
      <c r="O2" s="1496" t="s">
        <v>473</v>
      </c>
      <c r="P2" s="1528" t="str">
        <f>Approval!AB6</f>
        <v>TBD</v>
      </c>
      <c r="R2" s="664" t="b">
        <v>0</v>
      </c>
      <c r="S2" s="664">
        <f>IF(R2,1,0)</f>
        <v>0</v>
      </c>
    </row>
    <row r="3" spans="1:31" x14ac:dyDescent="0.25">
      <c r="A3" s="600"/>
      <c r="B3" s="601"/>
      <c r="C3" s="1524">
        <f>Approval!E7</f>
        <v>0</v>
      </c>
      <c r="D3" s="1525"/>
      <c r="E3" s="1525"/>
      <c r="F3" s="1525"/>
      <c r="G3" s="1525"/>
      <c r="H3" s="1525"/>
      <c r="I3" s="1526"/>
      <c r="J3" s="1481">
        <f>Approval!Q7</f>
        <v>0</v>
      </c>
      <c r="K3" s="1482"/>
      <c r="L3" s="1481" t="str">
        <f>Approval!U8</f>
        <v>7/1 ARM</v>
      </c>
      <c r="M3" s="1527"/>
      <c r="N3" s="602"/>
      <c r="O3" s="1497"/>
      <c r="P3" s="1529"/>
      <c r="R3" s="664" t="b">
        <v>0</v>
      </c>
      <c r="S3" s="664">
        <f>IF(R3,1,0)</f>
        <v>0</v>
      </c>
    </row>
    <row r="4" spans="1:31" x14ac:dyDescent="0.25">
      <c r="A4" s="649" t="s">
        <v>3</v>
      </c>
      <c r="B4" s="603"/>
      <c r="C4" s="603"/>
      <c r="D4" s="603"/>
      <c r="E4" s="603"/>
      <c r="F4" s="603"/>
      <c r="G4" s="603"/>
      <c r="H4" s="603"/>
      <c r="I4" s="604"/>
      <c r="J4" s="652" t="s">
        <v>13</v>
      </c>
      <c r="K4" s="605"/>
      <c r="L4" s="652" t="s">
        <v>14</v>
      </c>
      <c r="M4" s="603"/>
      <c r="N4" s="604"/>
      <c r="O4" s="652" t="s">
        <v>98</v>
      </c>
      <c r="P4" s="608"/>
      <c r="R4" s="664" t="b">
        <v>0</v>
      </c>
      <c r="S4" s="664">
        <f>IF(R4,1,0)</f>
        <v>0</v>
      </c>
    </row>
    <row r="5" spans="1:31" x14ac:dyDescent="0.25">
      <c r="A5" s="1518">
        <f>Approval!A9</f>
        <v>0</v>
      </c>
      <c r="B5" s="1519"/>
      <c r="C5" s="1519"/>
      <c r="D5" s="1519"/>
      <c r="E5" s="1519"/>
      <c r="F5" s="1519"/>
      <c r="G5" s="1519"/>
      <c r="H5" s="1519"/>
      <c r="I5" s="1520"/>
      <c r="J5" s="1508" t="str">
        <f>IF(Approval!A12="X","Purchase",IF(Approval!A13="X","Rate/Term Refi",IF(Approval!A14="X","Cash-out Refi",IF(Approval!A15="X","Lease Option to Purchase",""))))</f>
        <v/>
      </c>
      <c r="K5" s="1509"/>
      <c r="L5" s="1501" t="str">
        <f>IF(Approval!I14="X",Approval!L14&amp;" Units",IF(Approval!I12="X",Approval!J12,IF(Approval!I13="X",Approval!J13,IF(Approval!I15="X",Approval!J15,""))))</f>
        <v/>
      </c>
      <c r="M5" s="1502"/>
      <c r="N5" s="606"/>
      <c r="O5" s="1512" t="str">
        <f>IF(Approval!Q12="X",Approval!R12,IF(Approval!Q13="X",Approval!R13,IF(Approval!Q14="X",Approval!R14,"")))</f>
        <v/>
      </c>
      <c r="P5" s="1513"/>
      <c r="R5" s="664" t="b">
        <v>0</v>
      </c>
      <c r="S5" s="664">
        <f>IF(R5,1,0)</f>
        <v>0</v>
      </c>
    </row>
    <row r="6" spans="1:31" ht="15.75" thickBot="1" x14ac:dyDescent="0.3">
      <c r="A6" s="1516">
        <f>Approval!A10</f>
        <v>0</v>
      </c>
      <c r="B6" s="1517"/>
      <c r="C6" s="1517"/>
      <c r="D6" s="1517"/>
      <c r="E6" s="1517"/>
      <c r="F6" s="1517"/>
      <c r="G6" s="609">
        <f>Approval!L10</f>
        <v>0</v>
      </c>
      <c r="H6" s="1499">
        <f>Approval!N10</f>
        <v>0</v>
      </c>
      <c r="I6" s="1500"/>
      <c r="J6" s="1510"/>
      <c r="K6" s="1511"/>
      <c r="L6" s="1503"/>
      <c r="M6" s="1504"/>
      <c r="N6" s="610"/>
      <c r="O6" s="1514"/>
      <c r="P6" s="1515"/>
      <c r="R6" s="664"/>
      <c r="S6" s="664">
        <f>SUM(S2:S5)</f>
        <v>0</v>
      </c>
    </row>
    <row r="7" spans="1:31" ht="25.5" customHeight="1" thickBot="1" x14ac:dyDescent="0.3">
      <c r="A7" s="648" t="s">
        <v>472</v>
      </c>
      <c r="B7" s="643"/>
      <c r="C7" s="1559" t="str">
        <f>IF(OR(Approval!A12="x",Approval!A15="x"),Approval!AI18,"N/A")</f>
        <v>N/A</v>
      </c>
      <c r="D7" s="1559"/>
      <c r="E7" s="655" t="s">
        <v>129</v>
      </c>
      <c r="F7" s="646"/>
      <c r="G7" s="647"/>
      <c r="H7" s="1560">
        <f>Approval!AI41</f>
        <v>0</v>
      </c>
      <c r="I7" s="1561"/>
      <c r="J7" s="1557" t="s">
        <v>342</v>
      </c>
      <c r="K7" s="1558"/>
      <c r="L7" s="1505">
        <f>Approval!AG9</f>
        <v>0</v>
      </c>
      <c r="M7" s="1505"/>
      <c r="N7" s="656"/>
      <c r="O7" s="1491" t="str">
        <f>IF(D8="","",IF(D8&gt;=H7,"","Redisclose-LTV Change Check Max LTV Allow"))</f>
        <v/>
      </c>
      <c r="P7" s="1532"/>
    </row>
    <row r="8" spans="1:31" ht="23.25" customHeight="1" thickBot="1" x14ac:dyDescent="0.3">
      <c r="A8" s="1494" t="s">
        <v>317</v>
      </c>
      <c r="B8" s="1495"/>
      <c r="C8" s="1495"/>
      <c r="D8" s="1490"/>
      <c r="E8" s="1490"/>
      <c r="F8" s="1490"/>
      <c r="G8" s="1490"/>
      <c r="H8" s="1491" t="s">
        <v>471</v>
      </c>
      <c r="I8" s="1491"/>
      <c r="J8" s="1492"/>
      <c r="K8" s="1493"/>
      <c r="L8" s="654" t="s">
        <v>9</v>
      </c>
      <c r="M8" s="629" t="e">
        <f>IF(D8="",Approval!AG11,IF(D8&lt;H7,L7/D8,Approval!AG11))</f>
        <v>#DIV/0!</v>
      </c>
      <c r="N8" s="627"/>
      <c r="O8" s="653" t="s">
        <v>11</v>
      </c>
      <c r="P8" s="628" t="e">
        <f>IF(D8="",Approval!AK11,IF(D8&lt;H7,(L7+Approval!AI64)/D8,Approval!AG11))</f>
        <v>#DIV/0!</v>
      </c>
      <c r="R8" s="597">
        <f>Approval!I14</f>
        <v>0</v>
      </c>
    </row>
    <row r="9" spans="1:31" x14ac:dyDescent="0.25">
      <c r="A9" s="630"/>
      <c r="B9" s="657"/>
      <c r="C9" s="611"/>
      <c r="D9" s="611"/>
      <c r="E9" s="611"/>
      <c r="F9" s="1565" t="str">
        <f>IF(H9&lt;&gt;"","HOA Dues Est","")</f>
        <v/>
      </c>
      <c r="G9" s="1565"/>
      <c r="H9" s="660" t="str">
        <f>IF(Approval!H45&lt;&gt;"",Approval!H45,"")</f>
        <v/>
      </c>
      <c r="I9" s="660"/>
      <c r="J9" s="660"/>
      <c r="K9" s="612"/>
      <c r="L9" s="613"/>
      <c r="M9" s="613"/>
      <c r="N9" s="259"/>
      <c r="O9" s="1533" t="s">
        <v>479</v>
      </c>
      <c r="P9" s="1533"/>
      <c r="R9" s="638" t="s">
        <v>470</v>
      </c>
    </row>
    <row r="10" spans="1:31" x14ac:dyDescent="0.25">
      <c r="A10" s="247"/>
      <c r="B10" s="247"/>
      <c r="D10" s="583"/>
      <c r="E10" s="583"/>
      <c r="F10" s="583"/>
      <c r="G10" s="247"/>
      <c r="H10" s="247"/>
      <c r="I10" s="256"/>
      <c r="J10" s="614"/>
      <c r="K10" s="615" t="s">
        <v>431</v>
      </c>
      <c r="L10" s="614"/>
      <c r="M10" s="614" t="s">
        <v>434</v>
      </c>
      <c r="N10" s="247"/>
      <c r="O10" s="1534"/>
      <c r="P10" s="1534"/>
      <c r="R10" s="632" t="s">
        <v>431</v>
      </c>
      <c r="S10" s="808" t="s">
        <v>434</v>
      </c>
    </row>
    <row r="11" spans="1:31" x14ac:dyDescent="0.25">
      <c r="A11" s="583">
        <v>1</v>
      </c>
      <c r="B11" s="617" t="s">
        <v>466</v>
      </c>
      <c r="C11" s="618"/>
      <c r="D11" s="619"/>
      <c r="E11" s="619"/>
      <c r="F11" s="619"/>
      <c r="G11" s="619"/>
      <c r="H11" s="619"/>
      <c r="I11" s="641"/>
      <c r="J11" s="265"/>
      <c r="K11" s="625"/>
      <c r="L11" s="631"/>
      <c r="M11" s="625"/>
      <c r="N11" s="625"/>
      <c r="O11" s="1477" t="str">
        <f>IF(D8="","",IF(S11,"Correction",IF(R11,"Pass","Check box Yes/No")))</f>
        <v/>
      </c>
      <c r="P11" s="1478"/>
      <c r="R11" s="663" t="b">
        <v>0</v>
      </c>
      <c r="S11" s="664" t="b">
        <v>0</v>
      </c>
    </row>
    <row r="12" spans="1:31" x14ac:dyDescent="0.25">
      <c r="A12" s="583">
        <v>2</v>
      </c>
      <c r="B12" s="620" t="s">
        <v>529</v>
      </c>
      <c r="C12" s="621"/>
      <c r="D12" s="621"/>
      <c r="E12" s="621"/>
      <c r="F12" s="621"/>
      <c r="G12" s="621"/>
      <c r="H12" s="621"/>
      <c r="I12" s="622"/>
      <c r="J12" s="622"/>
      <c r="K12" s="625"/>
      <c r="L12" s="631"/>
      <c r="M12" s="625"/>
      <c r="N12" s="625"/>
      <c r="O12" s="1477" t="str">
        <f>IF(D8="","",IF(S12,"Condition/Review",IF(R12,"Pass","Check box Yes/No")))</f>
        <v/>
      </c>
      <c r="P12" s="1478"/>
      <c r="R12" s="663" t="b">
        <v>0</v>
      </c>
      <c r="S12" s="664" t="b">
        <v>0</v>
      </c>
    </row>
    <row r="13" spans="1:31" x14ac:dyDescent="0.25">
      <c r="A13" s="634">
        <v>3</v>
      </c>
      <c r="B13" s="620" t="s">
        <v>467</v>
      </c>
      <c r="C13" s="622"/>
      <c r="D13" s="622"/>
      <c r="E13" s="621" t="s">
        <v>469</v>
      </c>
      <c r="F13" s="622"/>
      <c r="G13" s="635"/>
      <c r="H13" s="622"/>
      <c r="I13" s="622"/>
      <c r="J13" s="623"/>
      <c r="K13" s="625"/>
      <c r="M13" s="625"/>
      <c r="N13" s="625"/>
      <c r="O13" s="1477" t="str">
        <f>IF(D8="","",IF(S13,"Fail,See Mgmt",IF(R13,"Pass","Check box Yes/No")))</f>
        <v/>
      </c>
      <c r="P13" s="1478"/>
      <c r="R13" s="663" t="b">
        <v>0</v>
      </c>
      <c r="S13" s="664" t="b">
        <v>0</v>
      </c>
    </row>
    <row r="14" spans="1:31" x14ac:dyDescent="0.25">
      <c r="A14" s="583">
        <v>4</v>
      </c>
      <c r="B14" s="620" t="s">
        <v>461</v>
      </c>
      <c r="C14" s="621"/>
      <c r="D14" s="621"/>
      <c r="E14" s="621"/>
      <c r="F14" s="621"/>
      <c r="G14" s="621"/>
      <c r="H14" s="621"/>
      <c r="I14" s="622"/>
      <c r="J14" s="622"/>
      <c r="K14" s="625"/>
      <c r="L14" s="631"/>
      <c r="M14" s="625"/>
      <c r="N14" s="625"/>
      <c r="O14" s="1477" t="str">
        <f>IF(D8="","",IF(S14,"Correction",IF(R14,"Pass","Check box Yes/No")))</f>
        <v/>
      </c>
      <c r="P14" s="1478"/>
      <c r="R14" s="663" t="b">
        <v>0</v>
      </c>
      <c r="S14" s="664" t="b">
        <v>0</v>
      </c>
      <c r="W14" s="598"/>
      <c r="X14" s="598"/>
      <c r="Y14" s="598"/>
      <c r="Z14" s="598"/>
      <c r="AA14" s="598"/>
      <c r="AB14" s="598"/>
      <c r="AC14" s="598"/>
      <c r="AD14" s="598"/>
      <c r="AE14" s="598"/>
    </row>
    <row r="15" spans="1:31" ht="26.25" customHeight="1" x14ac:dyDescent="0.25">
      <c r="A15" s="583">
        <v>5</v>
      </c>
      <c r="B15" s="1562" t="str">
        <f>IF(OR(J5="Rate/Term Refi",J5="Cash-Out Refi"),"Refinance: Occupancy to match BytePro/1003? No vacant property",IF(O5="Primary Residence", "Purchase: O/O purchase - tenant occupied? If so, condition to be vacate","Purchase 2nd Hm/NOO: Occupancy type not applicable"))</f>
        <v>Purchase 2nd Hm/NOO: Occupancy type not applicable</v>
      </c>
      <c r="C15" s="1563"/>
      <c r="D15" s="1563"/>
      <c r="E15" s="1563"/>
      <c r="F15" s="1563"/>
      <c r="G15" s="1563"/>
      <c r="H15" s="1563"/>
      <c r="I15" s="1563"/>
      <c r="J15" s="1564"/>
      <c r="K15" s="626"/>
      <c r="L15" s="631"/>
      <c r="M15" s="626"/>
      <c r="N15" s="626"/>
      <c r="O15" s="1477" t="str">
        <f>IF(D8="","",IF(B15="Purchase 2nd Hm/NOO: Occupancy type not applicable","N/A",IF(R15,"Pass",IF(S15,"Condition/Review","Check box Yes/No"))))</f>
        <v/>
      </c>
      <c r="P15" s="1478"/>
      <c r="R15" s="663" t="b">
        <v>0</v>
      </c>
      <c r="S15" s="664" t="b">
        <v>0</v>
      </c>
      <c r="W15" s="644"/>
      <c r="X15" s="598"/>
      <c r="Y15" s="598"/>
      <c r="Z15" s="598"/>
      <c r="AA15" s="598"/>
      <c r="AB15" s="598"/>
      <c r="AC15" s="598"/>
      <c r="AD15" s="598"/>
      <c r="AE15" s="598"/>
    </row>
    <row r="16" spans="1:31" x14ac:dyDescent="0.25">
      <c r="A16" s="583">
        <v>6</v>
      </c>
      <c r="B16" s="1484" t="str">
        <f>IF(OR(Approval!I13="X",Approval!I15="X"),"HOA Dues match contract or HOA stmnt?","N/A - SFR and 2-4units / No HOA fees")</f>
        <v>N/A - SFR and 2-4units / No HOA fees</v>
      </c>
      <c r="C16" s="1485"/>
      <c r="D16" s="1485"/>
      <c r="E16" s="1485"/>
      <c r="F16" s="1485"/>
      <c r="G16" s="1485"/>
      <c r="H16" s="1485"/>
      <c r="I16" s="1485"/>
      <c r="J16" s="1486"/>
      <c r="K16" s="625"/>
      <c r="L16" s="631"/>
      <c r="M16" s="625"/>
      <c r="N16" s="625"/>
      <c r="O16" s="1477" t="str">
        <f>IF(D8="","",IF(B16="N/A - SFR and 2-4units / No HOA fees","N/A",IF(S16,"Correction/Condition",IF(R16,"Pass","Check box Yes/No"))))</f>
        <v/>
      </c>
      <c r="P16" s="1478"/>
      <c r="R16" s="663" t="b">
        <v>0</v>
      </c>
      <c r="S16" s="664" t="b">
        <v>0</v>
      </c>
      <c r="W16" s="1483"/>
      <c r="X16" s="1483"/>
      <c r="Y16" s="1483"/>
      <c r="Z16" s="1483"/>
      <c r="AA16" s="1483"/>
      <c r="AB16" s="1483"/>
      <c r="AC16" s="1483"/>
      <c r="AD16" s="1483"/>
      <c r="AE16" s="1483"/>
    </row>
    <row r="17" spans="1:31" x14ac:dyDescent="0.25">
      <c r="A17" s="583">
        <v>7</v>
      </c>
      <c r="B17" s="1474" t="s">
        <v>462</v>
      </c>
      <c r="C17" s="1475"/>
      <c r="D17" s="1475"/>
      <c r="E17" s="1475"/>
      <c r="F17" s="1475"/>
      <c r="G17" s="1475"/>
      <c r="H17" s="1475"/>
      <c r="I17" s="1475"/>
      <c r="J17" s="1476"/>
      <c r="K17" s="625"/>
      <c r="L17" s="631"/>
      <c r="M17" s="625"/>
      <c r="N17" s="625"/>
      <c r="O17" s="1477" t="str">
        <f>IF(D8="","",IF(OR(J5="Purchase",J5="Lease Option to Purch"),IF(R17,"Pass",IF(S17,"Condition","Check box Yes/No")),"N/A"))</f>
        <v/>
      </c>
      <c r="P17" s="1478"/>
      <c r="R17" s="663" t="b">
        <v>0</v>
      </c>
      <c r="S17" s="664" t="b">
        <v>0</v>
      </c>
      <c r="W17" s="644"/>
      <c r="X17" s="598"/>
      <c r="Y17" s="598"/>
      <c r="Z17" s="598"/>
      <c r="AA17" s="598"/>
      <c r="AB17" s="598"/>
      <c r="AC17" s="598"/>
      <c r="AD17" s="598"/>
      <c r="AE17" s="598"/>
    </row>
    <row r="18" spans="1:31" ht="14.25" customHeight="1" x14ac:dyDescent="0.25">
      <c r="A18" s="583">
        <v>8</v>
      </c>
      <c r="B18" s="661" t="str">
        <f>IF(OR(J5="Rate/Term Refi",J5="Cash-Out Refi"),"Is It listed - Possible ODF, check zillow, redfin, realtor.com","Resale &lt;  6 months from date acquire? Check 2nd appraisal requirement")</f>
        <v>Resale &lt;  6 months from date acquire? Check 2nd appraisal requirement</v>
      </c>
      <c r="C18" s="621"/>
      <c r="D18" s="621"/>
      <c r="E18" s="621"/>
      <c r="F18" s="621"/>
      <c r="G18" s="621"/>
      <c r="H18" s="621"/>
      <c r="I18" s="622"/>
      <c r="J18" s="622"/>
      <c r="K18" s="625"/>
      <c r="L18" s="631"/>
      <c r="M18" s="625"/>
      <c r="N18" s="625"/>
      <c r="O18" s="1477" t="str">
        <f>IF(D8="","",IF(B18&lt;&gt;"Is It listed - Possible ODF, check zillow, redfin, realtor.com",IF(R18,"Condition/2nd Apprsl",IF(S18,"Pass","Check box Yes/No")),IF(R18,"If List&lt; 6mos-ODF",IF(S18,"Pass","Check box Yes/No"))))</f>
        <v/>
      </c>
      <c r="P18" s="1478"/>
      <c r="R18" s="663" t="b">
        <v>0</v>
      </c>
      <c r="S18" s="664" t="b">
        <v>0</v>
      </c>
      <c r="W18" s="644"/>
      <c r="X18" s="598"/>
      <c r="Y18" s="598"/>
      <c r="Z18" s="598"/>
      <c r="AA18" s="598"/>
      <c r="AB18" s="598"/>
      <c r="AC18" s="598"/>
      <c r="AD18" s="598"/>
      <c r="AE18" s="598"/>
    </row>
    <row r="19" spans="1:31" x14ac:dyDescent="0.25">
      <c r="A19" s="583">
        <v>9</v>
      </c>
      <c r="B19" s="1487" t="str">
        <f>IF(Approval!I15="X","Property Type match Byte/UW Approval? Condotel or Non-Warr Condo?","Property Type match BytePro/UW Worksheet?")</f>
        <v>Property Type match BytePro/UW Worksheet?</v>
      </c>
      <c r="C19" s="1488"/>
      <c r="D19" s="1488"/>
      <c r="E19" s="1488"/>
      <c r="F19" s="1488"/>
      <c r="G19" s="1488"/>
      <c r="H19" s="1488"/>
      <c r="I19" s="1488"/>
      <c r="J19" s="1489"/>
      <c r="K19" s="625"/>
      <c r="L19" s="631"/>
      <c r="M19" s="625"/>
      <c r="N19" s="625"/>
      <c r="O19" s="1477" t="str">
        <f>IF(D8="","",IF(S19,"Correction/Review",IF(R19,"Pass","Check box Yes/No")))</f>
        <v/>
      </c>
      <c r="P19" s="1478"/>
      <c r="R19" s="663" t="b">
        <v>0</v>
      </c>
      <c r="S19" s="664" t="b">
        <v>0</v>
      </c>
      <c r="W19" s="598"/>
      <c r="X19" s="598"/>
      <c r="Y19" s="598"/>
      <c r="Z19" s="598"/>
      <c r="AA19" s="598"/>
      <c r="AB19" s="598"/>
      <c r="AC19" s="598"/>
      <c r="AD19" s="598"/>
      <c r="AE19" s="598"/>
    </row>
    <row r="20" spans="1:31" ht="40.5" customHeight="1" x14ac:dyDescent="0.25">
      <c r="A20" s="583">
        <v>10</v>
      </c>
      <c r="B20" s="1474" t="s">
        <v>463</v>
      </c>
      <c r="C20" s="1475"/>
      <c r="D20" s="1475"/>
      <c r="E20" s="1475"/>
      <c r="F20" s="1475"/>
      <c r="G20" s="1475"/>
      <c r="H20" s="1475"/>
      <c r="I20" s="622"/>
      <c r="J20" s="622"/>
      <c r="K20" s="625"/>
      <c r="L20" s="631"/>
      <c r="M20" s="625"/>
      <c r="N20" s="625"/>
      <c r="O20" s="1506" t="str">
        <f>IF(D8="","",IF(S20,"Max 65% LTV &amp; $400K Loan Amt",IF(R20,"Pass","Check box Yes/No")))</f>
        <v/>
      </c>
      <c r="P20" s="1507"/>
      <c r="R20" s="663" t="b">
        <v>0</v>
      </c>
      <c r="S20" s="664" t="b">
        <v>0</v>
      </c>
      <c r="W20" s="1483"/>
      <c r="X20" s="1483"/>
      <c r="Y20" s="1483"/>
      <c r="Z20" s="1483"/>
      <c r="AA20" s="1483"/>
      <c r="AB20" s="1483"/>
      <c r="AC20" s="1483"/>
      <c r="AD20" s="598"/>
      <c r="AE20" s="598"/>
    </row>
    <row r="21" spans="1:31" ht="30.75" customHeight="1" x14ac:dyDescent="0.25">
      <c r="A21" s="583">
        <v>11</v>
      </c>
      <c r="B21" s="1474" t="s">
        <v>452</v>
      </c>
      <c r="C21" s="1475"/>
      <c r="D21" s="1475"/>
      <c r="E21" s="1475"/>
      <c r="F21" s="1475"/>
      <c r="G21" s="1475"/>
      <c r="H21" s="1475"/>
      <c r="I21" s="1475"/>
      <c r="J21" s="1476"/>
      <c r="K21" s="625"/>
      <c r="L21" s="631"/>
      <c r="M21" s="625"/>
      <c r="N21" s="625"/>
      <c r="O21" s="1477" t="str">
        <f>IF(D8="","",IF(R21,"Condition/Review",IF(S21,"Pass","Check box Yes/No")))</f>
        <v/>
      </c>
      <c r="P21" s="1478"/>
      <c r="R21" s="665" t="b">
        <v>0</v>
      </c>
      <c r="S21" s="666" t="b">
        <v>0</v>
      </c>
      <c r="W21" s="598"/>
      <c r="X21" s="598"/>
      <c r="Y21" s="598"/>
      <c r="Z21" s="598"/>
      <c r="AA21" s="598"/>
      <c r="AB21" s="598"/>
      <c r="AC21" s="598"/>
      <c r="AD21" s="598"/>
      <c r="AE21" s="598"/>
    </row>
    <row r="22" spans="1:31" x14ac:dyDescent="0.25">
      <c r="A22" s="583">
        <v>12</v>
      </c>
      <c r="B22" s="620" t="s">
        <v>453</v>
      </c>
      <c r="C22" s="621"/>
      <c r="D22" s="621"/>
      <c r="E22" s="636"/>
      <c r="F22" s="636"/>
      <c r="G22" s="636"/>
      <c r="H22" s="636"/>
      <c r="I22" s="636"/>
      <c r="J22" s="637"/>
      <c r="K22" s="625"/>
      <c r="L22" s="631"/>
      <c r="M22" s="625"/>
      <c r="N22" s="625"/>
      <c r="O22" s="1477" t="str">
        <f>IF(D8="","",IF(R22,"Condition",IF(S22,"Pass","Check box Yes/No")))</f>
        <v/>
      </c>
      <c r="P22" s="1478"/>
      <c r="R22" s="663" t="b">
        <v>0</v>
      </c>
      <c r="S22" s="664" t="b">
        <v>0</v>
      </c>
      <c r="W22" s="644"/>
      <c r="X22" s="598"/>
      <c r="Y22" s="598"/>
      <c r="Z22" s="598"/>
      <c r="AA22" s="598"/>
      <c r="AB22" s="598"/>
      <c r="AC22" s="598"/>
      <c r="AD22" s="598"/>
      <c r="AE22" s="598"/>
    </row>
    <row r="23" spans="1:31" ht="27" customHeight="1" x14ac:dyDescent="0.25">
      <c r="A23" s="583">
        <v>13</v>
      </c>
      <c r="B23" s="1474" t="s">
        <v>445</v>
      </c>
      <c r="C23" s="1475"/>
      <c r="D23" s="1475"/>
      <c r="E23" s="1475"/>
      <c r="F23" s="1475"/>
      <c r="G23" s="1475"/>
      <c r="H23" s="1475"/>
      <c r="I23" s="622"/>
      <c r="J23" s="622"/>
      <c r="K23" s="625"/>
      <c r="L23" s="631"/>
      <c r="M23" s="625"/>
      <c r="N23" s="625"/>
      <c r="O23" s="1477" t="str">
        <f>IF(D8="","",IF(R23,"Condition/Review",IF(S23,"Pass","Check box Yes/No")))</f>
        <v/>
      </c>
      <c r="P23" s="1478"/>
      <c r="R23" s="663" t="b">
        <v>0</v>
      </c>
      <c r="S23" s="664" t="b">
        <v>0</v>
      </c>
      <c r="V23" s="598"/>
      <c r="W23" s="644"/>
      <c r="X23" s="598"/>
      <c r="Y23" s="598"/>
      <c r="Z23" s="598"/>
      <c r="AA23" s="598"/>
      <c r="AB23" s="598"/>
      <c r="AC23" s="598"/>
      <c r="AD23" s="598"/>
      <c r="AE23" s="598"/>
    </row>
    <row r="24" spans="1:31" x14ac:dyDescent="0.25">
      <c r="A24" s="583">
        <v>14</v>
      </c>
      <c r="B24" s="620" t="s">
        <v>446</v>
      </c>
      <c r="C24" s="621"/>
      <c r="D24" s="621"/>
      <c r="E24" s="621"/>
      <c r="F24" s="621"/>
      <c r="G24" s="621"/>
      <c r="H24" s="621"/>
      <c r="I24" s="622"/>
      <c r="J24" s="622"/>
      <c r="K24" s="625"/>
      <c r="L24" s="631"/>
      <c r="M24" s="625"/>
      <c r="N24" s="625"/>
      <c r="O24" s="1477" t="str">
        <f>IF(D8="","",IF(R24,"Fail,See Mgmt",IF(S24,"Pass","Check box Yes/No")))</f>
        <v/>
      </c>
      <c r="P24" s="1478"/>
      <c r="R24" s="663" t="b">
        <v>0</v>
      </c>
      <c r="S24" s="664" t="b">
        <v>0</v>
      </c>
      <c r="V24" s="644"/>
      <c r="W24" s="1479"/>
      <c r="X24" s="1479"/>
      <c r="Y24" s="1479"/>
      <c r="Z24" s="1479"/>
      <c r="AA24" s="1479"/>
      <c r="AB24" s="1479"/>
      <c r="AC24" s="1479"/>
      <c r="AD24" s="1479"/>
      <c r="AE24" s="598"/>
    </row>
    <row r="25" spans="1:31" x14ac:dyDescent="0.25">
      <c r="A25" s="642"/>
      <c r="B25" s="620" t="s">
        <v>475</v>
      </c>
      <c r="C25" s="621"/>
      <c r="D25" s="621"/>
      <c r="E25" s="621"/>
      <c r="F25" s="621"/>
      <c r="G25" s="621" t="str">
        <f>IF(OR(G6="CA",G6="OR",G6="WA"),G6 &amp;" - required below items-Ques 26","")</f>
        <v/>
      </c>
      <c r="H25" s="621"/>
      <c r="I25" s="622"/>
      <c r="J25" s="622"/>
      <c r="K25" s="625"/>
      <c r="L25" s="631"/>
      <c r="M25" s="625"/>
      <c r="N25" s="625"/>
      <c r="O25" s="1477" t="str">
        <f>IF(D8="","",IF(S25,"Condition",IF(R25,"Pass","Check box Yes/No")))</f>
        <v/>
      </c>
      <c r="P25" s="1478"/>
      <c r="R25" s="663" t="b">
        <v>0</v>
      </c>
      <c r="S25" s="664" t="b">
        <v>0</v>
      </c>
      <c r="V25" s="598"/>
      <c r="W25" s="598"/>
      <c r="X25" s="598"/>
      <c r="Y25" s="598"/>
      <c r="Z25" s="598"/>
      <c r="AA25" s="598"/>
      <c r="AB25" s="598"/>
      <c r="AC25" s="598"/>
      <c r="AD25" s="598"/>
      <c r="AE25" s="598"/>
    </row>
    <row r="26" spans="1:31" ht="25.5" x14ac:dyDescent="0.25">
      <c r="A26" s="583">
        <v>15</v>
      </c>
      <c r="B26" s="774" t="s">
        <v>505</v>
      </c>
      <c r="C26" s="775" t="s">
        <v>501</v>
      </c>
      <c r="D26" s="1480" t="s">
        <v>502</v>
      </c>
      <c r="E26" s="1480"/>
      <c r="F26" s="1480" t="s">
        <v>503</v>
      </c>
      <c r="G26" s="1480"/>
      <c r="H26" s="1480"/>
      <c r="I26" s="1555" t="s">
        <v>504</v>
      </c>
      <c r="J26" s="1556"/>
      <c r="K26" s="773" t="s">
        <v>525</v>
      </c>
      <c r="L26" s="710" t="s">
        <v>376</v>
      </c>
      <c r="M26" s="625"/>
      <c r="N26" s="625"/>
      <c r="O26" s="1477" t="str">
        <f>IF(D8="","",IF(S6&gt;0,"Condition",IF(R26,"N/A",IF(S26,"Pass","Check box Yes/No"))))</f>
        <v/>
      </c>
      <c r="P26" s="1478"/>
      <c r="R26" s="663" t="b">
        <v>0</v>
      </c>
      <c r="S26" s="664" t="b">
        <v>0</v>
      </c>
      <c r="W26" s="645"/>
      <c r="X26" s="598"/>
      <c r="Y26" s="598"/>
      <c r="Z26" s="598"/>
      <c r="AA26" s="598"/>
      <c r="AB26" s="598"/>
      <c r="AC26" s="598"/>
      <c r="AD26" s="598"/>
      <c r="AE26" s="598"/>
    </row>
    <row r="27" spans="1:31" x14ac:dyDescent="0.25">
      <c r="A27" s="583">
        <v>16</v>
      </c>
      <c r="B27" s="620" t="s">
        <v>464</v>
      </c>
      <c r="C27" s="621"/>
      <c r="D27" s="1537" t="s">
        <v>460</v>
      </c>
      <c r="E27" s="1537"/>
      <c r="F27" s="1537"/>
      <c r="G27" s="1537"/>
      <c r="H27" s="1537"/>
      <c r="I27" s="1537"/>
      <c r="J27" s="1538"/>
      <c r="K27" s="625"/>
      <c r="L27" s="631"/>
      <c r="M27" s="625"/>
      <c r="N27" s="625"/>
      <c r="O27" s="1477" t="str">
        <f>IF(D8="","",IF(D8="","",IF(S27,"N/A",IF(R27,"Condition","Check box Yes/No"))))</f>
        <v/>
      </c>
      <c r="P27" s="1478"/>
      <c r="R27" s="663" t="b">
        <v>0</v>
      </c>
      <c r="S27" s="664" t="b">
        <v>0</v>
      </c>
      <c r="U27" s="804" t="str">
        <f>I28</f>
        <v>N/A</v>
      </c>
      <c r="W27" s="598"/>
      <c r="X27" s="598"/>
      <c r="Y27" s="598"/>
      <c r="Z27" s="598"/>
      <c r="AA27" s="598"/>
      <c r="AB27" s="598"/>
      <c r="AC27" s="598"/>
      <c r="AD27" s="598"/>
      <c r="AE27" s="598"/>
    </row>
    <row r="28" spans="1:31" ht="14.25" customHeight="1" x14ac:dyDescent="0.25">
      <c r="A28" s="583">
        <v>17</v>
      </c>
      <c r="B28" s="1474" t="s">
        <v>477</v>
      </c>
      <c r="C28" s="1475"/>
      <c r="D28" s="1550" t="s">
        <v>476</v>
      </c>
      <c r="E28" s="1550"/>
      <c r="F28" s="1550"/>
      <c r="G28" s="659" t="s">
        <v>474</v>
      </c>
      <c r="H28" s="658"/>
      <c r="I28" s="1548" t="s">
        <v>376</v>
      </c>
      <c r="J28" s="1549"/>
      <c r="K28" s="625"/>
      <c r="L28" s="710" t="s">
        <v>376</v>
      </c>
      <c r="M28" s="625"/>
      <c r="N28" s="625"/>
      <c r="O28" s="1477" t="str">
        <f>IF(D8="","",IF(S28,"Condition",IF(R28,"PASS",IF(S44,"N/A","Check box Yes/No"))))</f>
        <v/>
      </c>
      <c r="P28" s="1478"/>
      <c r="R28" s="663" t="b">
        <v>0</v>
      </c>
      <c r="S28" s="664" t="b">
        <v>0</v>
      </c>
      <c r="W28" s="644"/>
      <c r="X28" s="598"/>
      <c r="Y28" s="644"/>
      <c r="Z28" s="598"/>
      <c r="AA28" s="598"/>
      <c r="AB28" s="598"/>
      <c r="AC28" s="598"/>
      <c r="AD28" s="598"/>
      <c r="AE28" s="598"/>
    </row>
    <row r="29" spans="1:31" x14ac:dyDescent="0.25">
      <c r="A29" s="583">
        <v>19</v>
      </c>
      <c r="B29" s="620" t="s">
        <v>458</v>
      </c>
      <c r="C29" s="621"/>
      <c r="D29" s="621"/>
      <c r="E29" s="621"/>
      <c r="F29" s="621"/>
      <c r="G29" s="621"/>
      <c r="H29" s="621"/>
      <c r="I29" s="622"/>
      <c r="J29" s="622"/>
      <c r="K29" s="625"/>
      <c r="L29" s="631"/>
      <c r="M29" s="625"/>
      <c r="N29" s="625"/>
      <c r="O29" s="1477" t="str">
        <f>IF(D8="","",IF(S29,"Condition",IF(R29,"Pass","Check box Yes/No")))</f>
        <v/>
      </c>
      <c r="P29" s="1478"/>
      <c r="R29" s="663" t="b">
        <v>0</v>
      </c>
      <c r="S29" s="664" t="b">
        <v>0</v>
      </c>
      <c r="W29" s="598"/>
      <c r="X29" s="598"/>
      <c r="Y29" s="598"/>
      <c r="Z29" s="598"/>
      <c r="AA29" s="598"/>
      <c r="AB29" s="598"/>
      <c r="AC29" s="598"/>
      <c r="AD29" s="598"/>
      <c r="AE29" s="598"/>
    </row>
    <row r="30" spans="1:31" x14ac:dyDescent="0.25">
      <c r="A30" s="583">
        <v>20</v>
      </c>
      <c r="B30" s="624" t="s">
        <v>480</v>
      </c>
      <c r="C30" s="636"/>
      <c r="D30" s="636"/>
      <c r="E30" s="636" t="str">
        <f>IF(O5&lt;&gt;"Non-Owner Occupied","is not required","is required for Investment Property")</f>
        <v>is not required</v>
      </c>
      <c r="F30" s="636"/>
      <c r="G30" s="636"/>
      <c r="H30" s="636"/>
      <c r="I30" s="636"/>
      <c r="J30" s="637"/>
      <c r="K30" s="625"/>
      <c r="L30" s="631"/>
      <c r="M30" s="625"/>
      <c r="N30" s="625"/>
      <c r="O30" s="1477" t="str">
        <f>IF(D8="","",IF(O5&lt;&gt;"Non-Owner Occupied","N/A",IF(S30,"Condition",IF(R30,"Pass","Check box Yes/No"))))</f>
        <v/>
      </c>
      <c r="P30" s="1478"/>
      <c r="R30" s="663" t="b">
        <v>0</v>
      </c>
      <c r="S30" s="664" t="b">
        <v>0</v>
      </c>
      <c r="W30" s="644"/>
      <c r="X30" s="598"/>
      <c r="Y30" s="598"/>
      <c r="Z30" s="598"/>
      <c r="AA30" s="598"/>
      <c r="AB30" s="598"/>
      <c r="AC30" s="598"/>
      <c r="AD30" s="598"/>
      <c r="AE30" s="598"/>
    </row>
    <row r="31" spans="1:31" x14ac:dyDescent="0.25">
      <c r="A31" s="583">
        <v>21</v>
      </c>
      <c r="B31" s="620" t="s">
        <v>459</v>
      </c>
      <c r="C31" s="621"/>
      <c r="D31" s="670" t="s">
        <v>468</v>
      </c>
      <c r="E31" s="636"/>
      <c r="F31" s="636"/>
      <c r="G31" s="636"/>
      <c r="H31" s="636"/>
      <c r="I31" s="636"/>
      <c r="J31" s="637"/>
      <c r="K31" s="625"/>
      <c r="L31" s="631"/>
      <c r="M31" s="625"/>
      <c r="N31" s="625"/>
      <c r="O31" s="1477" t="str">
        <f>IF(D8="","",IF(R31,"Condition",IF(S31,"Pass","Check box Yes/No")))</f>
        <v/>
      </c>
      <c r="P31" s="1478"/>
      <c r="R31" s="663" t="b">
        <v>0</v>
      </c>
      <c r="S31" s="664" t="b">
        <v>0</v>
      </c>
      <c r="W31" s="598"/>
      <c r="X31" s="598"/>
      <c r="Y31" s="598"/>
      <c r="Z31" s="598"/>
      <c r="AA31" s="598"/>
      <c r="AB31" s="598"/>
      <c r="AC31" s="598"/>
      <c r="AD31" s="598"/>
      <c r="AE31" s="598"/>
    </row>
    <row r="32" spans="1:31" x14ac:dyDescent="0.25">
      <c r="A32" s="583">
        <v>22</v>
      </c>
      <c r="B32" s="620" t="s">
        <v>447</v>
      </c>
      <c r="C32" s="621"/>
      <c r="D32" s="621"/>
      <c r="E32" s="621"/>
      <c r="F32" s="621"/>
      <c r="G32" s="621"/>
      <c r="H32" s="621"/>
      <c r="I32" s="622"/>
      <c r="J32" s="622"/>
      <c r="K32" s="625"/>
      <c r="L32" s="631"/>
      <c r="M32" s="625"/>
      <c r="N32" s="625"/>
      <c r="O32" s="1477" t="str">
        <f>IF(D8="","",IF(S32,"Condition",IF(R32,"Pass","Check box Yes/No")))</f>
        <v/>
      </c>
      <c r="P32" s="1478"/>
      <c r="R32" s="663" t="b">
        <v>0</v>
      </c>
      <c r="S32" s="664" t="b">
        <v>0</v>
      </c>
      <c r="W32" s="1473"/>
      <c r="X32" s="1473"/>
      <c r="Y32" s="1473"/>
      <c r="Z32" s="1473"/>
      <c r="AA32" s="1473"/>
      <c r="AB32" s="1473"/>
      <c r="AC32" s="1473"/>
      <c r="AD32" s="1473"/>
      <c r="AE32" s="1473"/>
    </row>
    <row r="33" spans="1:31" x14ac:dyDescent="0.25">
      <c r="A33" s="583">
        <v>23</v>
      </c>
      <c r="B33" s="620" t="s">
        <v>448</v>
      </c>
      <c r="C33" s="621"/>
      <c r="D33" s="621"/>
      <c r="E33" s="621"/>
      <c r="F33" s="621"/>
      <c r="G33" s="621"/>
      <c r="H33" s="621"/>
      <c r="I33" s="622"/>
      <c r="J33" s="622"/>
      <c r="K33" s="625"/>
      <c r="L33" s="631"/>
      <c r="M33" s="625"/>
      <c r="N33" s="625"/>
      <c r="O33" s="1477" t="str">
        <f>IF(D8="","",IF(S33,"Pass",IF(R33,"Condition/Review","Check box Yes/No")))</f>
        <v/>
      </c>
      <c r="P33" s="1478"/>
      <c r="R33" s="663" t="b">
        <v>0</v>
      </c>
      <c r="S33" s="664" t="b">
        <v>0</v>
      </c>
      <c r="W33" s="644"/>
      <c r="X33" s="598"/>
      <c r="Y33" s="598"/>
      <c r="Z33" s="598"/>
      <c r="AA33" s="598"/>
      <c r="AB33" s="598"/>
      <c r="AC33" s="598"/>
      <c r="AD33" s="598"/>
      <c r="AE33" s="598"/>
    </row>
    <row r="34" spans="1:31" x14ac:dyDescent="0.25">
      <c r="A34" s="583">
        <v>24</v>
      </c>
      <c r="B34" s="620" t="s">
        <v>449</v>
      </c>
      <c r="C34" s="621"/>
      <c r="D34" s="621"/>
      <c r="E34" s="621"/>
      <c r="F34" s="621"/>
      <c r="G34" s="621"/>
      <c r="H34" s="621"/>
      <c r="I34" s="622"/>
      <c r="J34" s="622"/>
      <c r="K34" s="625"/>
      <c r="L34" s="631"/>
      <c r="M34" s="625"/>
      <c r="N34" s="625"/>
      <c r="O34" s="1477" t="str">
        <f>IF(D8="","",IF(S34,"Pass",IF(R34,"Condition/Review","Check box Yes/No")))</f>
        <v/>
      </c>
      <c r="P34" s="1478"/>
      <c r="R34" s="663" t="b">
        <v>0</v>
      </c>
      <c r="S34" s="664" t="b">
        <v>0</v>
      </c>
      <c r="W34" s="598"/>
      <c r="X34" s="598"/>
      <c r="Y34" s="598"/>
      <c r="Z34" s="598"/>
      <c r="AA34" s="598"/>
      <c r="AB34" s="598"/>
      <c r="AC34" s="598"/>
      <c r="AD34" s="598"/>
      <c r="AE34" s="598"/>
    </row>
    <row r="35" spans="1:31" x14ac:dyDescent="0.25">
      <c r="A35" s="583">
        <v>25</v>
      </c>
      <c r="B35" s="620" t="s">
        <v>450</v>
      </c>
      <c r="C35" s="621"/>
      <c r="D35" s="621"/>
      <c r="E35" s="621"/>
      <c r="F35" s="621"/>
      <c r="G35" s="621"/>
      <c r="H35" s="621"/>
      <c r="I35" s="622"/>
      <c r="J35" s="622"/>
      <c r="K35" s="625"/>
      <c r="L35" s="631"/>
      <c r="M35" s="625"/>
      <c r="N35" s="625"/>
      <c r="O35" s="1477" t="str">
        <f>IF(D8="","",IF(_xlfn.XOR(J5="Purchase", J5="Lease Option to Purch"),IF(S35,"Condition/Review",IF(R35,"Pass","Check box Yes/No")),"N/A"))</f>
        <v/>
      </c>
      <c r="P35" s="1478"/>
      <c r="R35" s="663" t="b">
        <v>0</v>
      </c>
      <c r="S35" s="664" t="b">
        <v>0</v>
      </c>
      <c r="W35" s="598"/>
      <c r="X35" s="598"/>
      <c r="Y35" s="598"/>
      <c r="Z35" s="598"/>
      <c r="AA35" s="598"/>
      <c r="AB35" s="598"/>
      <c r="AC35" s="598"/>
      <c r="AD35" s="598"/>
      <c r="AE35" s="598"/>
    </row>
    <row r="36" spans="1:31" ht="28.5" customHeight="1" x14ac:dyDescent="0.25">
      <c r="A36" s="583">
        <v>26</v>
      </c>
      <c r="B36" s="1474" t="s">
        <v>451</v>
      </c>
      <c r="C36" s="1475"/>
      <c r="D36" s="1475"/>
      <c r="E36" s="1475"/>
      <c r="F36" s="1475"/>
      <c r="G36" s="1475"/>
      <c r="H36" s="1475"/>
      <c r="I36" s="622"/>
      <c r="J36" s="622"/>
      <c r="K36" s="625"/>
      <c r="L36" s="631"/>
      <c r="M36" s="625"/>
      <c r="N36" s="625"/>
      <c r="O36" s="1477" t="str">
        <f>IF(D8="","",IF(R36,"Condition",IF(S36,"Pass","Check box Yes/No")))</f>
        <v/>
      </c>
      <c r="P36" s="1478"/>
      <c r="R36" s="663" t="b">
        <v>0</v>
      </c>
      <c r="S36" s="664" t="b">
        <v>0</v>
      </c>
      <c r="W36" s="644"/>
      <c r="X36" s="598"/>
      <c r="Y36" s="598"/>
      <c r="Z36" s="598"/>
      <c r="AA36" s="598"/>
      <c r="AB36" s="598"/>
      <c r="AC36" s="598"/>
      <c r="AD36" s="598"/>
      <c r="AE36" s="598"/>
    </row>
    <row r="37" spans="1:31" ht="29.25" customHeight="1" x14ac:dyDescent="0.25">
      <c r="A37" s="583">
        <v>27</v>
      </c>
      <c r="B37" s="1539" t="s">
        <v>478</v>
      </c>
      <c r="C37" s="1540"/>
      <c r="D37" s="1540"/>
      <c r="E37" s="1540"/>
      <c r="F37" s="1540"/>
      <c r="G37" s="1540"/>
      <c r="H37" s="1540"/>
      <c r="I37" s="1540"/>
      <c r="J37" s="1541"/>
      <c r="K37" s="625"/>
      <c r="L37" s="631"/>
      <c r="M37" s="625"/>
      <c r="N37" s="625"/>
      <c r="O37" s="1506" t="str">
        <f>IF(D8="","",IF(S37,"Condition for missing items",IF(R37,"Pass","Check box Yes/No")))</f>
        <v/>
      </c>
      <c r="P37" s="1507"/>
      <c r="R37" s="663" t="b">
        <v>0</v>
      </c>
      <c r="S37" s="664" t="b">
        <v>0</v>
      </c>
      <c r="W37" s="644"/>
      <c r="X37" s="598"/>
      <c r="Y37" s="598"/>
      <c r="Z37" s="598"/>
      <c r="AA37" s="598"/>
      <c r="AB37" s="598"/>
      <c r="AC37" s="598"/>
      <c r="AD37" s="598"/>
      <c r="AE37" s="598"/>
    </row>
    <row r="38" spans="1:31" x14ac:dyDescent="0.25">
      <c r="A38" s="583">
        <v>28</v>
      </c>
      <c r="B38" s="620" t="s">
        <v>457</v>
      </c>
      <c r="C38" s="621"/>
      <c r="D38" s="621"/>
      <c r="E38" s="621" t="s">
        <v>444</v>
      </c>
      <c r="F38" s="621"/>
      <c r="G38" s="621"/>
      <c r="H38" s="621"/>
      <c r="I38" s="622"/>
      <c r="J38" s="622"/>
      <c r="K38" s="625"/>
      <c r="L38" s="631"/>
      <c r="M38" s="625"/>
      <c r="N38" s="625"/>
      <c r="O38" s="1477" t="str">
        <f>IF(D8="","",IF(S38,"Condition/Review",IF(R38,"Pass","Check box Yes/No")))</f>
        <v/>
      </c>
      <c r="P38" s="1478"/>
      <c r="R38" s="663" t="b">
        <v>0</v>
      </c>
      <c r="S38" s="664" t="b">
        <v>0</v>
      </c>
    </row>
    <row r="39" spans="1:31" ht="27" customHeight="1" x14ac:dyDescent="0.25">
      <c r="A39" s="662" t="s">
        <v>465</v>
      </c>
      <c r="B39" s="748" t="s">
        <v>481</v>
      </c>
      <c r="C39" s="749"/>
      <c r="D39" s="749"/>
      <c r="E39" s="749"/>
      <c r="F39" s="749"/>
      <c r="G39" s="749"/>
      <c r="H39" s="749"/>
      <c r="I39" s="749"/>
      <c r="J39" s="750"/>
      <c r="K39" s="751"/>
      <c r="L39" s="1530" t="str">
        <f>IF(D8="","",IF(R39,"Completed","Please review all highlighted items, Add conditions If any &amp; Check completed box"))</f>
        <v/>
      </c>
      <c r="M39" s="1531"/>
      <c r="N39" s="1531"/>
      <c r="O39" s="1531"/>
      <c r="P39" s="1531"/>
      <c r="R39" s="667" t="b">
        <v>0</v>
      </c>
      <c r="W39" s="668"/>
    </row>
    <row r="40" spans="1:31" ht="15" customHeight="1" x14ac:dyDescent="0.25">
      <c r="A40" s="1551" t="s">
        <v>526</v>
      </c>
      <c r="B40" s="1552"/>
      <c r="C40" s="1553"/>
      <c r="D40" s="1553"/>
      <c r="E40" s="1553"/>
      <c r="F40" s="1553"/>
      <c r="G40" s="1553"/>
      <c r="H40" s="1553"/>
      <c r="I40" s="1553"/>
      <c r="J40" s="1553"/>
      <c r="K40" s="1553"/>
      <c r="L40" s="1553"/>
      <c r="M40" s="1553"/>
      <c r="N40" s="1553"/>
      <c r="O40" s="1553"/>
      <c r="P40" s="1554"/>
      <c r="R40" s="633"/>
      <c r="S40" s="809" t="str">
        <f>IF(D8="","TBD",I28)</f>
        <v>TBD</v>
      </c>
    </row>
    <row r="41" spans="1:31" x14ac:dyDescent="0.25">
      <c r="A41" s="1542"/>
      <c r="B41" s="1543"/>
      <c r="C41" s="1543"/>
      <c r="D41" s="1543"/>
      <c r="E41" s="1543"/>
      <c r="F41" s="1543"/>
      <c r="G41" s="1543"/>
      <c r="H41" s="1543"/>
      <c r="I41" s="1543"/>
      <c r="J41" s="1543"/>
      <c r="K41" s="1543"/>
      <c r="L41" s="1543"/>
      <c r="M41" s="1543"/>
      <c r="N41" s="1543"/>
      <c r="O41" s="1543"/>
      <c r="P41" s="1544"/>
      <c r="R41" s="633"/>
      <c r="S41" s="810"/>
    </row>
    <row r="42" spans="1:31" x14ac:dyDescent="0.25">
      <c r="A42" s="1545"/>
      <c r="B42" s="1546"/>
      <c r="C42" s="1546"/>
      <c r="D42" s="1546"/>
      <c r="E42" s="1546"/>
      <c r="F42" s="1546"/>
      <c r="G42" s="1546"/>
      <c r="H42" s="1546"/>
      <c r="I42" s="1546"/>
      <c r="J42" s="1546"/>
      <c r="K42" s="1546"/>
      <c r="L42" s="1546"/>
      <c r="M42" s="1546"/>
      <c r="N42" s="1546"/>
      <c r="O42" s="1546"/>
      <c r="P42" s="1547"/>
      <c r="R42" s="633"/>
      <c r="S42" s="809"/>
    </row>
    <row r="43" spans="1:31" x14ac:dyDescent="0.25">
      <c r="A43" s="598"/>
      <c r="B43" s="752"/>
      <c r="C43" s="752"/>
      <c r="D43" s="752"/>
      <c r="E43" s="752"/>
      <c r="F43" s="752"/>
      <c r="G43" s="752"/>
      <c r="H43" s="752"/>
      <c r="I43" s="752"/>
      <c r="J43" s="752"/>
      <c r="K43" s="752"/>
      <c r="L43" s="752"/>
      <c r="M43" s="752"/>
      <c r="N43" s="752"/>
      <c r="O43" s="752"/>
      <c r="P43" s="752"/>
      <c r="R43" s="633"/>
      <c r="S43" s="809"/>
    </row>
    <row r="44" spans="1:31" x14ac:dyDescent="0.25">
      <c r="A44" s="598"/>
      <c r="B44" s="1536" t="str">
        <f>Approval!E87</f>
        <v>TBD</v>
      </c>
      <c r="C44" s="1536"/>
      <c r="D44" s="1536"/>
      <c r="E44" s="1536"/>
      <c r="F44" s="1536"/>
      <c r="I44" s="1535">
        <f ca="1">Approval!C88</f>
        <v>43075</v>
      </c>
      <c r="J44" s="1535"/>
      <c r="K44" s="1535"/>
      <c r="R44" s="633"/>
      <c r="S44" s="664" t="b">
        <v>0</v>
      </c>
    </row>
    <row r="45" spans="1:31" x14ac:dyDescent="0.25">
      <c r="B45" s="597" t="s">
        <v>134</v>
      </c>
      <c r="I45" s="597" t="s">
        <v>20</v>
      </c>
      <c r="K45" s="616"/>
      <c r="R45" s="633"/>
      <c r="S45" s="664" t="b">
        <v>0</v>
      </c>
    </row>
    <row r="46" spans="1:31" x14ac:dyDescent="0.25">
      <c r="K46" s="616"/>
    </row>
    <row r="47" spans="1:31" x14ac:dyDescent="0.25">
      <c r="K47" s="616"/>
    </row>
    <row r="48" spans="1:31" x14ac:dyDescent="0.25">
      <c r="K48" s="616"/>
    </row>
    <row r="49" spans="11:11" x14ac:dyDescent="0.25">
      <c r="K49" s="616"/>
    </row>
    <row r="50" spans="11:11" x14ac:dyDescent="0.25">
      <c r="K50" s="616"/>
    </row>
    <row r="51" spans="11:11" x14ac:dyDescent="0.25">
      <c r="K51" s="616"/>
    </row>
    <row r="52" spans="11:11" x14ac:dyDescent="0.25">
      <c r="K52" s="616"/>
    </row>
    <row r="53" spans="11:11" x14ac:dyDescent="0.25">
      <c r="K53" s="616"/>
    </row>
    <row r="54" spans="11:11" x14ac:dyDescent="0.25">
      <c r="K54" s="616"/>
    </row>
    <row r="55" spans="11:11" x14ac:dyDescent="0.25">
      <c r="K55" s="616"/>
    </row>
    <row r="56" spans="11:11" x14ac:dyDescent="0.25">
      <c r="K56" s="616"/>
    </row>
  </sheetData>
  <sheetProtection sheet="1" objects="1" scenarios="1" selectLockedCells="1"/>
  <mergeCells count="81">
    <mergeCell ref="C40:P40"/>
    <mergeCell ref="F26:H26"/>
    <mergeCell ref="I26:J26"/>
    <mergeCell ref="O13:P13"/>
    <mergeCell ref="J7:K7"/>
    <mergeCell ref="C7:D7"/>
    <mergeCell ref="H7:I7"/>
    <mergeCell ref="B23:H23"/>
    <mergeCell ref="B15:J15"/>
    <mergeCell ref="F9:G9"/>
    <mergeCell ref="I44:K44"/>
    <mergeCell ref="B44:F44"/>
    <mergeCell ref="D27:J27"/>
    <mergeCell ref="O33:P33"/>
    <mergeCell ref="O34:P34"/>
    <mergeCell ref="O35:P35"/>
    <mergeCell ref="O36:P36"/>
    <mergeCell ref="O37:P37"/>
    <mergeCell ref="B37:J37"/>
    <mergeCell ref="B36:H36"/>
    <mergeCell ref="A41:P41"/>
    <mergeCell ref="A42:P42"/>
    <mergeCell ref="I28:J28"/>
    <mergeCell ref="D28:F28"/>
    <mergeCell ref="B28:C28"/>
    <mergeCell ref="A40:B40"/>
    <mergeCell ref="L3:M3"/>
    <mergeCell ref="P2:P3"/>
    <mergeCell ref="O38:P38"/>
    <mergeCell ref="L39:P39"/>
    <mergeCell ref="O25:P25"/>
    <mergeCell ref="O7:P7"/>
    <mergeCell ref="O9:P10"/>
    <mergeCell ref="K1:P1"/>
    <mergeCell ref="H6:I6"/>
    <mergeCell ref="B20:H20"/>
    <mergeCell ref="O31:P31"/>
    <mergeCell ref="W24:Y24"/>
    <mergeCell ref="O19:P19"/>
    <mergeCell ref="L5:M6"/>
    <mergeCell ref="L7:M7"/>
    <mergeCell ref="O18:P18"/>
    <mergeCell ref="O20:P20"/>
    <mergeCell ref="J5:K6"/>
    <mergeCell ref="O5:P6"/>
    <mergeCell ref="A6:F6"/>
    <mergeCell ref="A5:I5"/>
    <mergeCell ref="C2:I2"/>
    <mergeCell ref="C3:I3"/>
    <mergeCell ref="J3:K3"/>
    <mergeCell ref="W16:AE16"/>
    <mergeCell ref="W20:AC20"/>
    <mergeCell ref="B16:J16"/>
    <mergeCell ref="B19:J19"/>
    <mergeCell ref="D8:G8"/>
    <mergeCell ref="H8:I8"/>
    <mergeCell ref="J8:K8"/>
    <mergeCell ref="A8:C8"/>
    <mergeCell ref="O14:P14"/>
    <mergeCell ref="O15:P15"/>
    <mergeCell ref="O16:P16"/>
    <mergeCell ref="O17:P17"/>
    <mergeCell ref="O2:O3"/>
    <mergeCell ref="O11:P11"/>
    <mergeCell ref="O12:P12"/>
    <mergeCell ref="W32:AE32"/>
    <mergeCell ref="B17:J17"/>
    <mergeCell ref="B21:J21"/>
    <mergeCell ref="O32:P32"/>
    <mergeCell ref="O21:P21"/>
    <mergeCell ref="O22:P22"/>
    <mergeCell ref="O23:P23"/>
    <mergeCell ref="O24:P24"/>
    <mergeCell ref="O26:P26"/>
    <mergeCell ref="O27:P27"/>
    <mergeCell ref="O28:P28"/>
    <mergeCell ref="O29:P29"/>
    <mergeCell ref="O30:P30"/>
    <mergeCell ref="Z24:AA24"/>
    <mergeCell ref="AB24:AD24"/>
    <mergeCell ref="D26:E26"/>
  </mergeCells>
  <conditionalFormatting sqref="M2:O2 N3">
    <cfRule type="containsText" dxfId="58" priority="83" operator="containsText" text="TBD">
      <formula>NOT(ISERROR(SEARCH("TBD",M2)))</formula>
    </cfRule>
  </conditionalFormatting>
  <conditionalFormatting sqref="N5">
    <cfRule type="expression" dxfId="57" priority="262">
      <formula>AND(#REF!="7/23 ARM",#REF!&lt;&gt;360)</formula>
    </cfRule>
  </conditionalFormatting>
  <conditionalFormatting sqref="O11:P11">
    <cfRule type="expression" dxfId="56" priority="49">
      <formula>AND($O$11&lt;&gt;"PASS",$O$11&lt;&gt;"",$O$11&lt;&gt;"n/a")</formula>
    </cfRule>
  </conditionalFormatting>
  <conditionalFormatting sqref="O12:P12">
    <cfRule type="expression" dxfId="55" priority="48">
      <formula>AND($O$12&lt;&gt;"PASS",$O$12&lt;&gt;"",$O$12&lt;&gt;"n/a")</formula>
    </cfRule>
  </conditionalFormatting>
  <conditionalFormatting sqref="O13:P13">
    <cfRule type="expression" dxfId="54" priority="47">
      <formula>AND($O$13&lt;&gt;"PASS",$O$13&lt;&gt;"",$O$13&lt;&gt;"n/a")</formula>
    </cfRule>
  </conditionalFormatting>
  <conditionalFormatting sqref="O14:P14">
    <cfRule type="expression" dxfId="53" priority="46">
      <formula>AND($O$14&lt;&gt;"PASS",$O$14&lt;&gt;"",$O$14&lt;&gt;"n/a")</formula>
    </cfRule>
  </conditionalFormatting>
  <conditionalFormatting sqref="O15:P15">
    <cfRule type="expression" dxfId="52" priority="44">
      <formula>AND($O$15&lt;&gt;"PASS",$O$15&lt;&gt;"",$O$15&lt;&gt;"N/A")</formula>
    </cfRule>
  </conditionalFormatting>
  <conditionalFormatting sqref="O16:P16">
    <cfRule type="expression" dxfId="51" priority="43">
      <formula>AND($O$16&lt;&gt;"PASS",$O$16&lt;&gt;"",$O$16&lt;&gt;"n/a")</formula>
    </cfRule>
  </conditionalFormatting>
  <conditionalFormatting sqref="O17:P17">
    <cfRule type="expression" dxfId="50" priority="42">
      <formula>AND($O$17&lt;&gt;"PASS",$O$17&lt;&gt;"",$O$17&lt;&gt;"n/a")</formula>
    </cfRule>
  </conditionalFormatting>
  <conditionalFormatting sqref="O18:P18">
    <cfRule type="expression" dxfId="49" priority="41">
      <formula>AND($O$18&lt;&gt;"PASS",$O$18&lt;&gt;"N/A",$O$18&lt;&gt;"")</formula>
    </cfRule>
  </conditionalFormatting>
  <conditionalFormatting sqref="O19:P19">
    <cfRule type="expression" dxfId="48" priority="40">
      <formula>AND($O$19&lt;&gt;"PASS",$O$19&lt;&gt;"",$O$19&lt;&gt;"n/a")</formula>
    </cfRule>
  </conditionalFormatting>
  <conditionalFormatting sqref="O20:P20">
    <cfRule type="expression" dxfId="47" priority="39">
      <formula>AND($O$20&lt;&gt;"PASS",$O$20&lt;&gt;"",$O$20&lt;&gt;"n/a")</formula>
    </cfRule>
  </conditionalFormatting>
  <conditionalFormatting sqref="O21:P21">
    <cfRule type="expression" dxfId="46" priority="38">
      <formula>AND($O$21&lt;&gt;"PASS",$O$21&lt;&gt;"",$O$21&lt;&gt;"n/a")</formula>
    </cfRule>
  </conditionalFormatting>
  <conditionalFormatting sqref="O22:P22">
    <cfRule type="expression" dxfId="45" priority="37">
      <formula>AND($O$22&lt;&gt;"PASS",$O$22&lt;&gt;"N/A",$O$22&lt;&gt;"")</formula>
    </cfRule>
  </conditionalFormatting>
  <conditionalFormatting sqref="O23:P23">
    <cfRule type="expression" dxfId="44" priority="36">
      <formula>AND($O$23&lt;&gt;"PASS",$O$23&lt;&gt;"N/A",$O$23&lt;&gt;"")</formula>
    </cfRule>
  </conditionalFormatting>
  <conditionalFormatting sqref="O26:P26">
    <cfRule type="expression" dxfId="43" priority="34">
      <formula>AND($O$26&lt;&gt;"PASS",$O$26&lt;&gt;"N/A",$O$26&lt;&gt;"")</formula>
    </cfRule>
  </conditionalFormatting>
  <conditionalFormatting sqref="O27:P27">
    <cfRule type="expression" dxfId="42" priority="33">
      <formula>AND($O$27&lt;&gt;"PASS",$O$27&lt;&gt;"N/A",$O$27&lt;&gt;"")</formula>
    </cfRule>
  </conditionalFormatting>
  <conditionalFormatting sqref="O28:P28">
    <cfRule type="expression" dxfId="41" priority="32">
      <formula>AND($O$28&lt;&gt;"PASS",$O$28&lt;&gt;"N/A",$O$28&lt;&gt;"")</formula>
    </cfRule>
  </conditionalFormatting>
  <conditionalFormatting sqref="O29:P29">
    <cfRule type="expression" dxfId="40" priority="31">
      <formula>AND($O$29&lt;&gt;"PASS",$O$29&lt;&gt;"N/A",$O$29&lt;&gt;"")</formula>
    </cfRule>
  </conditionalFormatting>
  <conditionalFormatting sqref="O30:P30">
    <cfRule type="expression" dxfId="39" priority="30">
      <formula>AND($O$30&lt;&gt;"PASS",$O$30&lt;&gt;"N/A",$O$30&lt;&gt;"")</formula>
    </cfRule>
  </conditionalFormatting>
  <conditionalFormatting sqref="O31:P31">
    <cfRule type="expression" dxfId="38" priority="29">
      <formula>AND($O$31&lt;&gt;"PASS",$O$31&lt;&gt;"N/A",$O$31&lt;&gt;"")</formula>
    </cfRule>
  </conditionalFormatting>
  <conditionalFormatting sqref="O32:P32">
    <cfRule type="expression" dxfId="37" priority="28">
      <formula>AND($O$32&lt;&gt;"PASS",$O$32&lt;&gt;"N/A",$O$32&lt;&gt;"")</formula>
    </cfRule>
  </conditionalFormatting>
  <conditionalFormatting sqref="O33:P33">
    <cfRule type="expression" dxfId="36" priority="27">
      <formula>AND($O$33&lt;&gt;"PASS",$O$33&lt;&gt;"N/A",$O$33&lt;&gt;"")</formula>
    </cfRule>
  </conditionalFormatting>
  <conditionalFormatting sqref="O34:P34">
    <cfRule type="expression" dxfId="35" priority="26">
      <formula>AND($O$34&lt;&gt;"PASS",$O$34&lt;&gt;"N/A",$O$34&lt;&gt;"")</formula>
    </cfRule>
  </conditionalFormatting>
  <conditionalFormatting sqref="O35">
    <cfRule type="expression" dxfId="34" priority="25">
      <formula>AND($O$35&lt;&gt;"PASS",$O$35&lt;&gt;"N/A",$O$35&lt;&gt;"")</formula>
    </cfRule>
  </conditionalFormatting>
  <conditionalFormatting sqref="O36:P36">
    <cfRule type="expression" dxfId="33" priority="24">
      <formula>AND($O$36&lt;&gt;"PASS",$O$36&lt;&gt;"N/A",$O$36&lt;&gt;"")</formula>
    </cfRule>
  </conditionalFormatting>
  <conditionalFormatting sqref="O37:P37">
    <cfRule type="expression" dxfId="32" priority="23">
      <formula>AND($O$37&lt;&gt;"PASS",$O$37&lt;&gt;"N/A",$O$37&lt;&gt;"")</formula>
    </cfRule>
  </conditionalFormatting>
  <conditionalFormatting sqref="O38:P38">
    <cfRule type="expression" dxfId="31" priority="22">
      <formula>AND($O$38&lt;&gt;"PASS",$O$38&lt;&gt;"N/A",$O$38&lt;&gt;"")</formula>
    </cfRule>
  </conditionalFormatting>
  <conditionalFormatting sqref="D8:G8">
    <cfRule type="containsBlanks" dxfId="30" priority="20">
      <formula>LEN(TRIM(D8))=0</formula>
    </cfRule>
  </conditionalFormatting>
  <conditionalFormatting sqref="J8:K8">
    <cfRule type="containsBlanks" dxfId="29" priority="19">
      <formula>LEN(TRIM(J8))=0</formula>
    </cfRule>
  </conditionalFormatting>
  <conditionalFormatting sqref="O7:P7">
    <cfRule type="expression" dxfId="28" priority="18">
      <formula>$O$7="Redisclose-LTV Change Check Max LTV Allow"</formula>
    </cfRule>
  </conditionalFormatting>
  <conditionalFormatting sqref="L39">
    <cfRule type="expression" dxfId="27" priority="263">
      <formula>$L$39="completed"</formula>
    </cfRule>
  </conditionalFormatting>
  <conditionalFormatting sqref="L39:P39">
    <cfRule type="expression" dxfId="26" priority="14">
      <formula>$L$39&lt;&gt;"Completed"</formula>
    </cfRule>
  </conditionalFormatting>
  <conditionalFormatting sqref="I28:J28">
    <cfRule type="containsText" dxfId="25" priority="11" operator="containsText" text="p. 3/input value">
      <formula>NOT(ISERROR(SEARCH("p. 3/input value",I28)))</formula>
    </cfRule>
    <cfRule type="expression" dxfId="24" priority="12">
      <formula>OR($I$28="",$I$28&lt;0)</formula>
    </cfRule>
  </conditionalFormatting>
  <conditionalFormatting sqref="O24:P24">
    <cfRule type="expression" dxfId="23" priority="10">
      <formula>AND($O$24&lt;&gt;"PASS",$O$24&lt;&gt;"N/A",$O$24&lt;&gt;"")</formula>
    </cfRule>
  </conditionalFormatting>
  <conditionalFormatting sqref="O25:P25">
    <cfRule type="expression" dxfId="22" priority="9">
      <formula>AND($O$25&lt;&gt;"PASS",$O$25&lt;&gt;"N/A",$O$25&lt;&gt;"")</formula>
    </cfRule>
  </conditionalFormatting>
  <conditionalFormatting sqref="C26">
    <cfRule type="expression" dxfId="21" priority="4">
      <formula>($S$2=1)</formula>
    </cfRule>
  </conditionalFormatting>
  <conditionalFormatting sqref="D26:E26">
    <cfRule type="expression" dxfId="20" priority="3">
      <formula>($S$3=1)</formula>
    </cfRule>
  </conditionalFormatting>
  <conditionalFormatting sqref="F26:H26">
    <cfRule type="expression" dxfId="19" priority="2">
      <formula>($S$4=1)</formula>
    </cfRule>
  </conditionalFormatting>
  <conditionalFormatting sqref="I26:J26">
    <cfRule type="expression" dxfId="18" priority="1">
      <formula>($S$5=1)</formula>
    </cfRule>
  </conditionalFormatting>
  <dataValidations count="3">
    <dataValidation allowBlank="1" showErrorMessage="1" sqref="K13:K14 A10:L12 M10:N14 L14:L39 O11:O38 M16:N38 A14:A38 K16:K39"/>
    <dataValidation showInputMessage="1" showErrorMessage="1" sqref="M2 N2:N3 O2"/>
    <dataValidation type="whole" operator="greaterThan" allowBlank="1" showInputMessage="1" showErrorMessage="1" error="Invalid character input. Input in a valid number." sqref="D8:G8">
      <formula1>0</formula1>
    </dataValidation>
  </dataValidations>
  <pageMargins left="0.2" right="0.25" top="0.25" bottom="0.25" header="0.3" footer="0.3"/>
  <pageSetup scale="9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5605" r:id="rId4" name="Check Box 5">
              <controlPr locked="0" defaultSize="0" autoFill="0" autoLine="0" autoPict="0">
                <anchor moveWithCells="1">
                  <from>
                    <xdr:col>10</xdr:col>
                    <xdr:colOff>285750</xdr:colOff>
                    <xdr:row>9</xdr:row>
                    <xdr:rowOff>171450</xdr:rowOff>
                  </from>
                  <to>
                    <xdr:col>11</xdr:col>
                    <xdr:colOff>19050</xdr:colOff>
                    <xdr:row>11</xdr:row>
                    <xdr:rowOff>9525</xdr:rowOff>
                  </to>
                </anchor>
              </controlPr>
            </control>
          </mc:Choice>
        </mc:AlternateContent>
        <mc:AlternateContent xmlns:mc="http://schemas.openxmlformats.org/markup-compatibility/2006">
          <mc:Choice Requires="x14">
            <control shapeId="25606" r:id="rId5" name="Check Box 6">
              <controlPr defaultSize="0" autoFill="0" autoLine="0" autoPict="0">
                <anchor moveWithCells="1">
                  <from>
                    <xdr:col>10</xdr:col>
                    <xdr:colOff>285750</xdr:colOff>
                    <xdr:row>10</xdr:row>
                    <xdr:rowOff>171450</xdr:rowOff>
                  </from>
                  <to>
                    <xdr:col>10</xdr:col>
                    <xdr:colOff>504825</xdr:colOff>
                    <xdr:row>12</xdr:row>
                    <xdr:rowOff>0</xdr:rowOff>
                  </to>
                </anchor>
              </controlPr>
            </control>
          </mc:Choice>
        </mc:AlternateContent>
        <mc:AlternateContent xmlns:mc="http://schemas.openxmlformats.org/markup-compatibility/2006">
          <mc:Choice Requires="x14">
            <control shapeId="25607" r:id="rId6" name="Check Box 7">
              <controlPr defaultSize="0" autoFill="0" autoLine="0" autoPict="0">
                <anchor moveWithCells="1">
                  <from>
                    <xdr:col>10</xdr:col>
                    <xdr:colOff>285750</xdr:colOff>
                    <xdr:row>11</xdr:row>
                    <xdr:rowOff>171450</xdr:rowOff>
                  </from>
                  <to>
                    <xdr:col>10</xdr:col>
                    <xdr:colOff>504825</xdr:colOff>
                    <xdr:row>13</xdr:row>
                    <xdr:rowOff>0</xdr:rowOff>
                  </to>
                </anchor>
              </controlPr>
            </control>
          </mc:Choice>
        </mc:AlternateContent>
        <mc:AlternateContent xmlns:mc="http://schemas.openxmlformats.org/markup-compatibility/2006">
          <mc:Choice Requires="x14">
            <control shapeId="25608" r:id="rId7" name="Check Box 8">
              <controlPr defaultSize="0" autoFill="0" autoLine="0" autoPict="0">
                <anchor moveWithCells="1">
                  <from>
                    <xdr:col>10</xdr:col>
                    <xdr:colOff>285750</xdr:colOff>
                    <xdr:row>14</xdr:row>
                    <xdr:rowOff>76200</xdr:rowOff>
                  </from>
                  <to>
                    <xdr:col>10</xdr:col>
                    <xdr:colOff>504825</xdr:colOff>
                    <xdr:row>14</xdr:row>
                    <xdr:rowOff>285750</xdr:rowOff>
                  </to>
                </anchor>
              </controlPr>
            </control>
          </mc:Choice>
        </mc:AlternateContent>
        <mc:AlternateContent xmlns:mc="http://schemas.openxmlformats.org/markup-compatibility/2006">
          <mc:Choice Requires="x14">
            <control shapeId="25654" r:id="rId8" name="Check Box 54">
              <controlPr defaultSize="0" autoFill="0" autoLine="0" autoPict="0">
                <anchor moveWithCells="1">
                  <from>
                    <xdr:col>10</xdr:col>
                    <xdr:colOff>285750</xdr:colOff>
                    <xdr:row>15</xdr:row>
                    <xdr:rowOff>171450</xdr:rowOff>
                  </from>
                  <to>
                    <xdr:col>10</xdr:col>
                    <xdr:colOff>504825</xdr:colOff>
                    <xdr:row>17</xdr:row>
                    <xdr:rowOff>0</xdr:rowOff>
                  </to>
                </anchor>
              </controlPr>
            </control>
          </mc:Choice>
        </mc:AlternateContent>
        <mc:AlternateContent xmlns:mc="http://schemas.openxmlformats.org/markup-compatibility/2006">
          <mc:Choice Requires="x14">
            <control shapeId="25655" r:id="rId9" name="Check Box 55">
              <controlPr defaultSize="0" autoFill="0" autoLine="0" autoPict="0">
                <anchor moveWithCells="1">
                  <from>
                    <xdr:col>10</xdr:col>
                    <xdr:colOff>285750</xdr:colOff>
                    <xdr:row>15</xdr:row>
                    <xdr:rowOff>171450</xdr:rowOff>
                  </from>
                  <to>
                    <xdr:col>10</xdr:col>
                    <xdr:colOff>504825</xdr:colOff>
                    <xdr:row>17</xdr:row>
                    <xdr:rowOff>0</xdr:rowOff>
                  </to>
                </anchor>
              </controlPr>
            </control>
          </mc:Choice>
        </mc:AlternateContent>
        <mc:AlternateContent xmlns:mc="http://schemas.openxmlformats.org/markup-compatibility/2006">
          <mc:Choice Requires="x14">
            <control shapeId="25656" r:id="rId10" name="Check Box 56">
              <controlPr defaultSize="0" autoFill="0" autoLine="0" autoPict="0">
                <anchor moveWithCells="1">
                  <from>
                    <xdr:col>10</xdr:col>
                    <xdr:colOff>285750</xdr:colOff>
                    <xdr:row>16</xdr:row>
                    <xdr:rowOff>171450</xdr:rowOff>
                  </from>
                  <to>
                    <xdr:col>10</xdr:col>
                    <xdr:colOff>504825</xdr:colOff>
                    <xdr:row>18</xdr:row>
                    <xdr:rowOff>9525</xdr:rowOff>
                  </to>
                </anchor>
              </controlPr>
            </control>
          </mc:Choice>
        </mc:AlternateContent>
        <mc:AlternateContent xmlns:mc="http://schemas.openxmlformats.org/markup-compatibility/2006">
          <mc:Choice Requires="x14">
            <control shapeId="25657" r:id="rId11" name="Check Box 57">
              <controlPr defaultSize="0" autoFill="0" autoLine="0" autoPict="0">
                <anchor moveWithCells="1">
                  <from>
                    <xdr:col>10</xdr:col>
                    <xdr:colOff>285750</xdr:colOff>
                    <xdr:row>16</xdr:row>
                    <xdr:rowOff>171450</xdr:rowOff>
                  </from>
                  <to>
                    <xdr:col>10</xdr:col>
                    <xdr:colOff>504825</xdr:colOff>
                    <xdr:row>18</xdr:row>
                    <xdr:rowOff>9525</xdr:rowOff>
                  </to>
                </anchor>
              </controlPr>
            </control>
          </mc:Choice>
        </mc:AlternateContent>
        <mc:AlternateContent xmlns:mc="http://schemas.openxmlformats.org/markup-compatibility/2006">
          <mc:Choice Requires="x14">
            <control shapeId="25658" r:id="rId12" name="Check Box 58">
              <controlPr defaultSize="0" autoFill="0" autoLine="0" autoPict="0">
                <anchor moveWithCells="1">
                  <from>
                    <xdr:col>10</xdr:col>
                    <xdr:colOff>285750</xdr:colOff>
                    <xdr:row>17</xdr:row>
                    <xdr:rowOff>171450</xdr:rowOff>
                  </from>
                  <to>
                    <xdr:col>10</xdr:col>
                    <xdr:colOff>504825</xdr:colOff>
                    <xdr:row>19</xdr:row>
                    <xdr:rowOff>9525</xdr:rowOff>
                  </to>
                </anchor>
              </controlPr>
            </control>
          </mc:Choice>
        </mc:AlternateContent>
        <mc:AlternateContent xmlns:mc="http://schemas.openxmlformats.org/markup-compatibility/2006">
          <mc:Choice Requires="x14">
            <control shapeId="25662" r:id="rId13" name="Check Box 62">
              <controlPr defaultSize="0" autoFill="0" autoLine="0" autoPict="0">
                <anchor moveWithCells="1">
                  <from>
                    <xdr:col>10</xdr:col>
                    <xdr:colOff>266700</xdr:colOff>
                    <xdr:row>19</xdr:row>
                    <xdr:rowOff>28575</xdr:rowOff>
                  </from>
                  <to>
                    <xdr:col>10</xdr:col>
                    <xdr:colOff>504825</xdr:colOff>
                    <xdr:row>19</xdr:row>
                    <xdr:rowOff>428625</xdr:rowOff>
                  </to>
                </anchor>
              </controlPr>
            </control>
          </mc:Choice>
        </mc:AlternateContent>
        <mc:AlternateContent xmlns:mc="http://schemas.openxmlformats.org/markup-compatibility/2006">
          <mc:Choice Requires="x14">
            <control shapeId="25668" r:id="rId14" name="Check Box 68">
              <controlPr defaultSize="0" autoFill="0" autoLine="0" autoPict="0">
                <anchor moveWithCells="1">
                  <from>
                    <xdr:col>10</xdr:col>
                    <xdr:colOff>285750</xdr:colOff>
                    <xdr:row>22</xdr:row>
                    <xdr:rowOff>419100</xdr:rowOff>
                  </from>
                  <to>
                    <xdr:col>10</xdr:col>
                    <xdr:colOff>504825</xdr:colOff>
                    <xdr:row>24</xdr:row>
                    <xdr:rowOff>19050</xdr:rowOff>
                  </to>
                </anchor>
              </controlPr>
            </control>
          </mc:Choice>
        </mc:AlternateContent>
        <mc:AlternateContent xmlns:mc="http://schemas.openxmlformats.org/markup-compatibility/2006">
          <mc:Choice Requires="x14">
            <control shapeId="25670" r:id="rId15" name="Check Box 70">
              <controlPr defaultSize="0" autoFill="0" autoLine="0" autoPict="0">
                <anchor moveWithCells="1">
                  <from>
                    <xdr:col>10</xdr:col>
                    <xdr:colOff>285750</xdr:colOff>
                    <xdr:row>23</xdr:row>
                    <xdr:rowOff>171450</xdr:rowOff>
                  </from>
                  <to>
                    <xdr:col>10</xdr:col>
                    <xdr:colOff>504825</xdr:colOff>
                    <xdr:row>25</xdr:row>
                    <xdr:rowOff>0</xdr:rowOff>
                  </to>
                </anchor>
              </controlPr>
            </control>
          </mc:Choice>
        </mc:AlternateContent>
        <mc:AlternateContent xmlns:mc="http://schemas.openxmlformats.org/markup-compatibility/2006">
          <mc:Choice Requires="x14">
            <control shapeId="25671" r:id="rId16" name="Check Box 71">
              <controlPr defaultSize="0" autoFill="0" autoLine="0" autoPict="0">
                <anchor moveWithCells="1">
                  <from>
                    <xdr:col>10</xdr:col>
                    <xdr:colOff>285750</xdr:colOff>
                    <xdr:row>23</xdr:row>
                    <xdr:rowOff>171450</xdr:rowOff>
                  </from>
                  <to>
                    <xdr:col>10</xdr:col>
                    <xdr:colOff>504825</xdr:colOff>
                    <xdr:row>25</xdr:row>
                    <xdr:rowOff>0</xdr:rowOff>
                  </to>
                </anchor>
              </controlPr>
            </control>
          </mc:Choice>
        </mc:AlternateContent>
        <mc:AlternateContent xmlns:mc="http://schemas.openxmlformats.org/markup-compatibility/2006">
          <mc:Choice Requires="x14">
            <control shapeId="25673" r:id="rId17" name="Check Box 73">
              <controlPr defaultSize="0" autoFill="0" autoLine="0" autoPict="0">
                <anchor moveWithCells="1">
                  <from>
                    <xdr:col>10</xdr:col>
                    <xdr:colOff>285750</xdr:colOff>
                    <xdr:row>25</xdr:row>
                    <xdr:rowOff>285750</xdr:rowOff>
                  </from>
                  <to>
                    <xdr:col>10</xdr:col>
                    <xdr:colOff>504825</xdr:colOff>
                    <xdr:row>26</xdr:row>
                    <xdr:rowOff>171450</xdr:rowOff>
                  </to>
                </anchor>
              </controlPr>
            </control>
          </mc:Choice>
        </mc:AlternateContent>
        <mc:AlternateContent xmlns:mc="http://schemas.openxmlformats.org/markup-compatibility/2006">
          <mc:Choice Requires="x14">
            <control shapeId="25674" r:id="rId18" name="Check Box 74">
              <controlPr defaultSize="0" autoFill="0" autoLine="0" autoPict="0">
                <anchor moveWithCells="1">
                  <from>
                    <xdr:col>10</xdr:col>
                    <xdr:colOff>285750</xdr:colOff>
                    <xdr:row>26</xdr:row>
                    <xdr:rowOff>171450</xdr:rowOff>
                  </from>
                  <to>
                    <xdr:col>10</xdr:col>
                    <xdr:colOff>504825</xdr:colOff>
                    <xdr:row>28</xdr:row>
                    <xdr:rowOff>9525</xdr:rowOff>
                  </to>
                </anchor>
              </controlPr>
            </control>
          </mc:Choice>
        </mc:AlternateContent>
        <mc:AlternateContent xmlns:mc="http://schemas.openxmlformats.org/markup-compatibility/2006">
          <mc:Choice Requires="x14">
            <control shapeId="25675" r:id="rId19" name="Check Box 75">
              <controlPr defaultSize="0" autoFill="0" autoLine="0" autoPict="0">
                <anchor moveWithCells="1">
                  <from>
                    <xdr:col>10</xdr:col>
                    <xdr:colOff>285750</xdr:colOff>
                    <xdr:row>26</xdr:row>
                    <xdr:rowOff>171450</xdr:rowOff>
                  </from>
                  <to>
                    <xdr:col>10</xdr:col>
                    <xdr:colOff>504825</xdr:colOff>
                    <xdr:row>28</xdr:row>
                    <xdr:rowOff>9525</xdr:rowOff>
                  </to>
                </anchor>
              </controlPr>
            </control>
          </mc:Choice>
        </mc:AlternateContent>
        <mc:AlternateContent xmlns:mc="http://schemas.openxmlformats.org/markup-compatibility/2006">
          <mc:Choice Requires="x14">
            <control shapeId="25676" r:id="rId20" name="Check Box 76">
              <controlPr defaultSize="0" autoFill="0" autoLine="0" autoPict="0">
                <anchor moveWithCells="1">
                  <from>
                    <xdr:col>10</xdr:col>
                    <xdr:colOff>285750</xdr:colOff>
                    <xdr:row>27</xdr:row>
                    <xdr:rowOff>171450</xdr:rowOff>
                  </from>
                  <to>
                    <xdr:col>10</xdr:col>
                    <xdr:colOff>504825</xdr:colOff>
                    <xdr:row>29</xdr:row>
                    <xdr:rowOff>9525</xdr:rowOff>
                  </to>
                </anchor>
              </controlPr>
            </control>
          </mc:Choice>
        </mc:AlternateContent>
        <mc:AlternateContent xmlns:mc="http://schemas.openxmlformats.org/markup-compatibility/2006">
          <mc:Choice Requires="x14">
            <control shapeId="25677" r:id="rId21" name="Check Box 77">
              <controlPr defaultSize="0" autoFill="0" autoLine="0" autoPict="0">
                <anchor moveWithCells="1">
                  <from>
                    <xdr:col>10</xdr:col>
                    <xdr:colOff>285750</xdr:colOff>
                    <xdr:row>27</xdr:row>
                    <xdr:rowOff>171450</xdr:rowOff>
                  </from>
                  <to>
                    <xdr:col>10</xdr:col>
                    <xdr:colOff>504825</xdr:colOff>
                    <xdr:row>29</xdr:row>
                    <xdr:rowOff>9525</xdr:rowOff>
                  </to>
                </anchor>
              </controlPr>
            </control>
          </mc:Choice>
        </mc:AlternateContent>
        <mc:AlternateContent xmlns:mc="http://schemas.openxmlformats.org/markup-compatibility/2006">
          <mc:Choice Requires="x14">
            <control shapeId="25678" r:id="rId22" name="Check Box 78">
              <controlPr defaultSize="0" autoFill="0" autoLine="0" autoPict="0">
                <anchor moveWithCells="1">
                  <from>
                    <xdr:col>10</xdr:col>
                    <xdr:colOff>285750</xdr:colOff>
                    <xdr:row>28</xdr:row>
                    <xdr:rowOff>171450</xdr:rowOff>
                  </from>
                  <to>
                    <xdr:col>10</xdr:col>
                    <xdr:colOff>504825</xdr:colOff>
                    <xdr:row>30</xdr:row>
                    <xdr:rowOff>0</xdr:rowOff>
                  </to>
                </anchor>
              </controlPr>
            </control>
          </mc:Choice>
        </mc:AlternateContent>
        <mc:AlternateContent xmlns:mc="http://schemas.openxmlformats.org/markup-compatibility/2006">
          <mc:Choice Requires="x14">
            <control shapeId="25679" r:id="rId23" name="Check Box 79">
              <controlPr defaultSize="0" autoFill="0" autoLine="0" autoPict="0">
                <anchor moveWithCells="1">
                  <from>
                    <xdr:col>10</xdr:col>
                    <xdr:colOff>285750</xdr:colOff>
                    <xdr:row>28</xdr:row>
                    <xdr:rowOff>171450</xdr:rowOff>
                  </from>
                  <to>
                    <xdr:col>10</xdr:col>
                    <xdr:colOff>504825</xdr:colOff>
                    <xdr:row>30</xdr:row>
                    <xdr:rowOff>0</xdr:rowOff>
                  </to>
                </anchor>
              </controlPr>
            </control>
          </mc:Choice>
        </mc:AlternateContent>
        <mc:AlternateContent xmlns:mc="http://schemas.openxmlformats.org/markup-compatibility/2006">
          <mc:Choice Requires="x14">
            <control shapeId="25680" r:id="rId24" name="Check Box 80">
              <controlPr defaultSize="0" autoFill="0" autoLine="0" autoPict="0">
                <anchor moveWithCells="1">
                  <from>
                    <xdr:col>10</xdr:col>
                    <xdr:colOff>285750</xdr:colOff>
                    <xdr:row>29</xdr:row>
                    <xdr:rowOff>171450</xdr:rowOff>
                  </from>
                  <to>
                    <xdr:col>10</xdr:col>
                    <xdr:colOff>504825</xdr:colOff>
                    <xdr:row>31</xdr:row>
                    <xdr:rowOff>0</xdr:rowOff>
                  </to>
                </anchor>
              </controlPr>
            </control>
          </mc:Choice>
        </mc:AlternateContent>
        <mc:AlternateContent xmlns:mc="http://schemas.openxmlformats.org/markup-compatibility/2006">
          <mc:Choice Requires="x14">
            <control shapeId="25681" r:id="rId25" name="Check Box 81">
              <controlPr defaultSize="0" autoFill="0" autoLine="0" autoPict="0">
                <anchor moveWithCells="1">
                  <from>
                    <xdr:col>10</xdr:col>
                    <xdr:colOff>285750</xdr:colOff>
                    <xdr:row>29</xdr:row>
                    <xdr:rowOff>171450</xdr:rowOff>
                  </from>
                  <to>
                    <xdr:col>10</xdr:col>
                    <xdr:colOff>504825</xdr:colOff>
                    <xdr:row>31</xdr:row>
                    <xdr:rowOff>0</xdr:rowOff>
                  </to>
                </anchor>
              </controlPr>
            </control>
          </mc:Choice>
        </mc:AlternateContent>
        <mc:AlternateContent xmlns:mc="http://schemas.openxmlformats.org/markup-compatibility/2006">
          <mc:Choice Requires="x14">
            <control shapeId="25682" r:id="rId26" name="Check Box 82">
              <controlPr defaultSize="0" autoFill="0" autoLine="0" autoPict="0">
                <anchor moveWithCells="1">
                  <from>
                    <xdr:col>10</xdr:col>
                    <xdr:colOff>285750</xdr:colOff>
                    <xdr:row>30</xdr:row>
                    <xdr:rowOff>171450</xdr:rowOff>
                  </from>
                  <to>
                    <xdr:col>10</xdr:col>
                    <xdr:colOff>504825</xdr:colOff>
                    <xdr:row>32</xdr:row>
                    <xdr:rowOff>0</xdr:rowOff>
                  </to>
                </anchor>
              </controlPr>
            </control>
          </mc:Choice>
        </mc:AlternateContent>
        <mc:AlternateContent xmlns:mc="http://schemas.openxmlformats.org/markup-compatibility/2006">
          <mc:Choice Requires="x14">
            <control shapeId="25683" r:id="rId27" name="Check Box 83">
              <controlPr defaultSize="0" autoFill="0" autoLine="0" autoPict="0">
                <anchor moveWithCells="1">
                  <from>
                    <xdr:col>10</xdr:col>
                    <xdr:colOff>285750</xdr:colOff>
                    <xdr:row>30</xdr:row>
                    <xdr:rowOff>171450</xdr:rowOff>
                  </from>
                  <to>
                    <xdr:col>10</xdr:col>
                    <xdr:colOff>504825</xdr:colOff>
                    <xdr:row>32</xdr:row>
                    <xdr:rowOff>0</xdr:rowOff>
                  </to>
                </anchor>
              </controlPr>
            </control>
          </mc:Choice>
        </mc:AlternateContent>
        <mc:AlternateContent xmlns:mc="http://schemas.openxmlformats.org/markup-compatibility/2006">
          <mc:Choice Requires="x14">
            <control shapeId="25684" r:id="rId28" name="Check Box 84">
              <controlPr defaultSize="0" autoFill="0" autoLine="0" autoPict="0">
                <anchor moveWithCells="1">
                  <from>
                    <xdr:col>10</xdr:col>
                    <xdr:colOff>285750</xdr:colOff>
                    <xdr:row>31</xdr:row>
                    <xdr:rowOff>171450</xdr:rowOff>
                  </from>
                  <to>
                    <xdr:col>10</xdr:col>
                    <xdr:colOff>504825</xdr:colOff>
                    <xdr:row>33</xdr:row>
                    <xdr:rowOff>0</xdr:rowOff>
                  </to>
                </anchor>
              </controlPr>
            </control>
          </mc:Choice>
        </mc:AlternateContent>
        <mc:AlternateContent xmlns:mc="http://schemas.openxmlformats.org/markup-compatibility/2006">
          <mc:Choice Requires="x14">
            <control shapeId="25685" r:id="rId29" name="Check Box 85">
              <controlPr defaultSize="0" autoFill="0" autoLine="0" autoPict="0">
                <anchor moveWithCells="1">
                  <from>
                    <xdr:col>10</xdr:col>
                    <xdr:colOff>285750</xdr:colOff>
                    <xdr:row>31</xdr:row>
                    <xdr:rowOff>171450</xdr:rowOff>
                  </from>
                  <to>
                    <xdr:col>10</xdr:col>
                    <xdr:colOff>504825</xdr:colOff>
                    <xdr:row>33</xdr:row>
                    <xdr:rowOff>0</xdr:rowOff>
                  </to>
                </anchor>
              </controlPr>
            </control>
          </mc:Choice>
        </mc:AlternateContent>
        <mc:AlternateContent xmlns:mc="http://schemas.openxmlformats.org/markup-compatibility/2006">
          <mc:Choice Requires="x14">
            <control shapeId="25686" r:id="rId30" name="Check Box 86">
              <controlPr defaultSize="0" autoFill="0" autoLine="0" autoPict="0">
                <anchor moveWithCells="1">
                  <from>
                    <xdr:col>10</xdr:col>
                    <xdr:colOff>285750</xdr:colOff>
                    <xdr:row>32</xdr:row>
                    <xdr:rowOff>171450</xdr:rowOff>
                  </from>
                  <to>
                    <xdr:col>10</xdr:col>
                    <xdr:colOff>504825</xdr:colOff>
                    <xdr:row>34</xdr:row>
                    <xdr:rowOff>0</xdr:rowOff>
                  </to>
                </anchor>
              </controlPr>
            </control>
          </mc:Choice>
        </mc:AlternateContent>
        <mc:AlternateContent xmlns:mc="http://schemas.openxmlformats.org/markup-compatibility/2006">
          <mc:Choice Requires="x14">
            <control shapeId="25687" r:id="rId31" name="Check Box 87">
              <controlPr defaultSize="0" autoFill="0" autoLine="0" autoPict="0">
                <anchor moveWithCells="1">
                  <from>
                    <xdr:col>10</xdr:col>
                    <xdr:colOff>285750</xdr:colOff>
                    <xdr:row>32</xdr:row>
                    <xdr:rowOff>171450</xdr:rowOff>
                  </from>
                  <to>
                    <xdr:col>10</xdr:col>
                    <xdr:colOff>504825</xdr:colOff>
                    <xdr:row>34</xdr:row>
                    <xdr:rowOff>0</xdr:rowOff>
                  </to>
                </anchor>
              </controlPr>
            </control>
          </mc:Choice>
        </mc:AlternateContent>
        <mc:AlternateContent xmlns:mc="http://schemas.openxmlformats.org/markup-compatibility/2006">
          <mc:Choice Requires="x14">
            <control shapeId="25688" r:id="rId32" name="Check Box 88">
              <controlPr defaultSize="0" autoFill="0" autoLine="0" autoPict="0">
                <anchor moveWithCells="1">
                  <from>
                    <xdr:col>10</xdr:col>
                    <xdr:colOff>285750</xdr:colOff>
                    <xdr:row>33</xdr:row>
                    <xdr:rowOff>171450</xdr:rowOff>
                  </from>
                  <to>
                    <xdr:col>10</xdr:col>
                    <xdr:colOff>504825</xdr:colOff>
                    <xdr:row>35</xdr:row>
                    <xdr:rowOff>0</xdr:rowOff>
                  </to>
                </anchor>
              </controlPr>
            </control>
          </mc:Choice>
        </mc:AlternateContent>
        <mc:AlternateContent xmlns:mc="http://schemas.openxmlformats.org/markup-compatibility/2006">
          <mc:Choice Requires="x14">
            <control shapeId="25689" r:id="rId33" name="Check Box 89">
              <controlPr defaultSize="0" autoFill="0" autoLine="0" autoPict="0">
                <anchor moveWithCells="1">
                  <from>
                    <xdr:col>10</xdr:col>
                    <xdr:colOff>285750</xdr:colOff>
                    <xdr:row>33</xdr:row>
                    <xdr:rowOff>171450</xdr:rowOff>
                  </from>
                  <to>
                    <xdr:col>10</xdr:col>
                    <xdr:colOff>504825</xdr:colOff>
                    <xdr:row>35</xdr:row>
                    <xdr:rowOff>0</xdr:rowOff>
                  </to>
                </anchor>
              </controlPr>
            </control>
          </mc:Choice>
        </mc:AlternateContent>
        <mc:AlternateContent xmlns:mc="http://schemas.openxmlformats.org/markup-compatibility/2006">
          <mc:Choice Requires="x14">
            <control shapeId="25691" r:id="rId34" name="Check Box 91">
              <controlPr defaultSize="0" autoFill="0" autoLine="0" autoPict="0">
                <anchor moveWithCells="1">
                  <from>
                    <xdr:col>10</xdr:col>
                    <xdr:colOff>276225</xdr:colOff>
                    <xdr:row>35</xdr:row>
                    <xdr:rowOff>47625</xdr:rowOff>
                  </from>
                  <to>
                    <xdr:col>10</xdr:col>
                    <xdr:colOff>552450</xdr:colOff>
                    <xdr:row>35</xdr:row>
                    <xdr:rowOff>342900</xdr:rowOff>
                  </to>
                </anchor>
              </controlPr>
            </control>
          </mc:Choice>
        </mc:AlternateContent>
        <mc:AlternateContent xmlns:mc="http://schemas.openxmlformats.org/markup-compatibility/2006">
          <mc:Choice Requires="x14">
            <control shapeId="25753" r:id="rId35" name="Check Box 153">
              <controlPr defaultSize="0" autoFill="0" autoLine="0" autoPict="0">
                <anchor moveWithCells="1">
                  <from>
                    <xdr:col>10</xdr:col>
                    <xdr:colOff>276225</xdr:colOff>
                    <xdr:row>20</xdr:row>
                    <xdr:rowOff>85725</xdr:rowOff>
                  </from>
                  <to>
                    <xdr:col>11</xdr:col>
                    <xdr:colOff>9525</xdr:colOff>
                    <xdr:row>20</xdr:row>
                    <xdr:rowOff>304800</xdr:rowOff>
                  </to>
                </anchor>
              </controlPr>
            </control>
          </mc:Choice>
        </mc:AlternateContent>
        <mc:AlternateContent xmlns:mc="http://schemas.openxmlformats.org/markup-compatibility/2006">
          <mc:Choice Requires="x14">
            <control shapeId="25776" r:id="rId36" name="Check Box 176">
              <controlPr defaultSize="0" autoFill="0" autoLine="0" autoPict="0">
                <anchor moveWithCells="1">
                  <from>
                    <xdr:col>10</xdr:col>
                    <xdr:colOff>285750</xdr:colOff>
                    <xdr:row>12</xdr:row>
                    <xdr:rowOff>171450</xdr:rowOff>
                  </from>
                  <to>
                    <xdr:col>10</xdr:col>
                    <xdr:colOff>504825</xdr:colOff>
                    <xdr:row>14</xdr:row>
                    <xdr:rowOff>0</xdr:rowOff>
                  </to>
                </anchor>
              </controlPr>
            </control>
          </mc:Choice>
        </mc:AlternateContent>
        <mc:AlternateContent xmlns:mc="http://schemas.openxmlformats.org/markup-compatibility/2006">
          <mc:Choice Requires="x14">
            <control shapeId="25777" r:id="rId37" name="Check Box 177">
              <controlPr defaultSize="0" autoFill="0" autoLine="0" autoPict="0">
                <anchor moveWithCells="1">
                  <from>
                    <xdr:col>10</xdr:col>
                    <xdr:colOff>266700</xdr:colOff>
                    <xdr:row>36</xdr:row>
                    <xdr:rowOff>47625</xdr:rowOff>
                  </from>
                  <to>
                    <xdr:col>10</xdr:col>
                    <xdr:colOff>485775</xdr:colOff>
                    <xdr:row>36</xdr:row>
                    <xdr:rowOff>257175</xdr:rowOff>
                  </to>
                </anchor>
              </controlPr>
            </control>
          </mc:Choice>
        </mc:AlternateContent>
        <mc:AlternateContent xmlns:mc="http://schemas.openxmlformats.org/markup-compatibility/2006">
          <mc:Choice Requires="x14">
            <control shapeId="25784" r:id="rId38" name="Check Box 184">
              <controlPr defaultSize="0" autoFill="0" autoLine="0" autoPict="0">
                <anchor moveWithCells="1">
                  <from>
                    <xdr:col>10</xdr:col>
                    <xdr:colOff>276225</xdr:colOff>
                    <xdr:row>36</xdr:row>
                    <xdr:rowOff>514350</xdr:rowOff>
                  </from>
                  <to>
                    <xdr:col>10</xdr:col>
                    <xdr:colOff>495300</xdr:colOff>
                    <xdr:row>38</xdr:row>
                    <xdr:rowOff>19050</xdr:rowOff>
                  </to>
                </anchor>
              </controlPr>
            </control>
          </mc:Choice>
        </mc:AlternateContent>
        <mc:AlternateContent xmlns:mc="http://schemas.openxmlformats.org/markup-compatibility/2006">
          <mc:Choice Requires="x14">
            <control shapeId="25785" r:id="rId39" name="Check Box 185">
              <controlPr defaultSize="0" autoFill="0" autoLine="0" autoPict="0">
                <anchor moveWithCells="1">
                  <from>
                    <xdr:col>12</xdr:col>
                    <xdr:colOff>285750</xdr:colOff>
                    <xdr:row>9</xdr:row>
                    <xdr:rowOff>171450</xdr:rowOff>
                  </from>
                  <to>
                    <xdr:col>12</xdr:col>
                    <xdr:colOff>504825</xdr:colOff>
                    <xdr:row>11</xdr:row>
                    <xdr:rowOff>0</xdr:rowOff>
                  </to>
                </anchor>
              </controlPr>
            </control>
          </mc:Choice>
        </mc:AlternateContent>
        <mc:AlternateContent xmlns:mc="http://schemas.openxmlformats.org/markup-compatibility/2006">
          <mc:Choice Requires="x14">
            <control shapeId="25786" r:id="rId40" name="Check Box 186">
              <controlPr defaultSize="0" autoFill="0" autoLine="0" autoPict="0">
                <anchor moveWithCells="1">
                  <from>
                    <xdr:col>12</xdr:col>
                    <xdr:colOff>285750</xdr:colOff>
                    <xdr:row>10</xdr:row>
                    <xdr:rowOff>171450</xdr:rowOff>
                  </from>
                  <to>
                    <xdr:col>12</xdr:col>
                    <xdr:colOff>504825</xdr:colOff>
                    <xdr:row>12</xdr:row>
                    <xdr:rowOff>0</xdr:rowOff>
                  </to>
                </anchor>
              </controlPr>
            </control>
          </mc:Choice>
        </mc:AlternateContent>
        <mc:AlternateContent xmlns:mc="http://schemas.openxmlformats.org/markup-compatibility/2006">
          <mc:Choice Requires="x14">
            <control shapeId="25787" r:id="rId41" name="Check Box 187">
              <controlPr defaultSize="0" autoFill="0" autoLine="0" autoPict="0">
                <anchor moveWithCells="1">
                  <from>
                    <xdr:col>12</xdr:col>
                    <xdr:colOff>285750</xdr:colOff>
                    <xdr:row>11</xdr:row>
                    <xdr:rowOff>171450</xdr:rowOff>
                  </from>
                  <to>
                    <xdr:col>12</xdr:col>
                    <xdr:colOff>504825</xdr:colOff>
                    <xdr:row>13</xdr:row>
                    <xdr:rowOff>0</xdr:rowOff>
                  </to>
                </anchor>
              </controlPr>
            </control>
          </mc:Choice>
        </mc:AlternateContent>
        <mc:AlternateContent xmlns:mc="http://schemas.openxmlformats.org/markup-compatibility/2006">
          <mc:Choice Requires="x14">
            <control shapeId="25788" r:id="rId42" name="Check Box 188">
              <controlPr defaultSize="0" autoFill="0" autoLine="0" autoPict="0">
                <anchor moveWithCells="1">
                  <from>
                    <xdr:col>12</xdr:col>
                    <xdr:colOff>295275</xdr:colOff>
                    <xdr:row>14</xdr:row>
                    <xdr:rowOff>57150</xdr:rowOff>
                  </from>
                  <to>
                    <xdr:col>12</xdr:col>
                    <xdr:colOff>514350</xdr:colOff>
                    <xdr:row>14</xdr:row>
                    <xdr:rowOff>266700</xdr:rowOff>
                  </to>
                </anchor>
              </controlPr>
            </control>
          </mc:Choice>
        </mc:AlternateContent>
        <mc:AlternateContent xmlns:mc="http://schemas.openxmlformats.org/markup-compatibility/2006">
          <mc:Choice Requires="x14">
            <control shapeId="25790" r:id="rId43" name="Check Box 190">
              <controlPr defaultSize="0" autoFill="0" autoLine="0" autoPict="0">
                <anchor moveWithCells="1">
                  <from>
                    <xdr:col>12</xdr:col>
                    <xdr:colOff>285750</xdr:colOff>
                    <xdr:row>15</xdr:row>
                    <xdr:rowOff>171450</xdr:rowOff>
                  </from>
                  <to>
                    <xdr:col>12</xdr:col>
                    <xdr:colOff>504825</xdr:colOff>
                    <xdr:row>17</xdr:row>
                    <xdr:rowOff>0</xdr:rowOff>
                  </to>
                </anchor>
              </controlPr>
            </control>
          </mc:Choice>
        </mc:AlternateContent>
        <mc:AlternateContent xmlns:mc="http://schemas.openxmlformats.org/markup-compatibility/2006">
          <mc:Choice Requires="x14">
            <control shapeId="25791" r:id="rId44" name="Check Box 191">
              <controlPr defaultSize="0" autoFill="0" autoLine="0" autoPict="0">
                <anchor moveWithCells="1">
                  <from>
                    <xdr:col>12</xdr:col>
                    <xdr:colOff>285750</xdr:colOff>
                    <xdr:row>15</xdr:row>
                    <xdr:rowOff>171450</xdr:rowOff>
                  </from>
                  <to>
                    <xdr:col>12</xdr:col>
                    <xdr:colOff>504825</xdr:colOff>
                    <xdr:row>17</xdr:row>
                    <xdr:rowOff>0</xdr:rowOff>
                  </to>
                </anchor>
              </controlPr>
            </control>
          </mc:Choice>
        </mc:AlternateContent>
        <mc:AlternateContent xmlns:mc="http://schemas.openxmlformats.org/markup-compatibility/2006">
          <mc:Choice Requires="x14">
            <control shapeId="25792" r:id="rId45" name="Check Box 192">
              <controlPr defaultSize="0" autoFill="0" autoLine="0" autoPict="0">
                <anchor moveWithCells="1">
                  <from>
                    <xdr:col>12</xdr:col>
                    <xdr:colOff>285750</xdr:colOff>
                    <xdr:row>16</xdr:row>
                    <xdr:rowOff>171450</xdr:rowOff>
                  </from>
                  <to>
                    <xdr:col>12</xdr:col>
                    <xdr:colOff>504825</xdr:colOff>
                    <xdr:row>18</xdr:row>
                    <xdr:rowOff>9525</xdr:rowOff>
                  </to>
                </anchor>
              </controlPr>
            </control>
          </mc:Choice>
        </mc:AlternateContent>
        <mc:AlternateContent xmlns:mc="http://schemas.openxmlformats.org/markup-compatibility/2006">
          <mc:Choice Requires="x14">
            <control shapeId="25793" r:id="rId46" name="Check Box 193">
              <controlPr defaultSize="0" autoFill="0" autoLine="0" autoPict="0">
                <anchor moveWithCells="1">
                  <from>
                    <xdr:col>12</xdr:col>
                    <xdr:colOff>285750</xdr:colOff>
                    <xdr:row>16</xdr:row>
                    <xdr:rowOff>171450</xdr:rowOff>
                  </from>
                  <to>
                    <xdr:col>12</xdr:col>
                    <xdr:colOff>504825</xdr:colOff>
                    <xdr:row>18</xdr:row>
                    <xdr:rowOff>9525</xdr:rowOff>
                  </to>
                </anchor>
              </controlPr>
            </control>
          </mc:Choice>
        </mc:AlternateContent>
        <mc:AlternateContent xmlns:mc="http://schemas.openxmlformats.org/markup-compatibility/2006">
          <mc:Choice Requires="x14">
            <control shapeId="25794" r:id="rId47" name="Check Box 194">
              <controlPr defaultSize="0" autoFill="0" autoLine="0" autoPict="0">
                <anchor moveWithCells="1">
                  <from>
                    <xdr:col>12</xdr:col>
                    <xdr:colOff>285750</xdr:colOff>
                    <xdr:row>17</xdr:row>
                    <xdr:rowOff>171450</xdr:rowOff>
                  </from>
                  <to>
                    <xdr:col>12</xdr:col>
                    <xdr:colOff>504825</xdr:colOff>
                    <xdr:row>19</xdr:row>
                    <xdr:rowOff>9525</xdr:rowOff>
                  </to>
                </anchor>
              </controlPr>
            </control>
          </mc:Choice>
        </mc:AlternateContent>
        <mc:AlternateContent xmlns:mc="http://schemas.openxmlformats.org/markup-compatibility/2006">
          <mc:Choice Requires="x14">
            <control shapeId="25795" r:id="rId48" name="Check Box 195">
              <controlPr defaultSize="0" autoFill="0" autoLine="0" autoPict="0">
                <anchor moveWithCells="1">
                  <from>
                    <xdr:col>12</xdr:col>
                    <xdr:colOff>285750</xdr:colOff>
                    <xdr:row>19</xdr:row>
                    <xdr:rowOff>76200</xdr:rowOff>
                  </from>
                  <to>
                    <xdr:col>12</xdr:col>
                    <xdr:colOff>504825</xdr:colOff>
                    <xdr:row>19</xdr:row>
                    <xdr:rowOff>381000</xdr:rowOff>
                  </to>
                </anchor>
              </controlPr>
            </control>
          </mc:Choice>
        </mc:AlternateContent>
        <mc:AlternateContent xmlns:mc="http://schemas.openxmlformats.org/markup-compatibility/2006">
          <mc:Choice Requires="x14">
            <control shapeId="25799" r:id="rId49" name="Check Box 199">
              <controlPr defaultSize="0" autoFill="0" autoLine="0" autoPict="0">
                <anchor moveWithCells="1">
                  <from>
                    <xdr:col>12</xdr:col>
                    <xdr:colOff>276225</xdr:colOff>
                    <xdr:row>22</xdr:row>
                    <xdr:rowOff>9525</xdr:rowOff>
                  </from>
                  <to>
                    <xdr:col>12</xdr:col>
                    <xdr:colOff>533400</xdr:colOff>
                    <xdr:row>22</xdr:row>
                    <xdr:rowOff>276225</xdr:rowOff>
                  </to>
                </anchor>
              </controlPr>
            </control>
          </mc:Choice>
        </mc:AlternateContent>
        <mc:AlternateContent xmlns:mc="http://schemas.openxmlformats.org/markup-compatibility/2006">
          <mc:Choice Requires="x14">
            <control shapeId="25800" r:id="rId50" name="Check Box 200">
              <controlPr defaultSize="0" autoFill="0" autoLine="0" autoPict="0">
                <anchor moveWithCells="1">
                  <from>
                    <xdr:col>12</xdr:col>
                    <xdr:colOff>285750</xdr:colOff>
                    <xdr:row>22</xdr:row>
                    <xdr:rowOff>419100</xdr:rowOff>
                  </from>
                  <to>
                    <xdr:col>12</xdr:col>
                    <xdr:colOff>504825</xdr:colOff>
                    <xdr:row>24</xdr:row>
                    <xdr:rowOff>19050</xdr:rowOff>
                  </to>
                </anchor>
              </controlPr>
            </control>
          </mc:Choice>
        </mc:AlternateContent>
        <mc:AlternateContent xmlns:mc="http://schemas.openxmlformats.org/markup-compatibility/2006">
          <mc:Choice Requires="x14">
            <control shapeId="25801" r:id="rId51" name="Check Box 201">
              <controlPr defaultSize="0" autoFill="0" autoLine="0" autoPict="0">
                <anchor moveWithCells="1">
                  <from>
                    <xdr:col>12</xdr:col>
                    <xdr:colOff>285750</xdr:colOff>
                    <xdr:row>23</xdr:row>
                    <xdr:rowOff>171450</xdr:rowOff>
                  </from>
                  <to>
                    <xdr:col>12</xdr:col>
                    <xdr:colOff>504825</xdr:colOff>
                    <xdr:row>25</xdr:row>
                    <xdr:rowOff>0</xdr:rowOff>
                  </to>
                </anchor>
              </controlPr>
            </control>
          </mc:Choice>
        </mc:AlternateContent>
        <mc:AlternateContent xmlns:mc="http://schemas.openxmlformats.org/markup-compatibility/2006">
          <mc:Choice Requires="x14">
            <control shapeId="25802" r:id="rId52" name="Check Box 202">
              <controlPr defaultSize="0" autoFill="0" autoLine="0" autoPict="0">
                <anchor moveWithCells="1">
                  <from>
                    <xdr:col>12</xdr:col>
                    <xdr:colOff>285750</xdr:colOff>
                    <xdr:row>23</xdr:row>
                    <xdr:rowOff>171450</xdr:rowOff>
                  </from>
                  <to>
                    <xdr:col>12</xdr:col>
                    <xdr:colOff>504825</xdr:colOff>
                    <xdr:row>25</xdr:row>
                    <xdr:rowOff>0</xdr:rowOff>
                  </to>
                </anchor>
              </controlPr>
            </control>
          </mc:Choice>
        </mc:AlternateContent>
        <mc:AlternateContent xmlns:mc="http://schemas.openxmlformats.org/markup-compatibility/2006">
          <mc:Choice Requires="x14">
            <control shapeId="25804" r:id="rId53" name="Check Box 204">
              <controlPr defaultSize="0" autoFill="0" autoLine="0" autoPict="0">
                <anchor moveWithCells="1">
                  <from>
                    <xdr:col>12</xdr:col>
                    <xdr:colOff>276225</xdr:colOff>
                    <xdr:row>25</xdr:row>
                    <xdr:rowOff>276225</xdr:rowOff>
                  </from>
                  <to>
                    <xdr:col>12</xdr:col>
                    <xdr:colOff>495300</xdr:colOff>
                    <xdr:row>26</xdr:row>
                    <xdr:rowOff>161925</xdr:rowOff>
                  </to>
                </anchor>
              </controlPr>
            </control>
          </mc:Choice>
        </mc:AlternateContent>
        <mc:AlternateContent xmlns:mc="http://schemas.openxmlformats.org/markup-compatibility/2006">
          <mc:Choice Requires="x14">
            <control shapeId="25805" r:id="rId54" name="Check Box 205">
              <controlPr defaultSize="0" autoFill="0" autoLine="0" autoPict="0">
                <anchor moveWithCells="1">
                  <from>
                    <xdr:col>12</xdr:col>
                    <xdr:colOff>285750</xdr:colOff>
                    <xdr:row>26</xdr:row>
                    <xdr:rowOff>171450</xdr:rowOff>
                  </from>
                  <to>
                    <xdr:col>12</xdr:col>
                    <xdr:colOff>504825</xdr:colOff>
                    <xdr:row>28</xdr:row>
                    <xdr:rowOff>9525</xdr:rowOff>
                  </to>
                </anchor>
              </controlPr>
            </control>
          </mc:Choice>
        </mc:AlternateContent>
        <mc:AlternateContent xmlns:mc="http://schemas.openxmlformats.org/markup-compatibility/2006">
          <mc:Choice Requires="x14">
            <control shapeId="25806" r:id="rId55" name="Check Box 206">
              <controlPr defaultSize="0" autoFill="0" autoLine="0" autoPict="0">
                <anchor moveWithCells="1">
                  <from>
                    <xdr:col>12</xdr:col>
                    <xdr:colOff>285750</xdr:colOff>
                    <xdr:row>26</xdr:row>
                    <xdr:rowOff>171450</xdr:rowOff>
                  </from>
                  <to>
                    <xdr:col>12</xdr:col>
                    <xdr:colOff>504825</xdr:colOff>
                    <xdr:row>28</xdr:row>
                    <xdr:rowOff>9525</xdr:rowOff>
                  </to>
                </anchor>
              </controlPr>
            </control>
          </mc:Choice>
        </mc:AlternateContent>
        <mc:AlternateContent xmlns:mc="http://schemas.openxmlformats.org/markup-compatibility/2006">
          <mc:Choice Requires="x14">
            <control shapeId="25807" r:id="rId56" name="Check Box 207">
              <controlPr defaultSize="0" autoFill="0" autoLine="0" autoPict="0">
                <anchor moveWithCells="1">
                  <from>
                    <xdr:col>12</xdr:col>
                    <xdr:colOff>285750</xdr:colOff>
                    <xdr:row>27</xdr:row>
                    <xdr:rowOff>171450</xdr:rowOff>
                  </from>
                  <to>
                    <xdr:col>12</xdr:col>
                    <xdr:colOff>504825</xdr:colOff>
                    <xdr:row>29</xdr:row>
                    <xdr:rowOff>9525</xdr:rowOff>
                  </to>
                </anchor>
              </controlPr>
            </control>
          </mc:Choice>
        </mc:AlternateContent>
        <mc:AlternateContent xmlns:mc="http://schemas.openxmlformats.org/markup-compatibility/2006">
          <mc:Choice Requires="x14">
            <control shapeId="25808" r:id="rId57" name="Check Box 208">
              <controlPr defaultSize="0" autoFill="0" autoLine="0" autoPict="0">
                <anchor moveWithCells="1">
                  <from>
                    <xdr:col>12</xdr:col>
                    <xdr:colOff>285750</xdr:colOff>
                    <xdr:row>27</xdr:row>
                    <xdr:rowOff>171450</xdr:rowOff>
                  </from>
                  <to>
                    <xdr:col>12</xdr:col>
                    <xdr:colOff>504825</xdr:colOff>
                    <xdr:row>29</xdr:row>
                    <xdr:rowOff>9525</xdr:rowOff>
                  </to>
                </anchor>
              </controlPr>
            </control>
          </mc:Choice>
        </mc:AlternateContent>
        <mc:AlternateContent xmlns:mc="http://schemas.openxmlformats.org/markup-compatibility/2006">
          <mc:Choice Requires="x14">
            <control shapeId="25809" r:id="rId58" name="Check Box 209">
              <controlPr defaultSize="0" autoFill="0" autoLine="0" autoPict="0">
                <anchor moveWithCells="1">
                  <from>
                    <xdr:col>12</xdr:col>
                    <xdr:colOff>285750</xdr:colOff>
                    <xdr:row>28</xdr:row>
                    <xdr:rowOff>171450</xdr:rowOff>
                  </from>
                  <to>
                    <xdr:col>12</xdr:col>
                    <xdr:colOff>504825</xdr:colOff>
                    <xdr:row>30</xdr:row>
                    <xdr:rowOff>0</xdr:rowOff>
                  </to>
                </anchor>
              </controlPr>
            </control>
          </mc:Choice>
        </mc:AlternateContent>
        <mc:AlternateContent xmlns:mc="http://schemas.openxmlformats.org/markup-compatibility/2006">
          <mc:Choice Requires="x14">
            <control shapeId="25810" r:id="rId59" name="Check Box 210">
              <controlPr defaultSize="0" autoFill="0" autoLine="0" autoPict="0">
                <anchor moveWithCells="1">
                  <from>
                    <xdr:col>12</xdr:col>
                    <xdr:colOff>285750</xdr:colOff>
                    <xdr:row>28</xdr:row>
                    <xdr:rowOff>171450</xdr:rowOff>
                  </from>
                  <to>
                    <xdr:col>12</xdr:col>
                    <xdr:colOff>504825</xdr:colOff>
                    <xdr:row>30</xdr:row>
                    <xdr:rowOff>0</xdr:rowOff>
                  </to>
                </anchor>
              </controlPr>
            </control>
          </mc:Choice>
        </mc:AlternateContent>
        <mc:AlternateContent xmlns:mc="http://schemas.openxmlformats.org/markup-compatibility/2006">
          <mc:Choice Requires="x14">
            <control shapeId="25811" r:id="rId60" name="Check Box 211">
              <controlPr defaultSize="0" autoFill="0" autoLine="0" autoPict="0">
                <anchor moveWithCells="1">
                  <from>
                    <xdr:col>12</xdr:col>
                    <xdr:colOff>285750</xdr:colOff>
                    <xdr:row>29</xdr:row>
                    <xdr:rowOff>171450</xdr:rowOff>
                  </from>
                  <to>
                    <xdr:col>12</xdr:col>
                    <xdr:colOff>504825</xdr:colOff>
                    <xdr:row>31</xdr:row>
                    <xdr:rowOff>0</xdr:rowOff>
                  </to>
                </anchor>
              </controlPr>
            </control>
          </mc:Choice>
        </mc:AlternateContent>
        <mc:AlternateContent xmlns:mc="http://schemas.openxmlformats.org/markup-compatibility/2006">
          <mc:Choice Requires="x14">
            <control shapeId="25812" r:id="rId61" name="Check Box 212">
              <controlPr defaultSize="0" autoFill="0" autoLine="0" autoPict="0">
                <anchor moveWithCells="1">
                  <from>
                    <xdr:col>12</xdr:col>
                    <xdr:colOff>285750</xdr:colOff>
                    <xdr:row>29</xdr:row>
                    <xdr:rowOff>171450</xdr:rowOff>
                  </from>
                  <to>
                    <xdr:col>12</xdr:col>
                    <xdr:colOff>504825</xdr:colOff>
                    <xdr:row>31</xdr:row>
                    <xdr:rowOff>0</xdr:rowOff>
                  </to>
                </anchor>
              </controlPr>
            </control>
          </mc:Choice>
        </mc:AlternateContent>
        <mc:AlternateContent xmlns:mc="http://schemas.openxmlformats.org/markup-compatibility/2006">
          <mc:Choice Requires="x14">
            <control shapeId="25813" r:id="rId62" name="Check Box 213">
              <controlPr defaultSize="0" autoFill="0" autoLine="0" autoPict="0">
                <anchor moveWithCells="1">
                  <from>
                    <xdr:col>12</xdr:col>
                    <xdr:colOff>285750</xdr:colOff>
                    <xdr:row>30</xdr:row>
                    <xdr:rowOff>171450</xdr:rowOff>
                  </from>
                  <to>
                    <xdr:col>12</xdr:col>
                    <xdr:colOff>504825</xdr:colOff>
                    <xdr:row>32</xdr:row>
                    <xdr:rowOff>0</xdr:rowOff>
                  </to>
                </anchor>
              </controlPr>
            </control>
          </mc:Choice>
        </mc:AlternateContent>
        <mc:AlternateContent xmlns:mc="http://schemas.openxmlformats.org/markup-compatibility/2006">
          <mc:Choice Requires="x14">
            <control shapeId="25814" r:id="rId63" name="Check Box 214">
              <controlPr defaultSize="0" autoFill="0" autoLine="0" autoPict="0">
                <anchor moveWithCells="1">
                  <from>
                    <xdr:col>12</xdr:col>
                    <xdr:colOff>285750</xdr:colOff>
                    <xdr:row>30</xdr:row>
                    <xdr:rowOff>171450</xdr:rowOff>
                  </from>
                  <to>
                    <xdr:col>12</xdr:col>
                    <xdr:colOff>504825</xdr:colOff>
                    <xdr:row>32</xdr:row>
                    <xdr:rowOff>0</xdr:rowOff>
                  </to>
                </anchor>
              </controlPr>
            </control>
          </mc:Choice>
        </mc:AlternateContent>
        <mc:AlternateContent xmlns:mc="http://schemas.openxmlformats.org/markup-compatibility/2006">
          <mc:Choice Requires="x14">
            <control shapeId="25815" r:id="rId64" name="Check Box 215">
              <controlPr defaultSize="0" autoFill="0" autoLine="0" autoPict="0">
                <anchor moveWithCells="1">
                  <from>
                    <xdr:col>12</xdr:col>
                    <xdr:colOff>285750</xdr:colOff>
                    <xdr:row>31</xdr:row>
                    <xdr:rowOff>171450</xdr:rowOff>
                  </from>
                  <to>
                    <xdr:col>12</xdr:col>
                    <xdr:colOff>504825</xdr:colOff>
                    <xdr:row>33</xdr:row>
                    <xdr:rowOff>0</xdr:rowOff>
                  </to>
                </anchor>
              </controlPr>
            </control>
          </mc:Choice>
        </mc:AlternateContent>
        <mc:AlternateContent xmlns:mc="http://schemas.openxmlformats.org/markup-compatibility/2006">
          <mc:Choice Requires="x14">
            <control shapeId="25816" r:id="rId65" name="Check Box 216">
              <controlPr defaultSize="0" autoFill="0" autoLine="0" autoPict="0">
                <anchor moveWithCells="1">
                  <from>
                    <xdr:col>12</xdr:col>
                    <xdr:colOff>285750</xdr:colOff>
                    <xdr:row>31</xdr:row>
                    <xdr:rowOff>171450</xdr:rowOff>
                  </from>
                  <to>
                    <xdr:col>12</xdr:col>
                    <xdr:colOff>504825</xdr:colOff>
                    <xdr:row>33</xdr:row>
                    <xdr:rowOff>0</xdr:rowOff>
                  </to>
                </anchor>
              </controlPr>
            </control>
          </mc:Choice>
        </mc:AlternateContent>
        <mc:AlternateContent xmlns:mc="http://schemas.openxmlformats.org/markup-compatibility/2006">
          <mc:Choice Requires="x14">
            <control shapeId="25817" r:id="rId66" name="Check Box 217">
              <controlPr defaultSize="0" autoFill="0" autoLine="0" autoPict="0">
                <anchor moveWithCells="1">
                  <from>
                    <xdr:col>12</xdr:col>
                    <xdr:colOff>285750</xdr:colOff>
                    <xdr:row>32</xdr:row>
                    <xdr:rowOff>171450</xdr:rowOff>
                  </from>
                  <to>
                    <xdr:col>12</xdr:col>
                    <xdr:colOff>504825</xdr:colOff>
                    <xdr:row>34</xdr:row>
                    <xdr:rowOff>0</xdr:rowOff>
                  </to>
                </anchor>
              </controlPr>
            </control>
          </mc:Choice>
        </mc:AlternateContent>
        <mc:AlternateContent xmlns:mc="http://schemas.openxmlformats.org/markup-compatibility/2006">
          <mc:Choice Requires="x14">
            <control shapeId="25818" r:id="rId67" name="Check Box 218">
              <controlPr defaultSize="0" autoFill="0" autoLine="0" autoPict="0">
                <anchor moveWithCells="1">
                  <from>
                    <xdr:col>12</xdr:col>
                    <xdr:colOff>285750</xdr:colOff>
                    <xdr:row>32</xdr:row>
                    <xdr:rowOff>171450</xdr:rowOff>
                  </from>
                  <to>
                    <xdr:col>12</xdr:col>
                    <xdr:colOff>504825</xdr:colOff>
                    <xdr:row>34</xdr:row>
                    <xdr:rowOff>0</xdr:rowOff>
                  </to>
                </anchor>
              </controlPr>
            </control>
          </mc:Choice>
        </mc:AlternateContent>
        <mc:AlternateContent xmlns:mc="http://schemas.openxmlformats.org/markup-compatibility/2006">
          <mc:Choice Requires="x14">
            <control shapeId="25819" r:id="rId68" name="Check Box 219">
              <controlPr defaultSize="0" autoFill="0" autoLine="0" autoPict="0">
                <anchor moveWithCells="1">
                  <from>
                    <xdr:col>12</xdr:col>
                    <xdr:colOff>285750</xdr:colOff>
                    <xdr:row>33</xdr:row>
                    <xdr:rowOff>171450</xdr:rowOff>
                  </from>
                  <to>
                    <xdr:col>12</xdr:col>
                    <xdr:colOff>504825</xdr:colOff>
                    <xdr:row>35</xdr:row>
                    <xdr:rowOff>0</xdr:rowOff>
                  </to>
                </anchor>
              </controlPr>
            </control>
          </mc:Choice>
        </mc:AlternateContent>
        <mc:AlternateContent xmlns:mc="http://schemas.openxmlformats.org/markup-compatibility/2006">
          <mc:Choice Requires="x14">
            <control shapeId="25820" r:id="rId69" name="Check Box 220">
              <controlPr defaultSize="0" autoFill="0" autoLine="0" autoPict="0">
                <anchor moveWithCells="1">
                  <from>
                    <xdr:col>12</xdr:col>
                    <xdr:colOff>285750</xdr:colOff>
                    <xdr:row>33</xdr:row>
                    <xdr:rowOff>171450</xdr:rowOff>
                  </from>
                  <to>
                    <xdr:col>12</xdr:col>
                    <xdr:colOff>504825</xdr:colOff>
                    <xdr:row>35</xdr:row>
                    <xdr:rowOff>0</xdr:rowOff>
                  </to>
                </anchor>
              </controlPr>
            </control>
          </mc:Choice>
        </mc:AlternateContent>
        <mc:AlternateContent xmlns:mc="http://schemas.openxmlformats.org/markup-compatibility/2006">
          <mc:Choice Requires="x14">
            <control shapeId="25821" r:id="rId70" name="Check Box 221">
              <controlPr defaultSize="0" autoFill="0" autoLine="0" autoPict="0">
                <anchor moveWithCells="1">
                  <from>
                    <xdr:col>12</xdr:col>
                    <xdr:colOff>285750</xdr:colOff>
                    <xdr:row>35</xdr:row>
                    <xdr:rowOff>66675</xdr:rowOff>
                  </from>
                  <to>
                    <xdr:col>14</xdr:col>
                    <xdr:colOff>9525</xdr:colOff>
                    <xdr:row>35</xdr:row>
                    <xdr:rowOff>342900</xdr:rowOff>
                  </to>
                </anchor>
              </controlPr>
            </control>
          </mc:Choice>
        </mc:AlternateContent>
        <mc:AlternateContent xmlns:mc="http://schemas.openxmlformats.org/markup-compatibility/2006">
          <mc:Choice Requires="x14">
            <control shapeId="25824" r:id="rId71" name="Check Box 224">
              <controlPr defaultSize="0" autoFill="0" autoLine="0" autoPict="0">
                <anchor moveWithCells="1">
                  <from>
                    <xdr:col>12</xdr:col>
                    <xdr:colOff>285750</xdr:colOff>
                    <xdr:row>36</xdr:row>
                    <xdr:rowOff>57150</xdr:rowOff>
                  </from>
                  <to>
                    <xdr:col>12</xdr:col>
                    <xdr:colOff>504825</xdr:colOff>
                    <xdr:row>36</xdr:row>
                    <xdr:rowOff>266700</xdr:rowOff>
                  </to>
                </anchor>
              </controlPr>
            </control>
          </mc:Choice>
        </mc:AlternateContent>
        <mc:AlternateContent xmlns:mc="http://schemas.openxmlformats.org/markup-compatibility/2006">
          <mc:Choice Requires="x14">
            <control shapeId="25825" r:id="rId72" name="Check Box 225">
              <controlPr defaultSize="0" autoFill="0" autoLine="0" autoPict="0">
                <anchor moveWithCells="1">
                  <from>
                    <xdr:col>12</xdr:col>
                    <xdr:colOff>276225</xdr:colOff>
                    <xdr:row>20</xdr:row>
                    <xdr:rowOff>85725</xdr:rowOff>
                  </from>
                  <to>
                    <xdr:col>14</xdr:col>
                    <xdr:colOff>9525</xdr:colOff>
                    <xdr:row>20</xdr:row>
                    <xdr:rowOff>304800</xdr:rowOff>
                  </to>
                </anchor>
              </controlPr>
            </control>
          </mc:Choice>
        </mc:AlternateContent>
        <mc:AlternateContent xmlns:mc="http://schemas.openxmlformats.org/markup-compatibility/2006">
          <mc:Choice Requires="x14">
            <control shapeId="25826" r:id="rId73" name="Check Box 226">
              <controlPr defaultSize="0" autoFill="0" autoLine="0" autoPict="0">
                <anchor moveWithCells="1">
                  <from>
                    <xdr:col>12</xdr:col>
                    <xdr:colOff>285750</xdr:colOff>
                    <xdr:row>12</xdr:row>
                    <xdr:rowOff>171450</xdr:rowOff>
                  </from>
                  <to>
                    <xdr:col>12</xdr:col>
                    <xdr:colOff>504825</xdr:colOff>
                    <xdr:row>14</xdr:row>
                    <xdr:rowOff>0</xdr:rowOff>
                  </to>
                </anchor>
              </controlPr>
            </control>
          </mc:Choice>
        </mc:AlternateContent>
        <mc:AlternateContent xmlns:mc="http://schemas.openxmlformats.org/markup-compatibility/2006">
          <mc:Choice Requires="x14">
            <control shapeId="25831" r:id="rId74" name="Check Box 231">
              <controlPr defaultSize="0" autoFill="0" autoLine="0" autoPict="0">
                <anchor moveWithCells="1">
                  <from>
                    <xdr:col>12</xdr:col>
                    <xdr:colOff>276225</xdr:colOff>
                    <xdr:row>36</xdr:row>
                    <xdr:rowOff>514350</xdr:rowOff>
                  </from>
                  <to>
                    <xdr:col>12</xdr:col>
                    <xdr:colOff>495300</xdr:colOff>
                    <xdr:row>38</xdr:row>
                    <xdr:rowOff>19050</xdr:rowOff>
                  </to>
                </anchor>
              </controlPr>
            </control>
          </mc:Choice>
        </mc:AlternateContent>
        <mc:AlternateContent xmlns:mc="http://schemas.openxmlformats.org/markup-compatibility/2006">
          <mc:Choice Requires="x14">
            <control shapeId="25879" r:id="rId75" name="Check Box 279">
              <controlPr defaultSize="0" autoFill="0" autoLine="0" autoPict="0">
                <anchor moveWithCells="1">
                  <from>
                    <xdr:col>10</xdr:col>
                    <xdr:colOff>276225</xdr:colOff>
                    <xdr:row>37</xdr:row>
                    <xdr:rowOff>514350</xdr:rowOff>
                  </from>
                  <to>
                    <xdr:col>10</xdr:col>
                    <xdr:colOff>495300</xdr:colOff>
                    <xdr:row>38</xdr:row>
                    <xdr:rowOff>209550</xdr:rowOff>
                  </to>
                </anchor>
              </controlPr>
            </control>
          </mc:Choice>
        </mc:AlternateContent>
        <mc:AlternateContent xmlns:mc="http://schemas.openxmlformats.org/markup-compatibility/2006">
          <mc:Choice Requires="x14">
            <control shapeId="25880" r:id="rId76" name="Check Box 280">
              <controlPr defaultSize="0" autoFill="0" autoLine="0" autoPict="0">
                <anchor moveWithCells="1">
                  <from>
                    <xdr:col>10</xdr:col>
                    <xdr:colOff>276225</xdr:colOff>
                    <xdr:row>20</xdr:row>
                    <xdr:rowOff>457200</xdr:rowOff>
                  </from>
                  <to>
                    <xdr:col>10</xdr:col>
                    <xdr:colOff>495300</xdr:colOff>
                    <xdr:row>22</xdr:row>
                    <xdr:rowOff>19050</xdr:rowOff>
                  </to>
                </anchor>
              </controlPr>
            </control>
          </mc:Choice>
        </mc:AlternateContent>
        <mc:AlternateContent xmlns:mc="http://schemas.openxmlformats.org/markup-compatibility/2006">
          <mc:Choice Requires="x14">
            <control shapeId="25881" r:id="rId77" name="Check Box 281">
              <controlPr defaultSize="0" autoFill="0" autoLine="0" autoPict="0">
                <anchor moveWithCells="1">
                  <from>
                    <xdr:col>10</xdr:col>
                    <xdr:colOff>276225</xdr:colOff>
                    <xdr:row>22</xdr:row>
                    <xdr:rowOff>9525</xdr:rowOff>
                  </from>
                  <to>
                    <xdr:col>10</xdr:col>
                    <xdr:colOff>495300</xdr:colOff>
                    <xdr:row>22</xdr:row>
                    <xdr:rowOff>266700</xdr:rowOff>
                  </to>
                </anchor>
              </controlPr>
            </control>
          </mc:Choice>
        </mc:AlternateContent>
        <mc:AlternateContent xmlns:mc="http://schemas.openxmlformats.org/markup-compatibility/2006">
          <mc:Choice Requires="x14">
            <control shapeId="25883" r:id="rId78" name="Check Box 283">
              <controlPr defaultSize="0" autoFill="0" autoLine="0" autoPict="0">
                <anchor moveWithCells="1">
                  <from>
                    <xdr:col>12</xdr:col>
                    <xdr:colOff>276225</xdr:colOff>
                    <xdr:row>21</xdr:row>
                    <xdr:rowOff>0</xdr:rowOff>
                  </from>
                  <to>
                    <xdr:col>12</xdr:col>
                    <xdr:colOff>495300</xdr:colOff>
                    <xdr:row>22</xdr:row>
                    <xdr:rowOff>19050</xdr:rowOff>
                  </to>
                </anchor>
              </controlPr>
            </control>
          </mc:Choice>
        </mc:AlternateContent>
        <mc:AlternateContent xmlns:mc="http://schemas.openxmlformats.org/markup-compatibility/2006">
          <mc:Choice Requires="x14">
            <control shapeId="25884" r:id="rId79" name="Check Box 284">
              <controlPr defaultSize="0" autoFill="0" autoLine="0" autoPict="0">
                <anchor moveWithCells="1">
                  <from>
                    <xdr:col>10</xdr:col>
                    <xdr:colOff>276225</xdr:colOff>
                    <xdr:row>14</xdr:row>
                    <xdr:rowOff>285750</xdr:rowOff>
                  </from>
                  <to>
                    <xdr:col>11</xdr:col>
                    <xdr:colOff>0</xdr:colOff>
                    <xdr:row>16</xdr:row>
                    <xdr:rowOff>38100</xdr:rowOff>
                  </to>
                </anchor>
              </controlPr>
            </control>
          </mc:Choice>
        </mc:AlternateContent>
        <mc:AlternateContent xmlns:mc="http://schemas.openxmlformats.org/markup-compatibility/2006">
          <mc:Choice Requires="x14">
            <control shapeId="25885" r:id="rId80" name="Check Box 285">
              <controlPr defaultSize="0" autoFill="0" autoLine="0" autoPict="0">
                <anchor moveWithCells="1">
                  <from>
                    <xdr:col>12</xdr:col>
                    <xdr:colOff>285750</xdr:colOff>
                    <xdr:row>14</xdr:row>
                    <xdr:rowOff>285750</xdr:rowOff>
                  </from>
                  <to>
                    <xdr:col>14</xdr:col>
                    <xdr:colOff>9525</xdr:colOff>
                    <xdr:row>16</xdr:row>
                    <xdr:rowOff>38100</xdr:rowOff>
                  </to>
                </anchor>
              </controlPr>
            </control>
          </mc:Choice>
        </mc:AlternateContent>
        <mc:AlternateContent xmlns:mc="http://schemas.openxmlformats.org/markup-compatibility/2006">
          <mc:Choice Requires="x14">
            <control shapeId="25886" r:id="rId81" name="Check Box 286">
              <controlPr defaultSize="0" autoFill="0" autoLine="0" autoPict="0">
                <anchor moveWithCells="1">
                  <from>
                    <xdr:col>11</xdr:col>
                    <xdr:colOff>314325</xdr:colOff>
                    <xdr:row>24</xdr:row>
                    <xdr:rowOff>152400</xdr:rowOff>
                  </from>
                  <to>
                    <xdr:col>12</xdr:col>
                    <xdr:colOff>66675</xdr:colOff>
                    <xdr:row>25</xdr:row>
                    <xdr:rowOff>238125</xdr:rowOff>
                  </to>
                </anchor>
              </controlPr>
            </control>
          </mc:Choice>
        </mc:AlternateContent>
        <mc:AlternateContent xmlns:mc="http://schemas.openxmlformats.org/markup-compatibility/2006">
          <mc:Choice Requires="x14">
            <control shapeId="25888" r:id="rId82" name="Check Box 288">
              <controlPr defaultSize="0" autoFill="0" autoLine="0" autoPict="0">
                <anchor moveWithCells="1">
                  <from>
                    <xdr:col>10</xdr:col>
                    <xdr:colOff>285750</xdr:colOff>
                    <xdr:row>28</xdr:row>
                    <xdr:rowOff>0</xdr:rowOff>
                  </from>
                  <to>
                    <xdr:col>10</xdr:col>
                    <xdr:colOff>504825</xdr:colOff>
                    <xdr:row>29</xdr:row>
                    <xdr:rowOff>19050</xdr:rowOff>
                  </to>
                </anchor>
              </controlPr>
            </control>
          </mc:Choice>
        </mc:AlternateContent>
        <mc:AlternateContent xmlns:mc="http://schemas.openxmlformats.org/markup-compatibility/2006">
          <mc:Choice Requires="x14">
            <control shapeId="25889" r:id="rId83" name="Check Box 289">
              <controlPr defaultSize="0" autoFill="0" autoLine="0" autoPict="0">
                <anchor moveWithCells="1">
                  <from>
                    <xdr:col>10</xdr:col>
                    <xdr:colOff>285750</xdr:colOff>
                    <xdr:row>28</xdr:row>
                    <xdr:rowOff>0</xdr:rowOff>
                  </from>
                  <to>
                    <xdr:col>10</xdr:col>
                    <xdr:colOff>504825</xdr:colOff>
                    <xdr:row>29</xdr:row>
                    <xdr:rowOff>19050</xdr:rowOff>
                  </to>
                </anchor>
              </controlPr>
            </control>
          </mc:Choice>
        </mc:AlternateContent>
        <mc:AlternateContent xmlns:mc="http://schemas.openxmlformats.org/markup-compatibility/2006">
          <mc:Choice Requires="x14">
            <control shapeId="25890" r:id="rId84" name="Check Box 290">
              <controlPr defaultSize="0" autoFill="0" autoLine="0" autoPict="0">
                <anchor moveWithCells="1">
                  <from>
                    <xdr:col>12</xdr:col>
                    <xdr:colOff>285750</xdr:colOff>
                    <xdr:row>28</xdr:row>
                    <xdr:rowOff>0</xdr:rowOff>
                  </from>
                  <to>
                    <xdr:col>12</xdr:col>
                    <xdr:colOff>504825</xdr:colOff>
                    <xdr:row>29</xdr:row>
                    <xdr:rowOff>19050</xdr:rowOff>
                  </to>
                </anchor>
              </controlPr>
            </control>
          </mc:Choice>
        </mc:AlternateContent>
        <mc:AlternateContent xmlns:mc="http://schemas.openxmlformats.org/markup-compatibility/2006">
          <mc:Choice Requires="x14">
            <control shapeId="25891" r:id="rId85" name="Check Box 291">
              <controlPr defaultSize="0" autoFill="0" autoLine="0" autoPict="0">
                <anchor moveWithCells="1">
                  <from>
                    <xdr:col>12</xdr:col>
                    <xdr:colOff>285750</xdr:colOff>
                    <xdr:row>28</xdr:row>
                    <xdr:rowOff>0</xdr:rowOff>
                  </from>
                  <to>
                    <xdr:col>12</xdr:col>
                    <xdr:colOff>504825</xdr:colOff>
                    <xdr:row>29</xdr:row>
                    <xdr:rowOff>19050</xdr:rowOff>
                  </to>
                </anchor>
              </controlPr>
            </control>
          </mc:Choice>
        </mc:AlternateContent>
        <mc:AlternateContent xmlns:mc="http://schemas.openxmlformats.org/markup-compatibility/2006">
          <mc:Choice Requires="x14">
            <control shapeId="25897" r:id="rId86" name="Check Box 297">
              <controlPr defaultSize="0" autoFill="0" autoLine="0" autoPict="0">
                <anchor moveWithCells="1">
                  <from>
                    <xdr:col>11</xdr:col>
                    <xdr:colOff>314325</xdr:colOff>
                    <xdr:row>26</xdr:row>
                    <xdr:rowOff>152400</xdr:rowOff>
                  </from>
                  <to>
                    <xdr:col>12</xdr:col>
                    <xdr:colOff>66675</xdr:colOff>
                    <xdr:row>28</xdr:row>
                    <xdr:rowOff>57150</xdr:rowOff>
                  </to>
                </anchor>
              </controlPr>
            </control>
          </mc:Choice>
        </mc:AlternateContent>
        <mc:AlternateContent xmlns:mc="http://schemas.openxmlformats.org/markup-compatibility/2006">
          <mc:Choice Requires="x14">
            <control shapeId="25898" r:id="rId87" name="Check Box 298">
              <controlPr defaultSize="0" autoFill="0" autoLine="0" autoPict="0">
                <anchor moveWithCells="1">
                  <from>
                    <xdr:col>10</xdr:col>
                    <xdr:colOff>314325</xdr:colOff>
                    <xdr:row>24</xdr:row>
                    <xdr:rowOff>152400</xdr:rowOff>
                  </from>
                  <to>
                    <xdr:col>11</xdr:col>
                    <xdr:colOff>38100</xdr:colOff>
                    <xdr:row>25</xdr:row>
                    <xdr:rowOff>238125</xdr:rowOff>
                  </to>
                </anchor>
              </controlPr>
            </control>
          </mc:Choice>
        </mc:AlternateContent>
        <mc:AlternateContent xmlns:mc="http://schemas.openxmlformats.org/markup-compatibility/2006">
          <mc:Choice Requires="x14">
            <control shapeId="25892" r:id="rId88" name="Check Box 292">
              <controlPr locked="0" defaultSize="0" autoFill="0" autoLine="0" autoPict="0">
                <anchor moveWithCells="1">
                  <from>
                    <xdr:col>2</xdr:col>
                    <xdr:colOff>285750</xdr:colOff>
                    <xdr:row>24</xdr:row>
                    <xdr:rowOff>152400</xdr:rowOff>
                  </from>
                  <to>
                    <xdr:col>3</xdr:col>
                    <xdr:colOff>28575</xdr:colOff>
                    <xdr:row>25</xdr:row>
                    <xdr:rowOff>171450</xdr:rowOff>
                  </to>
                </anchor>
              </controlPr>
            </control>
          </mc:Choice>
        </mc:AlternateContent>
        <mc:AlternateContent xmlns:mc="http://schemas.openxmlformats.org/markup-compatibility/2006">
          <mc:Choice Requires="x14">
            <control shapeId="25893" r:id="rId89" name="Check Box 293">
              <controlPr locked="0" defaultSize="0" autoFill="0" autoLine="0" autoPict="0">
                <anchor moveWithCells="1">
                  <from>
                    <xdr:col>4</xdr:col>
                    <xdr:colOff>209550</xdr:colOff>
                    <xdr:row>24</xdr:row>
                    <xdr:rowOff>152400</xdr:rowOff>
                  </from>
                  <to>
                    <xdr:col>5</xdr:col>
                    <xdr:colOff>19050</xdr:colOff>
                    <xdr:row>25</xdr:row>
                    <xdr:rowOff>171450</xdr:rowOff>
                  </to>
                </anchor>
              </controlPr>
            </control>
          </mc:Choice>
        </mc:AlternateContent>
        <mc:AlternateContent xmlns:mc="http://schemas.openxmlformats.org/markup-compatibility/2006">
          <mc:Choice Requires="x14">
            <control shapeId="25894" r:id="rId90" name="Check Box 294">
              <controlPr locked="0" defaultSize="0" autoFill="0" autoLine="0" autoPict="0">
                <anchor moveWithCells="1">
                  <from>
                    <xdr:col>7</xdr:col>
                    <xdr:colOff>390525</xdr:colOff>
                    <xdr:row>24</xdr:row>
                    <xdr:rowOff>152400</xdr:rowOff>
                  </from>
                  <to>
                    <xdr:col>8</xdr:col>
                    <xdr:colOff>19050</xdr:colOff>
                    <xdr:row>25</xdr:row>
                    <xdr:rowOff>171450</xdr:rowOff>
                  </to>
                </anchor>
              </controlPr>
            </control>
          </mc:Choice>
        </mc:AlternateContent>
        <mc:AlternateContent xmlns:mc="http://schemas.openxmlformats.org/markup-compatibility/2006">
          <mc:Choice Requires="x14">
            <control shapeId="25895" r:id="rId91" name="Check Box 295">
              <controlPr locked="0" defaultSize="0" autoFill="0" autoLine="0" autoPict="0">
                <anchor moveWithCells="1">
                  <from>
                    <xdr:col>9</xdr:col>
                    <xdr:colOff>276225</xdr:colOff>
                    <xdr:row>24</xdr:row>
                    <xdr:rowOff>161925</xdr:rowOff>
                  </from>
                  <to>
                    <xdr:col>10</xdr:col>
                    <xdr:colOff>9525</xdr:colOff>
                    <xdr:row>25</xdr:row>
                    <xdr:rowOff>180975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P60"/>
  <sheetViews>
    <sheetView workbookViewId="0">
      <selection activeCell="H8" sqref="H8"/>
    </sheetView>
  </sheetViews>
  <sheetFormatPr defaultColWidth="0" defaultRowHeight="15" x14ac:dyDescent="0.25"/>
  <cols>
    <col min="1" max="1" width="34.28515625" style="296" customWidth="1"/>
    <col min="2" max="2" width="17.5703125" style="294" customWidth="1"/>
    <col min="3" max="3" width="10.5703125" style="294" customWidth="1"/>
    <col min="4" max="4" width="27.140625" style="296" customWidth="1"/>
    <col min="5" max="5" width="17.140625" style="296" customWidth="1"/>
    <col min="6" max="6" width="19.28515625" style="296" customWidth="1"/>
    <col min="7" max="7" width="21.7109375" style="295" customWidth="1"/>
    <col min="8" max="8" width="12.7109375" style="294" customWidth="1"/>
    <col min="9" max="9" width="13.140625" style="294" customWidth="1"/>
    <col min="10" max="11" width="12.7109375" style="294" customWidth="1"/>
    <col min="12" max="12" width="14.42578125" style="293" customWidth="1"/>
    <col min="13" max="13" width="8" style="293" customWidth="1"/>
    <col min="14" max="14" width="1.7109375" style="292" customWidth="1"/>
    <col min="15" max="16" width="0" style="292" hidden="1" customWidth="1"/>
    <col min="17" max="16384" width="9.140625" style="292" hidden="1"/>
  </cols>
  <sheetData>
    <row r="1" spans="1:13" ht="7.5" customHeight="1" thickBot="1" x14ac:dyDescent="0.3">
      <c r="A1" s="297"/>
      <c r="B1" s="297"/>
      <c r="C1" s="297"/>
      <c r="D1" s="297"/>
      <c r="E1" s="297"/>
      <c r="F1" s="297"/>
      <c r="G1" s="298"/>
      <c r="H1" s="297"/>
      <c r="I1" s="297"/>
      <c r="J1" s="297"/>
      <c r="K1" s="297"/>
      <c r="L1" s="297"/>
      <c r="M1" s="297"/>
    </row>
    <row r="2" spans="1:13" ht="21.75" thickBot="1" x14ac:dyDescent="0.4">
      <c r="A2" s="447" t="s">
        <v>375</v>
      </c>
      <c r="B2" s="717">
        <f>Approval!E6</f>
        <v>0</v>
      </c>
      <c r="C2" s="292"/>
      <c r="D2" s="292"/>
      <c r="E2" s="326"/>
      <c r="F2" s="325" t="s">
        <v>167</v>
      </c>
      <c r="G2" s="324"/>
      <c r="H2" s="292"/>
      <c r="I2" s="297"/>
      <c r="J2" s="449" t="s">
        <v>372</v>
      </c>
      <c r="K2" s="1566">
        <f>Approval!Q7</f>
        <v>0</v>
      </c>
      <c r="L2" s="1566"/>
      <c r="M2" s="1566"/>
    </row>
    <row r="3" spans="1:13" ht="13.5" customHeight="1" x14ac:dyDescent="0.25">
      <c r="A3" s="716"/>
      <c r="B3" s="718">
        <f>Approval!E7</f>
        <v>0</v>
      </c>
      <c r="C3" s="298"/>
      <c r="D3" s="298"/>
      <c r="E3" s="298"/>
      <c r="F3" s="298"/>
      <c r="G3" s="298"/>
      <c r="H3" s="323"/>
      <c r="I3" s="323"/>
      <c r="J3" s="298"/>
      <c r="K3" s="298"/>
      <c r="L3" s="298"/>
      <c r="M3" s="298"/>
    </row>
    <row r="4" spans="1:13" x14ac:dyDescent="0.25">
      <c r="A4" s="322"/>
      <c r="B4" s="321"/>
      <c r="C4" s="320"/>
      <c r="D4" s="320"/>
      <c r="E4" s="320"/>
      <c r="F4" s="319"/>
      <c r="G4" s="319" t="s">
        <v>168</v>
      </c>
      <c r="H4" s="318"/>
      <c r="I4" s="317"/>
      <c r="J4" s="317"/>
      <c r="K4" s="316"/>
      <c r="L4" s="836"/>
      <c r="M4" s="837"/>
    </row>
    <row r="5" spans="1:13" x14ac:dyDescent="0.25">
      <c r="A5" s="315" t="s">
        <v>169</v>
      </c>
      <c r="B5" s="314" t="s">
        <v>170</v>
      </c>
      <c r="C5" s="312" t="s">
        <v>171</v>
      </c>
      <c r="D5" s="312" t="s">
        <v>103</v>
      </c>
      <c r="E5" s="313" t="s">
        <v>172</v>
      </c>
      <c r="F5" s="313" t="s">
        <v>103</v>
      </c>
      <c r="G5" s="313" t="s">
        <v>173</v>
      </c>
      <c r="H5" s="312" t="s">
        <v>174</v>
      </c>
      <c r="I5" s="312" t="s">
        <v>175</v>
      </c>
      <c r="J5" s="312" t="s">
        <v>176</v>
      </c>
      <c r="K5" s="312" t="s">
        <v>177</v>
      </c>
      <c r="L5" s="1567" t="s">
        <v>178</v>
      </c>
      <c r="M5" s="1568"/>
    </row>
    <row r="6" spans="1:13" ht="15.75" x14ac:dyDescent="0.25">
      <c r="A6" s="311"/>
      <c r="B6" s="308" t="s">
        <v>179</v>
      </c>
      <c r="C6" s="310" t="s">
        <v>180</v>
      </c>
      <c r="D6" s="308" t="s">
        <v>181</v>
      </c>
      <c r="E6" s="310" t="s">
        <v>182</v>
      </c>
      <c r="F6" s="310" t="s">
        <v>104</v>
      </c>
      <c r="G6" s="309" t="s">
        <v>183</v>
      </c>
      <c r="H6" s="308" t="s">
        <v>184</v>
      </c>
      <c r="I6" s="307" t="s">
        <v>185</v>
      </c>
      <c r="J6" s="307" t="s">
        <v>185</v>
      </c>
      <c r="K6" s="307" t="s">
        <v>185</v>
      </c>
      <c r="L6" s="1569"/>
      <c r="M6" s="1570"/>
    </row>
    <row r="7" spans="1:13" ht="15" customHeight="1" x14ac:dyDescent="0.25">
      <c r="A7" s="574"/>
      <c r="B7" s="576"/>
      <c r="C7" s="577"/>
      <c r="D7" s="788"/>
      <c r="E7" s="788"/>
      <c r="F7" s="384"/>
      <c r="G7" s="385"/>
      <c r="H7" s="385"/>
      <c r="I7" s="386"/>
      <c r="J7" s="386"/>
      <c r="K7" s="386"/>
      <c r="L7" s="1571">
        <f>IF(M8="",G7-(SUM(H7:K7)),(G7-(SUM(H7:K7)))*M8)</f>
        <v>0</v>
      </c>
      <c r="M7" s="1572"/>
    </row>
    <row r="8" spans="1:13" ht="15" customHeight="1" x14ac:dyDescent="0.25">
      <c r="A8" s="575"/>
      <c r="B8" s="388"/>
      <c r="C8" s="389"/>
      <c r="D8" s="390"/>
      <c r="E8" s="390"/>
      <c r="F8" s="582"/>
      <c r="G8" s="580"/>
      <c r="H8" s="580"/>
      <c r="I8" s="580"/>
      <c r="J8" s="580"/>
      <c r="K8" s="580"/>
      <c r="L8" s="841" t="str">
        <f>IF(L7=0,"","% own if not 100")</f>
        <v/>
      </c>
      <c r="M8" s="838"/>
    </row>
    <row r="9" spans="1:13" ht="15" customHeight="1" x14ac:dyDescent="0.25">
      <c r="A9" s="574"/>
      <c r="B9" s="576"/>
      <c r="C9" s="577"/>
      <c r="D9" s="578"/>
      <c r="E9" s="578"/>
      <c r="F9" s="384"/>
      <c r="G9" s="394"/>
      <c r="H9" s="385"/>
      <c r="I9" s="385"/>
      <c r="J9" s="385"/>
      <c r="K9" s="386"/>
      <c r="L9" s="1571">
        <f>IF(M10="",G9-(SUM(H9:K9)),(G9-(SUM(H9:K9)))*M10)</f>
        <v>0</v>
      </c>
      <c r="M9" s="1572"/>
    </row>
    <row r="10" spans="1:13" ht="15" customHeight="1" x14ac:dyDescent="0.25">
      <c r="A10" s="575"/>
      <c r="B10" s="388"/>
      <c r="C10" s="389"/>
      <c r="D10" s="390"/>
      <c r="E10" s="390"/>
      <c r="F10" s="391"/>
      <c r="G10" s="580"/>
      <c r="H10" s="393"/>
      <c r="I10" s="840"/>
      <c r="J10" s="580"/>
      <c r="K10" s="393"/>
      <c r="L10" s="841" t="str">
        <f>IF(L9=0,"","% own if not 100")</f>
        <v/>
      </c>
      <c r="M10" s="838"/>
    </row>
    <row r="11" spans="1:13" ht="15" customHeight="1" x14ac:dyDescent="0.25">
      <c r="A11" s="574"/>
      <c r="B11" s="576"/>
      <c r="C11" s="577"/>
      <c r="D11" s="578"/>
      <c r="E11" s="578"/>
      <c r="F11" s="384"/>
      <c r="G11" s="385"/>
      <c r="H11" s="385"/>
      <c r="I11" s="385"/>
      <c r="J11" s="385"/>
      <c r="K11" s="386"/>
      <c r="L11" s="1571">
        <f>IF(M12="",G11-(SUM(H11:K11)),(G11-(SUM(H11:K11)))*M12)</f>
        <v>0</v>
      </c>
      <c r="M11" s="1572"/>
    </row>
    <row r="12" spans="1:13" ht="15" customHeight="1" x14ac:dyDescent="0.25">
      <c r="A12" s="575"/>
      <c r="B12" s="388"/>
      <c r="C12" s="389"/>
      <c r="D12" s="395"/>
      <c r="E12" s="390"/>
      <c r="F12" s="391"/>
      <c r="G12" s="580"/>
      <c r="H12" s="392"/>
      <c r="I12" s="580"/>
      <c r="J12" s="580"/>
      <c r="K12" s="392"/>
      <c r="L12" s="841" t="str">
        <f>IF(L11=0,"","% own if not 100")</f>
        <v/>
      </c>
      <c r="M12" s="838"/>
    </row>
    <row r="13" spans="1:13" ht="15" customHeight="1" x14ac:dyDescent="0.25">
      <c r="A13" s="574"/>
      <c r="B13" s="576"/>
      <c r="C13" s="577"/>
      <c r="D13" s="578"/>
      <c r="E13" s="578"/>
      <c r="F13" s="384"/>
      <c r="G13" s="386"/>
      <c r="H13" s="385"/>
      <c r="I13" s="385"/>
      <c r="J13" s="385"/>
      <c r="K13" s="386"/>
      <c r="L13" s="1571">
        <f>IF(M14="",G13-(SUM(H13:K13)),(G13-(SUM(H13:K13)))*M14)</f>
        <v>0</v>
      </c>
      <c r="M13" s="1572"/>
    </row>
    <row r="14" spans="1:13" ht="15" customHeight="1" x14ac:dyDescent="0.25">
      <c r="A14" s="575"/>
      <c r="B14" s="388"/>
      <c r="C14" s="389"/>
      <c r="D14" s="396"/>
      <c r="E14" s="390"/>
      <c r="F14" s="391"/>
      <c r="G14" s="580"/>
      <c r="H14" s="392"/>
      <c r="I14" s="580"/>
      <c r="J14" s="580"/>
      <c r="K14" s="392"/>
      <c r="L14" s="841" t="str">
        <f>IF(L13=0,"","% own if not 100")</f>
        <v/>
      </c>
      <c r="M14" s="838"/>
    </row>
    <row r="15" spans="1:13" ht="15" customHeight="1" x14ac:dyDescent="0.25">
      <c r="A15" s="574"/>
      <c r="B15" s="576"/>
      <c r="C15" s="577"/>
      <c r="D15" s="578"/>
      <c r="E15" s="578"/>
      <c r="F15" s="384"/>
      <c r="G15" s="385"/>
      <c r="H15" s="385"/>
      <c r="I15" s="385"/>
      <c r="J15" s="385"/>
      <c r="K15" s="386"/>
      <c r="L15" s="1571">
        <f>IF(M16="",G15-(SUM(H15:K15)),(G15-(SUM(H15:K15)))*M16)</f>
        <v>0</v>
      </c>
      <c r="M15" s="1572"/>
    </row>
    <row r="16" spans="1:13" ht="15" customHeight="1" x14ac:dyDescent="0.25">
      <c r="A16" s="575"/>
      <c r="B16" s="388"/>
      <c r="C16" s="398"/>
      <c r="D16" s="399"/>
      <c r="E16" s="399"/>
      <c r="F16" s="400"/>
      <c r="G16" s="581"/>
      <c r="H16" s="402"/>
      <c r="I16" s="580"/>
      <c r="J16" s="580"/>
      <c r="K16" s="401"/>
      <c r="L16" s="841" t="str">
        <f>IF(L15=0,"","% own if not 100")</f>
        <v/>
      </c>
      <c r="M16" s="838"/>
    </row>
    <row r="17" spans="1:13" ht="15" customHeight="1" x14ac:dyDescent="0.25">
      <c r="A17" s="574"/>
      <c r="B17" s="576"/>
      <c r="C17" s="577"/>
      <c r="D17" s="578"/>
      <c r="E17" s="578"/>
      <c r="F17" s="384"/>
      <c r="G17" s="385"/>
      <c r="H17" s="385"/>
      <c r="I17" s="385"/>
      <c r="J17" s="385"/>
      <c r="K17" s="386"/>
      <c r="L17" s="1571">
        <f>IF(M18="",G17-(SUM(H17:K17)),(G17-(SUM(H17:K17)))*M18)</f>
        <v>0</v>
      </c>
      <c r="M17" s="1572"/>
    </row>
    <row r="18" spans="1:13" ht="15" customHeight="1" x14ac:dyDescent="0.25">
      <c r="A18" s="575"/>
      <c r="B18" s="388"/>
      <c r="C18" s="579"/>
      <c r="D18" s="399"/>
      <c r="E18" s="404"/>
      <c r="F18" s="400"/>
      <c r="G18" s="581"/>
      <c r="H18" s="401"/>
      <c r="I18" s="580"/>
      <c r="J18" s="580"/>
      <c r="K18" s="402"/>
      <c r="L18" s="841" t="str">
        <f>IF(L17=0,"","% own if not 100")</f>
        <v/>
      </c>
      <c r="M18" s="838"/>
    </row>
    <row r="19" spans="1:13" ht="15" customHeight="1" x14ac:dyDescent="0.25">
      <c r="A19" s="574"/>
      <c r="B19" s="576"/>
      <c r="C19" s="577"/>
      <c r="D19" s="578"/>
      <c r="E19" s="578"/>
      <c r="F19" s="384"/>
      <c r="G19" s="385"/>
      <c r="H19" s="385"/>
      <c r="I19" s="385"/>
      <c r="J19" s="385"/>
      <c r="K19" s="386"/>
      <c r="L19" s="1571">
        <f>IF(M20="",G19-(SUM(H19:K19)),(G19-(SUM(H19:K19)))*M20)</f>
        <v>0</v>
      </c>
      <c r="M19" s="1572"/>
    </row>
    <row r="20" spans="1:13" ht="15" customHeight="1" x14ac:dyDescent="0.25">
      <c r="A20" s="575"/>
      <c r="B20" s="388"/>
      <c r="C20" s="389"/>
      <c r="D20" s="399"/>
      <c r="E20" s="389"/>
      <c r="F20" s="400"/>
      <c r="G20" s="581"/>
      <c r="H20" s="402"/>
      <c r="I20" s="580"/>
      <c r="J20" s="580"/>
      <c r="K20" s="402"/>
      <c r="L20" s="841" t="str">
        <f>IF(L19=0,"","% own if not 100")</f>
        <v/>
      </c>
      <c r="M20" s="838"/>
    </row>
    <row r="21" spans="1:13" ht="15" customHeight="1" x14ac:dyDescent="0.25">
      <c r="A21" s="574"/>
      <c r="B21" s="576"/>
      <c r="C21" s="577"/>
      <c r="D21" s="578"/>
      <c r="E21" s="578"/>
      <c r="F21" s="384"/>
      <c r="G21" s="385"/>
      <c r="H21" s="385"/>
      <c r="I21" s="385"/>
      <c r="J21" s="385"/>
      <c r="K21" s="386"/>
      <c r="L21" s="1571">
        <f>IF(M22="",G21-(SUM(H21:K21)),(G21-(SUM(H21:K21)))*M22)</f>
        <v>0</v>
      </c>
      <c r="M21" s="1572"/>
    </row>
    <row r="22" spans="1:13" ht="15" customHeight="1" x14ac:dyDescent="0.25">
      <c r="A22" s="575"/>
      <c r="B22" s="579"/>
      <c r="C22" s="399"/>
      <c r="D22" s="404"/>
      <c r="E22" s="404"/>
      <c r="F22" s="405"/>
      <c r="G22" s="581"/>
      <c r="H22" s="402"/>
      <c r="I22" s="580"/>
      <c r="J22" s="580"/>
      <c r="K22" s="402"/>
      <c r="L22" s="841" t="str">
        <f>IF(L21=0,"","% own if not 100")</f>
        <v/>
      </c>
      <c r="M22" s="838"/>
    </row>
    <row r="23" spans="1:13" ht="15" customHeight="1" x14ac:dyDescent="0.25">
      <c r="A23" s="574"/>
      <c r="B23" s="576"/>
      <c r="C23" s="577"/>
      <c r="D23" s="578"/>
      <c r="E23" s="578"/>
      <c r="F23" s="384"/>
      <c r="G23" s="385"/>
      <c r="H23" s="385"/>
      <c r="I23" s="385"/>
      <c r="J23" s="385"/>
      <c r="K23" s="386"/>
      <c r="L23" s="1571">
        <f>IF(M24="",G23-(SUM(H23:K23)),(G23-(SUM(H23:K23)))*M24)</f>
        <v>0</v>
      </c>
      <c r="M23" s="1572"/>
    </row>
    <row r="24" spans="1:13" ht="15" customHeight="1" x14ac:dyDescent="0.25">
      <c r="A24" s="575"/>
      <c r="B24" s="388"/>
      <c r="C24" s="399"/>
      <c r="D24" s="404"/>
      <c r="E24" s="404"/>
      <c r="F24" s="405"/>
      <c r="G24" s="581"/>
      <c r="H24" s="402"/>
      <c r="I24" s="580"/>
      <c r="J24" s="580"/>
      <c r="K24" s="402"/>
      <c r="L24" s="841" t="str">
        <f>IF(L23=0,"","% own if not 100")</f>
        <v/>
      </c>
      <c r="M24" s="838"/>
    </row>
    <row r="25" spans="1:13" ht="15" customHeight="1" x14ac:dyDescent="0.25">
      <c r="A25" s="574"/>
      <c r="B25" s="576"/>
      <c r="C25" s="577"/>
      <c r="D25" s="578"/>
      <c r="E25" s="578"/>
      <c r="F25" s="384"/>
      <c r="G25" s="406"/>
      <c r="H25" s="385"/>
      <c r="I25" s="406"/>
      <c r="J25" s="406"/>
      <c r="K25" s="407"/>
      <c r="L25" s="1571">
        <f>IF(M26="",G25-(SUM(H25:K25)),(G25-(SUM(H25:K25)))*M26)</f>
        <v>0</v>
      </c>
      <c r="M25" s="1572"/>
    </row>
    <row r="26" spans="1:13" ht="15" customHeight="1" x14ac:dyDescent="0.25">
      <c r="A26" s="575"/>
      <c r="B26" s="388"/>
      <c r="C26" s="399"/>
      <c r="D26" s="404"/>
      <c r="E26" s="404"/>
      <c r="F26" s="405"/>
      <c r="G26" s="408"/>
      <c r="H26" s="408"/>
      <c r="I26" s="580"/>
      <c r="J26" s="580"/>
      <c r="K26" s="393"/>
      <c r="L26" s="841" t="str">
        <f>IF(L25=0,"","% own if not 100")</f>
        <v/>
      </c>
      <c r="M26" s="838"/>
    </row>
    <row r="27" spans="1:13" ht="15" customHeight="1" x14ac:dyDescent="0.25">
      <c r="A27" s="574"/>
      <c r="B27" s="576"/>
      <c r="C27" s="577"/>
      <c r="D27" s="578"/>
      <c r="E27" s="578"/>
      <c r="F27" s="384"/>
      <c r="G27" s="385"/>
      <c r="H27" s="385"/>
      <c r="I27" s="386"/>
      <c r="J27" s="386"/>
      <c r="K27" s="386"/>
      <c r="L27" s="1571">
        <f>IF(M28="",G27-(SUM(H27:K27)),(G27-(SUM(H27:K27)))*M28)</f>
        <v>0</v>
      </c>
      <c r="M27" s="1572"/>
    </row>
    <row r="28" spans="1:13" ht="15" customHeight="1" x14ac:dyDescent="0.25">
      <c r="A28" s="575"/>
      <c r="B28" s="388"/>
      <c r="C28" s="389"/>
      <c r="D28" s="390"/>
      <c r="E28" s="390"/>
      <c r="F28" s="391"/>
      <c r="G28" s="580"/>
      <c r="H28" s="393"/>
      <c r="I28" s="580"/>
      <c r="J28" s="580"/>
      <c r="K28" s="393"/>
      <c r="L28" s="841" t="str">
        <f>IF(L27=0,"","% own if not 100")</f>
        <v/>
      </c>
      <c r="M28" s="838"/>
    </row>
    <row r="29" spans="1:13" ht="15" customHeight="1" x14ac:dyDescent="0.25">
      <c r="A29" s="380"/>
      <c r="B29" s="381"/>
      <c r="C29" s="382"/>
      <c r="D29" s="383"/>
      <c r="E29" s="383"/>
      <c r="F29" s="384"/>
      <c r="G29" s="394"/>
      <c r="H29" s="385"/>
      <c r="I29" s="385"/>
      <c r="J29" s="386"/>
      <c r="K29" s="386"/>
      <c r="L29" s="1571">
        <f>IF(M30="",G29-(SUM(H29:K29)),(G29-(SUM(H29:K29)))*M30)</f>
        <v>0</v>
      </c>
      <c r="M29" s="1572"/>
    </row>
    <row r="30" spans="1:13" ht="15" customHeight="1" x14ac:dyDescent="0.25">
      <c r="A30" s="387"/>
      <c r="B30" s="388"/>
      <c r="C30" s="389"/>
      <c r="D30" s="390"/>
      <c r="E30" s="390"/>
      <c r="F30" s="391"/>
      <c r="G30" s="392"/>
      <c r="H30" s="393"/>
      <c r="I30" s="392"/>
      <c r="J30" s="392"/>
      <c r="K30" s="393"/>
      <c r="L30" s="841" t="str">
        <f>IF(L29=0,"","% own if not 100")</f>
        <v/>
      </c>
      <c r="M30" s="838"/>
    </row>
    <row r="31" spans="1:13" ht="15" customHeight="1" x14ac:dyDescent="0.25">
      <c r="A31" s="380"/>
      <c r="B31" s="381"/>
      <c r="C31" s="382"/>
      <c r="D31" s="383"/>
      <c r="E31" s="383"/>
      <c r="F31" s="384"/>
      <c r="G31" s="385"/>
      <c r="H31" s="385"/>
      <c r="I31" s="385"/>
      <c r="J31" s="385"/>
      <c r="K31" s="386"/>
      <c r="L31" s="1571">
        <f>IF(M32="",G31-(SUM(H31:K31)),(G31-(SUM(H31:K31)))*M32)</f>
        <v>0</v>
      </c>
      <c r="M31" s="1572"/>
    </row>
    <row r="32" spans="1:13" ht="15" customHeight="1" x14ac:dyDescent="0.25">
      <c r="A32" s="387"/>
      <c r="B32" s="388"/>
      <c r="C32" s="389"/>
      <c r="D32" s="395"/>
      <c r="E32" s="390"/>
      <c r="F32" s="391"/>
      <c r="G32" s="393"/>
      <c r="H32" s="392"/>
      <c r="I32" s="392"/>
      <c r="J32" s="393"/>
      <c r="K32" s="392"/>
      <c r="L32" s="841" t="str">
        <f>IF(L31=0,"","% own if not 100")</f>
        <v/>
      </c>
      <c r="M32" s="838"/>
    </row>
    <row r="33" spans="1:13" ht="15" customHeight="1" x14ac:dyDescent="0.25">
      <c r="A33" s="380"/>
      <c r="B33" s="381"/>
      <c r="C33" s="382"/>
      <c r="D33" s="383"/>
      <c r="E33" s="383"/>
      <c r="F33" s="384"/>
      <c r="G33" s="386"/>
      <c r="H33" s="385"/>
      <c r="I33" s="385"/>
      <c r="J33" s="385"/>
      <c r="K33" s="386"/>
      <c r="L33" s="1571">
        <f>IF(M34="",G33-(SUM(H33:K33)),(G33-(SUM(H33:K33)))*M34)</f>
        <v>0</v>
      </c>
      <c r="M33" s="1572"/>
    </row>
    <row r="34" spans="1:13" ht="15" customHeight="1" x14ac:dyDescent="0.25">
      <c r="A34" s="387"/>
      <c r="B34" s="388"/>
      <c r="C34" s="389"/>
      <c r="D34" s="396"/>
      <c r="E34" s="390"/>
      <c r="F34" s="391"/>
      <c r="G34" s="392"/>
      <c r="H34" s="392"/>
      <c r="I34" s="392"/>
      <c r="J34" s="393"/>
      <c r="K34" s="392"/>
      <c r="L34" s="841" t="str">
        <f>IF(L33=0,"","% own if not 100")</f>
        <v/>
      </c>
      <c r="M34" s="838"/>
    </row>
    <row r="35" spans="1:13" ht="15" customHeight="1" x14ac:dyDescent="0.25">
      <c r="A35" s="380"/>
      <c r="B35" s="381"/>
      <c r="C35" s="382"/>
      <c r="D35" s="383"/>
      <c r="E35" s="397"/>
      <c r="F35" s="384"/>
      <c r="G35" s="385"/>
      <c r="H35" s="385"/>
      <c r="I35" s="385"/>
      <c r="J35" s="385"/>
      <c r="K35" s="386"/>
      <c r="L35" s="1571">
        <f>IF(M36="",G35-(SUM(H35:K35)),(G35-(SUM(H35:K35)))*M36)</f>
        <v>0</v>
      </c>
      <c r="M35" s="1572"/>
    </row>
    <row r="36" spans="1:13" ht="15" customHeight="1" x14ac:dyDescent="0.25">
      <c r="A36" s="387"/>
      <c r="B36" s="388"/>
      <c r="C36" s="398"/>
      <c r="D36" s="399"/>
      <c r="E36" s="399"/>
      <c r="F36" s="400"/>
      <c r="G36" s="401"/>
      <c r="H36" s="402"/>
      <c r="I36" s="401"/>
      <c r="J36" s="402"/>
      <c r="K36" s="401"/>
      <c r="L36" s="841" t="str">
        <f>IF(L35=0,"","% own if not 100")</f>
        <v/>
      </c>
      <c r="M36" s="838"/>
    </row>
    <row r="37" spans="1:13" ht="15" customHeight="1" x14ac:dyDescent="0.25">
      <c r="A37" s="380"/>
      <c r="B37" s="381"/>
      <c r="C37" s="382"/>
      <c r="D37" s="382"/>
      <c r="E37" s="382"/>
      <c r="F37" s="403"/>
      <c r="G37" s="385"/>
      <c r="H37" s="385"/>
      <c r="I37" s="385"/>
      <c r="J37" s="385"/>
      <c r="K37" s="386"/>
      <c r="L37" s="1571">
        <f>IF(M38="",G37-(SUM(H37:K37)),(G37-(SUM(H37:K37)))*M38)</f>
        <v>0</v>
      </c>
      <c r="M37" s="1572"/>
    </row>
    <row r="38" spans="1:13" ht="15" customHeight="1" x14ac:dyDescent="0.25">
      <c r="A38" s="387"/>
      <c r="B38" s="388"/>
      <c r="C38" s="399"/>
      <c r="D38" s="399"/>
      <c r="E38" s="404"/>
      <c r="F38" s="405"/>
      <c r="G38" s="402"/>
      <c r="H38" s="401"/>
      <c r="I38" s="402"/>
      <c r="J38" s="402"/>
      <c r="K38" s="402"/>
      <c r="L38" s="841" t="str">
        <f>IF(L37=0,"","% own if not 100")</f>
        <v/>
      </c>
      <c r="M38" s="838"/>
    </row>
    <row r="39" spans="1:13" ht="15" customHeight="1" x14ac:dyDescent="0.25">
      <c r="A39" s="380"/>
      <c r="B39" s="381"/>
      <c r="C39" s="382"/>
      <c r="D39" s="382"/>
      <c r="E39" s="382"/>
      <c r="F39" s="403"/>
      <c r="G39" s="385"/>
      <c r="H39" s="385"/>
      <c r="I39" s="385"/>
      <c r="J39" s="385"/>
      <c r="K39" s="386"/>
      <c r="L39" s="1571">
        <f>IF(M40="",G39-(SUM(H39:K39)),(G39-(SUM(H39:K39)))*M40)</f>
        <v>0</v>
      </c>
      <c r="M39" s="1572"/>
    </row>
    <row r="40" spans="1:13" ht="15" customHeight="1" x14ac:dyDescent="0.25">
      <c r="A40" s="387"/>
      <c r="B40" s="388"/>
      <c r="C40" s="389"/>
      <c r="D40" s="399"/>
      <c r="E40" s="389"/>
      <c r="F40" s="400"/>
      <c r="G40" s="401"/>
      <c r="H40" s="402"/>
      <c r="I40" s="401"/>
      <c r="J40" s="401"/>
      <c r="K40" s="402"/>
      <c r="L40" s="841" t="str">
        <f>IF(L39=0,"","% own if not 100")</f>
        <v/>
      </c>
      <c r="M40" s="838"/>
    </row>
    <row r="41" spans="1:13" ht="15" customHeight="1" x14ac:dyDescent="0.25">
      <c r="A41" s="380"/>
      <c r="B41" s="381"/>
      <c r="C41" s="382"/>
      <c r="D41" s="382"/>
      <c r="E41" s="382"/>
      <c r="F41" s="403"/>
      <c r="G41" s="385"/>
      <c r="H41" s="385"/>
      <c r="I41" s="385"/>
      <c r="J41" s="385"/>
      <c r="K41" s="386"/>
      <c r="L41" s="1571">
        <f>IF(M42="",G41-(SUM(H41:K41)),(G41-(SUM(H41:K41)))*M42)</f>
        <v>0</v>
      </c>
      <c r="M41" s="1572"/>
    </row>
    <row r="42" spans="1:13" ht="15" customHeight="1" x14ac:dyDescent="0.25">
      <c r="A42" s="387"/>
      <c r="B42" s="388"/>
      <c r="C42" s="399"/>
      <c r="D42" s="404"/>
      <c r="E42" s="404"/>
      <c r="F42" s="405"/>
      <c r="G42" s="402"/>
      <c r="H42" s="402"/>
      <c r="I42" s="401"/>
      <c r="J42" s="547"/>
      <c r="K42" s="402"/>
      <c r="L42" s="841" t="str">
        <f>IF(L41=0,"","% own if not 100")</f>
        <v/>
      </c>
      <c r="M42" s="838"/>
    </row>
    <row r="43" spans="1:13" ht="15" customHeight="1" x14ac:dyDescent="0.25">
      <c r="A43" s="380"/>
      <c r="B43" s="381"/>
      <c r="C43" s="382"/>
      <c r="D43" s="382"/>
      <c r="E43" s="382"/>
      <c r="F43" s="403"/>
      <c r="G43" s="406"/>
      <c r="H43" s="406"/>
      <c r="I43" s="406"/>
      <c r="J43" s="406"/>
      <c r="K43" s="407"/>
      <c r="L43" s="1571">
        <f>IF(M44="",G43-(SUM(H43:K43)),(G43-(SUM(H43:K43)))*M44)</f>
        <v>0</v>
      </c>
      <c r="M43" s="1572"/>
    </row>
    <row r="44" spans="1:13" ht="15" customHeight="1" x14ac:dyDescent="0.25">
      <c r="A44" s="387"/>
      <c r="B44" s="388"/>
      <c r="C44" s="399"/>
      <c r="D44" s="404"/>
      <c r="E44" s="404"/>
      <c r="F44" s="405"/>
      <c r="G44" s="408"/>
      <c r="H44" s="408"/>
      <c r="I44" s="409"/>
      <c r="J44" s="409"/>
      <c r="K44" s="393"/>
      <c r="L44" s="841" t="str">
        <f>IF(L43=0,"","% own if not 100")</f>
        <v/>
      </c>
      <c r="M44" s="838"/>
    </row>
    <row r="45" spans="1:13" ht="15" customHeight="1" x14ac:dyDescent="0.25">
      <c r="A45" s="380"/>
      <c r="B45" s="410"/>
      <c r="C45" s="382"/>
      <c r="D45" s="382"/>
      <c r="E45" s="382"/>
      <c r="F45" s="403"/>
      <c r="G45" s="385"/>
      <c r="H45" s="385"/>
      <c r="I45" s="385"/>
      <c r="J45" s="385"/>
      <c r="K45" s="386"/>
      <c r="L45" s="1571">
        <f>IF(M46="",G45-(SUM(H45:K45)),(G45-(SUM(H45:K45)))*M46)</f>
        <v>0</v>
      </c>
      <c r="M45" s="1572"/>
    </row>
    <row r="46" spans="1:13" ht="15" customHeight="1" thickBot="1" x14ac:dyDescent="0.3">
      <c r="A46" s="411"/>
      <c r="B46" s="412"/>
      <c r="C46" s="413"/>
      <c r="D46" s="414"/>
      <c r="E46" s="414"/>
      <c r="F46" s="415"/>
      <c r="G46" s="416"/>
      <c r="H46" s="416"/>
      <c r="I46" s="416"/>
      <c r="J46" s="416"/>
      <c r="K46" s="416"/>
      <c r="L46" s="841" t="str">
        <f>IF(L45=0,"","% own if not 100")</f>
        <v/>
      </c>
      <c r="M46" s="839"/>
    </row>
    <row r="47" spans="1:13" x14ac:dyDescent="0.25">
      <c r="A47" s="306"/>
      <c r="B47" s="306" t="s">
        <v>186</v>
      </c>
      <c r="C47" s="306"/>
      <c r="D47" s="306"/>
      <c r="E47" s="298"/>
      <c r="F47" s="548">
        <f t="shared" ref="F47:K47" si="0">SUM(F7:F46)</f>
        <v>0</v>
      </c>
      <c r="G47" s="305">
        <f t="shared" si="0"/>
        <v>0</v>
      </c>
      <c r="H47" s="305">
        <f t="shared" si="0"/>
        <v>0</v>
      </c>
      <c r="I47" s="305">
        <f t="shared" si="0"/>
        <v>0</v>
      </c>
      <c r="J47" s="305">
        <f t="shared" si="0"/>
        <v>0</v>
      </c>
      <c r="K47" s="305">
        <f t="shared" si="0"/>
        <v>0</v>
      </c>
      <c r="L47" s="1575">
        <f>SUM(L7:L45)</f>
        <v>0</v>
      </c>
      <c r="M47" s="1575"/>
    </row>
    <row r="48" spans="1:13" ht="15.75" thickBot="1" x14ac:dyDescent="0.3">
      <c r="A48" s="300"/>
      <c r="B48" s="300"/>
      <c r="C48" s="300"/>
      <c r="D48" s="300"/>
      <c r="E48" s="446" t="s">
        <v>187</v>
      </c>
      <c r="F48" s="549">
        <f>'REO Schedule (2)'!F47</f>
        <v>0</v>
      </c>
      <c r="G48" s="549">
        <f>'REO Schedule (2)'!G47</f>
        <v>0</v>
      </c>
      <c r="H48" s="549">
        <f>'REO Schedule (2)'!H47</f>
        <v>0</v>
      </c>
      <c r="I48" s="549">
        <f>'REO Schedule (2)'!I47</f>
        <v>0</v>
      </c>
      <c r="J48" s="549">
        <f>'REO Schedule (2)'!J47</f>
        <v>0</v>
      </c>
      <c r="K48" s="549">
        <f>'REO Schedule (2)'!K47</f>
        <v>0</v>
      </c>
      <c r="L48" s="1576">
        <f>'REO Schedule (2)'!L47</f>
        <v>0</v>
      </c>
      <c r="M48" s="1576"/>
    </row>
    <row r="49" spans="1:13" ht="15.75" thickBot="1" x14ac:dyDescent="0.3">
      <c r="A49" s="300"/>
      <c r="B49" s="300"/>
      <c r="C49" s="300"/>
      <c r="D49" s="300"/>
      <c r="E49" s="304" t="s">
        <v>188</v>
      </c>
      <c r="F49" s="302">
        <f>SUM(F47:F48)</f>
        <v>0</v>
      </c>
      <c r="G49" s="303">
        <f>G47+G48</f>
        <v>0</v>
      </c>
      <c r="H49" s="302">
        <f>H47+H48</f>
        <v>0</v>
      </c>
      <c r="I49" s="302">
        <f>I47+I48</f>
        <v>0</v>
      </c>
      <c r="J49" s="302">
        <f>J47+J48</f>
        <v>0</v>
      </c>
      <c r="K49" s="302">
        <f>K47+K48</f>
        <v>0</v>
      </c>
      <c r="L49" s="1573">
        <f>L47+L48+Approval!AH60+Approval!AH61</f>
        <v>0</v>
      </c>
      <c r="M49" s="1574"/>
    </row>
    <row r="50" spans="1:13" x14ac:dyDescent="0.25">
      <c r="A50" s="301" t="s">
        <v>287</v>
      </c>
      <c r="B50" s="300"/>
      <c r="C50" s="300"/>
      <c r="D50" s="300"/>
      <c r="E50" s="300"/>
      <c r="F50" s="300"/>
      <c r="G50" s="298"/>
      <c r="H50" s="300"/>
      <c r="I50" s="300"/>
      <c r="J50" s="299"/>
      <c r="K50" s="299"/>
      <c r="L50" s="299"/>
      <c r="M50" s="299"/>
    </row>
    <row r="51" spans="1:13" x14ac:dyDescent="0.25">
      <c r="A51" s="782"/>
      <c r="B51" s="776"/>
      <c r="C51" s="776"/>
      <c r="D51" s="776"/>
      <c r="E51" s="776"/>
      <c r="F51" s="776"/>
      <c r="G51" s="776"/>
      <c r="H51" s="776"/>
      <c r="I51" s="776"/>
      <c r="J51" s="776"/>
      <c r="K51" s="776"/>
      <c r="L51" s="776"/>
      <c r="M51" s="777"/>
    </row>
    <row r="52" spans="1:13" x14ac:dyDescent="0.25">
      <c r="A52" s="783"/>
      <c r="B52" s="778"/>
      <c r="C52" s="778"/>
      <c r="D52" s="778"/>
      <c r="E52" s="778"/>
      <c r="F52" s="778"/>
      <c r="G52" s="778"/>
      <c r="H52" s="778"/>
      <c r="I52" s="778"/>
      <c r="J52" s="778"/>
      <c r="K52" s="778"/>
      <c r="L52" s="778"/>
      <c r="M52" s="779"/>
    </row>
    <row r="53" spans="1:13" x14ac:dyDescent="0.25">
      <c r="A53" s="783"/>
      <c r="B53" s="778"/>
      <c r="C53" s="778"/>
      <c r="D53" s="778"/>
      <c r="E53" s="778"/>
      <c r="F53" s="778"/>
      <c r="G53" s="778"/>
      <c r="H53" s="778"/>
      <c r="I53" s="778"/>
      <c r="J53" s="778"/>
      <c r="K53" s="778"/>
      <c r="L53" s="778"/>
      <c r="M53" s="779"/>
    </row>
    <row r="54" spans="1:13" x14ac:dyDescent="0.25">
      <c r="A54" s="783"/>
      <c r="B54" s="778"/>
      <c r="C54" s="778"/>
      <c r="D54" s="778"/>
      <c r="E54" s="778"/>
      <c r="F54" s="778"/>
      <c r="G54" s="778"/>
      <c r="H54" s="778"/>
      <c r="I54" s="778"/>
      <c r="J54" s="778"/>
      <c r="K54" s="778"/>
      <c r="L54" s="778"/>
      <c r="M54" s="779"/>
    </row>
    <row r="55" spans="1:13" x14ac:dyDescent="0.25">
      <c r="A55" s="784"/>
      <c r="B55" s="780"/>
      <c r="C55" s="780"/>
      <c r="D55" s="780"/>
      <c r="E55" s="780"/>
      <c r="F55" s="780"/>
      <c r="G55" s="780"/>
      <c r="H55" s="780"/>
      <c r="I55" s="780"/>
      <c r="J55" s="780"/>
      <c r="K55" s="780"/>
      <c r="L55" s="780"/>
      <c r="M55" s="781"/>
    </row>
    <row r="56" spans="1:13" x14ac:dyDescent="0.25">
      <c r="A56" s="297"/>
      <c r="B56" s="297"/>
      <c r="C56" s="297"/>
      <c r="D56" s="297"/>
      <c r="E56" s="297"/>
      <c r="F56" s="297"/>
      <c r="G56" s="298"/>
      <c r="H56" s="297"/>
      <c r="I56" s="297"/>
      <c r="J56" s="297"/>
      <c r="K56" s="297"/>
      <c r="L56" s="297"/>
      <c r="M56" s="297"/>
    </row>
    <row r="57" spans="1:13" x14ac:dyDescent="0.25">
      <c r="A57" s="297"/>
      <c r="B57" s="297"/>
      <c r="C57" s="297"/>
      <c r="D57" s="297"/>
      <c r="E57" s="297"/>
      <c r="F57" s="297"/>
      <c r="G57" s="298"/>
      <c r="H57" s="297"/>
      <c r="I57" s="297"/>
      <c r="J57" s="297"/>
      <c r="K57" s="297"/>
      <c r="L57" s="297"/>
      <c r="M57" s="297"/>
    </row>
    <row r="58" spans="1:13" x14ac:dyDescent="0.25">
      <c r="A58" s="297"/>
      <c r="B58" s="297"/>
      <c r="C58" s="297"/>
      <c r="D58" s="297"/>
      <c r="E58" s="297"/>
      <c r="F58" s="297"/>
      <c r="G58" s="298"/>
      <c r="H58" s="297"/>
      <c r="I58" s="297"/>
      <c r="J58" s="297"/>
      <c r="K58" s="297"/>
      <c r="L58" s="297"/>
      <c r="M58" s="297"/>
    </row>
    <row r="59" spans="1:13" x14ac:dyDescent="0.25">
      <c r="A59" s="297"/>
      <c r="B59" s="297"/>
      <c r="C59" s="297"/>
      <c r="D59" s="297"/>
      <c r="E59" s="297"/>
      <c r="F59" s="297"/>
      <c r="G59" s="298"/>
      <c r="H59" s="297"/>
      <c r="I59" s="297"/>
      <c r="J59" s="297"/>
      <c r="K59" s="297"/>
      <c r="L59" s="297"/>
      <c r="M59" s="297"/>
    </row>
    <row r="60" spans="1:13" x14ac:dyDescent="0.25">
      <c r="A60" s="297"/>
      <c r="B60" s="297"/>
      <c r="C60" s="297"/>
      <c r="D60" s="297"/>
      <c r="E60" s="297"/>
      <c r="F60" s="297"/>
      <c r="G60" s="298"/>
      <c r="H60" s="297"/>
      <c r="I60" s="297"/>
      <c r="J60" s="297"/>
      <c r="K60" s="297"/>
      <c r="L60" s="297"/>
      <c r="M60" s="297"/>
    </row>
  </sheetData>
  <sheetProtection sheet="1" objects="1" scenarios="1" selectLockedCells="1"/>
  <mergeCells count="26">
    <mergeCell ref="L49:M49"/>
    <mergeCell ref="L41:M41"/>
    <mergeCell ref="L43:M43"/>
    <mergeCell ref="L45:M45"/>
    <mergeCell ref="L47:M47"/>
    <mergeCell ref="L48:M48"/>
    <mergeCell ref="L31:M31"/>
    <mergeCell ref="L33:M33"/>
    <mergeCell ref="L35:M35"/>
    <mergeCell ref="L37:M37"/>
    <mergeCell ref="L39:M39"/>
    <mergeCell ref="L21:M21"/>
    <mergeCell ref="L23:M23"/>
    <mergeCell ref="L25:M25"/>
    <mergeCell ref="L27:M27"/>
    <mergeCell ref="L29:M29"/>
    <mergeCell ref="L11:M11"/>
    <mergeCell ref="L13:M13"/>
    <mergeCell ref="L15:M15"/>
    <mergeCell ref="L17:M17"/>
    <mergeCell ref="L19:M19"/>
    <mergeCell ref="K2:M2"/>
    <mergeCell ref="L5:M5"/>
    <mergeCell ref="L6:M6"/>
    <mergeCell ref="L7:M7"/>
    <mergeCell ref="L9:M9"/>
  </mergeCells>
  <pageMargins left="0.2" right="0.2" top="0.25" bottom="0.25" header="0" footer="0"/>
  <pageSetup paperSize="5" scale="6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I63"/>
  <sheetViews>
    <sheetView workbookViewId="0">
      <selection activeCell="D27" sqref="D27"/>
    </sheetView>
  </sheetViews>
  <sheetFormatPr defaultRowHeight="12.75" x14ac:dyDescent="0.2"/>
  <cols>
    <col min="1" max="1" width="24.42578125" customWidth="1"/>
    <col min="2" max="2" width="18" customWidth="1"/>
    <col min="3" max="5" width="16.85546875" customWidth="1"/>
  </cols>
  <sheetData>
    <row r="1" spans="1:5" x14ac:dyDescent="0.2">
      <c r="A1" s="7"/>
      <c r="B1" s="7"/>
      <c r="C1" s="7"/>
      <c r="D1" s="24"/>
      <c r="E1" s="7"/>
    </row>
    <row r="2" spans="1:5" ht="20.25" x14ac:dyDescent="0.3">
      <c r="A2" s="9"/>
      <c r="B2" s="9"/>
      <c r="C2" s="9"/>
      <c r="E2" s="21" t="s">
        <v>358</v>
      </c>
    </row>
    <row r="3" spans="1:5" ht="20.25" x14ac:dyDescent="0.3">
      <c r="A3" s="9"/>
      <c r="B3" s="9"/>
      <c r="C3" s="9"/>
      <c r="E3" s="21"/>
    </row>
    <row r="4" spans="1:5" ht="20.25" x14ac:dyDescent="0.3">
      <c r="A4" s="9"/>
      <c r="B4" s="9"/>
      <c r="C4" s="9"/>
      <c r="D4" s="476"/>
      <c r="E4" s="21"/>
    </row>
    <row r="5" spans="1:5" ht="15" x14ac:dyDescent="0.25">
      <c r="B5" s="42"/>
      <c r="D5" s="480" t="s">
        <v>2</v>
      </c>
      <c r="E5" s="427">
        <f>Approval!Q7</f>
        <v>0</v>
      </c>
    </row>
    <row r="6" spans="1:5" ht="15" x14ac:dyDescent="0.2">
      <c r="A6" s="470" t="s">
        <v>359</v>
      </c>
      <c r="B6" s="44">
        <f>Approval!E6</f>
        <v>0</v>
      </c>
      <c r="C6" s="38"/>
      <c r="D6" s="481" t="s">
        <v>360</v>
      </c>
      <c r="E6" s="502"/>
    </row>
    <row r="7" spans="1:5" ht="15" x14ac:dyDescent="0.2">
      <c r="A7" s="467" t="s">
        <v>412</v>
      </c>
      <c r="B7" s="483"/>
      <c r="C7" s="17"/>
      <c r="D7" s="481" t="s">
        <v>506</v>
      </c>
      <c r="E7" s="503">
        <f>ROUNDDOWN(IF(D9&lt;1,SUM((MONTH(E6)-1)+D9),MONTH(E6)),2)</f>
        <v>0</v>
      </c>
    </row>
    <row r="8" spans="1:5" ht="15" x14ac:dyDescent="0.2">
      <c r="A8" s="467" t="s">
        <v>402</v>
      </c>
      <c r="B8" s="479" t="str">
        <f>IF(ISBLANK(B7)=TRUE," ",B7+30 )</f>
        <v xml:space="preserve"> </v>
      </c>
      <c r="C8" s="17"/>
      <c r="D8" s="481" t="s">
        <v>361</v>
      </c>
      <c r="E8" s="503">
        <f>IF(AND(C11&lt;&gt;"",D11&lt;&gt;""),SUM(24+E7),IF(AND(C11="",D11=""),E7,IF(_xlfn.XOR(C11=" ",D11=" "),"",SUM(E7+12))))</f>
        <v>0</v>
      </c>
    </row>
    <row r="9" spans="1:5" x14ac:dyDescent="0.2">
      <c r="D9" s="478">
        <f>DAY(E6)/E9</f>
        <v>0</v>
      </c>
      <c r="E9" s="477">
        <f>DAY(DATE(YEAR(E6),MONTH(E6)+1,1)-1)</f>
        <v>31</v>
      </c>
    </row>
    <row r="10" spans="1:5" ht="14.25" x14ac:dyDescent="0.2">
      <c r="A10" s="523" t="s">
        <v>362</v>
      </c>
      <c r="B10" s="510" t="s">
        <v>363</v>
      </c>
      <c r="C10" s="510">
        <v>2016</v>
      </c>
      <c r="D10" s="504">
        <v>2015</v>
      </c>
      <c r="E10" s="524" t="s">
        <v>47</v>
      </c>
    </row>
    <row r="11" spans="1:5" ht="14.25" x14ac:dyDescent="0.2">
      <c r="A11" s="552"/>
      <c r="B11" s="505"/>
      <c r="C11" s="505"/>
      <c r="D11" s="506"/>
      <c r="E11" s="505">
        <f>SUM(B11:D11)</f>
        <v>0</v>
      </c>
    </row>
    <row r="12" spans="1:5" ht="14.25" x14ac:dyDescent="0.2">
      <c r="A12" s="552"/>
      <c r="B12" s="505">
        <v>0</v>
      </c>
      <c r="C12" s="505">
        <v>0</v>
      </c>
      <c r="D12" s="506">
        <v>0</v>
      </c>
      <c r="E12" s="505">
        <f>SUM(B12:D12)</f>
        <v>0</v>
      </c>
    </row>
    <row r="13" spans="1:5" ht="14.25" x14ac:dyDescent="0.2">
      <c r="A13" s="553"/>
      <c r="B13" s="505">
        <v>0</v>
      </c>
      <c r="C13" s="505">
        <v>0</v>
      </c>
      <c r="D13" s="506">
        <v>0</v>
      </c>
      <c r="E13" s="505">
        <f>SUM(B13:D13)</f>
        <v>0</v>
      </c>
    </row>
    <row r="14" spans="1:5" ht="14.25" x14ac:dyDescent="0.2">
      <c r="A14" s="508"/>
      <c r="B14" s="509"/>
      <c r="C14" s="509"/>
      <c r="D14" s="509"/>
      <c r="E14" s="510"/>
    </row>
    <row r="15" spans="1:5" ht="14.25" x14ac:dyDescent="0.2">
      <c r="A15" s="504" t="s">
        <v>31</v>
      </c>
      <c r="B15" s="511">
        <f>SUM(B11:B13)</f>
        <v>0</v>
      </c>
      <c r="C15" s="511">
        <f>SUM(C11:C13)</f>
        <v>0</v>
      </c>
      <c r="D15" s="511">
        <f>SUM(D11:D13)</f>
        <v>0</v>
      </c>
      <c r="E15" s="511">
        <f>SUM(E11:E13)</f>
        <v>0</v>
      </c>
    </row>
    <row r="16" spans="1:5" ht="14.25" x14ac:dyDescent="0.2">
      <c r="A16" s="507" t="s">
        <v>364</v>
      </c>
      <c r="B16" s="511" t="e">
        <f>B15/E7</f>
        <v>#DIV/0!</v>
      </c>
      <c r="C16" s="568">
        <f>C15/12</f>
        <v>0</v>
      </c>
      <c r="D16" s="505">
        <f>D15/12</f>
        <v>0</v>
      </c>
      <c r="E16" s="505"/>
    </row>
    <row r="17" spans="1:9" ht="14.25" x14ac:dyDescent="0.2">
      <c r="A17" s="508"/>
      <c r="B17" s="512"/>
      <c r="C17" s="1433" t="s">
        <v>365</v>
      </c>
      <c r="D17" s="1434"/>
      <c r="E17" s="513" t="str">
        <f>IF(ISBLANK(C11), "N/A",SUM(B15:C15)/(E7+12))</f>
        <v>N/A</v>
      </c>
    </row>
    <row r="18" spans="1:9" ht="14.25" x14ac:dyDescent="0.2">
      <c r="A18" s="508"/>
      <c r="B18" s="512"/>
      <c r="C18" s="1431" t="s">
        <v>366</v>
      </c>
      <c r="D18" s="1432"/>
      <c r="E18" s="513" t="e">
        <f>IF(_xlfn.XOR(C11="",D11=""),"N/A",SUM(B15:D15)/E8)</f>
        <v>#DIV/0!</v>
      </c>
      <c r="I18" s="26"/>
    </row>
    <row r="19" spans="1:9" ht="14.25" x14ac:dyDescent="0.2">
      <c r="A19" s="525"/>
      <c r="B19" s="509"/>
      <c r="C19" s="1431" t="s">
        <v>367</v>
      </c>
      <c r="D19" s="1432"/>
      <c r="E19" s="514" t="str">
        <f>IF(AND(C11&lt;&gt;"",D11&lt;&gt;""),SUM(C15:D15)/24,"N/A")</f>
        <v>N/A</v>
      </c>
    </row>
    <row r="20" spans="1:9" ht="14.25" x14ac:dyDescent="0.2">
      <c r="A20" s="515" t="s">
        <v>416</v>
      </c>
      <c r="B20" s="516"/>
      <c r="C20" s="675"/>
      <c r="D20" s="675"/>
      <c r="E20" s="518"/>
      <c r="F20" s="42"/>
    </row>
    <row r="21" spans="1:9" ht="14.25" x14ac:dyDescent="0.2">
      <c r="A21" s="510" t="s">
        <v>194</v>
      </c>
      <c r="B21" s="519"/>
      <c r="C21" s="519">
        <f>IF(A21="Hourly",B21*40*52,IF(A21="Weekly",B21*52,IF(A21="Bi Weekly",B21*26,IF(A21="Semi Monthly",B21*24,IF(A21="Monthly",B21*12,"")))))</f>
        <v>0</v>
      </c>
      <c r="D21" s="519"/>
      <c r="E21" s="519">
        <f>IF(A21="Annually",B21/12,C21/12)</f>
        <v>0</v>
      </c>
    </row>
    <row r="22" spans="1:9" ht="14.25" x14ac:dyDescent="0.2">
      <c r="A22" s="520"/>
      <c r="B22" s="521"/>
      <c r="C22" s="521"/>
      <c r="D22" s="521"/>
      <c r="E22" s="521"/>
    </row>
    <row r="23" spans="1:9" ht="14.25" x14ac:dyDescent="0.2">
      <c r="A23" s="522" t="s">
        <v>414</v>
      </c>
      <c r="B23" s="519" t="s">
        <v>415</v>
      </c>
      <c r="C23" s="519" t="s">
        <v>507</v>
      </c>
      <c r="D23" s="519" t="s">
        <v>413</v>
      </c>
      <c r="E23" s="519" t="s">
        <v>417</v>
      </c>
    </row>
    <row r="24" spans="1:9" ht="14.25" x14ac:dyDescent="0.2">
      <c r="A24" s="522"/>
      <c r="B24" s="519"/>
      <c r="C24" s="519"/>
      <c r="D24" s="519"/>
      <c r="E24" s="505">
        <f>IF(B24&lt;&gt;"",B24,IF(AND(C24&lt;&gt;"",D24&lt;&gt;""),SUM(C24,D24)/24,IF(_xlfn.XOR(C24&lt;&gt;" ",D24&lt;&gt;" "),IF(AND(C24="",D24="",B24&lt;&gt;""),B24," "),SUM(C24:D24)/12)))</f>
        <v>0</v>
      </c>
    </row>
    <row r="25" spans="1:9" ht="14.25" x14ac:dyDescent="0.2">
      <c r="A25" s="510"/>
      <c r="B25" s="505"/>
      <c r="C25" s="505"/>
      <c r="D25" s="505"/>
      <c r="E25" s="505">
        <f>IF(B25&lt;&gt;"",B25,IF(AND(C25&lt;&gt;"",D25&lt;&gt;""),SUM(C25,D25)/24,IF(_xlfn.XOR(C25&lt;&gt;" ",D25&lt;&gt;" "),IF(AND(C25="",D25="",B25&lt;&gt;""),B25," "),SUM(C25:D25)/12)))</f>
        <v>0</v>
      </c>
    </row>
    <row r="26" spans="1:9" ht="13.5" customHeight="1" x14ac:dyDescent="0.2">
      <c r="A26" s="507"/>
      <c r="B26" s="505"/>
      <c r="C26" s="505"/>
      <c r="D26" s="505"/>
      <c r="E26" s="505">
        <f>IF(B26&lt;&gt;"",B26,IF(AND(C26&lt;&gt;"",D26&lt;&gt;""),SUM(C26,D26)/24,IF(_xlfn.XOR(C26&lt;&gt;" ",D26&lt;&gt;" "),IF(AND(C26="",D26="",B26&lt;&gt;""),B26," "),SUM(C26:D26)/12)))</f>
        <v>0</v>
      </c>
    </row>
    <row r="27" spans="1:9" ht="14.25" x14ac:dyDescent="0.2">
      <c r="A27" s="526"/>
      <c r="B27" s="527" t="s">
        <v>364</v>
      </c>
      <c r="C27" s="528">
        <f>SUM(C24:C26)/12</f>
        <v>0</v>
      </c>
      <c r="D27" s="528">
        <f>SUM(D24:D26)/12</f>
        <v>0</v>
      </c>
      <c r="E27" s="526"/>
    </row>
    <row r="28" spans="1:9" ht="14.25" x14ac:dyDescent="0.2">
      <c r="A28" s="470"/>
      <c r="B28" s="470"/>
      <c r="C28" s="470"/>
      <c r="D28" s="470"/>
      <c r="E28" s="470"/>
    </row>
    <row r="29" spans="1:9" ht="14.25" x14ac:dyDescent="0.2">
      <c r="A29" s="526" t="s">
        <v>368</v>
      </c>
      <c r="B29" s="529">
        <f>Approval!E7</f>
        <v>0</v>
      </c>
      <c r="C29" s="516"/>
      <c r="D29" s="527" t="s">
        <v>360</v>
      </c>
      <c r="E29" s="530"/>
    </row>
    <row r="30" spans="1:9" ht="14.25" x14ac:dyDescent="0.2">
      <c r="A30" s="467" t="s">
        <v>412</v>
      </c>
      <c r="B30" s="532"/>
      <c r="C30" s="526"/>
      <c r="D30" s="527" t="s">
        <v>506</v>
      </c>
      <c r="E30" s="503">
        <f>ROUNDDOWN(IF(D32&lt;1,SUM((MONTH(E29)-1)+D32),MONTH(E29)),2)</f>
        <v>0</v>
      </c>
    </row>
    <row r="31" spans="1:9" ht="14.25" x14ac:dyDescent="0.2">
      <c r="A31" s="533" t="s">
        <v>402</v>
      </c>
      <c r="B31" s="534" t="str">
        <f>IF(ISBLANK(B30)=TRUE," ",B30+30 )</f>
        <v xml:space="preserve"> </v>
      </c>
      <c r="C31" s="526"/>
      <c r="D31" s="527" t="s">
        <v>369</v>
      </c>
      <c r="E31" s="503">
        <f>IF(AND(C34&lt;&gt;"",D34&lt;&gt;""),SUM(24+E30),IF(AND(C34="",D34=""),E30,IF(_xlfn.XOR(C34=" ",D34=" "),"",SUM(E30+12))))</f>
        <v>0</v>
      </c>
    </row>
    <row r="32" spans="1:9" ht="14.25" x14ac:dyDescent="0.2">
      <c r="A32" s="526"/>
      <c r="B32" s="526"/>
      <c r="C32" s="526"/>
      <c r="D32" s="535">
        <f>DAY(E29)/E32</f>
        <v>0</v>
      </c>
      <c r="E32" s="536">
        <f>DAY(DATE(YEAR(E29),MONTH(E29)+1,1)-1)</f>
        <v>31</v>
      </c>
    </row>
    <row r="33" spans="1:5" ht="14.25" x14ac:dyDescent="0.2">
      <c r="A33" s="523" t="s">
        <v>362</v>
      </c>
      <c r="B33" s="510" t="s">
        <v>363</v>
      </c>
      <c r="C33" s="510">
        <v>2016</v>
      </c>
      <c r="D33" s="504">
        <v>2015</v>
      </c>
      <c r="E33" s="524" t="s">
        <v>47</v>
      </c>
    </row>
    <row r="34" spans="1:5" ht="14.25" x14ac:dyDescent="0.2">
      <c r="A34" s="552"/>
      <c r="B34" s="505"/>
      <c r="C34" s="505"/>
      <c r="D34" s="506"/>
      <c r="E34" s="505">
        <f>SUM(B34:D34)</f>
        <v>0</v>
      </c>
    </row>
    <row r="35" spans="1:5" ht="14.25" x14ac:dyDescent="0.2">
      <c r="A35" s="552"/>
      <c r="B35" s="505"/>
      <c r="C35" s="505">
        <v>0</v>
      </c>
      <c r="D35" s="506">
        <v>0</v>
      </c>
      <c r="E35" s="505">
        <f>SUM(B35:D35)</f>
        <v>0</v>
      </c>
    </row>
    <row r="36" spans="1:5" ht="14.25" x14ac:dyDescent="0.2">
      <c r="A36" s="553"/>
      <c r="B36" s="505">
        <v>0</v>
      </c>
      <c r="C36" s="505">
        <v>0</v>
      </c>
      <c r="D36" s="506">
        <v>0</v>
      </c>
      <c r="E36" s="505">
        <f>SUM(B36:D36)</f>
        <v>0</v>
      </c>
    </row>
    <row r="37" spans="1:5" ht="14.25" x14ac:dyDescent="0.2">
      <c r="A37" s="508"/>
      <c r="B37" s="509"/>
      <c r="C37" s="509"/>
      <c r="D37" s="509"/>
      <c r="E37" s="510"/>
    </row>
    <row r="38" spans="1:5" ht="14.25" x14ac:dyDescent="0.2">
      <c r="A38" s="504" t="s">
        <v>31</v>
      </c>
      <c r="B38" s="511">
        <f>SUM(B34:B36)</f>
        <v>0</v>
      </c>
      <c r="C38" s="511">
        <f>SUM(C34:C36)</f>
        <v>0</v>
      </c>
      <c r="D38" s="511">
        <f>SUM(D34:D36)</f>
        <v>0</v>
      </c>
      <c r="E38" s="511">
        <f>SUM(E34:E36)</f>
        <v>0</v>
      </c>
    </row>
    <row r="39" spans="1:5" ht="14.25" x14ac:dyDescent="0.2">
      <c r="A39" s="510" t="s">
        <v>364</v>
      </c>
      <c r="B39" s="511" t="e">
        <f>B38/E30</f>
        <v>#DIV/0!</v>
      </c>
      <c r="C39" s="511">
        <f>C38/12</f>
        <v>0</v>
      </c>
      <c r="D39" s="505">
        <f>D38/12</f>
        <v>0</v>
      </c>
      <c r="E39" s="505"/>
    </row>
    <row r="40" spans="1:5" ht="14.25" x14ac:dyDescent="0.2">
      <c r="A40" s="509"/>
      <c r="B40" s="512"/>
      <c r="C40" s="1433" t="s">
        <v>365</v>
      </c>
      <c r="D40" s="1434"/>
      <c r="E40" s="513">
        <f>SUM(B38:C38)/(E30+12)</f>
        <v>0</v>
      </c>
    </row>
    <row r="41" spans="1:5" ht="14.25" x14ac:dyDescent="0.2">
      <c r="A41" s="509"/>
      <c r="B41" s="512"/>
      <c r="C41" s="1431" t="s">
        <v>366</v>
      </c>
      <c r="D41" s="1432"/>
      <c r="E41" s="513" t="e">
        <f>SUM(B38:D38)/E31</f>
        <v>#DIV/0!</v>
      </c>
    </row>
    <row r="42" spans="1:5" ht="14.25" x14ac:dyDescent="0.2">
      <c r="A42" s="509"/>
      <c r="B42" s="509"/>
      <c r="C42" s="1577" t="s">
        <v>367</v>
      </c>
      <c r="D42" s="1578"/>
      <c r="E42" s="514">
        <f>SUM(C38:D38)/24</f>
        <v>0</v>
      </c>
    </row>
    <row r="43" spans="1:5" ht="14.25" x14ac:dyDescent="0.2">
      <c r="A43" s="509"/>
      <c r="B43" s="509"/>
      <c r="C43" s="676"/>
      <c r="D43" s="676"/>
      <c r="E43" s="512"/>
    </row>
    <row r="44" spans="1:5" ht="14.25" x14ac:dyDescent="0.2">
      <c r="A44" s="509" t="s">
        <v>485</v>
      </c>
      <c r="B44" s="509"/>
      <c r="C44" s="676"/>
      <c r="D44" s="527" t="s">
        <v>360</v>
      </c>
      <c r="E44" s="530"/>
    </row>
    <row r="45" spans="1:5" ht="14.25" x14ac:dyDescent="0.2">
      <c r="A45" s="677" t="s">
        <v>412</v>
      </c>
      <c r="B45" s="532"/>
      <c r="C45" s="676"/>
      <c r="D45" s="527" t="s">
        <v>506</v>
      </c>
      <c r="E45" s="503">
        <f>ROUNDDOWN(IF(D47&lt;1,SUM((MONTH(E44)-1)+D47),MONTH(E44)),2)</f>
        <v>0</v>
      </c>
    </row>
    <row r="46" spans="1:5" ht="14.25" x14ac:dyDescent="0.2">
      <c r="A46" s="678" t="s">
        <v>402</v>
      </c>
      <c r="B46" s="534" t="str">
        <f>IF(ISBLANK(B45)=TRUE," ",B45+30 )</f>
        <v xml:space="preserve"> </v>
      </c>
      <c r="C46" s="676"/>
      <c r="D46" s="527" t="s">
        <v>369</v>
      </c>
      <c r="E46" s="503">
        <f>IF(AND(C50&lt;&gt;"",D50&lt;&gt;""),SUM(24+E45),IF(AND(C50="",D50=""),E45,IF(_xlfn.XOR(C50=" ",D50=" "),"",SUM(E45+12))))</f>
        <v>24</v>
      </c>
    </row>
    <row r="47" spans="1:5" ht="14.25" x14ac:dyDescent="0.2">
      <c r="A47" s="679"/>
      <c r="B47" s="516"/>
      <c r="C47" s="675"/>
      <c r="D47" s="535">
        <f>DAY(E44)/E47</f>
        <v>0</v>
      </c>
      <c r="E47" s="536">
        <f>DAY(DATE(YEAR(E44),MONTH(E44)+1,1)-1)</f>
        <v>31</v>
      </c>
    </row>
    <row r="48" spans="1:5" ht="14.25" x14ac:dyDescent="0.2">
      <c r="A48" s="510" t="s">
        <v>362</v>
      </c>
      <c r="B48" s="510" t="s">
        <v>363</v>
      </c>
      <c r="C48" s="522">
        <v>2016</v>
      </c>
      <c r="D48" s="504">
        <v>2015</v>
      </c>
      <c r="E48" s="524" t="s">
        <v>47</v>
      </c>
    </row>
    <row r="49" spans="1:5" ht="14.25" x14ac:dyDescent="0.2">
      <c r="A49" s="552"/>
      <c r="B49" s="505"/>
      <c r="C49" s="505">
        <v>0</v>
      </c>
      <c r="D49" s="506"/>
      <c r="E49" s="505">
        <f>SUM(B49:D49)</f>
        <v>0</v>
      </c>
    </row>
    <row r="50" spans="1:5" ht="14.25" x14ac:dyDescent="0.2">
      <c r="A50" s="552"/>
      <c r="B50" s="505"/>
      <c r="C50" s="505">
        <v>0</v>
      </c>
      <c r="D50" s="506">
        <v>0</v>
      </c>
      <c r="E50" s="505">
        <f>SUM(B50:D50)</f>
        <v>0</v>
      </c>
    </row>
    <row r="51" spans="1:5" ht="14.25" x14ac:dyDescent="0.2">
      <c r="A51" s="553"/>
      <c r="B51" s="505">
        <v>0</v>
      </c>
      <c r="C51" s="505">
        <v>0</v>
      </c>
      <c r="D51" s="506">
        <v>0</v>
      </c>
      <c r="E51" s="505">
        <f>SUM(B51:D51)</f>
        <v>0</v>
      </c>
    </row>
    <row r="52" spans="1:5" ht="14.25" x14ac:dyDescent="0.2">
      <c r="A52" s="508"/>
      <c r="B52" s="509"/>
      <c r="C52" s="509"/>
      <c r="D52" s="509"/>
      <c r="E52" s="510"/>
    </row>
    <row r="53" spans="1:5" ht="14.25" x14ac:dyDescent="0.2">
      <c r="A53" s="504" t="s">
        <v>31</v>
      </c>
      <c r="B53" s="511">
        <f>SUM(B49:B51)</f>
        <v>0</v>
      </c>
      <c r="C53" s="511">
        <f>SUM(C49:C51)</f>
        <v>0</v>
      </c>
      <c r="D53" s="511">
        <f>SUM(D49:D51)</f>
        <v>0</v>
      </c>
      <c r="E53" s="511">
        <f>SUM(E49:E51)</f>
        <v>0</v>
      </c>
    </row>
    <row r="54" spans="1:5" ht="14.25" x14ac:dyDescent="0.2">
      <c r="A54" s="510" t="s">
        <v>364</v>
      </c>
      <c r="B54" s="511" t="e">
        <f>B53/E45</f>
        <v>#DIV/0!</v>
      </c>
      <c r="C54" s="511">
        <f>C53/12</f>
        <v>0</v>
      </c>
      <c r="D54" s="505">
        <f>D53/12</f>
        <v>0</v>
      </c>
      <c r="E54" s="505"/>
    </row>
    <row r="55" spans="1:5" ht="14.25" x14ac:dyDescent="0.2">
      <c r="A55" s="509"/>
      <c r="B55" s="512"/>
      <c r="C55" s="1433" t="s">
        <v>365</v>
      </c>
      <c r="D55" s="1434"/>
      <c r="E55" s="513">
        <f>SUM(B53:C53)/(E45+12)</f>
        <v>0</v>
      </c>
    </row>
    <row r="56" spans="1:5" ht="14.25" x14ac:dyDescent="0.2">
      <c r="A56" s="509"/>
      <c r="B56" s="512"/>
      <c r="C56" s="1431" t="s">
        <v>366</v>
      </c>
      <c r="D56" s="1432"/>
      <c r="E56" s="513">
        <f>SUM(B53:D53)/(24+E45)</f>
        <v>0</v>
      </c>
    </row>
    <row r="57" spans="1:5" ht="14.25" x14ac:dyDescent="0.2">
      <c r="A57" s="509"/>
      <c r="B57" s="509"/>
      <c r="C57" s="1431" t="s">
        <v>367</v>
      </c>
      <c r="D57" s="1432"/>
      <c r="E57" s="514">
        <f>SUM(C53:D53)/24</f>
        <v>0</v>
      </c>
    </row>
    <row r="58" spans="1:5" x14ac:dyDescent="0.2">
      <c r="A58" s="542" t="s">
        <v>287</v>
      </c>
      <c r="B58" s="542"/>
      <c r="C58" s="542"/>
      <c r="D58" s="542"/>
      <c r="E58" s="543"/>
    </row>
    <row r="59" spans="1:5" x14ac:dyDescent="0.2">
      <c r="A59" s="538"/>
      <c r="B59" s="539"/>
      <c r="C59" s="539"/>
      <c r="D59" s="539"/>
      <c r="E59" s="540"/>
    </row>
    <row r="60" spans="1:5" x14ac:dyDescent="0.2">
      <c r="A60" s="541"/>
      <c r="B60" s="542"/>
      <c r="C60" s="542"/>
      <c r="D60" s="542"/>
      <c r="E60" s="543"/>
    </row>
    <row r="61" spans="1:5" x14ac:dyDescent="0.2">
      <c r="A61" s="544"/>
      <c r="B61" s="545"/>
      <c r="C61" s="545"/>
      <c r="D61" s="545"/>
      <c r="E61" s="546"/>
    </row>
    <row r="62" spans="1:5" ht="15" x14ac:dyDescent="0.2">
      <c r="A62" s="428" t="str">
        <f>Approval!E87</f>
        <v>TBD</v>
      </c>
      <c r="B62" s="38"/>
      <c r="C62" s="38"/>
      <c r="D62" s="17"/>
      <c r="E62" s="429">
        <f ca="1">TODAY()</f>
        <v>43075</v>
      </c>
    </row>
    <row r="63" spans="1:5" ht="15" x14ac:dyDescent="0.2">
      <c r="A63" s="17" t="s">
        <v>371</v>
      </c>
      <c r="B63" s="430"/>
      <c r="C63" s="17"/>
      <c r="D63" s="17"/>
      <c r="E63" s="17" t="s">
        <v>20</v>
      </c>
    </row>
  </sheetData>
  <sheetProtection sheet="1" objects="1" scenarios="1" selectLockedCells="1"/>
  <mergeCells count="9">
    <mergeCell ref="C55:D55"/>
    <mergeCell ref="C56:D56"/>
    <mergeCell ref="C57:D57"/>
    <mergeCell ref="C17:D17"/>
    <mergeCell ref="C18:D18"/>
    <mergeCell ref="C19:D19"/>
    <mergeCell ref="C40:D40"/>
    <mergeCell ref="C41:D41"/>
    <mergeCell ref="C42:D42"/>
  </mergeCells>
  <conditionalFormatting sqref="B8">
    <cfRule type="notContainsBlanks" dxfId="17" priority="13">
      <formula>LEN(TRIM(B8))&gt;0</formula>
    </cfRule>
  </conditionalFormatting>
  <conditionalFormatting sqref="B7">
    <cfRule type="expression" dxfId="16" priority="11">
      <formula>$B$7=""</formula>
    </cfRule>
    <cfRule type="expression" dxfId="15" priority="12">
      <formula>$B$8&lt;&gt;""</formula>
    </cfRule>
  </conditionalFormatting>
  <conditionalFormatting sqref="B31">
    <cfRule type="notContainsBlanks" dxfId="14" priority="10">
      <formula>LEN(TRIM(B31))&gt;0</formula>
    </cfRule>
  </conditionalFormatting>
  <conditionalFormatting sqref="E29">
    <cfRule type="containsBlanks" dxfId="13" priority="9">
      <formula>LEN(TRIM(E29))=0</formula>
    </cfRule>
  </conditionalFormatting>
  <conditionalFormatting sqref="B30">
    <cfRule type="containsBlanks" dxfId="12" priority="8">
      <formula>LEN(TRIM(B30))=0</formula>
    </cfRule>
  </conditionalFormatting>
  <conditionalFormatting sqref="A31">
    <cfRule type="expression" dxfId="11" priority="7">
      <formula>$B$30&lt;&gt;""</formula>
    </cfRule>
  </conditionalFormatting>
  <conditionalFormatting sqref="A8">
    <cfRule type="expression" dxfId="10" priority="6">
      <formula>$B$7&lt;&gt;""</formula>
    </cfRule>
  </conditionalFormatting>
  <conditionalFormatting sqref="E6">
    <cfRule type="containsBlanks" dxfId="9" priority="5">
      <formula>LEN(TRIM(E6))=0</formula>
    </cfRule>
  </conditionalFormatting>
  <conditionalFormatting sqref="E44">
    <cfRule type="containsBlanks" dxfId="8" priority="4">
      <formula>LEN(TRIM(E44))=0</formula>
    </cfRule>
  </conditionalFormatting>
  <conditionalFormatting sqref="B46">
    <cfRule type="notContainsBlanks" dxfId="7" priority="3">
      <formula>LEN(TRIM(B46))&gt;0</formula>
    </cfRule>
  </conditionalFormatting>
  <conditionalFormatting sqref="B45">
    <cfRule type="containsBlanks" dxfId="6" priority="2">
      <formula>LEN(TRIM(B45))=0</formula>
    </cfRule>
  </conditionalFormatting>
  <conditionalFormatting sqref="A46">
    <cfRule type="expression" dxfId="5" priority="1">
      <formula>$B$30&lt;&gt;""</formula>
    </cfRule>
  </conditionalFormatting>
  <dataValidations disablePrompts="1" count="1">
    <dataValidation type="list" allowBlank="1" showInputMessage="1" showErrorMessage="1" sqref="A21">
      <formula1>"Hourly,Weekly,Bi Weekly,Semi Monthly, Monthly,Annually"</formula1>
    </dataValidation>
  </dataValidations>
  <pageMargins left="0.45" right="0.45" top="0.75" bottom="0.75" header="0.3" footer="0.3"/>
  <pageSetup paperSize="5"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60"/>
  <sheetViews>
    <sheetView topLeftCell="A13" workbookViewId="0">
      <selection activeCell="J14" sqref="J14"/>
    </sheetView>
  </sheetViews>
  <sheetFormatPr defaultColWidth="0" defaultRowHeight="15" x14ac:dyDescent="0.25"/>
  <cols>
    <col min="1" max="1" width="34.28515625" style="296" customWidth="1"/>
    <col min="2" max="2" width="17.5703125" style="294" customWidth="1"/>
    <col min="3" max="3" width="10.5703125" style="294" customWidth="1"/>
    <col min="4" max="4" width="27.140625" style="296" customWidth="1"/>
    <col min="5" max="5" width="17.140625" style="296" customWidth="1"/>
    <col min="6" max="6" width="19.28515625" style="296" customWidth="1"/>
    <col min="7" max="7" width="21.7109375" style="295" customWidth="1"/>
    <col min="8" max="11" width="12.7109375" style="294" customWidth="1"/>
    <col min="12" max="12" width="14.42578125" style="293" customWidth="1"/>
    <col min="13" max="13" width="8" style="293" customWidth="1"/>
    <col min="14" max="14" width="1.7109375" style="292" customWidth="1"/>
    <col min="15" max="16" width="0" style="292" hidden="1" customWidth="1"/>
    <col min="17" max="16384" width="9.140625" style="292" hidden="1"/>
  </cols>
  <sheetData>
    <row r="1" spans="1:13" ht="7.5" customHeight="1" thickBot="1" x14ac:dyDescent="0.3">
      <c r="A1" s="297"/>
      <c r="B1" s="297"/>
      <c r="C1" s="297"/>
      <c r="D1" s="297"/>
      <c r="E1" s="297"/>
      <c r="F1" s="297"/>
      <c r="G1" s="298"/>
      <c r="H1" s="297"/>
      <c r="I1" s="297"/>
      <c r="J1" s="297"/>
      <c r="K1" s="297"/>
      <c r="L1" s="297"/>
      <c r="M1" s="297"/>
    </row>
    <row r="2" spans="1:13" ht="21.75" thickBot="1" x14ac:dyDescent="0.4">
      <c r="A2" s="447" t="s">
        <v>375</v>
      </c>
      <c r="B2" s="448">
        <f>Approval!E6</f>
        <v>0</v>
      </c>
      <c r="C2" s="292"/>
      <c r="D2" s="292"/>
      <c r="E2" s="326"/>
      <c r="F2" s="325" t="s">
        <v>167</v>
      </c>
      <c r="G2" s="324"/>
      <c r="H2" s="292"/>
      <c r="I2" s="297"/>
      <c r="J2" s="449" t="s">
        <v>372</v>
      </c>
      <c r="K2" s="1566">
        <f>Approval!Q7</f>
        <v>0</v>
      </c>
      <c r="L2" s="1566"/>
      <c r="M2" s="1566"/>
    </row>
    <row r="3" spans="1:13" ht="13.5" customHeight="1" x14ac:dyDescent="0.25">
      <c r="A3" s="298"/>
      <c r="B3" s="718">
        <f>Approval!E7</f>
        <v>0</v>
      </c>
      <c r="C3" s="298"/>
      <c r="D3" s="298"/>
      <c r="E3" s="298"/>
      <c r="F3" s="298"/>
      <c r="G3" s="298"/>
      <c r="H3" s="323"/>
      <c r="I3" s="323"/>
      <c r="J3" s="298"/>
      <c r="K3" s="298"/>
      <c r="L3" s="298"/>
      <c r="M3" s="298"/>
    </row>
    <row r="4" spans="1:13" x14ac:dyDescent="0.25">
      <c r="A4" s="322"/>
      <c r="B4" s="321"/>
      <c r="C4" s="320"/>
      <c r="D4" s="320"/>
      <c r="E4" s="320"/>
      <c r="F4" s="319"/>
      <c r="G4" s="319" t="s">
        <v>168</v>
      </c>
      <c r="H4" s="318"/>
      <c r="I4" s="317"/>
      <c r="J4" s="317"/>
      <c r="K4" s="316"/>
      <c r="L4" s="1579"/>
      <c r="M4" s="1580"/>
    </row>
    <row r="5" spans="1:13" x14ac:dyDescent="0.25">
      <c r="A5" s="315" t="s">
        <v>169</v>
      </c>
      <c r="B5" s="314" t="s">
        <v>170</v>
      </c>
      <c r="C5" s="312" t="s">
        <v>171</v>
      </c>
      <c r="D5" s="312" t="s">
        <v>103</v>
      </c>
      <c r="E5" s="313" t="s">
        <v>172</v>
      </c>
      <c r="F5" s="313" t="s">
        <v>103</v>
      </c>
      <c r="G5" s="313" t="s">
        <v>173</v>
      </c>
      <c r="H5" s="312" t="s">
        <v>174</v>
      </c>
      <c r="I5" s="312" t="s">
        <v>175</v>
      </c>
      <c r="J5" s="312" t="s">
        <v>176</v>
      </c>
      <c r="K5" s="312" t="s">
        <v>177</v>
      </c>
      <c r="L5" s="1567" t="s">
        <v>178</v>
      </c>
      <c r="M5" s="1568"/>
    </row>
    <row r="6" spans="1:13" ht="15.75" x14ac:dyDescent="0.25">
      <c r="A6" s="311"/>
      <c r="B6" s="308" t="s">
        <v>179</v>
      </c>
      <c r="C6" s="310" t="s">
        <v>180</v>
      </c>
      <c r="D6" s="308" t="s">
        <v>181</v>
      </c>
      <c r="E6" s="310" t="s">
        <v>182</v>
      </c>
      <c r="F6" s="310" t="s">
        <v>104</v>
      </c>
      <c r="G6" s="309" t="s">
        <v>183</v>
      </c>
      <c r="H6" s="308" t="s">
        <v>184</v>
      </c>
      <c r="I6" s="307" t="s">
        <v>185</v>
      </c>
      <c r="J6" s="307" t="s">
        <v>185</v>
      </c>
      <c r="K6" s="307" t="s">
        <v>185</v>
      </c>
      <c r="L6" s="1569"/>
      <c r="M6" s="1570"/>
    </row>
    <row r="7" spans="1:13" x14ac:dyDescent="0.25">
      <c r="A7" s="380"/>
      <c r="B7" s="381"/>
      <c r="C7" s="382"/>
      <c r="D7" s="383"/>
      <c r="E7" s="383"/>
      <c r="F7" s="384"/>
      <c r="G7" s="385"/>
      <c r="H7" s="385"/>
      <c r="I7" s="386"/>
      <c r="J7" s="386"/>
      <c r="K7" s="386"/>
      <c r="L7" s="1571">
        <f>IF(M8="",G7-(SUM(H7:K7)),(G7-(SUM(H7:K7)))*M8)</f>
        <v>0</v>
      </c>
      <c r="M7" s="1572"/>
    </row>
    <row r="8" spans="1:13" x14ac:dyDescent="0.25">
      <c r="A8" s="387"/>
      <c r="B8" s="388"/>
      <c r="C8" s="389"/>
      <c r="D8" s="390"/>
      <c r="E8" s="390"/>
      <c r="F8" s="391"/>
      <c r="G8" s="392"/>
      <c r="H8" s="393"/>
      <c r="I8" s="392"/>
      <c r="J8" s="392"/>
      <c r="K8" s="393"/>
      <c r="L8" s="841" t="str">
        <f>IF(L7=0,"","% own if not 100")</f>
        <v/>
      </c>
      <c r="M8" s="838"/>
    </row>
    <row r="9" spans="1:13" x14ac:dyDescent="0.25">
      <c r="A9" s="380"/>
      <c r="B9" s="381"/>
      <c r="C9" s="382"/>
      <c r="D9" s="383"/>
      <c r="E9" s="383"/>
      <c r="F9" s="384"/>
      <c r="G9" s="394"/>
      <c r="H9" s="385"/>
      <c r="I9" s="385"/>
      <c r="J9" s="385"/>
      <c r="K9" s="386"/>
      <c r="L9" s="1571">
        <f>IF(M10="",G9-(SUM(H9:K9)),(G9-(SUM(H9:K9)))*M10)</f>
        <v>0</v>
      </c>
      <c r="M9" s="1572"/>
    </row>
    <row r="10" spans="1:13" x14ac:dyDescent="0.25">
      <c r="A10" s="387"/>
      <c r="B10" s="388"/>
      <c r="C10" s="389"/>
      <c r="D10" s="390"/>
      <c r="E10" s="390"/>
      <c r="F10" s="391"/>
      <c r="G10" s="392"/>
      <c r="H10" s="393"/>
      <c r="I10" s="392"/>
      <c r="J10" s="392"/>
      <c r="K10" s="393"/>
      <c r="L10" s="841" t="str">
        <f>IF(L9=0,"","% own if not 100")</f>
        <v/>
      </c>
      <c r="M10" s="838"/>
    </row>
    <row r="11" spans="1:13" x14ac:dyDescent="0.25">
      <c r="A11" s="380"/>
      <c r="B11" s="381"/>
      <c r="C11" s="382"/>
      <c r="D11" s="383"/>
      <c r="E11" s="383"/>
      <c r="F11" s="384"/>
      <c r="G11" s="385"/>
      <c r="H11" s="385"/>
      <c r="I11" s="385"/>
      <c r="J11" s="385"/>
      <c r="K11" s="386"/>
      <c r="L11" s="1571">
        <f>IF(M12="",G11-(SUM(H11:K11)),(G11-(SUM(H11:K11)))*M12)</f>
        <v>0</v>
      </c>
      <c r="M11" s="1572"/>
    </row>
    <row r="12" spans="1:13" x14ac:dyDescent="0.25">
      <c r="A12" s="387"/>
      <c r="B12" s="388"/>
      <c r="C12" s="389"/>
      <c r="D12" s="395"/>
      <c r="E12" s="390"/>
      <c r="F12" s="391"/>
      <c r="G12" s="393"/>
      <c r="H12" s="392"/>
      <c r="I12" s="392"/>
      <c r="J12" s="393"/>
      <c r="K12" s="392"/>
      <c r="L12" s="841" t="str">
        <f>IF(L11=0,"","% own if not 100")</f>
        <v/>
      </c>
      <c r="M12" s="838"/>
    </row>
    <row r="13" spans="1:13" x14ac:dyDescent="0.25">
      <c r="A13" s="380"/>
      <c r="B13" s="381"/>
      <c r="C13" s="382"/>
      <c r="D13" s="383"/>
      <c r="E13" s="383"/>
      <c r="F13" s="384"/>
      <c r="G13" s="386"/>
      <c r="H13" s="385"/>
      <c r="I13" s="385"/>
      <c r="J13" s="385"/>
      <c r="K13" s="386"/>
      <c r="L13" s="1571">
        <f>IF(M14="",G13-(SUM(H13:K13)),(G13-(SUM(H13:K13)))*M14)</f>
        <v>0</v>
      </c>
      <c r="M13" s="1572"/>
    </row>
    <row r="14" spans="1:13" x14ac:dyDescent="0.25">
      <c r="A14" s="387"/>
      <c r="B14" s="388"/>
      <c r="C14" s="389"/>
      <c r="D14" s="396"/>
      <c r="E14" s="390"/>
      <c r="F14" s="391"/>
      <c r="G14" s="392"/>
      <c r="H14" s="392"/>
      <c r="I14" s="392"/>
      <c r="J14" s="393"/>
      <c r="K14" s="392"/>
      <c r="L14" s="841" t="str">
        <f>IF(L13=0,"","% own if not 100")</f>
        <v/>
      </c>
      <c r="M14" s="838"/>
    </row>
    <row r="15" spans="1:13" x14ac:dyDescent="0.25">
      <c r="A15" s="380"/>
      <c r="B15" s="381"/>
      <c r="C15" s="382"/>
      <c r="D15" s="383"/>
      <c r="E15" s="397"/>
      <c r="F15" s="384"/>
      <c r="G15" s="385"/>
      <c r="H15" s="385"/>
      <c r="I15" s="385"/>
      <c r="J15" s="385"/>
      <c r="K15" s="386"/>
      <c r="L15" s="1571">
        <f>IF(M16="",G15-(SUM(H15:K15)),(G15-(SUM(H15:K15)))*M16)</f>
        <v>0</v>
      </c>
      <c r="M15" s="1572"/>
    </row>
    <row r="16" spans="1:13" x14ac:dyDescent="0.25">
      <c r="A16" s="387"/>
      <c r="B16" s="388"/>
      <c r="C16" s="398"/>
      <c r="D16" s="399"/>
      <c r="E16" s="399"/>
      <c r="F16" s="400"/>
      <c r="G16" s="401"/>
      <c r="H16" s="402"/>
      <c r="I16" s="401"/>
      <c r="J16" s="402"/>
      <c r="K16" s="401"/>
      <c r="L16" s="841" t="str">
        <f>IF(L15=0,"","% own if not 100")</f>
        <v/>
      </c>
      <c r="M16" s="838"/>
    </row>
    <row r="17" spans="1:13" x14ac:dyDescent="0.25">
      <c r="A17" s="380"/>
      <c r="B17" s="381"/>
      <c r="C17" s="382"/>
      <c r="D17" s="382"/>
      <c r="E17" s="382"/>
      <c r="F17" s="403"/>
      <c r="G17" s="385"/>
      <c r="H17" s="385"/>
      <c r="I17" s="385"/>
      <c r="J17" s="385"/>
      <c r="K17" s="386"/>
      <c r="L17" s="1571">
        <f>IF(M18="",G17-(SUM(H17:K17)),(G17-(SUM(H17:K17)))*M18)</f>
        <v>0</v>
      </c>
      <c r="M17" s="1572"/>
    </row>
    <row r="18" spans="1:13" x14ac:dyDescent="0.25">
      <c r="A18" s="387"/>
      <c r="B18" s="388"/>
      <c r="C18" s="399"/>
      <c r="D18" s="399"/>
      <c r="E18" s="404"/>
      <c r="F18" s="400"/>
      <c r="G18" s="402"/>
      <c r="H18" s="401"/>
      <c r="I18" s="402"/>
      <c r="J18" s="402"/>
      <c r="K18" s="402"/>
      <c r="L18" s="841" t="str">
        <f>IF(L17=0,"","% own if not 100")</f>
        <v/>
      </c>
      <c r="M18" s="838"/>
    </row>
    <row r="19" spans="1:13" x14ac:dyDescent="0.25">
      <c r="A19" s="380"/>
      <c r="B19" s="381"/>
      <c r="C19" s="382"/>
      <c r="D19" s="382"/>
      <c r="E19" s="382"/>
      <c r="F19" s="403"/>
      <c r="G19" s="385"/>
      <c r="H19" s="385"/>
      <c r="I19" s="385"/>
      <c r="J19" s="385"/>
      <c r="K19" s="386"/>
      <c r="L19" s="1571">
        <f>IF(M20="",G19-(SUM(H19:K19)),(G19-(SUM(H19:K19)))*M20)</f>
        <v>0</v>
      </c>
      <c r="M19" s="1572"/>
    </row>
    <row r="20" spans="1:13" x14ac:dyDescent="0.25">
      <c r="A20" s="387"/>
      <c r="B20" s="388"/>
      <c r="C20" s="389"/>
      <c r="D20" s="399"/>
      <c r="E20" s="389"/>
      <c r="F20" s="400"/>
      <c r="G20" s="401"/>
      <c r="H20" s="402"/>
      <c r="I20" s="401"/>
      <c r="J20" s="401"/>
      <c r="K20" s="402"/>
      <c r="L20" s="841" t="str">
        <f>IF(L19=0,"","% own if not 100")</f>
        <v/>
      </c>
      <c r="M20" s="838"/>
    </row>
    <row r="21" spans="1:13" x14ac:dyDescent="0.25">
      <c r="A21" s="380"/>
      <c r="B21" s="381"/>
      <c r="C21" s="382"/>
      <c r="D21" s="382"/>
      <c r="E21" s="382"/>
      <c r="F21" s="403"/>
      <c r="G21" s="385"/>
      <c r="H21" s="385"/>
      <c r="I21" s="385"/>
      <c r="J21" s="385"/>
      <c r="K21" s="386"/>
      <c r="L21" s="1571">
        <f>IF(M22="",G21-(SUM(H21:K21)),(G21-(SUM(H21:K21)))*M22)</f>
        <v>0</v>
      </c>
      <c r="M21" s="1572"/>
    </row>
    <row r="22" spans="1:13" x14ac:dyDescent="0.25">
      <c r="A22" s="387"/>
      <c r="B22" s="388"/>
      <c r="C22" s="399"/>
      <c r="D22" s="404"/>
      <c r="E22" s="404"/>
      <c r="F22" s="405"/>
      <c r="G22" s="402"/>
      <c r="H22" s="402"/>
      <c r="I22" s="401"/>
      <c r="J22" s="401"/>
      <c r="K22" s="402"/>
      <c r="L22" s="841" t="str">
        <f>IF(L21=0,"","% own if not 100")</f>
        <v/>
      </c>
      <c r="M22" s="838"/>
    </row>
    <row r="23" spans="1:13" x14ac:dyDescent="0.25">
      <c r="A23" s="380"/>
      <c r="B23" s="381"/>
      <c r="C23" s="382"/>
      <c r="D23" s="382"/>
      <c r="E23" s="382"/>
      <c r="F23" s="403"/>
      <c r="G23" s="385"/>
      <c r="H23" s="385"/>
      <c r="I23" s="385"/>
      <c r="J23" s="385"/>
      <c r="K23" s="386"/>
      <c r="L23" s="1571">
        <f>IF(M24="",G23-(SUM(H23:K23)),(G23-(SUM(H23:K23)))*M24)</f>
        <v>0</v>
      </c>
      <c r="M23" s="1572"/>
    </row>
    <row r="24" spans="1:13" x14ac:dyDescent="0.25">
      <c r="A24" s="387"/>
      <c r="B24" s="388"/>
      <c r="C24" s="399"/>
      <c r="D24" s="404"/>
      <c r="E24" s="404"/>
      <c r="F24" s="405"/>
      <c r="G24" s="402"/>
      <c r="H24" s="402"/>
      <c r="I24" s="402"/>
      <c r="J24" s="402"/>
      <c r="K24" s="402"/>
      <c r="L24" s="841" t="str">
        <f>IF(L23=0,"","% own if not 100")</f>
        <v/>
      </c>
      <c r="M24" s="838"/>
    </row>
    <row r="25" spans="1:13" x14ac:dyDescent="0.25">
      <c r="A25" s="380"/>
      <c r="B25" s="381"/>
      <c r="C25" s="382"/>
      <c r="D25" s="382"/>
      <c r="E25" s="382"/>
      <c r="F25" s="403"/>
      <c r="G25" s="406"/>
      <c r="H25" s="406"/>
      <c r="I25" s="406"/>
      <c r="J25" s="406"/>
      <c r="K25" s="407"/>
      <c r="L25" s="1571">
        <f>IF(M26="",G25-(SUM(H25:K25)),(G25-(SUM(H25:K25)))*M26)</f>
        <v>0</v>
      </c>
      <c r="M25" s="1572"/>
    </row>
    <row r="26" spans="1:13" x14ac:dyDescent="0.25">
      <c r="A26" s="387"/>
      <c r="B26" s="388"/>
      <c r="C26" s="399"/>
      <c r="D26" s="404"/>
      <c r="E26" s="404"/>
      <c r="F26" s="405"/>
      <c r="G26" s="408"/>
      <c r="H26" s="408"/>
      <c r="I26" s="409"/>
      <c r="J26" s="409"/>
      <c r="K26" s="393"/>
      <c r="L26" s="841" t="str">
        <f>IF(L25=0,"","% own if not 100")</f>
        <v/>
      </c>
      <c r="M26" s="838"/>
    </row>
    <row r="27" spans="1:13" x14ac:dyDescent="0.25">
      <c r="A27" s="380"/>
      <c r="B27" s="381"/>
      <c r="C27" s="382"/>
      <c r="D27" s="383"/>
      <c r="E27" s="383"/>
      <c r="F27" s="384"/>
      <c r="G27" s="385"/>
      <c r="H27" s="385"/>
      <c r="I27" s="386"/>
      <c r="J27" s="386"/>
      <c r="K27" s="386"/>
      <c r="L27" s="1571">
        <f>IF(M28="",G27-(SUM(H27:K27)),(G27-(SUM(H27:K27)))*M28)</f>
        <v>0</v>
      </c>
      <c r="M27" s="1572"/>
    </row>
    <row r="28" spans="1:13" x14ac:dyDescent="0.25">
      <c r="A28" s="387"/>
      <c r="B28" s="388"/>
      <c r="C28" s="389"/>
      <c r="D28" s="390"/>
      <c r="E28" s="390"/>
      <c r="F28" s="391"/>
      <c r="G28" s="392"/>
      <c r="H28" s="393"/>
      <c r="I28" s="392"/>
      <c r="J28" s="392"/>
      <c r="K28" s="393"/>
      <c r="L28" s="841" t="str">
        <f>IF(L27=0,"","% own if not 100")</f>
        <v/>
      </c>
      <c r="M28" s="838"/>
    </row>
    <row r="29" spans="1:13" x14ac:dyDescent="0.25">
      <c r="A29" s="380"/>
      <c r="B29" s="381"/>
      <c r="C29" s="382"/>
      <c r="D29" s="383"/>
      <c r="E29" s="383"/>
      <c r="F29" s="384"/>
      <c r="G29" s="394"/>
      <c r="H29" s="385"/>
      <c r="I29" s="385"/>
      <c r="J29" s="385"/>
      <c r="K29" s="386"/>
      <c r="L29" s="1571">
        <f>IF(M30="",G29-(SUM(H29:K29)),(G29-(SUM(H29:K29)))*M30)</f>
        <v>0</v>
      </c>
      <c r="M29" s="1572"/>
    </row>
    <row r="30" spans="1:13" ht="19.5" customHeight="1" x14ac:dyDescent="0.25">
      <c r="A30" s="387"/>
      <c r="B30" s="388"/>
      <c r="C30" s="389"/>
      <c r="D30" s="390"/>
      <c r="E30" s="390"/>
      <c r="F30" s="391"/>
      <c r="G30" s="392"/>
      <c r="H30" s="393"/>
      <c r="I30" s="392"/>
      <c r="J30" s="392"/>
      <c r="K30" s="393"/>
      <c r="L30" s="841" t="str">
        <f>IF(L29=0,"","% own if not 100")</f>
        <v/>
      </c>
      <c r="M30" s="838"/>
    </row>
    <row r="31" spans="1:13" x14ac:dyDescent="0.25">
      <c r="A31" s="380"/>
      <c r="B31" s="381"/>
      <c r="C31" s="382"/>
      <c r="D31" s="383"/>
      <c r="E31" s="383"/>
      <c r="F31" s="384"/>
      <c r="G31" s="385"/>
      <c r="H31" s="385"/>
      <c r="I31" s="385"/>
      <c r="J31" s="385"/>
      <c r="K31" s="386"/>
      <c r="L31" s="1571">
        <f>IF(M32="",G31-(SUM(H31:K31)),(G31-(SUM(H31:K31)))*M32)</f>
        <v>0</v>
      </c>
      <c r="M31" s="1572"/>
    </row>
    <row r="32" spans="1:13" ht="21" customHeight="1" x14ac:dyDescent="0.25">
      <c r="A32" s="387"/>
      <c r="B32" s="388"/>
      <c r="C32" s="389"/>
      <c r="D32" s="395"/>
      <c r="E32" s="390"/>
      <c r="F32" s="391"/>
      <c r="G32" s="393"/>
      <c r="H32" s="392"/>
      <c r="I32" s="392"/>
      <c r="J32" s="393"/>
      <c r="K32" s="392"/>
      <c r="L32" s="841" t="str">
        <f>IF(L31=0,"","% own if not 100")</f>
        <v/>
      </c>
      <c r="M32" s="838"/>
    </row>
    <row r="33" spans="1:13" x14ac:dyDescent="0.25">
      <c r="A33" s="380"/>
      <c r="B33" s="381"/>
      <c r="C33" s="382"/>
      <c r="D33" s="383"/>
      <c r="E33" s="397"/>
      <c r="F33" s="384"/>
      <c r="G33" s="385"/>
      <c r="H33" s="385"/>
      <c r="I33" s="385"/>
      <c r="J33" s="385"/>
      <c r="K33" s="386"/>
      <c r="L33" s="1571">
        <f>IF(M34="",G33-(SUM(H33:K33)),(G33-(SUM(H33:K33)))*M34)</f>
        <v>0</v>
      </c>
      <c r="M33" s="1572"/>
    </row>
    <row r="34" spans="1:13" x14ac:dyDescent="0.25">
      <c r="A34" s="387"/>
      <c r="B34" s="388"/>
      <c r="C34" s="398"/>
      <c r="D34" s="399"/>
      <c r="E34" s="399"/>
      <c r="F34" s="405"/>
      <c r="G34" s="401"/>
      <c r="H34" s="402"/>
      <c r="I34" s="401"/>
      <c r="J34" s="402"/>
      <c r="K34" s="401"/>
      <c r="L34" s="841" t="str">
        <f>IF(L33=0,"","% own if not 100")</f>
        <v/>
      </c>
      <c r="M34" s="838"/>
    </row>
    <row r="35" spans="1:13" x14ac:dyDescent="0.25">
      <c r="A35" s="380"/>
      <c r="B35" s="381"/>
      <c r="C35" s="382"/>
      <c r="D35" s="382"/>
      <c r="E35" s="382"/>
      <c r="F35" s="403"/>
      <c r="G35" s="385"/>
      <c r="H35" s="385"/>
      <c r="I35" s="385"/>
      <c r="J35" s="385"/>
      <c r="K35" s="386"/>
      <c r="L35" s="1571">
        <f>IF(M36="",G35-(SUM(H35:K35)),(G35-(SUM(H35:K35)))*M36)</f>
        <v>0</v>
      </c>
      <c r="M35" s="1572"/>
    </row>
    <row r="36" spans="1:13" x14ac:dyDescent="0.25">
      <c r="A36" s="387"/>
      <c r="B36" s="388"/>
      <c r="C36" s="399"/>
      <c r="D36" s="399"/>
      <c r="E36" s="404"/>
      <c r="F36" s="400"/>
      <c r="G36" s="402"/>
      <c r="H36" s="401"/>
      <c r="I36" s="402"/>
      <c r="J36" s="402"/>
      <c r="K36" s="402"/>
      <c r="L36" s="841" t="str">
        <f>IF(L35=0,"","% own if not 100")</f>
        <v/>
      </c>
      <c r="M36" s="838"/>
    </row>
    <row r="37" spans="1:13" x14ac:dyDescent="0.25">
      <c r="A37" s="380"/>
      <c r="B37" s="381"/>
      <c r="C37" s="382"/>
      <c r="D37" s="382"/>
      <c r="E37" s="382"/>
      <c r="F37" s="403"/>
      <c r="G37" s="385"/>
      <c r="H37" s="385"/>
      <c r="I37" s="385"/>
      <c r="J37" s="385"/>
      <c r="K37" s="386"/>
      <c r="L37" s="1571">
        <f>IF(M38="",G37-(SUM(H37:K37)),(G37-(SUM(H37:K37)))*M38)</f>
        <v>0</v>
      </c>
      <c r="M37" s="1572"/>
    </row>
    <row r="38" spans="1:13" x14ac:dyDescent="0.25">
      <c r="A38" s="387"/>
      <c r="B38" s="388"/>
      <c r="C38" s="389"/>
      <c r="D38" s="399"/>
      <c r="E38" s="389"/>
      <c r="F38" s="400"/>
      <c r="G38" s="401"/>
      <c r="H38" s="402"/>
      <c r="I38" s="401"/>
      <c r="J38" s="401"/>
      <c r="K38" s="402"/>
      <c r="L38" s="841" t="str">
        <f>IF(L37=0,"","% own if not 100")</f>
        <v/>
      </c>
      <c r="M38" s="838"/>
    </row>
    <row r="39" spans="1:13" x14ac:dyDescent="0.25">
      <c r="A39" s="380"/>
      <c r="B39" s="381"/>
      <c r="C39" s="382"/>
      <c r="D39" s="382"/>
      <c r="E39" s="382"/>
      <c r="F39" s="403"/>
      <c r="G39" s="385"/>
      <c r="H39" s="385"/>
      <c r="I39" s="385"/>
      <c r="J39" s="385"/>
      <c r="K39" s="386"/>
      <c r="L39" s="1571">
        <f>IF(M40="",G39-(SUM(H39:K39)),(G39-(SUM(H39:K39)))*M40)</f>
        <v>0</v>
      </c>
      <c r="M39" s="1572"/>
    </row>
    <row r="40" spans="1:13" x14ac:dyDescent="0.25">
      <c r="A40" s="387"/>
      <c r="B40" s="388"/>
      <c r="C40" s="399"/>
      <c r="D40" s="404"/>
      <c r="E40" s="404"/>
      <c r="F40" s="405"/>
      <c r="G40" s="402"/>
      <c r="H40" s="402"/>
      <c r="I40" s="401"/>
      <c r="J40" s="547"/>
      <c r="K40" s="402"/>
      <c r="L40" s="841" t="str">
        <f>IF(L39=0,"","% own if not 100")</f>
        <v/>
      </c>
      <c r="M40" s="838"/>
    </row>
    <row r="41" spans="1:13" x14ac:dyDescent="0.25">
      <c r="A41" s="380"/>
      <c r="B41" s="381"/>
      <c r="C41" s="382"/>
      <c r="D41" s="382"/>
      <c r="E41" s="382"/>
      <c r="F41" s="403"/>
      <c r="G41" s="385"/>
      <c r="H41" s="385"/>
      <c r="I41" s="385"/>
      <c r="J41" s="385"/>
      <c r="K41" s="386"/>
      <c r="L41" s="1571">
        <f>IF(M42="",G41-(SUM(H41:K41)),(G41-(SUM(H41:K41)))*M42)</f>
        <v>0</v>
      </c>
      <c r="M41" s="1572"/>
    </row>
    <row r="42" spans="1:13" x14ac:dyDescent="0.25">
      <c r="A42" s="387"/>
      <c r="B42" s="388"/>
      <c r="C42" s="399"/>
      <c r="D42" s="404"/>
      <c r="E42" s="404"/>
      <c r="F42" s="405"/>
      <c r="G42" s="402"/>
      <c r="H42" s="402"/>
      <c r="I42" s="402"/>
      <c r="J42" s="402"/>
      <c r="K42" s="402"/>
      <c r="L42" s="841" t="str">
        <f>IF(L41=0,"","% own if not 100")</f>
        <v/>
      </c>
      <c r="M42" s="838"/>
    </row>
    <row r="43" spans="1:13" x14ac:dyDescent="0.25">
      <c r="A43" s="380"/>
      <c r="B43" s="381"/>
      <c r="C43" s="382"/>
      <c r="D43" s="382"/>
      <c r="E43" s="382"/>
      <c r="F43" s="403"/>
      <c r="G43" s="406"/>
      <c r="H43" s="406"/>
      <c r="I43" s="406"/>
      <c r="J43" s="406"/>
      <c r="K43" s="407"/>
      <c r="L43" s="1571">
        <f>IF(M44="",G43-(SUM(H43:K43)),(G43-(SUM(H43:K43)))*M44)</f>
        <v>0</v>
      </c>
      <c r="M43" s="1572"/>
    </row>
    <row r="44" spans="1:13" x14ac:dyDescent="0.25">
      <c r="A44" s="387"/>
      <c r="B44" s="388"/>
      <c r="C44" s="399"/>
      <c r="D44" s="404"/>
      <c r="E44" s="404"/>
      <c r="F44" s="405"/>
      <c r="G44" s="408"/>
      <c r="H44" s="408"/>
      <c r="I44" s="409"/>
      <c r="J44" s="409"/>
      <c r="K44" s="393"/>
      <c r="L44" s="841" t="str">
        <f>IF(L43=0,"","% own if not 100")</f>
        <v/>
      </c>
      <c r="M44" s="838"/>
    </row>
    <row r="45" spans="1:13" x14ac:dyDescent="0.25">
      <c r="A45" s="380"/>
      <c r="B45" s="410"/>
      <c r="C45" s="382"/>
      <c r="D45" s="382"/>
      <c r="E45" s="382"/>
      <c r="F45" s="403"/>
      <c r="G45" s="385"/>
      <c r="H45" s="385"/>
      <c r="I45" s="385"/>
      <c r="J45" s="385"/>
      <c r="K45" s="386"/>
      <c r="L45" s="1571">
        <f>IF(M46="",G45-(SUM(H45:K45)),(G45-(SUM(H45:K45)))*M46)</f>
        <v>0</v>
      </c>
      <c r="M45" s="1572"/>
    </row>
    <row r="46" spans="1:13" ht="15.75" thickBot="1" x14ac:dyDescent="0.3">
      <c r="A46" s="411"/>
      <c r="B46" s="412"/>
      <c r="C46" s="413"/>
      <c r="D46" s="414"/>
      <c r="E46" s="414"/>
      <c r="F46" s="415"/>
      <c r="G46" s="416"/>
      <c r="H46" s="416"/>
      <c r="I46" s="416"/>
      <c r="J46" s="416"/>
      <c r="K46" s="416"/>
      <c r="L46" s="841" t="str">
        <f>IF(L45=0,"","% own if not 100")</f>
        <v/>
      </c>
      <c r="M46" s="839"/>
    </row>
    <row r="47" spans="1:13" x14ac:dyDescent="0.25">
      <c r="A47" s="306"/>
      <c r="B47" s="306" t="s">
        <v>186</v>
      </c>
      <c r="C47" s="306"/>
      <c r="D47" s="306"/>
      <c r="E47" s="298"/>
      <c r="F47" s="548">
        <f t="shared" ref="F47:K47" si="0">SUM(F7:F46)</f>
        <v>0</v>
      </c>
      <c r="G47" s="305">
        <f t="shared" si="0"/>
        <v>0</v>
      </c>
      <c r="H47" s="305">
        <f t="shared" si="0"/>
        <v>0</v>
      </c>
      <c r="I47" s="305">
        <f t="shared" si="0"/>
        <v>0</v>
      </c>
      <c r="J47" s="305">
        <f t="shared" si="0"/>
        <v>0</v>
      </c>
      <c r="K47" s="305">
        <f t="shared" si="0"/>
        <v>0</v>
      </c>
      <c r="L47" s="1575">
        <f>SUM(L7:L45)</f>
        <v>0</v>
      </c>
      <c r="M47" s="1575"/>
    </row>
    <row r="48" spans="1:13" ht="15.75" thickBot="1" x14ac:dyDescent="0.3">
      <c r="A48" s="300"/>
      <c r="B48" s="300"/>
      <c r="C48" s="300"/>
      <c r="D48" s="300"/>
      <c r="E48" s="842" t="s">
        <v>544</v>
      </c>
      <c r="F48" s="550">
        <f>'REO Schedule'!F47</f>
        <v>0</v>
      </c>
      <c r="G48" s="551">
        <f>'REO Schedule'!G47</f>
        <v>0</v>
      </c>
      <c r="H48" s="550">
        <f>'REO Schedule'!H47</f>
        <v>0</v>
      </c>
      <c r="I48" s="550">
        <f>'REO Schedule'!I47</f>
        <v>0</v>
      </c>
      <c r="J48" s="550">
        <f>'REO Schedule'!J47</f>
        <v>0</v>
      </c>
      <c r="K48" s="550">
        <f>'REO Schedule'!K47</f>
        <v>0</v>
      </c>
      <c r="L48" s="1576">
        <f>'REO Schedule'!L47</f>
        <v>0</v>
      </c>
      <c r="M48" s="1576"/>
    </row>
    <row r="49" spans="1:13" ht="15.75" thickBot="1" x14ac:dyDescent="0.3">
      <c r="A49" s="300"/>
      <c r="B49" s="300"/>
      <c r="C49" s="300"/>
      <c r="D49" s="300"/>
      <c r="E49" s="304" t="s">
        <v>188</v>
      </c>
      <c r="F49" s="302">
        <f>SUM(F47:F48)</f>
        <v>0</v>
      </c>
      <c r="G49" s="303">
        <f>G47+G48</f>
        <v>0</v>
      </c>
      <c r="H49" s="302">
        <f>H47+H48</f>
        <v>0</v>
      </c>
      <c r="I49" s="302">
        <f>I47+I48</f>
        <v>0</v>
      </c>
      <c r="J49" s="302">
        <f>J47+J48</f>
        <v>0</v>
      </c>
      <c r="K49" s="302">
        <f>K47+K48</f>
        <v>0</v>
      </c>
      <c r="L49" s="1573">
        <f>L47+L48+Approval!AH60+Approval!AH61</f>
        <v>0</v>
      </c>
      <c r="M49" s="1574"/>
    </row>
    <row r="50" spans="1:13" x14ac:dyDescent="0.25">
      <c r="A50" s="301" t="s">
        <v>287</v>
      </c>
      <c r="B50" s="300"/>
      <c r="C50" s="300"/>
      <c r="D50" s="300"/>
      <c r="E50" s="300"/>
      <c r="F50" s="300"/>
      <c r="G50" s="298"/>
      <c r="H50" s="300"/>
      <c r="I50" s="300"/>
      <c r="J50" s="299"/>
      <c r="K50" s="299"/>
      <c r="L50" s="299"/>
      <c r="M50" s="299"/>
    </row>
    <row r="51" spans="1:13" x14ac:dyDescent="0.25">
      <c r="A51" s="417"/>
      <c r="B51" s="418"/>
      <c r="C51" s="418"/>
      <c r="D51" s="418"/>
      <c r="E51" s="418"/>
      <c r="F51" s="418"/>
      <c r="G51" s="418"/>
      <c r="H51" s="418"/>
      <c r="I51" s="418"/>
      <c r="J51" s="418"/>
      <c r="K51" s="418"/>
      <c r="L51" s="418"/>
      <c r="M51" s="419"/>
    </row>
    <row r="52" spans="1:13" x14ac:dyDescent="0.25">
      <c r="A52" s="420"/>
      <c r="B52" s="421"/>
      <c r="C52" s="421"/>
      <c r="D52" s="421"/>
      <c r="E52" s="421"/>
      <c r="F52" s="421"/>
      <c r="G52" s="421"/>
      <c r="H52" s="421"/>
      <c r="I52" s="421"/>
      <c r="J52" s="421"/>
      <c r="K52" s="421"/>
      <c r="L52" s="421"/>
      <c r="M52" s="422"/>
    </row>
    <row r="53" spans="1:13" x14ac:dyDescent="0.25">
      <c r="A53" s="423"/>
      <c r="B53" s="421"/>
      <c r="C53" s="421"/>
      <c r="D53" s="421"/>
      <c r="E53" s="421"/>
      <c r="F53" s="421"/>
      <c r="G53" s="421"/>
      <c r="H53" s="421"/>
      <c r="I53" s="421"/>
      <c r="J53" s="421"/>
      <c r="K53" s="421"/>
      <c r="L53" s="421"/>
      <c r="M53" s="422"/>
    </row>
    <row r="54" spans="1:13" x14ac:dyDescent="0.25">
      <c r="A54" s="423"/>
      <c r="B54" s="421"/>
      <c r="C54" s="421"/>
      <c r="D54" s="421"/>
      <c r="E54" s="421"/>
      <c r="F54" s="421"/>
      <c r="G54" s="421"/>
      <c r="H54" s="421"/>
      <c r="I54" s="421"/>
      <c r="J54" s="421"/>
      <c r="K54" s="421"/>
      <c r="L54" s="421"/>
      <c r="M54" s="422"/>
    </row>
    <row r="55" spans="1:13" x14ac:dyDescent="0.25">
      <c r="A55" s="424"/>
      <c r="B55" s="425"/>
      <c r="C55" s="425"/>
      <c r="D55" s="425"/>
      <c r="E55" s="425"/>
      <c r="F55" s="425"/>
      <c r="G55" s="425"/>
      <c r="H55" s="425"/>
      <c r="I55" s="425"/>
      <c r="J55" s="425"/>
      <c r="K55" s="425"/>
      <c r="L55" s="425"/>
      <c r="M55" s="426"/>
    </row>
    <row r="56" spans="1:13" x14ac:dyDescent="0.25">
      <c r="A56" s="297"/>
      <c r="B56" s="297"/>
      <c r="C56" s="297"/>
      <c r="D56" s="297"/>
      <c r="E56" s="297"/>
      <c r="F56" s="297"/>
      <c r="G56" s="298"/>
      <c r="H56" s="297"/>
      <c r="I56" s="297"/>
      <c r="J56" s="297"/>
      <c r="K56" s="297"/>
      <c r="L56" s="297"/>
      <c r="M56" s="297"/>
    </row>
    <row r="57" spans="1:13" x14ac:dyDescent="0.25">
      <c r="A57" s="297"/>
      <c r="B57" s="297"/>
      <c r="C57" s="297"/>
      <c r="D57" s="297"/>
      <c r="E57" s="297"/>
      <c r="F57" s="297"/>
      <c r="G57" s="298"/>
      <c r="H57" s="297"/>
      <c r="I57" s="297"/>
      <c r="J57" s="297"/>
      <c r="K57" s="297"/>
      <c r="L57" s="297"/>
      <c r="M57" s="297"/>
    </row>
    <row r="58" spans="1:13" x14ac:dyDescent="0.25">
      <c r="A58" s="297"/>
      <c r="B58" s="297"/>
      <c r="C58" s="297"/>
      <c r="D58" s="297"/>
      <c r="E58" s="297"/>
      <c r="F58" s="297"/>
      <c r="G58" s="298"/>
      <c r="H58" s="297"/>
      <c r="I58" s="297"/>
      <c r="J58" s="297"/>
      <c r="K58" s="297"/>
      <c r="L58" s="297"/>
      <c r="M58" s="297"/>
    </row>
    <row r="59" spans="1:13" x14ac:dyDescent="0.25">
      <c r="A59" s="297"/>
      <c r="B59" s="297"/>
      <c r="C59" s="297"/>
      <c r="D59" s="297"/>
      <c r="E59" s="297"/>
      <c r="F59" s="297"/>
      <c r="G59" s="298"/>
      <c r="H59" s="297"/>
      <c r="I59" s="297"/>
      <c r="J59" s="297"/>
      <c r="K59" s="297"/>
      <c r="L59" s="297"/>
      <c r="M59" s="297"/>
    </row>
    <row r="60" spans="1:13" x14ac:dyDescent="0.25">
      <c r="A60" s="297"/>
      <c r="B60" s="297"/>
      <c r="C60" s="297"/>
      <c r="D60" s="297"/>
      <c r="E60" s="297"/>
      <c r="F60" s="297"/>
      <c r="G60" s="298"/>
      <c r="H60" s="297"/>
      <c r="I60" s="297"/>
      <c r="J60" s="297"/>
      <c r="K60" s="297"/>
      <c r="L60" s="297"/>
      <c r="M60" s="297"/>
    </row>
  </sheetData>
  <sheetProtection sheet="1" objects="1" scenarios="1" selectLockedCells="1"/>
  <mergeCells count="27">
    <mergeCell ref="L48:M48"/>
    <mergeCell ref="L49:M49"/>
    <mergeCell ref="L39:M39"/>
    <mergeCell ref="L41:M41"/>
    <mergeCell ref="L43:M43"/>
    <mergeCell ref="L45:M45"/>
    <mergeCell ref="L47:M47"/>
    <mergeCell ref="L29:M29"/>
    <mergeCell ref="L31:M31"/>
    <mergeCell ref="L33:M33"/>
    <mergeCell ref="L35:M35"/>
    <mergeCell ref="L37:M37"/>
    <mergeCell ref="L19:M19"/>
    <mergeCell ref="L21:M21"/>
    <mergeCell ref="L23:M23"/>
    <mergeCell ref="L25:M25"/>
    <mergeCell ref="L27:M27"/>
    <mergeCell ref="L9:M9"/>
    <mergeCell ref="L11:M11"/>
    <mergeCell ref="L13:M13"/>
    <mergeCell ref="L15:M15"/>
    <mergeCell ref="L17:M17"/>
    <mergeCell ref="K2:M2"/>
    <mergeCell ref="L4:M4"/>
    <mergeCell ref="L5:M5"/>
    <mergeCell ref="L6:M6"/>
    <mergeCell ref="L7:M7"/>
  </mergeCells>
  <pageMargins left="0.45" right="0.45" top="0.25" bottom="0.25" header="0.3" footer="0.3"/>
  <pageSetup paperSize="5" scale="6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X54"/>
  <sheetViews>
    <sheetView showGridLines="0" view="pageLayout" zoomScaleNormal="100" workbookViewId="0">
      <selection activeCell="F12" sqref="F12:W12"/>
    </sheetView>
  </sheetViews>
  <sheetFormatPr defaultRowHeight="12.75" x14ac:dyDescent="0.2"/>
  <cols>
    <col min="1" max="1" width="5.5703125" customWidth="1"/>
    <col min="2" max="2" width="5.140625" customWidth="1"/>
    <col min="3" max="3" width="1.85546875" customWidth="1"/>
    <col min="4" max="4" width="1.140625" customWidth="1"/>
    <col min="5" max="5" width="1.42578125" customWidth="1"/>
    <col min="6" max="7" width="1.85546875" customWidth="1"/>
    <col min="8" max="8" width="3" customWidth="1"/>
    <col min="9" max="9" width="2.140625" customWidth="1"/>
    <col min="10" max="10" width="3.140625" customWidth="1"/>
    <col min="11" max="11" width="2.140625" customWidth="1"/>
    <col min="12" max="13" width="3.42578125" customWidth="1"/>
    <col min="14" max="14" width="7.85546875" customWidth="1"/>
    <col min="15" max="15" width="4.85546875" customWidth="1"/>
    <col min="16" max="16" width="4.7109375" customWidth="1"/>
    <col min="17" max="17" width="2.5703125" customWidth="1"/>
    <col min="18" max="18" width="3" customWidth="1"/>
    <col min="19" max="19" width="5.5703125" customWidth="1"/>
    <col min="20" max="20" width="7.7109375" customWidth="1"/>
    <col min="21" max="21" width="2.85546875" customWidth="1"/>
    <col min="22" max="22" width="6.85546875" customWidth="1"/>
    <col min="23" max="23" width="5.140625" customWidth="1"/>
  </cols>
  <sheetData>
    <row r="1" spans="1:24" x14ac:dyDescent="0.2">
      <c r="A1" s="354"/>
      <c r="B1" s="354"/>
      <c r="C1" s="354"/>
      <c r="D1" s="354"/>
      <c r="E1" s="354"/>
      <c r="F1" s="354"/>
      <c r="G1" s="354"/>
      <c r="H1" s="354"/>
      <c r="I1" s="354"/>
      <c r="J1" s="354"/>
      <c r="K1" s="354"/>
      <c r="L1" s="354"/>
      <c r="M1" s="354"/>
      <c r="N1" s="354"/>
      <c r="O1" s="354"/>
      <c r="P1" s="354"/>
      <c r="Q1" s="354"/>
      <c r="R1" s="354"/>
      <c r="S1" s="354"/>
      <c r="T1" s="354"/>
      <c r="U1" s="354"/>
      <c r="V1" s="354"/>
      <c r="W1" s="354"/>
    </row>
    <row r="2" spans="1:24" x14ac:dyDescent="0.2">
      <c r="A2" s="354"/>
      <c r="B2" s="354"/>
      <c r="C2" s="354"/>
      <c r="D2" s="354"/>
      <c r="E2" s="354"/>
      <c r="F2" s="354"/>
      <c r="G2" s="354"/>
      <c r="H2" s="354"/>
      <c r="I2" s="354"/>
      <c r="J2" s="354"/>
      <c r="K2" s="354"/>
      <c r="L2" s="354"/>
      <c r="M2" s="354"/>
      <c r="N2" s="354"/>
      <c r="O2" s="354"/>
      <c r="P2" s="354"/>
      <c r="Q2" s="354"/>
      <c r="R2" s="354"/>
      <c r="S2" s="354"/>
      <c r="T2" s="354"/>
      <c r="U2" s="354"/>
      <c r="V2" s="354"/>
      <c r="W2" s="354"/>
    </row>
    <row r="3" spans="1:24" x14ac:dyDescent="0.2">
      <c r="A3" s="354"/>
      <c r="B3" s="354"/>
      <c r="C3" s="354"/>
      <c r="D3" s="354"/>
      <c r="E3" s="354"/>
      <c r="F3" s="354"/>
      <c r="G3" s="354"/>
      <c r="H3" s="354"/>
      <c r="I3" s="354"/>
      <c r="J3" s="354"/>
      <c r="K3" s="354"/>
      <c r="L3" s="354"/>
      <c r="M3" s="354"/>
      <c r="N3" s="354"/>
      <c r="O3" s="354"/>
      <c r="P3" s="354"/>
      <c r="Q3" s="354"/>
      <c r="R3" s="354"/>
      <c r="S3" s="354"/>
      <c r="T3" s="354"/>
      <c r="U3" s="354"/>
      <c r="V3" s="354"/>
      <c r="W3" s="354"/>
    </row>
    <row r="4" spans="1:24" x14ac:dyDescent="0.2">
      <c r="A4" s="354"/>
      <c r="B4" s="354"/>
      <c r="C4" s="354"/>
      <c r="D4" s="354"/>
      <c r="E4" s="354"/>
      <c r="F4" s="354"/>
      <c r="G4" s="354"/>
      <c r="H4" s="354"/>
      <c r="I4" s="354"/>
      <c r="J4" s="354"/>
      <c r="K4" s="354"/>
      <c r="L4" s="354"/>
      <c r="M4" s="354"/>
      <c r="N4" s="354"/>
      <c r="O4" s="354"/>
      <c r="P4" s="354"/>
      <c r="Q4" s="354"/>
      <c r="R4" s="354"/>
      <c r="S4" s="354"/>
      <c r="T4" s="354"/>
      <c r="U4" s="354"/>
      <c r="V4" s="354"/>
      <c r="W4" s="354"/>
    </row>
    <row r="5" spans="1:24" x14ac:dyDescent="0.2">
      <c r="A5" s="354"/>
      <c r="B5" s="354"/>
      <c r="C5" s="354"/>
      <c r="D5" s="354"/>
      <c r="E5" s="354"/>
      <c r="F5" s="354"/>
      <c r="G5" s="354"/>
      <c r="H5" s="354"/>
      <c r="I5" s="354"/>
      <c r="J5" s="354"/>
      <c r="K5" s="354"/>
      <c r="L5" s="354"/>
      <c r="M5" s="354"/>
      <c r="N5" s="354"/>
      <c r="O5" s="354"/>
      <c r="P5" s="354"/>
      <c r="Q5" s="354"/>
      <c r="R5" s="354"/>
      <c r="S5" s="354"/>
      <c r="T5" s="354"/>
      <c r="U5" s="354"/>
      <c r="V5" s="354"/>
      <c r="W5" s="354"/>
    </row>
    <row r="6" spans="1:24" x14ac:dyDescent="0.2">
      <c r="A6" s="354"/>
      <c r="B6" s="354"/>
      <c r="C6" s="354"/>
      <c r="D6" s="354"/>
      <c r="E6" s="354"/>
      <c r="F6" s="354"/>
      <c r="G6" s="354"/>
      <c r="H6" s="354"/>
      <c r="I6" s="354"/>
      <c r="J6" s="354"/>
      <c r="K6" s="354"/>
      <c r="L6" s="354"/>
      <c r="M6" s="354"/>
      <c r="N6" s="354"/>
      <c r="O6" s="354"/>
      <c r="P6" s="354"/>
      <c r="Q6" s="354"/>
      <c r="R6" s="354"/>
      <c r="S6" s="354"/>
      <c r="T6" s="354"/>
      <c r="U6" s="354"/>
      <c r="V6" s="354"/>
      <c r="W6" s="354"/>
    </row>
    <row r="7" spans="1:24" x14ac:dyDescent="0.2">
      <c r="A7" s="354"/>
      <c r="B7" s="354"/>
      <c r="C7" s="354"/>
      <c r="D7" s="354"/>
      <c r="E7" s="354"/>
      <c r="F7" s="354"/>
      <c r="G7" s="354"/>
      <c r="H7" s="354"/>
      <c r="I7" s="354"/>
      <c r="J7" s="354"/>
      <c r="K7" s="354"/>
      <c r="L7" s="354"/>
      <c r="M7" s="354"/>
      <c r="N7" s="354"/>
      <c r="O7" s="354"/>
      <c r="P7" s="354"/>
      <c r="Q7" s="354"/>
      <c r="R7" s="354"/>
      <c r="S7" s="354"/>
      <c r="T7" s="354"/>
      <c r="U7" s="354"/>
      <c r="V7" s="354"/>
      <c r="W7" s="354"/>
    </row>
    <row r="8" spans="1:24" ht="18" x14ac:dyDescent="0.25">
      <c r="A8" s="1587" t="s">
        <v>328</v>
      </c>
      <c r="B8" s="1587"/>
      <c r="C8" s="1587"/>
      <c r="D8" s="1587"/>
      <c r="E8" s="1587"/>
      <c r="F8" s="1587"/>
      <c r="G8" s="1587"/>
      <c r="H8" s="1587"/>
      <c r="I8" s="1587"/>
      <c r="J8" s="1587"/>
      <c r="K8" s="1587"/>
      <c r="L8" s="1587"/>
      <c r="M8" s="1587"/>
      <c r="N8" s="1587"/>
      <c r="O8" s="1587"/>
      <c r="P8" s="1587"/>
      <c r="Q8" s="1587"/>
      <c r="R8" s="1587"/>
      <c r="S8" s="1587"/>
      <c r="T8" s="1587"/>
      <c r="U8" s="1587"/>
      <c r="V8" s="1587"/>
      <c r="W8" s="1587"/>
      <c r="X8" s="355"/>
    </row>
    <row r="9" spans="1:24" ht="15" customHeight="1" x14ac:dyDescent="0.2"/>
    <row r="10" spans="1:24" ht="14.1" customHeight="1" x14ac:dyDescent="0.2">
      <c r="A10" s="1588" t="s">
        <v>316</v>
      </c>
      <c r="B10" s="1588"/>
      <c r="C10" s="1588"/>
      <c r="D10" s="1588"/>
      <c r="E10" s="1589"/>
      <c r="F10" s="1590"/>
      <c r="G10" s="1590"/>
      <c r="H10" s="1590"/>
      <c r="I10" s="1590"/>
      <c r="J10" s="349"/>
      <c r="K10" s="1585" t="s">
        <v>334</v>
      </c>
      <c r="L10" s="1585"/>
      <c r="M10" s="1585"/>
      <c r="N10" s="1585"/>
      <c r="O10" s="1585"/>
      <c r="P10" s="1584"/>
      <c r="Q10" s="1584"/>
      <c r="R10" s="1584"/>
      <c r="S10" s="1584"/>
      <c r="T10" s="1584"/>
      <c r="U10" s="1584"/>
      <c r="V10" s="1584"/>
      <c r="W10" s="1584"/>
    </row>
    <row r="11" spans="1:24" ht="9.9499999999999993" customHeight="1" x14ac:dyDescent="0.2"/>
    <row r="12" spans="1:24" ht="14.1" customHeight="1" x14ac:dyDescent="0.2">
      <c r="A12" s="108" t="s">
        <v>3</v>
      </c>
      <c r="B12" s="108"/>
      <c r="C12" s="108"/>
      <c r="D12" s="108"/>
      <c r="E12" s="108"/>
      <c r="F12" s="1582"/>
      <c r="G12" s="1582"/>
      <c r="H12" s="1582"/>
      <c r="I12" s="1582"/>
      <c r="J12" s="1582"/>
      <c r="K12" s="1582"/>
      <c r="L12" s="1582"/>
      <c r="M12" s="1582"/>
      <c r="N12" s="1582"/>
      <c r="O12" s="1582"/>
      <c r="P12" s="1582"/>
      <c r="Q12" s="1582"/>
      <c r="R12" s="1582"/>
      <c r="S12" s="1582"/>
      <c r="T12" s="1582"/>
      <c r="U12" s="1582"/>
      <c r="V12" s="1582"/>
      <c r="W12" s="1582"/>
    </row>
    <row r="13" spans="1:24" ht="9.9499999999999993" customHeight="1" x14ac:dyDescent="0.2"/>
    <row r="14" spans="1:24" ht="14.1" customHeight="1" x14ac:dyDescent="0.2">
      <c r="A14" s="108" t="s">
        <v>14</v>
      </c>
      <c r="B14" s="108"/>
      <c r="C14" s="108"/>
      <c r="D14" s="1582"/>
      <c r="E14" s="1582"/>
      <c r="F14" s="1582"/>
      <c r="G14" s="1582"/>
      <c r="H14" s="1582"/>
      <c r="I14" s="1582"/>
      <c r="J14" s="1440" t="s">
        <v>333</v>
      </c>
      <c r="K14" s="1440"/>
      <c r="L14" s="1440"/>
      <c r="M14" s="1440"/>
      <c r="N14" s="1440"/>
      <c r="O14" s="1582"/>
      <c r="P14" s="1582"/>
      <c r="Q14" s="1582"/>
      <c r="R14" s="1582"/>
      <c r="S14" s="1582"/>
      <c r="T14" s="1582"/>
      <c r="U14" s="1582"/>
      <c r="V14" s="1582"/>
      <c r="W14" s="1582"/>
    </row>
    <row r="15" spans="1:24" ht="9.9499999999999993" customHeight="1" x14ac:dyDescent="0.2">
      <c r="A15" s="354"/>
      <c r="B15" s="354"/>
      <c r="C15" s="354"/>
      <c r="D15" s="354"/>
      <c r="E15" s="354"/>
      <c r="F15" s="354"/>
      <c r="G15" s="354"/>
      <c r="H15" s="354"/>
      <c r="I15" s="354"/>
      <c r="J15" s="354"/>
      <c r="K15" s="354"/>
      <c r="L15" s="354"/>
      <c r="M15" s="354"/>
      <c r="N15" s="354"/>
      <c r="O15" s="354"/>
      <c r="P15" s="354"/>
      <c r="Q15" s="354"/>
      <c r="R15" s="354"/>
      <c r="S15" s="354"/>
      <c r="T15" s="354"/>
      <c r="U15" s="354"/>
      <c r="V15" s="354"/>
      <c r="W15" s="354"/>
    </row>
    <row r="16" spans="1:24" ht="14.1" customHeight="1" x14ac:dyDescent="0.2">
      <c r="A16" s="108" t="s">
        <v>317</v>
      </c>
      <c r="B16" s="108"/>
      <c r="C16" s="108"/>
      <c r="D16" s="108"/>
      <c r="E16" s="1586"/>
      <c r="F16" s="1586"/>
      <c r="G16" s="1586"/>
      <c r="H16" s="1586"/>
      <c r="I16" s="1586"/>
      <c r="J16" s="1585" t="s">
        <v>331</v>
      </c>
      <c r="K16" s="1585"/>
      <c r="L16" s="1585"/>
      <c r="M16" s="1585"/>
      <c r="N16" s="1585"/>
      <c r="O16" s="1586"/>
      <c r="P16" s="1586"/>
      <c r="Q16" s="1585" t="s">
        <v>332</v>
      </c>
      <c r="R16" s="1585"/>
      <c r="S16" s="1585"/>
      <c r="T16" s="1585"/>
      <c r="U16" s="1585"/>
      <c r="V16" s="1581"/>
      <c r="W16" s="1581"/>
    </row>
    <row r="17" spans="1:24" ht="9.9499999999999993" customHeight="1" x14ac:dyDescent="0.2">
      <c r="A17" s="354"/>
      <c r="B17" s="354"/>
      <c r="C17" s="354"/>
      <c r="D17" s="354"/>
      <c r="E17" s="354"/>
      <c r="F17" s="354"/>
      <c r="G17" s="354"/>
      <c r="H17" s="354"/>
      <c r="I17" s="354"/>
      <c r="J17" s="354"/>
      <c r="K17" s="354"/>
      <c r="L17" s="354"/>
      <c r="M17" s="354"/>
      <c r="N17" s="354"/>
      <c r="O17" s="354"/>
      <c r="P17" s="354"/>
      <c r="Q17" s="354"/>
      <c r="R17" s="354"/>
      <c r="S17" s="354"/>
      <c r="T17" s="354"/>
      <c r="U17" s="354"/>
      <c r="V17" s="354"/>
      <c r="W17" s="354"/>
    </row>
    <row r="18" spans="1:24" ht="14.1" customHeight="1" x14ac:dyDescent="0.2">
      <c r="A18" s="356" t="s">
        <v>318</v>
      </c>
      <c r="B18" s="356"/>
      <c r="C18" s="356"/>
      <c r="D18" s="356"/>
      <c r="E18" s="356"/>
      <c r="F18" s="356"/>
      <c r="G18" s="356"/>
      <c r="H18" s="354"/>
      <c r="I18" s="354"/>
      <c r="J18" s="354"/>
      <c r="K18" s="354"/>
      <c r="L18" s="354"/>
      <c r="M18" s="354"/>
      <c r="N18" s="354"/>
      <c r="O18" s="354"/>
      <c r="P18" s="354"/>
      <c r="Q18" s="354"/>
      <c r="R18" s="354"/>
      <c r="S18" s="354"/>
      <c r="T18" s="354"/>
      <c r="U18" s="354"/>
      <c r="V18" s="354"/>
      <c r="W18" s="354"/>
    </row>
    <row r="19" spans="1:24" ht="9.9499999999999993" customHeight="1" x14ac:dyDescent="0.2">
      <c r="A19" s="354"/>
      <c r="B19" s="354"/>
      <c r="C19" s="354"/>
      <c r="D19" s="354"/>
      <c r="E19" s="354"/>
      <c r="F19" s="354"/>
      <c r="G19" s="354"/>
      <c r="H19" s="354"/>
      <c r="I19" s="354"/>
      <c r="J19" s="354"/>
      <c r="K19" s="354"/>
      <c r="L19" s="354"/>
      <c r="M19" s="354"/>
      <c r="N19" s="354"/>
      <c r="O19" s="354"/>
      <c r="P19" s="354"/>
      <c r="Q19" s="354"/>
      <c r="R19" s="354"/>
      <c r="S19" s="354"/>
      <c r="T19" s="354"/>
      <c r="U19" s="354"/>
      <c r="V19" s="354"/>
      <c r="W19" s="354"/>
    </row>
    <row r="20" spans="1:24" ht="15" customHeight="1" x14ac:dyDescent="0.2">
      <c r="A20" s="108" t="s">
        <v>319</v>
      </c>
      <c r="B20" s="1582"/>
      <c r="C20" s="1582"/>
      <c r="D20" s="1582"/>
      <c r="E20" s="1582"/>
      <c r="F20" s="1582"/>
      <c r="G20" s="1582"/>
      <c r="H20" s="1582"/>
      <c r="I20" s="1582"/>
      <c r="J20" s="1582"/>
      <c r="K20" s="1582"/>
      <c r="L20" s="1582"/>
      <c r="M20" s="1582"/>
      <c r="N20" s="1582"/>
      <c r="O20" s="1582"/>
      <c r="P20" s="1582"/>
      <c r="Q20" s="1582"/>
      <c r="R20" s="1582"/>
      <c r="S20" s="350"/>
      <c r="T20" s="329" t="s">
        <v>39</v>
      </c>
      <c r="U20" s="1583"/>
      <c r="V20" s="1583"/>
      <c r="W20" s="1583"/>
      <c r="X20" s="352"/>
    </row>
    <row r="21" spans="1:24" ht="9.9499999999999993" customHeight="1" x14ac:dyDescent="0.2"/>
    <row r="22" spans="1:24" ht="14.1" customHeight="1" x14ac:dyDescent="0.2">
      <c r="A22" s="108" t="s">
        <v>320</v>
      </c>
      <c r="B22" s="108"/>
      <c r="C22" s="108"/>
      <c r="D22" s="108"/>
      <c r="E22" s="1586"/>
      <c r="F22" s="1586"/>
      <c r="G22" s="1586"/>
      <c r="H22" s="1586"/>
      <c r="I22" s="350"/>
      <c r="J22" s="347"/>
      <c r="K22" s="347"/>
      <c r="L22" s="1585" t="s">
        <v>329</v>
      </c>
      <c r="M22" s="1585"/>
      <c r="N22" s="1585"/>
      <c r="O22" s="1586"/>
      <c r="P22" s="1586"/>
      <c r="Q22" s="1586"/>
      <c r="R22" s="1586"/>
      <c r="S22" s="349"/>
      <c r="T22" s="349"/>
      <c r="U22" s="329"/>
      <c r="V22" s="347"/>
      <c r="W22" s="347"/>
    </row>
    <row r="23" spans="1:24" ht="9.9499999999999993" customHeight="1" x14ac:dyDescent="0.2"/>
    <row r="24" spans="1:24" ht="14.1" customHeight="1" x14ac:dyDescent="0.2">
      <c r="A24" s="108" t="s">
        <v>321</v>
      </c>
      <c r="B24" s="108"/>
      <c r="C24" s="1586"/>
      <c r="D24" s="1586"/>
      <c r="E24" s="1586"/>
      <c r="F24" s="1586"/>
      <c r="G24" s="1586"/>
      <c r="H24" s="353"/>
      <c r="I24" s="1585" t="s">
        <v>330</v>
      </c>
      <c r="J24" s="1585"/>
      <c r="K24" s="1585"/>
      <c r="L24" s="1586"/>
      <c r="M24" s="1586"/>
      <c r="N24" s="348"/>
      <c r="O24" s="1585" t="s">
        <v>335</v>
      </c>
      <c r="P24" s="1585"/>
      <c r="Q24" s="1582"/>
      <c r="R24" s="1582"/>
      <c r="S24" s="1582"/>
      <c r="T24" s="1582"/>
      <c r="U24" s="1582"/>
      <c r="V24" s="1582"/>
      <c r="W24" s="1582"/>
    </row>
    <row r="25" spans="1:24" ht="13.5" customHeight="1" x14ac:dyDescent="0.2"/>
    <row r="26" spans="1:24" ht="15" customHeight="1" x14ac:dyDescent="0.2">
      <c r="A26" s="108" t="s">
        <v>322</v>
      </c>
      <c r="B26" s="108"/>
      <c r="C26" s="108"/>
      <c r="D26" s="108"/>
      <c r="E26" s="108"/>
      <c r="F26" s="108"/>
      <c r="G26" s="108"/>
    </row>
    <row r="27" spans="1:24" ht="13.5" customHeight="1" x14ac:dyDescent="0.2">
      <c r="A27" s="1584"/>
      <c r="B27" s="1584"/>
      <c r="C27" s="1584"/>
      <c r="D27" s="1584"/>
      <c r="E27" s="1584"/>
      <c r="F27" s="1584"/>
      <c r="G27" s="1584"/>
      <c r="H27" s="1584"/>
      <c r="I27" s="1584"/>
      <c r="J27" s="1584"/>
      <c r="K27" s="1584"/>
      <c r="L27" s="1584"/>
      <c r="M27" s="1584"/>
      <c r="N27" s="1584"/>
      <c r="O27" s="1584"/>
      <c r="P27" s="1584"/>
      <c r="Q27" s="1584"/>
      <c r="R27" s="1584"/>
      <c r="S27" s="1584"/>
      <c r="T27" s="1584"/>
      <c r="U27" s="1584"/>
      <c r="V27" s="1584"/>
      <c r="W27" s="1584"/>
      <c r="X27" s="347"/>
    </row>
    <row r="28" spans="1:24" ht="13.5" customHeight="1" x14ac:dyDescent="0.2">
      <c r="A28" s="1584"/>
      <c r="B28" s="1584"/>
      <c r="C28" s="1584"/>
      <c r="D28" s="1584"/>
      <c r="E28" s="1584"/>
      <c r="F28" s="1584"/>
      <c r="G28" s="1584"/>
      <c r="H28" s="1584"/>
      <c r="I28" s="1584"/>
      <c r="J28" s="1584"/>
      <c r="K28" s="1584"/>
      <c r="L28" s="1584"/>
      <c r="M28" s="1584"/>
      <c r="N28" s="1584"/>
      <c r="O28" s="1584"/>
      <c r="P28" s="1584"/>
      <c r="Q28" s="1584"/>
      <c r="R28" s="1584"/>
      <c r="S28" s="1584"/>
      <c r="T28" s="1584"/>
      <c r="U28" s="1584"/>
      <c r="V28" s="1584"/>
      <c r="W28" s="1584"/>
      <c r="X28" s="347"/>
    </row>
    <row r="29" spans="1:24" ht="13.5" customHeight="1" x14ac:dyDescent="0.2">
      <c r="A29" s="1584"/>
      <c r="B29" s="1584"/>
      <c r="C29" s="1584"/>
      <c r="D29" s="1584"/>
      <c r="E29" s="1584"/>
      <c r="F29" s="1584"/>
      <c r="G29" s="1584"/>
      <c r="H29" s="1584"/>
      <c r="I29" s="1584"/>
      <c r="J29" s="1584"/>
      <c r="K29" s="1584"/>
      <c r="L29" s="1584"/>
      <c r="M29" s="1584"/>
      <c r="N29" s="1584"/>
      <c r="O29" s="1584"/>
      <c r="P29" s="1584"/>
      <c r="Q29" s="1584"/>
      <c r="R29" s="1584"/>
      <c r="S29" s="1584"/>
      <c r="T29" s="1584"/>
      <c r="U29" s="1584"/>
      <c r="V29" s="1584"/>
      <c r="W29" s="1584"/>
      <c r="X29" s="347"/>
    </row>
    <row r="30" spans="1:24" ht="13.5" customHeight="1" x14ac:dyDescent="0.2">
      <c r="A30" s="354"/>
      <c r="B30" s="354"/>
      <c r="C30" s="354"/>
      <c r="D30" s="354"/>
      <c r="E30" s="354"/>
      <c r="F30" s="354"/>
      <c r="G30" s="354"/>
      <c r="H30" s="354"/>
      <c r="I30" s="354"/>
      <c r="J30" s="354"/>
      <c r="K30" s="354"/>
      <c r="L30" s="354"/>
      <c r="M30" s="354"/>
      <c r="N30" s="354"/>
      <c r="O30" s="354"/>
      <c r="P30" s="354"/>
      <c r="Q30" s="354"/>
      <c r="R30" s="354"/>
      <c r="S30" s="354"/>
      <c r="T30" s="354"/>
      <c r="U30" s="354"/>
      <c r="V30" s="354"/>
      <c r="W30" s="354"/>
    </row>
    <row r="31" spans="1:24" ht="15" customHeight="1" x14ac:dyDescent="0.2">
      <c r="A31" s="356" t="s">
        <v>323</v>
      </c>
      <c r="B31" s="356"/>
      <c r="C31" s="356"/>
      <c r="D31" s="356"/>
      <c r="E31" s="356"/>
      <c r="F31" s="356"/>
      <c r="G31" s="356" t="s">
        <v>336</v>
      </c>
      <c r="H31" s="358"/>
      <c r="I31" s="357"/>
      <c r="J31" s="354"/>
      <c r="K31" s="354"/>
      <c r="L31" s="354"/>
      <c r="M31" s="354"/>
      <c r="N31" s="356" t="s">
        <v>337</v>
      </c>
      <c r="O31" s="354"/>
      <c r="P31" s="354"/>
      <c r="Q31" s="354"/>
      <c r="R31" s="354"/>
      <c r="S31" s="354"/>
      <c r="T31" s="354"/>
      <c r="U31" s="354"/>
      <c r="V31" s="354"/>
      <c r="W31" s="354"/>
    </row>
    <row r="32" spans="1:24" ht="13.5" customHeight="1" x14ac:dyDescent="0.2">
      <c r="A32" s="1584"/>
      <c r="B32" s="1584"/>
      <c r="C32" s="1584"/>
      <c r="D32" s="1584"/>
      <c r="E32" s="1584"/>
      <c r="F32" s="1584"/>
      <c r="G32" s="1584"/>
      <c r="H32" s="1584"/>
      <c r="I32" s="1584"/>
      <c r="J32" s="1584"/>
      <c r="K32" s="1584"/>
      <c r="L32" s="1584"/>
      <c r="M32" s="1584"/>
      <c r="N32" s="1584"/>
      <c r="O32" s="1584"/>
      <c r="P32" s="1584"/>
      <c r="Q32" s="1584"/>
      <c r="R32" s="1584"/>
      <c r="S32" s="1584"/>
      <c r="T32" s="1584"/>
      <c r="U32" s="1584"/>
      <c r="V32" s="1584"/>
      <c r="W32" s="1584"/>
      <c r="X32" s="347"/>
    </row>
    <row r="33" spans="1:24" ht="13.5" customHeight="1" x14ac:dyDescent="0.2">
      <c r="A33" s="1584"/>
      <c r="B33" s="1584"/>
      <c r="C33" s="1584"/>
      <c r="D33" s="1584"/>
      <c r="E33" s="1584"/>
      <c r="F33" s="1584"/>
      <c r="G33" s="1584"/>
      <c r="H33" s="1584"/>
      <c r="I33" s="1584"/>
      <c r="J33" s="1584"/>
      <c r="K33" s="1584"/>
      <c r="L33" s="1584"/>
      <c r="M33" s="1584"/>
      <c r="N33" s="1584"/>
      <c r="O33" s="1584"/>
      <c r="P33" s="1584"/>
      <c r="Q33" s="1584"/>
      <c r="R33" s="1584"/>
      <c r="S33" s="1584"/>
      <c r="T33" s="1584"/>
      <c r="U33" s="1584"/>
      <c r="V33" s="1584"/>
      <c r="W33" s="1584"/>
      <c r="X33" s="347"/>
    </row>
    <row r="34" spans="1:24" ht="13.5" customHeight="1" x14ac:dyDescent="0.2">
      <c r="A34" s="1584"/>
      <c r="B34" s="1584"/>
      <c r="C34" s="1584"/>
      <c r="D34" s="1584"/>
      <c r="E34" s="1584"/>
      <c r="F34" s="1584"/>
      <c r="G34" s="1584"/>
      <c r="H34" s="1584"/>
      <c r="I34" s="1584"/>
      <c r="J34" s="1584"/>
      <c r="K34" s="1584"/>
      <c r="L34" s="1584"/>
      <c r="M34" s="1584"/>
      <c r="N34" s="1584"/>
      <c r="O34" s="1584"/>
      <c r="P34" s="1584"/>
      <c r="Q34" s="1584"/>
      <c r="R34" s="1584"/>
      <c r="S34" s="1584"/>
      <c r="T34" s="1584"/>
      <c r="U34" s="1584"/>
      <c r="V34" s="1584"/>
      <c r="W34" s="1584"/>
      <c r="X34" s="347"/>
    </row>
    <row r="35" spans="1:24" ht="13.5" customHeight="1" x14ac:dyDescent="0.2">
      <c r="A35" s="354"/>
      <c r="B35" s="354"/>
      <c r="C35" s="354"/>
      <c r="D35" s="354"/>
      <c r="E35" s="354"/>
      <c r="F35" s="354"/>
      <c r="G35" s="354"/>
      <c r="H35" s="354"/>
      <c r="I35" s="354"/>
      <c r="J35" s="354"/>
      <c r="K35" s="354"/>
      <c r="L35" s="354"/>
      <c r="M35" s="354"/>
      <c r="N35" s="354"/>
      <c r="O35" s="354"/>
      <c r="P35" s="354"/>
      <c r="Q35" s="354"/>
      <c r="R35" s="354"/>
      <c r="S35" s="354"/>
      <c r="T35" s="354"/>
      <c r="U35" s="354"/>
      <c r="V35" s="354"/>
      <c r="W35" s="354"/>
    </row>
    <row r="36" spans="1:24" ht="15" customHeight="1" x14ac:dyDescent="0.2">
      <c r="A36" s="356" t="s">
        <v>355</v>
      </c>
      <c r="B36" s="356"/>
      <c r="C36" s="356"/>
      <c r="D36" s="356"/>
      <c r="E36" s="356"/>
      <c r="F36" s="356"/>
      <c r="G36" s="356"/>
      <c r="H36" s="354"/>
      <c r="I36" s="354"/>
      <c r="J36" s="354"/>
      <c r="K36" s="354"/>
      <c r="L36" s="354"/>
      <c r="M36" s="354"/>
      <c r="N36" s="354"/>
      <c r="O36" s="354"/>
      <c r="P36" s="354"/>
      <c r="Q36" s="354"/>
      <c r="R36" s="354"/>
      <c r="S36" s="354"/>
      <c r="T36" s="354"/>
      <c r="U36" s="354"/>
      <c r="V36" s="354"/>
      <c r="W36" s="354"/>
    </row>
    <row r="37" spans="1:24" ht="13.5" customHeight="1" x14ac:dyDescent="0.2">
      <c r="A37" s="1584"/>
      <c r="B37" s="1584"/>
      <c r="C37" s="1584"/>
      <c r="D37" s="1584"/>
      <c r="E37" s="1584"/>
      <c r="F37" s="1584"/>
      <c r="G37" s="1584"/>
      <c r="H37" s="1584"/>
      <c r="I37" s="1584"/>
      <c r="J37" s="1584"/>
      <c r="K37" s="1584"/>
      <c r="L37" s="1584"/>
      <c r="M37" s="1584"/>
      <c r="N37" s="1584"/>
      <c r="O37" s="1584"/>
      <c r="P37" s="1584"/>
      <c r="Q37" s="1584"/>
      <c r="R37" s="1584"/>
      <c r="S37" s="1584"/>
      <c r="T37" s="1584"/>
      <c r="U37" s="1584"/>
      <c r="V37" s="1584"/>
      <c r="W37" s="1584"/>
      <c r="X37" s="347"/>
    </row>
    <row r="38" spans="1:24" ht="13.5" customHeight="1" x14ac:dyDescent="0.2">
      <c r="A38" s="1584"/>
      <c r="B38" s="1584"/>
      <c r="C38" s="1584"/>
      <c r="D38" s="1584"/>
      <c r="E38" s="1584"/>
      <c r="F38" s="1584"/>
      <c r="G38" s="1584"/>
      <c r="H38" s="1584"/>
      <c r="I38" s="1584"/>
      <c r="J38" s="1584"/>
      <c r="K38" s="1584"/>
      <c r="L38" s="1584"/>
      <c r="M38" s="1584"/>
      <c r="N38" s="1584"/>
      <c r="O38" s="1584"/>
      <c r="P38" s="1584"/>
      <c r="Q38" s="1584"/>
      <c r="R38" s="1584"/>
      <c r="S38" s="1584"/>
      <c r="T38" s="1584"/>
      <c r="U38" s="1584"/>
      <c r="V38" s="1584"/>
      <c r="W38" s="1584"/>
      <c r="X38" s="347"/>
    </row>
    <row r="39" spans="1:24" ht="13.5" customHeight="1" x14ac:dyDescent="0.2">
      <c r="A39" s="1584"/>
      <c r="B39" s="1584"/>
      <c r="C39" s="1584"/>
      <c r="D39" s="1584"/>
      <c r="E39" s="1584"/>
      <c r="F39" s="1584"/>
      <c r="G39" s="1584"/>
      <c r="H39" s="1584"/>
      <c r="I39" s="1584"/>
      <c r="J39" s="1584"/>
      <c r="K39" s="1584"/>
      <c r="L39" s="1584"/>
      <c r="M39" s="1584"/>
      <c r="N39" s="1584"/>
      <c r="O39" s="1584"/>
      <c r="P39" s="1584"/>
      <c r="Q39" s="1584"/>
      <c r="R39" s="1584"/>
      <c r="S39" s="1584"/>
      <c r="T39" s="1584"/>
      <c r="U39" s="1584"/>
      <c r="V39" s="1584"/>
      <c r="W39" s="1584"/>
      <c r="X39" s="347"/>
    </row>
    <row r="40" spans="1:24" ht="13.5" customHeight="1" x14ac:dyDescent="0.2">
      <c r="A40" s="354"/>
      <c r="B40" s="354"/>
      <c r="C40" s="354"/>
      <c r="D40" s="354"/>
      <c r="E40" s="354"/>
      <c r="F40" s="354"/>
      <c r="G40" s="354"/>
      <c r="H40" s="354"/>
      <c r="I40" s="354"/>
      <c r="J40" s="354"/>
      <c r="K40" s="354"/>
      <c r="L40" s="354"/>
      <c r="M40" s="354"/>
      <c r="N40" s="354"/>
      <c r="O40" s="354"/>
      <c r="P40" s="354"/>
      <c r="Q40" s="354"/>
      <c r="R40" s="354"/>
      <c r="S40" s="354"/>
      <c r="T40" s="354"/>
      <c r="U40" s="354"/>
      <c r="V40" s="354"/>
      <c r="W40" s="354"/>
    </row>
    <row r="41" spans="1:24" ht="15" customHeight="1" x14ac:dyDescent="0.2">
      <c r="A41" s="356" t="s">
        <v>324</v>
      </c>
      <c r="B41" s="356"/>
      <c r="C41" s="356"/>
      <c r="D41" s="356"/>
      <c r="E41" s="356"/>
      <c r="F41" s="356"/>
      <c r="G41" s="356"/>
      <c r="H41" s="354"/>
      <c r="I41" s="354"/>
      <c r="J41" s="354"/>
      <c r="K41" s="354"/>
      <c r="L41" s="354"/>
      <c r="M41" s="354"/>
      <c r="N41" s="354"/>
      <c r="O41" s="354"/>
      <c r="P41" s="354"/>
      <c r="Q41" s="354"/>
      <c r="R41" s="354"/>
      <c r="S41" s="354"/>
      <c r="T41" s="354"/>
      <c r="U41" s="354"/>
      <c r="V41" s="354"/>
      <c r="W41" s="354"/>
    </row>
    <row r="42" spans="1:24" ht="13.5" customHeight="1" x14ac:dyDescent="0.2">
      <c r="A42" s="1584"/>
      <c r="B42" s="1584"/>
      <c r="C42" s="1584"/>
      <c r="D42" s="1584"/>
      <c r="E42" s="1584"/>
      <c r="F42" s="1584"/>
      <c r="G42" s="1584"/>
      <c r="H42" s="1584"/>
      <c r="I42" s="1584"/>
      <c r="J42" s="1584"/>
      <c r="K42" s="1584"/>
      <c r="L42" s="1584"/>
      <c r="M42" s="1584"/>
      <c r="N42" s="1584"/>
      <c r="O42" s="1584"/>
      <c r="P42" s="1584"/>
      <c r="Q42" s="1584"/>
      <c r="R42" s="1584"/>
      <c r="S42" s="1584"/>
      <c r="T42" s="1584"/>
      <c r="U42" s="1584"/>
      <c r="V42" s="1584"/>
      <c r="W42" s="1584"/>
      <c r="X42" s="347"/>
    </row>
    <row r="43" spans="1:24" ht="13.5" customHeight="1" x14ac:dyDescent="0.2">
      <c r="A43" s="1584"/>
      <c r="B43" s="1584"/>
      <c r="C43" s="1584"/>
      <c r="D43" s="1584"/>
      <c r="E43" s="1584"/>
      <c r="F43" s="1584"/>
      <c r="G43" s="1584"/>
      <c r="H43" s="1584"/>
      <c r="I43" s="1584"/>
      <c r="J43" s="1584"/>
      <c r="K43" s="1584"/>
      <c r="L43" s="1584"/>
      <c r="M43" s="1584"/>
      <c r="N43" s="1584"/>
      <c r="O43" s="1584"/>
      <c r="P43" s="1584"/>
      <c r="Q43" s="1584"/>
      <c r="R43" s="1584"/>
      <c r="S43" s="1584"/>
      <c r="T43" s="1584"/>
      <c r="U43" s="1584"/>
      <c r="V43" s="1584"/>
      <c r="W43" s="1584"/>
      <c r="X43" s="347"/>
    </row>
    <row r="44" spans="1:24" ht="13.5" customHeight="1" x14ac:dyDescent="0.2">
      <c r="A44" s="1584"/>
      <c r="B44" s="1584"/>
      <c r="C44" s="1584"/>
      <c r="D44" s="1584"/>
      <c r="E44" s="1584"/>
      <c r="F44" s="1584"/>
      <c r="G44" s="1584"/>
      <c r="H44" s="1584"/>
      <c r="I44" s="1584"/>
      <c r="J44" s="1584"/>
      <c r="K44" s="1584"/>
      <c r="L44" s="1584"/>
      <c r="M44" s="1584"/>
      <c r="N44" s="1584"/>
      <c r="O44" s="1584"/>
      <c r="P44" s="1584"/>
      <c r="Q44" s="1584"/>
      <c r="R44" s="1584"/>
      <c r="S44" s="1584"/>
      <c r="T44" s="1584"/>
      <c r="U44" s="1584"/>
      <c r="V44" s="1584"/>
      <c r="W44" s="1584"/>
      <c r="X44" s="347"/>
    </row>
    <row r="45" spans="1:24" ht="13.5" customHeight="1" x14ac:dyDescent="0.2">
      <c r="A45" s="354"/>
      <c r="B45" s="354"/>
      <c r="C45" s="354"/>
      <c r="D45" s="354"/>
      <c r="E45" s="354"/>
      <c r="F45" s="354"/>
      <c r="G45" s="354"/>
      <c r="H45" s="354"/>
      <c r="I45" s="354"/>
      <c r="J45" s="354"/>
      <c r="K45" s="354"/>
      <c r="L45" s="354"/>
      <c r="M45" s="354"/>
      <c r="N45" s="354"/>
      <c r="O45" s="354"/>
      <c r="P45" s="354"/>
      <c r="Q45" s="354"/>
      <c r="R45" s="354"/>
      <c r="S45" s="354"/>
      <c r="T45" s="354"/>
      <c r="U45" s="354"/>
      <c r="V45" s="354"/>
      <c r="W45" s="354"/>
    </row>
    <row r="46" spans="1:24" ht="15" customHeight="1" x14ac:dyDescent="0.2">
      <c r="A46" s="108" t="s">
        <v>325</v>
      </c>
      <c r="B46" s="108"/>
      <c r="C46" s="108"/>
      <c r="D46" s="108"/>
      <c r="E46" s="108"/>
      <c r="F46" s="108"/>
      <c r="G46" s="108"/>
      <c r="H46" s="358"/>
      <c r="I46" s="351" t="s">
        <v>275</v>
      </c>
      <c r="J46" s="108"/>
      <c r="K46" s="108"/>
      <c r="L46" s="358"/>
      <c r="M46" s="359" t="s">
        <v>338</v>
      </c>
      <c r="N46" s="108"/>
    </row>
    <row r="47" spans="1:24" ht="13.5" customHeight="1" x14ac:dyDescent="0.2">
      <c r="A47" s="354"/>
      <c r="B47" s="354"/>
      <c r="C47" s="354"/>
      <c r="D47" s="354"/>
      <c r="E47" s="354"/>
      <c r="F47" s="354"/>
      <c r="G47" s="354"/>
      <c r="H47" s="354"/>
      <c r="I47" s="354"/>
      <c r="J47" s="354"/>
      <c r="K47" s="354"/>
      <c r="L47" s="354"/>
      <c r="M47" s="354"/>
      <c r="N47" s="354"/>
      <c r="O47" s="354"/>
      <c r="P47" s="354"/>
      <c r="Q47" s="354"/>
      <c r="R47" s="354"/>
      <c r="S47" s="354"/>
      <c r="T47" s="354"/>
      <c r="U47" s="354"/>
      <c r="V47" s="354"/>
      <c r="W47" s="354"/>
    </row>
    <row r="48" spans="1:24" ht="10.5" customHeight="1" x14ac:dyDescent="0.2">
      <c r="A48" s="354"/>
      <c r="B48" s="354"/>
      <c r="C48" s="354"/>
      <c r="D48" s="354"/>
      <c r="E48" s="354"/>
      <c r="F48" s="354"/>
      <c r="G48" s="354"/>
      <c r="H48" s="354"/>
      <c r="I48" s="354"/>
      <c r="J48" s="354"/>
      <c r="K48" s="354"/>
      <c r="L48" s="354"/>
      <c r="M48" s="354"/>
      <c r="N48" s="354"/>
      <c r="O48" s="354"/>
      <c r="P48" s="354"/>
      <c r="Q48" s="354"/>
      <c r="R48" s="354"/>
      <c r="S48" s="354"/>
      <c r="T48" s="354"/>
      <c r="U48" s="354"/>
      <c r="V48" s="354"/>
      <c r="W48" s="354"/>
    </row>
    <row r="49" spans="1:23" ht="15" customHeight="1" x14ac:dyDescent="0.2">
      <c r="A49" s="356" t="s">
        <v>326</v>
      </c>
      <c r="B49" s="356"/>
      <c r="C49" s="356"/>
      <c r="D49" s="356"/>
      <c r="E49" s="356"/>
      <c r="F49" s="356"/>
      <c r="G49" s="356"/>
      <c r="H49" s="354"/>
      <c r="I49" s="354"/>
      <c r="J49" s="354"/>
      <c r="K49" s="354"/>
      <c r="L49" s="1584"/>
      <c r="M49" s="1584"/>
      <c r="N49" s="1584"/>
      <c r="O49" s="1584"/>
      <c r="P49" s="1584"/>
      <c r="Q49" s="1584"/>
      <c r="R49" s="1584"/>
      <c r="S49" s="1584"/>
    </row>
    <row r="50" spans="1:23" ht="11.25" customHeight="1" x14ac:dyDescent="0.2">
      <c r="A50" s="354"/>
      <c r="B50" s="354"/>
      <c r="C50" s="354"/>
      <c r="D50" s="354"/>
      <c r="E50" s="354"/>
      <c r="F50" s="354"/>
      <c r="G50" s="354"/>
      <c r="H50" s="354"/>
      <c r="I50" s="354"/>
      <c r="J50" s="354"/>
      <c r="K50" s="354"/>
      <c r="L50" s="354"/>
      <c r="M50" s="354"/>
      <c r="N50" s="354"/>
      <c r="O50" s="354"/>
      <c r="P50" s="354"/>
      <c r="Q50" s="354"/>
      <c r="R50" s="354"/>
      <c r="S50" s="354"/>
      <c r="T50" s="354"/>
      <c r="U50" s="354"/>
      <c r="V50" s="354"/>
      <c r="W50" s="354"/>
    </row>
    <row r="51" spans="1:23" ht="15" customHeight="1" x14ac:dyDescent="0.2">
      <c r="A51" s="356" t="s">
        <v>327</v>
      </c>
      <c r="B51" s="356"/>
      <c r="C51" s="356"/>
      <c r="D51" s="356"/>
      <c r="E51" s="356"/>
      <c r="F51" s="356"/>
      <c r="G51" s="356"/>
      <c r="H51" s="354"/>
      <c r="I51" s="354"/>
      <c r="J51" s="354"/>
      <c r="K51" s="354"/>
      <c r="L51" s="1584"/>
      <c r="M51" s="1584"/>
      <c r="N51" s="1584"/>
      <c r="O51" s="1584"/>
      <c r="P51" s="1584"/>
      <c r="Q51" s="1584"/>
      <c r="R51" s="1584"/>
      <c r="S51" s="1584"/>
      <c r="T51" s="354"/>
      <c r="U51" s="354"/>
      <c r="V51" s="354"/>
      <c r="W51" s="354"/>
    </row>
    <row r="52" spans="1:23" ht="15" customHeight="1" x14ac:dyDescent="0.2">
      <c r="A52" s="354"/>
      <c r="B52" s="354"/>
      <c r="C52" s="354"/>
      <c r="D52" s="354"/>
      <c r="E52" s="354"/>
      <c r="F52" s="354"/>
      <c r="G52" s="354"/>
      <c r="H52" s="354"/>
      <c r="I52" s="354"/>
      <c r="J52" s="354"/>
      <c r="K52" s="354"/>
      <c r="L52" s="354"/>
      <c r="M52" s="354"/>
      <c r="N52" s="354"/>
      <c r="O52" s="354"/>
      <c r="P52" s="354"/>
      <c r="Q52" s="354"/>
      <c r="R52" s="354"/>
      <c r="S52" s="354"/>
      <c r="T52" s="354"/>
      <c r="U52" s="354"/>
      <c r="V52" s="354"/>
      <c r="W52" s="354"/>
    </row>
    <row r="53" spans="1:23" ht="15" customHeight="1" x14ac:dyDescent="0.2">
      <c r="A53" s="354"/>
      <c r="B53" s="354"/>
      <c r="C53" s="354"/>
      <c r="D53" s="354"/>
      <c r="E53" s="354"/>
      <c r="F53" s="354"/>
      <c r="G53" s="354"/>
      <c r="H53" s="354"/>
      <c r="I53" s="354"/>
      <c r="J53" s="354"/>
      <c r="K53" s="354"/>
      <c r="L53" s="354"/>
      <c r="M53" s="354"/>
      <c r="N53" s="354"/>
      <c r="O53" s="354"/>
      <c r="P53" s="354"/>
      <c r="Q53" s="354"/>
      <c r="R53" s="354"/>
      <c r="S53" s="354"/>
      <c r="T53" s="354"/>
      <c r="U53" s="354"/>
      <c r="V53" s="354"/>
      <c r="W53" s="354"/>
    </row>
    <row r="54" spans="1:23" ht="15" customHeight="1" x14ac:dyDescent="0.2"/>
  </sheetData>
  <sheetProtection algorithmName="SHA-512" hashValue="Jqx+Ew9+HcXIv8OYBb9a7lTEjaVRhmUOt6xXM1uKhP2oIjsG+G2XtVvxM91bVrMC7M0Qs06e67MukNlXsS67EA==" saltValue="GpGF7wk/LeIkIyspGO7vKQ==" spinCount="100000" sheet="1" objects="1" scenarios="1" selectLockedCells="1"/>
  <mergeCells count="38">
    <mergeCell ref="A8:W8"/>
    <mergeCell ref="A10:D10"/>
    <mergeCell ref="K10:O10"/>
    <mergeCell ref="E10:I10"/>
    <mergeCell ref="D14:I14"/>
    <mergeCell ref="O14:W14"/>
    <mergeCell ref="P10:W10"/>
    <mergeCell ref="F12:W12"/>
    <mergeCell ref="L49:S49"/>
    <mergeCell ref="L51:S51"/>
    <mergeCell ref="C24:G24"/>
    <mergeCell ref="L24:M24"/>
    <mergeCell ref="O24:P24"/>
    <mergeCell ref="Q24:W24"/>
    <mergeCell ref="I24:K24"/>
    <mergeCell ref="A44:W44"/>
    <mergeCell ref="A33:W33"/>
    <mergeCell ref="A34:W34"/>
    <mergeCell ref="A37:W37"/>
    <mergeCell ref="A38:W38"/>
    <mergeCell ref="A39:W39"/>
    <mergeCell ref="A42:W42"/>
    <mergeCell ref="A43:W43"/>
    <mergeCell ref="V16:W16"/>
    <mergeCell ref="J14:N14"/>
    <mergeCell ref="B20:R20"/>
    <mergeCell ref="U20:W20"/>
    <mergeCell ref="A32:W32"/>
    <mergeCell ref="A27:W27"/>
    <mergeCell ref="A28:W28"/>
    <mergeCell ref="A29:W29"/>
    <mergeCell ref="Q16:U16"/>
    <mergeCell ref="O16:P16"/>
    <mergeCell ref="E22:H22"/>
    <mergeCell ref="L22:N22"/>
    <mergeCell ref="O22:R22"/>
    <mergeCell ref="E16:I16"/>
    <mergeCell ref="J16:N16"/>
  </mergeCells>
  <conditionalFormatting sqref="E10:I10 P10:W10 F12:W12 O14:W14 D14:I14 E16:I16 O16:P16 V16:W16 U20:W20 B20:R20 E22:H22 O22:R22 C24:G24 L24:M24 Q24:W24 A27:W29 H31 A32:W34 A37:W39 A42:W44 L46 H46 L49:S49 L51:S51">
    <cfRule type="containsBlanks" dxfId="4" priority="3">
      <formula>LEN(TRIM(A10))=0</formula>
    </cfRule>
  </conditionalFormatting>
  <pageMargins left="0.7" right="0.7" top="0.5" bottom="0.75" header="0.05" footer="0.5"/>
  <pageSetup orientation="portrait" r:id="rId1"/>
  <headerFooter>
    <oddFooter>&amp;L&amp;8Form CSC#001 / 05 28 2015</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46"/>
  <sheetViews>
    <sheetView showGridLines="0" view="pageLayout" zoomScaleNormal="100" zoomScaleSheetLayoutView="100" workbookViewId="0">
      <selection activeCell="A23" sqref="A23:O23"/>
    </sheetView>
  </sheetViews>
  <sheetFormatPr defaultRowHeight="12.75" x14ac:dyDescent="0.2"/>
  <cols>
    <col min="1" max="1" width="10.140625" customWidth="1"/>
    <col min="2" max="2" width="3.28515625" customWidth="1"/>
    <col min="3" max="3" width="1.28515625" customWidth="1"/>
    <col min="4" max="4" width="3" customWidth="1"/>
    <col min="5" max="6" width="5" customWidth="1"/>
    <col min="7" max="7" width="5.85546875" customWidth="1"/>
    <col min="8" max="8" width="11.85546875" customWidth="1"/>
    <col min="9" max="9" width="6.28515625" customWidth="1"/>
    <col min="10" max="10" width="5.5703125" customWidth="1"/>
    <col min="11" max="11" width="5.85546875" customWidth="1"/>
    <col min="12" max="12" width="5" customWidth="1"/>
    <col min="13" max="13" width="7.5703125" customWidth="1"/>
    <col min="14" max="14" width="4.5703125" customWidth="1"/>
    <col min="15" max="15" width="6.7109375" customWidth="1"/>
    <col min="16" max="16" width="1.42578125" customWidth="1"/>
  </cols>
  <sheetData>
    <row r="1" spans="1:16" x14ac:dyDescent="0.2">
      <c r="A1" s="1592"/>
      <c r="B1" s="1592"/>
      <c r="C1" s="1592"/>
      <c r="D1" s="1592"/>
      <c r="E1" s="1592"/>
      <c r="F1" s="1592"/>
      <c r="G1" s="1592"/>
      <c r="H1" s="1592"/>
      <c r="I1" s="1592"/>
      <c r="J1" s="1592"/>
      <c r="K1" s="1592"/>
      <c r="L1" s="1592"/>
      <c r="M1" s="1592"/>
      <c r="N1" s="1592"/>
      <c r="O1" s="1592"/>
      <c r="P1" s="346"/>
    </row>
    <row r="8" spans="1:16" ht="20.25" x14ac:dyDescent="0.3">
      <c r="A8" s="1593" t="s">
        <v>339</v>
      </c>
      <c r="B8" s="1593"/>
      <c r="C8" s="1593"/>
      <c r="D8" s="1593"/>
      <c r="E8" s="1593"/>
      <c r="F8" s="1593"/>
      <c r="G8" s="1593"/>
      <c r="H8" s="1593"/>
      <c r="I8" s="1593"/>
      <c r="J8" s="1593"/>
      <c r="K8" s="1593"/>
      <c r="L8" s="1593"/>
      <c r="M8" s="1593"/>
      <c r="N8" s="1593"/>
      <c r="O8" s="1593"/>
      <c r="P8" s="372"/>
    </row>
    <row r="9" spans="1:16" ht="20.25" customHeight="1" x14ac:dyDescent="0.2"/>
    <row r="10" spans="1:16" ht="15.95" customHeight="1" x14ac:dyDescent="0.2">
      <c r="A10" s="360"/>
      <c r="B10" s="361"/>
      <c r="C10" s="361"/>
      <c r="D10" s="361"/>
      <c r="E10" s="361"/>
      <c r="F10" s="361"/>
      <c r="G10" s="361"/>
      <c r="H10" s="361"/>
      <c r="I10" s="361"/>
      <c r="J10" s="361"/>
      <c r="K10" s="361"/>
      <c r="L10" s="361"/>
      <c r="M10" s="361"/>
      <c r="N10" s="361"/>
      <c r="O10" s="361"/>
      <c r="P10" s="362"/>
    </row>
    <row r="11" spans="1:16" ht="15.95" customHeight="1" thickBot="1" x14ac:dyDescent="0.3">
      <c r="A11" s="368" t="s">
        <v>340</v>
      </c>
      <c r="B11" s="1595"/>
      <c r="C11" s="1595"/>
      <c r="D11" s="1595"/>
      <c r="E11" s="1595"/>
      <c r="F11" s="1595"/>
      <c r="G11" s="1595"/>
      <c r="H11" s="1595"/>
      <c r="I11" s="1595"/>
      <c r="J11" s="1594" t="s">
        <v>2</v>
      </c>
      <c r="K11" s="1594"/>
      <c r="L11" s="1595"/>
      <c r="M11" s="1595"/>
      <c r="N11" s="1595"/>
      <c r="O11" s="1595"/>
      <c r="P11" s="371"/>
    </row>
    <row r="12" spans="1:16" ht="15.95" customHeight="1" x14ac:dyDescent="0.25">
      <c r="A12" s="368" t="s">
        <v>341</v>
      </c>
      <c r="B12" s="351"/>
      <c r="C12" s="1591"/>
      <c r="D12" s="1591"/>
      <c r="E12" s="1591"/>
      <c r="F12" s="1591"/>
      <c r="G12" s="1591"/>
      <c r="H12" s="1591"/>
      <c r="I12" s="1591"/>
      <c r="J12" s="1591"/>
      <c r="K12" s="1591"/>
      <c r="L12" s="42"/>
      <c r="M12" s="42"/>
      <c r="N12" s="42"/>
      <c r="O12" s="42"/>
      <c r="P12" s="364"/>
    </row>
    <row r="13" spans="1:16" ht="5.25" customHeight="1" x14ac:dyDescent="0.2">
      <c r="A13" s="365"/>
      <c r="B13" s="45"/>
      <c r="C13" s="45"/>
      <c r="D13" s="45"/>
      <c r="E13" s="45"/>
      <c r="F13" s="45"/>
      <c r="G13" s="45"/>
      <c r="H13" s="45"/>
      <c r="I13" s="45"/>
      <c r="J13" s="45"/>
      <c r="K13" s="45"/>
      <c r="L13" s="45"/>
      <c r="M13" s="45"/>
      <c r="N13" s="45"/>
      <c r="O13" s="45"/>
      <c r="P13" s="366"/>
    </row>
    <row r="14" spans="1:16" ht="22.5" customHeight="1" thickBot="1" x14ac:dyDescent="0.3">
      <c r="A14" s="368" t="s">
        <v>3</v>
      </c>
      <c r="B14" s="351"/>
      <c r="C14" s="351"/>
      <c r="D14" s="42"/>
      <c r="E14" s="1599"/>
      <c r="F14" s="1599"/>
      <c r="G14" s="1599"/>
      <c r="H14" s="1599"/>
      <c r="I14" s="1599"/>
      <c r="J14" s="1599"/>
      <c r="K14" s="1599"/>
      <c r="L14" s="1599"/>
      <c r="M14" s="370" t="s">
        <v>348</v>
      </c>
      <c r="N14" s="1597"/>
      <c r="O14" s="1597"/>
      <c r="P14" s="371"/>
    </row>
    <row r="15" spans="1:16" ht="15.95" customHeight="1" thickBot="1" x14ac:dyDescent="0.3">
      <c r="A15" s="363"/>
      <c r="B15" s="42"/>
      <c r="C15" s="42"/>
      <c r="D15" s="42"/>
      <c r="E15" s="1595"/>
      <c r="F15" s="1595"/>
      <c r="G15" s="1595"/>
      <c r="H15" s="1595"/>
      <c r="I15" s="1595"/>
      <c r="J15" s="1595"/>
      <c r="K15" s="1595"/>
      <c r="L15" s="1595"/>
      <c r="M15" s="370" t="s">
        <v>349</v>
      </c>
      <c r="N15" s="1598"/>
      <c r="O15" s="1598"/>
      <c r="P15" s="371"/>
    </row>
    <row r="16" spans="1:16" ht="15.95" customHeight="1" thickBot="1" x14ac:dyDescent="0.3">
      <c r="A16" s="368" t="s">
        <v>342</v>
      </c>
      <c r="B16" s="351"/>
      <c r="C16" s="351"/>
      <c r="D16" s="42"/>
      <c r="E16" s="1595"/>
      <c r="F16" s="1595"/>
      <c r="G16" s="1595"/>
      <c r="H16" s="369" t="s">
        <v>4</v>
      </c>
      <c r="I16" s="1595"/>
      <c r="J16" s="1595"/>
      <c r="K16" s="1595"/>
      <c r="L16" s="1595"/>
      <c r="M16" s="370" t="s">
        <v>158</v>
      </c>
      <c r="N16" s="1598"/>
      <c r="O16" s="1598"/>
      <c r="P16" s="371"/>
    </row>
    <row r="17" spans="1:16" ht="6.75" customHeight="1" x14ac:dyDescent="0.2">
      <c r="A17" s="363"/>
      <c r="B17" s="42"/>
      <c r="C17" s="42"/>
      <c r="D17" s="42"/>
      <c r="E17" s="42"/>
      <c r="F17" s="42"/>
      <c r="G17" s="42"/>
      <c r="H17" s="42"/>
      <c r="I17" s="42"/>
      <c r="J17" s="42"/>
      <c r="K17" s="42"/>
      <c r="L17" s="42"/>
      <c r="M17" s="42"/>
      <c r="N17" s="42"/>
      <c r="O17" s="42"/>
      <c r="P17" s="364"/>
    </row>
    <row r="18" spans="1:16" ht="15.95" customHeight="1" thickBot="1" x14ac:dyDescent="0.3">
      <c r="A18" s="368" t="s">
        <v>317</v>
      </c>
      <c r="B18" s="351"/>
      <c r="C18" s="351"/>
      <c r="D18" s="42"/>
      <c r="E18" s="1595"/>
      <c r="F18" s="1595"/>
      <c r="G18" s="1595"/>
      <c r="H18" s="369" t="s">
        <v>350</v>
      </c>
      <c r="I18" s="1595"/>
      <c r="J18" s="1595"/>
      <c r="K18" s="1595"/>
      <c r="L18" s="369" t="s">
        <v>351</v>
      </c>
      <c r="M18" s="42"/>
      <c r="N18" s="1595"/>
      <c r="O18" s="1595"/>
      <c r="P18" s="371"/>
    </row>
    <row r="19" spans="1:16" ht="15.95" customHeight="1" x14ac:dyDescent="0.2">
      <c r="A19" s="365"/>
      <c r="B19" s="45"/>
      <c r="C19" s="45"/>
      <c r="D19" s="45"/>
      <c r="E19" s="45"/>
      <c r="F19" s="45"/>
      <c r="G19" s="45"/>
      <c r="H19" s="45"/>
      <c r="I19" s="45"/>
      <c r="J19" s="45"/>
      <c r="K19" s="45"/>
      <c r="L19" s="45"/>
      <c r="M19" s="45"/>
      <c r="N19" s="45"/>
      <c r="O19" s="373"/>
      <c r="P19" s="366"/>
    </row>
    <row r="20" spans="1:16" ht="15.95" customHeight="1" x14ac:dyDescent="0.2">
      <c r="A20" s="363"/>
      <c r="B20" s="42"/>
      <c r="C20" s="42"/>
      <c r="D20" s="42"/>
      <c r="E20" s="42"/>
      <c r="F20" s="42"/>
      <c r="G20" s="42"/>
      <c r="H20" s="42"/>
      <c r="I20" s="42"/>
      <c r="J20" s="42"/>
      <c r="K20" s="42"/>
      <c r="L20" s="42"/>
      <c r="M20" s="42"/>
      <c r="N20" s="42"/>
      <c r="O20" s="42"/>
      <c r="P20" s="364"/>
    </row>
    <row r="21" spans="1:16" ht="15.95" customHeight="1" thickBot="1" x14ac:dyDescent="0.3">
      <c r="A21" s="368" t="s">
        <v>343</v>
      </c>
      <c r="B21" s="351"/>
      <c r="C21" s="351"/>
      <c r="D21" s="42"/>
      <c r="E21" s="42"/>
      <c r="F21" s="1595"/>
      <c r="G21" s="1595"/>
      <c r="H21" s="1595"/>
      <c r="I21" s="1595"/>
      <c r="J21" s="1595"/>
      <c r="K21" s="1595"/>
      <c r="L21" s="1595"/>
      <c r="M21" s="1595"/>
      <c r="N21" s="1595"/>
      <c r="O21" s="1595"/>
      <c r="P21" s="371"/>
    </row>
    <row r="22" spans="1:16" ht="15.95" customHeight="1" thickBot="1" x14ac:dyDescent="0.25">
      <c r="A22" s="1596"/>
      <c r="B22" s="1595"/>
      <c r="C22" s="1595"/>
      <c r="D22" s="1595"/>
      <c r="E22" s="1595"/>
      <c r="F22" s="1595"/>
      <c r="G22" s="1595"/>
      <c r="H22" s="1595"/>
      <c r="I22" s="1595"/>
      <c r="J22" s="1595"/>
      <c r="K22" s="1595"/>
      <c r="L22" s="1595"/>
      <c r="M22" s="1595"/>
      <c r="N22" s="1595"/>
      <c r="O22" s="1595"/>
      <c r="P22" s="371"/>
    </row>
    <row r="23" spans="1:16" ht="15.95" customHeight="1" thickBot="1" x14ac:dyDescent="0.25">
      <c r="A23" s="1596"/>
      <c r="B23" s="1595"/>
      <c r="C23" s="1595"/>
      <c r="D23" s="1595"/>
      <c r="E23" s="1595"/>
      <c r="F23" s="1595"/>
      <c r="G23" s="1595"/>
      <c r="H23" s="1595"/>
      <c r="I23" s="1595"/>
      <c r="J23" s="1595"/>
      <c r="K23" s="1595"/>
      <c r="L23" s="1595"/>
      <c r="M23" s="1595"/>
      <c r="N23" s="1595"/>
      <c r="O23" s="1595"/>
      <c r="P23" s="371"/>
    </row>
    <row r="24" spans="1:16" ht="15.95" customHeight="1" thickBot="1" x14ac:dyDescent="0.25">
      <c r="A24" s="1596"/>
      <c r="B24" s="1595"/>
      <c r="C24" s="1595"/>
      <c r="D24" s="1595"/>
      <c r="E24" s="1595"/>
      <c r="F24" s="1595"/>
      <c r="G24" s="1595"/>
      <c r="H24" s="1595"/>
      <c r="I24" s="1595"/>
      <c r="J24" s="1595"/>
      <c r="K24" s="1595"/>
      <c r="L24" s="1595"/>
      <c r="M24" s="1595"/>
      <c r="N24" s="1595"/>
      <c r="O24" s="1595"/>
      <c r="P24" s="371"/>
    </row>
    <row r="25" spans="1:16" ht="21" customHeight="1" x14ac:dyDescent="0.2">
      <c r="A25" s="365"/>
      <c r="B25" s="45"/>
      <c r="C25" s="45"/>
      <c r="D25" s="45"/>
      <c r="E25" s="45"/>
      <c r="F25" s="45"/>
      <c r="G25" s="45"/>
      <c r="H25" s="45"/>
      <c r="I25" s="45"/>
      <c r="J25" s="45"/>
      <c r="K25" s="45"/>
      <c r="L25" s="45"/>
      <c r="M25" s="45"/>
      <c r="N25" s="45"/>
      <c r="O25" s="45"/>
      <c r="P25" s="366"/>
    </row>
    <row r="26" spans="1:16" ht="15.95" customHeight="1" x14ac:dyDescent="0.2">
      <c r="A26" s="363"/>
      <c r="B26" s="42"/>
      <c r="C26" s="42"/>
      <c r="D26" s="42"/>
      <c r="E26" s="42"/>
      <c r="F26" s="42"/>
      <c r="G26" s="42"/>
      <c r="H26" s="42"/>
      <c r="I26" s="42"/>
      <c r="J26" s="42"/>
      <c r="K26" s="42"/>
      <c r="L26" s="42"/>
      <c r="M26" s="42"/>
      <c r="N26" s="42"/>
      <c r="O26" s="42"/>
      <c r="P26" s="364"/>
    </row>
    <row r="27" spans="1:16" ht="15.95" customHeight="1" thickBot="1" x14ac:dyDescent="0.3">
      <c r="A27" s="368" t="s">
        <v>344</v>
      </c>
      <c r="B27" s="351"/>
      <c r="C27" s="351"/>
      <c r="D27" s="42"/>
      <c r="E27" s="42"/>
      <c r="F27" s="1595"/>
      <c r="G27" s="1595"/>
      <c r="H27" s="1595"/>
      <c r="I27" s="1595"/>
      <c r="J27" s="1595"/>
      <c r="K27" s="1595"/>
      <c r="L27" s="1595"/>
      <c r="M27" s="1595"/>
      <c r="N27" s="1595"/>
      <c r="O27" s="1595"/>
      <c r="P27" s="371"/>
    </row>
    <row r="28" spans="1:16" ht="15.95" customHeight="1" thickBot="1" x14ac:dyDescent="0.25">
      <c r="A28" s="1596"/>
      <c r="B28" s="1595"/>
      <c r="C28" s="1595"/>
      <c r="D28" s="1595"/>
      <c r="E28" s="1595"/>
      <c r="F28" s="1595"/>
      <c r="G28" s="1595"/>
      <c r="H28" s="1595"/>
      <c r="I28" s="1595"/>
      <c r="J28" s="1595"/>
      <c r="K28" s="1595"/>
      <c r="L28" s="1595"/>
      <c r="M28" s="1595"/>
      <c r="N28" s="1595"/>
      <c r="O28" s="1595"/>
      <c r="P28" s="371"/>
    </row>
    <row r="29" spans="1:16" ht="15.95" customHeight="1" thickBot="1" x14ac:dyDescent="0.25">
      <c r="A29" s="1596"/>
      <c r="B29" s="1595"/>
      <c r="C29" s="1595"/>
      <c r="D29" s="1595"/>
      <c r="E29" s="1595"/>
      <c r="F29" s="1595"/>
      <c r="G29" s="1595"/>
      <c r="H29" s="1595"/>
      <c r="I29" s="1595"/>
      <c r="J29" s="1595"/>
      <c r="K29" s="1595"/>
      <c r="L29" s="1595"/>
      <c r="M29" s="1595"/>
      <c r="N29" s="1595"/>
      <c r="O29" s="1595"/>
      <c r="P29" s="371"/>
    </row>
    <row r="30" spans="1:16" ht="15.95" customHeight="1" thickBot="1" x14ac:dyDescent="0.25">
      <c r="A30" s="1596"/>
      <c r="B30" s="1595"/>
      <c r="C30" s="1595"/>
      <c r="D30" s="1595"/>
      <c r="E30" s="1595"/>
      <c r="F30" s="1595"/>
      <c r="G30" s="1595"/>
      <c r="H30" s="1595"/>
      <c r="I30" s="1595"/>
      <c r="J30" s="1595"/>
      <c r="K30" s="1595"/>
      <c r="L30" s="1595"/>
      <c r="M30" s="1595"/>
      <c r="N30" s="1595"/>
      <c r="O30" s="1595"/>
      <c r="P30" s="371"/>
    </row>
    <row r="31" spans="1:16" ht="15.95" customHeight="1" thickBot="1" x14ac:dyDescent="0.25">
      <c r="A31" s="1596"/>
      <c r="B31" s="1595"/>
      <c r="C31" s="1595"/>
      <c r="D31" s="1595"/>
      <c r="E31" s="1595"/>
      <c r="F31" s="1595"/>
      <c r="G31" s="1595"/>
      <c r="H31" s="1595"/>
      <c r="I31" s="1595"/>
      <c r="J31" s="1595"/>
      <c r="K31" s="1595"/>
      <c r="L31" s="1595"/>
      <c r="M31" s="1595"/>
      <c r="N31" s="1595"/>
      <c r="O31" s="1595"/>
      <c r="P31" s="371"/>
    </row>
    <row r="32" spans="1:16" ht="21" customHeight="1" x14ac:dyDescent="0.2">
      <c r="A32" s="365"/>
      <c r="B32" s="45"/>
      <c r="C32" s="45"/>
      <c r="D32" s="45"/>
      <c r="E32" s="45"/>
      <c r="F32" s="45"/>
      <c r="G32" s="45"/>
      <c r="H32" s="45"/>
      <c r="I32" s="45"/>
      <c r="J32" s="45"/>
      <c r="K32" s="45"/>
      <c r="L32" s="45"/>
      <c r="M32" s="45"/>
      <c r="N32" s="45"/>
      <c r="O32" s="45"/>
      <c r="P32" s="366"/>
    </row>
    <row r="33" spans="1:16" ht="19.5" customHeight="1" x14ac:dyDescent="0.2">
      <c r="A33" s="363"/>
      <c r="B33" s="42"/>
      <c r="C33" s="42"/>
      <c r="D33" s="42"/>
      <c r="E33" s="42"/>
      <c r="F33" s="42"/>
      <c r="G33" s="42"/>
      <c r="H33" s="42"/>
      <c r="I33" s="42"/>
      <c r="J33" s="42"/>
      <c r="K33" s="42"/>
      <c r="L33" s="42"/>
      <c r="M33" s="42"/>
      <c r="N33" s="42"/>
      <c r="O33" s="42"/>
      <c r="P33" s="364"/>
    </row>
    <row r="34" spans="1:16" ht="21" customHeight="1" thickBot="1" x14ac:dyDescent="0.3">
      <c r="A34" s="368" t="s">
        <v>345</v>
      </c>
      <c r="B34" s="351"/>
      <c r="C34" s="351"/>
      <c r="D34" s="1595"/>
      <c r="E34" s="1595"/>
      <c r="F34" s="1595"/>
      <c r="G34" s="1595"/>
      <c r="H34" s="1595"/>
      <c r="I34" s="1595"/>
      <c r="J34" s="1595"/>
      <c r="K34" s="369" t="s">
        <v>39</v>
      </c>
      <c r="L34" s="1595"/>
      <c r="M34" s="1595"/>
      <c r="N34" s="1595"/>
      <c r="O34" s="42"/>
      <c r="P34" s="364"/>
    </row>
    <row r="35" spans="1:16" ht="21" customHeight="1" x14ac:dyDescent="0.2">
      <c r="A35" s="365"/>
      <c r="B35" s="45"/>
      <c r="C35" s="45"/>
      <c r="D35" s="45"/>
      <c r="E35" s="45"/>
      <c r="F35" s="45"/>
      <c r="G35" s="45"/>
      <c r="H35" s="45"/>
      <c r="I35" s="45"/>
      <c r="J35" s="45"/>
      <c r="K35" s="45"/>
      <c r="L35" s="45"/>
      <c r="M35" s="45"/>
      <c r="N35" s="45"/>
      <c r="O35" s="45"/>
      <c r="P35" s="366"/>
    </row>
    <row r="36" spans="1:16" ht="18" customHeight="1" x14ac:dyDescent="0.2">
      <c r="A36" s="363"/>
      <c r="B36" s="42"/>
      <c r="C36" s="42"/>
      <c r="D36" s="42"/>
      <c r="E36" s="42"/>
      <c r="F36" s="42"/>
      <c r="G36" s="42"/>
      <c r="H36" s="42"/>
      <c r="I36" s="42"/>
      <c r="J36" s="42"/>
      <c r="K36" s="42"/>
      <c r="L36" s="42"/>
      <c r="M36" s="42"/>
      <c r="N36" s="42"/>
      <c r="O36" s="42"/>
      <c r="P36" s="364"/>
    </row>
    <row r="37" spans="1:16" ht="21" customHeight="1" thickBot="1" x14ac:dyDescent="0.3">
      <c r="A37" s="368" t="s">
        <v>346</v>
      </c>
      <c r="B37" s="351"/>
      <c r="C37" s="1595"/>
      <c r="D37" s="1595"/>
      <c r="E37" s="1595"/>
      <c r="F37" s="1595"/>
      <c r="G37" s="1595"/>
      <c r="H37" s="1595"/>
      <c r="I37" s="1595"/>
      <c r="J37" s="1595"/>
      <c r="K37" s="370" t="s">
        <v>39</v>
      </c>
      <c r="L37" s="1595"/>
      <c r="M37" s="1595"/>
      <c r="N37" s="1595"/>
      <c r="O37" s="42"/>
      <c r="P37" s="364"/>
    </row>
    <row r="38" spans="1:16" ht="15.95" customHeight="1" x14ac:dyDescent="0.2">
      <c r="A38" s="363"/>
      <c r="B38" s="42"/>
      <c r="C38" s="42"/>
      <c r="D38" s="42"/>
      <c r="E38" s="42"/>
      <c r="F38" s="42"/>
      <c r="G38" s="42"/>
      <c r="H38" s="42"/>
      <c r="I38" s="42"/>
      <c r="J38" s="42"/>
      <c r="K38" s="367"/>
      <c r="L38" s="42"/>
      <c r="M38" s="42"/>
      <c r="N38" s="42"/>
      <c r="O38" s="42"/>
      <c r="P38" s="364"/>
    </row>
    <row r="39" spans="1:16" ht="9" customHeight="1" x14ac:dyDescent="0.2">
      <c r="A39" s="363"/>
      <c r="B39" s="42"/>
      <c r="C39" s="42"/>
      <c r="D39" s="42"/>
      <c r="E39" s="42"/>
      <c r="F39" s="42"/>
      <c r="G39" s="42"/>
      <c r="H39" s="42"/>
      <c r="I39" s="42"/>
      <c r="J39" s="42"/>
      <c r="K39" s="42"/>
      <c r="L39" s="42"/>
      <c r="M39" s="42"/>
      <c r="N39" s="42"/>
      <c r="O39" s="42"/>
      <c r="P39" s="364"/>
    </row>
    <row r="40" spans="1:16" ht="15.95" customHeight="1" thickBot="1" x14ac:dyDescent="0.3">
      <c r="A40" s="368" t="s">
        <v>347</v>
      </c>
      <c r="B40" s="1595"/>
      <c r="C40" s="1595"/>
      <c r="D40" s="1595"/>
      <c r="E40" s="1595"/>
      <c r="F40" s="1595"/>
      <c r="G40" s="1595"/>
      <c r="H40" s="1595"/>
      <c r="I40" s="1595"/>
      <c r="J40" s="1595"/>
      <c r="K40" s="42"/>
      <c r="L40" s="42"/>
      <c r="M40" s="42"/>
      <c r="N40" s="42"/>
      <c r="O40" s="42"/>
      <c r="P40" s="364"/>
    </row>
    <row r="41" spans="1:16" ht="21" customHeight="1" x14ac:dyDescent="0.2">
      <c r="A41" s="365"/>
      <c r="B41" s="45"/>
      <c r="C41" s="45"/>
      <c r="D41" s="45"/>
      <c r="E41" s="45"/>
      <c r="F41" s="45"/>
      <c r="G41" s="45"/>
      <c r="H41" s="45"/>
      <c r="I41" s="45"/>
      <c r="J41" s="45"/>
      <c r="K41" s="45"/>
      <c r="L41" s="45"/>
      <c r="M41" s="45"/>
      <c r="N41" s="45"/>
      <c r="O41" s="45"/>
      <c r="P41" s="366"/>
    </row>
    <row r="42" spans="1:16" ht="15.95" customHeight="1" x14ac:dyDescent="0.2">
      <c r="A42" s="42"/>
      <c r="B42" s="42"/>
      <c r="C42" s="42"/>
      <c r="D42" s="42"/>
      <c r="E42" s="42"/>
      <c r="F42" s="42"/>
      <c r="G42" s="42"/>
      <c r="H42" s="42"/>
      <c r="I42" s="42"/>
      <c r="J42" s="42"/>
      <c r="K42" s="42"/>
      <c r="L42" s="42"/>
      <c r="M42" s="42"/>
      <c r="N42" s="42"/>
      <c r="O42" s="42"/>
      <c r="P42" s="42"/>
    </row>
    <row r="43" spans="1:16" ht="21.75" customHeight="1" x14ac:dyDescent="0.2">
      <c r="A43" s="42"/>
      <c r="B43" s="42"/>
      <c r="C43" s="42"/>
      <c r="D43" s="42"/>
      <c r="E43" s="42"/>
      <c r="F43" s="42"/>
      <c r="G43" s="42"/>
      <c r="H43" s="42"/>
      <c r="I43" s="42"/>
      <c r="J43" s="42"/>
      <c r="K43" s="42"/>
      <c r="L43" s="42"/>
      <c r="M43" s="42"/>
      <c r="N43" s="42"/>
      <c r="O43" s="42"/>
      <c r="P43" s="42"/>
    </row>
    <row r="44" spans="1:16" ht="12.75" customHeight="1" x14ac:dyDescent="0.2">
      <c r="A44" s="1600" t="s">
        <v>352</v>
      </c>
      <c r="B44" s="1600"/>
      <c r="C44" s="1600"/>
      <c r="D44" s="1600"/>
      <c r="E44" s="1600"/>
      <c r="F44" s="1600"/>
      <c r="G44" s="1600"/>
      <c r="H44" s="1600"/>
      <c r="I44" s="1600"/>
      <c r="J44" s="1600"/>
      <c r="K44" s="1600"/>
      <c r="L44" s="1600"/>
      <c r="M44" s="1600"/>
      <c r="N44" s="1600"/>
      <c r="O44" s="1600"/>
      <c r="P44" s="1600"/>
    </row>
    <row r="45" spans="1:16" ht="12.75" customHeight="1" x14ac:dyDescent="0.2">
      <c r="A45" s="1600" t="s">
        <v>353</v>
      </c>
      <c r="B45" s="1600"/>
      <c r="C45" s="1600"/>
      <c r="D45" s="1600"/>
      <c r="E45" s="1600"/>
      <c r="F45" s="1600"/>
      <c r="G45" s="1600"/>
      <c r="H45" s="1600"/>
      <c r="I45" s="1600"/>
      <c r="J45" s="1600"/>
      <c r="K45" s="1600"/>
      <c r="L45" s="1600"/>
      <c r="M45" s="1600"/>
      <c r="N45" s="1600"/>
      <c r="O45" s="1600"/>
      <c r="P45" s="1600"/>
    </row>
    <row r="46" spans="1:16" x14ac:dyDescent="0.2">
      <c r="A46" s="1592" t="s">
        <v>354</v>
      </c>
      <c r="B46" s="1592"/>
      <c r="C46" s="1592"/>
      <c r="D46" s="1592"/>
      <c r="E46" s="1592"/>
      <c r="F46" s="1592"/>
      <c r="G46" s="1592"/>
      <c r="H46" s="1592"/>
      <c r="I46" s="1592"/>
      <c r="J46" s="1592"/>
      <c r="K46" s="1592"/>
      <c r="L46" s="1592"/>
      <c r="M46" s="1592"/>
      <c r="N46" s="1592"/>
      <c r="O46" s="1592"/>
      <c r="P46" s="1592"/>
    </row>
  </sheetData>
  <sheetProtection algorithmName="SHA-512" hashValue="u7PPnd7uK/XVfqHxQcE2FRVpVcp6F9QUV0G5XPXXqWw+F7YVCV4UmcX2iAEfBZnN1Fq1zEGhoQDBXJrZj/NM9g==" saltValue="ESFuaWevd8Dtb8vMY4OPKQ==" spinCount="100000" sheet="1" objects="1" scenarios="1" selectLockedCells="1"/>
  <mergeCells count="33">
    <mergeCell ref="B40:J40"/>
    <mergeCell ref="A44:P44"/>
    <mergeCell ref="A45:P45"/>
    <mergeCell ref="A46:P46"/>
    <mergeCell ref="A30:O30"/>
    <mergeCell ref="A31:O31"/>
    <mergeCell ref="D34:J34"/>
    <mergeCell ref="L34:N34"/>
    <mergeCell ref="C37:J37"/>
    <mergeCell ref="L37:N37"/>
    <mergeCell ref="A23:O23"/>
    <mergeCell ref="A24:O24"/>
    <mergeCell ref="F27:O27"/>
    <mergeCell ref="A28:O28"/>
    <mergeCell ref="A29:O29"/>
    <mergeCell ref="A22:O22"/>
    <mergeCell ref="N14:O14"/>
    <mergeCell ref="N15:O15"/>
    <mergeCell ref="N16:O16"/>
    <mergeCell ref="I18:K18"/>
    <mergeCell ref="I16:L16"/>
    <mergeCell ref="N18:O18"/>
    <mergeCell ref="E18:G18"/>
    <mergeCell ref="E16:G16"/>
    <mergeCell ref="E14:L14"/>
    <mergeCell ref="E15:L15"/>
    <mergeCell ref="F21:O21"/>
    <mergeCell ref="C12:K12"/>
    <mergeCell ref="A1:O1"/>
    <mergeCell ref="A8:O8"/>
    <mergeCell ref="J11:K11"/>
    <mergeCell ref="B11:I11"/>
    <mergeCell ref="L11:O11"/>
  </mergeCells>
  <conditionalFormatting sqref="B11:I11 C12:K12 L11:O11 I16:L16 E14:L15 E16:G16 N14:O16 E18:G18 I18:K18 N18:O18 F21:O21 A22:O24 F27:O27 A28:O31 D34:J34 L34:N34 C37:J37 L37:N37">
    <cfRule type="containsBlanks" dxfId="3" priority="4">
      <formula>LEN(TRIM(A11))=0</formula>
    </cfRule>
  </conditionalFormatting>
  <conditionalFormatting sqref="B40:J40">
    <cfRule type="containsBlanks" dxfId="2" priority="5">
      <formula>LEN(TRIM(B40))=0</formula>
    </cfRule>
  </conditionalFormatting>
  <pageMargins left="0.7" right="0.7" top="0.5" bottom="0.5" header="0.3" footer="0.3"/>
  <pageSetup orientation="portrait" horizontalDpi="200" verticalDpi="2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59999389629810485"/>
  </sheetPr>
  <dimension ref="A1:M58"/>
  <sheetViews>
    <sheetView workbookViewId="0">
      <selection activeCell="A16" sqref="A16:M42"/>
    </sheetView>
  </sheetViews>
  <sheetFormatPr defaultColWidth="9.140625" defaultRowHeight="12.75" x14ac:dyDescent="0.2"/>
  <cols>
    <col min="1" max="16384" width="9.140625" style="432"/>
  </cols>
  <sheetData>
    <row r="1" spans="1:13" ht="29.25" customHeight="1" thickBot="1" x14ac:dyDescent="0.4">
      <c r="A1" s="1613" t="s">
        <v>379</v>
      </c>
      <c r="B1" s="1614"/>
      <c r="C1" s="1614"/>
      <c r="D1" s="1614"/>
      <c r="E1" s="1614"/>
      <c r="F1" s="1614"/>
      <c r="G1" s="1614"/>
      <c r="H1" s="1614"/>
      <c r="I1" s="1614"/>
      <c r="J1" s="1614"/>
      <c r="K1" s="1614"/>
      <c r="L1" s="1614"/>
      <c r="M1" s="1615"/>
    </row>
    <row r="2" spans="1:13" s="455" customFormat="1" ht="29.25" customHeight="1" thickBot="1" x14ac:dyDescent="0.25">
      <c r="A2" s="1616" t="s">
        <v>384</v>
      </c>
      <c r="B2" s="1617"/>
      <c r="C2" s="456"/>
      <c r="D2" s="1616" t="s">
        <v>383</v>
      </c>
      <c r="E2" s="1617"/>
      <c r="F2" s="1617"/>
      <c r="G2" s="1618"/>
      <c r="H2" s="1620"/>
      <c r="I2" s="1619"/>
      <c r="J2" s="1617" t="s">
        <v>382</v>
      </c>
      <c r="K2" s="1617"/>
      <c r="L2" s="1618"/>
      <c r="M2" s="1619"/>
    </row>
    <row r="3" spans="1:13" ht="12.75" customHeight="1" thickBot="1" x14ac:dyDescent="0.25">
      <c r="A3" s="1601" t="s">
        <v>381</v>
      </c>
      <c r="B3" s="1602"/>
      <c r="C3" s="1602"/>
      <c r="D3" s="1602"/>
      <c r="E3" s="1602"/>
      <c r="F3" s="1602"/>
      <c r="G3" s="1602"/>
      <c r="H3" s="1602"/>
      <c r="I3" s="1602"/>
      <c r="J3" s="1602"/>
      <c r="K3" s="1602"/>
      <c r="L3" s="1602"/>
      <c r="M3" s="1603"/>
    </row>
    <row r="4" spans="1:13" ht="12.75" customHeight="1" x14ac:dyDescent="0.2">
      <c r="A4" s="1604"/>
      <c r="B4" s="1605"/>
      <c r="C4" s="1605"/>
      <c r="D4" s="1605"/>
      <c r="E4" s="1605"/>
      <c r="F4" s="1605"/>
      <c r="G4" s="1605"/>
      <c r="H4" s="1605"/>
      <c r="I4" s="1605"/>
      <c r="J4" s="1605"/>
      <c r="K4" s="1605"/>
      <c r="L4" s="1605"/>
      <c r="M4" s="1606"/>
    </row>
    <row r="5" spans="1:13" x14ac:dyDescent="0.2">
      <c r="A5" s="1607"/>
      <c r="B5" s="1608"/>
      <c r="C5" s="1608"/>
      <c r="D5" s="1608"/>
      <c r="E5" s="1608"/>
      <c r="F5" s="1608"/>
      <c r="G5" s="1608"/>
      <c r="H5" s="1608"/>
      <c r="I5" s="1608"/>
      <c r="J5" s="1608"/>
      <c r="K5" s="1608"/>
      <c r="L5" s="1608"/>
      <c r="M5" s="1609"/>
    </row>
    <row r="6" spans="1:13" x14ac:dyDescent="0.2">
      <c r="A6" s="1607"/>
      <c r="B6" s="1608"/>
      <c r="C6" s="1608"/>
      <c r="D6" s="1608"/>
      <c r="E6" s="1608"/>
      <c r="F6" s="1608"/>
      <c r="G6" s="1608"/>
      <c r="H6" s="1608"/>
      <c r="I6" s="1608"/>
      <c r="J6" s="1608"/>
      <c r="K6" s="1608"/>
      <c r="L6" s="1608"/>
      <c r="M6" s="1609"/>
    </row>
    <row r="7" spans="1:13" x14ac:dyDescent="0.2">
      <c r="A7" s="1607"/>
      <c r="B7" s="1608"/>
      <c r="C7" s="1608"/>
      <c r="D7" s="1608"/>
      <c r="E7" s="1608"/>
      <c r="F7" s="1608"/>
      <c r="G7" s="1608"/>
      <c r="H7" s="1608"/>
      <c r="I7" s="1608"/>
      <c r="J7" s="1608"/>
      <c r="K7" s="1608"/>
      <c r="L7" s="1608"/>
      <c r="M7" s="1609"/>
    </row>
    <row r="8" spans="1:13" ht="13.5" customHeight="1" x14ac:dyDescent="0.2">
      <c r="A8" s="1607"/>
      <c r="B8" s="1608"/>
      <c r="C8" s="1608"/>
      <c r="D8" s="1608"/>
      <c r="E8" s="1608"/>
      <c r="F8" s="1608"/>
      <c r="G8" s="1608"/>
      <c r="H8" s="1608"/>
      <c r="I8" s="1608"/>
      <c r="J8" s="1608"/>
      <c r="K8" s="1608"/>
      <c r="L8" s="1608"/>
      <c r="M8" s="1609"/>
    </row>
    <row r="9" spans="1:13" x14ac:dyDescent="0.2">
      <c r="A9" s="1607"/>
      <c r="B9" s="1608"/>
      <c r="C9" s="1608"/>
      <c r="D9" s="1608"/>
      <c r="E9" s="1608"/>
      <c r="F9" s="1608"/>
      <c r="G9" s="1608"/>
      <c r="H9" s="1608"/>
      <c r="I9" s="1608"/>
      <c r="J9" s="1608"/>
      <c r="K9" s="1608"/>
      <c r="L9" s="1608"/>
      <c r="M9" s="1609"/>
    </row>
    <row r="10" spans="1:13" x14ac:dyDescent="0.2">
      <c r="A10" s="1607"/>
      <c r="B10" s="1608"/>
      <c r="C10" s="1608"/>
      <c r="D10" s="1608"/>
      <c r="E10" s="1608"/>
      <c r="F10" s="1608"/>
      <c r="G10" s="1608"/>
      <c r="H10" s="1608"/>
      <c r="I10" s="1608"/>
      <c r="J10" s="1608"/>
      <c r="K10" s="1608"/>
      <c r="L10" s="1608"/>
      <c r="M10" s="1609"/>
    </row>
    <row r="11" spans="1:13" x14ac:dyDescent="0.2">
      <c r="A11" s="1607"/>
      <c r="B11" s="1608"/>
      <c r="C11" s="1608"/>
      <c r="D11" s="1608"/>
      <c r="E11" s="1608"/>
      <c r="F11" s="1608"/>
      <c r="G11" s="1608"/>
      <c r="H11" s="1608"/>
      <c r="I11" s="1608"/>
      <c r="J11" s="1608"/>
      <c r="K11" s="1608"/>
      <c r="L11" s="1608"/>
      <c r="M11" s="1609"/>
    </row>
    <row r="12" spans="1:13" x14ac:dyDescent="0.2">
      <c r="A12" s="1607"/>
      <c r="B12" s="1608"/>
      <c r="C12" s="1608"/>
      <c r="D12" s="1608"/>
      <c r="E12" s="1608"/>
      <c r="F12" s="1608"/>
      <c r="G12" s="1608"/>
      <c r="H12" s="1608"/>
      <c r="I12" s="1608"/>
      <c r="J12" s="1608"/>
      <c r="K12" s="1608"/>
      <c r="L12" s="1608"/>
      <c r="M12" s="1609"/>
    </row>
    <row r="13" spans="1:13" x14ac:dyDescent="0.2">
      <c r="A13" s="1607"/>
      <c r="B13" s="1608"/>
      <c r="C13" s="1608"/>
      <c r="D13" s="1608"/>
      <c r="E13" s="1608"/>
      <c r="F13" s="1608"/>
      <c r="G13" s="1608"/>
      <c r="H13" s="1608"/>
      <c r="I13" s="1608"/>
      <c r="J13" s="1608"/>
      <c r="K13" s="1608"/>
      <c r="L13" s="1608"/>
      <c r="M13" s="1609"/>
    </row>
    <row r="14" spans="1:13" ht="13.5" thickBot="1" x14ac:dyDescent="0.25">
      <c r="A14" s="1607"/>
      <c r="B14" s="1608"/>
      <c r="C14" s="1608"/>
      <c r="D14" s="1608"/>
      <c r="E14" s="1608"/>
      <c r="F14" s="1608"/>
      <c r="G14" s="1608"/>
      <c r="H14" s="1608"/>
      <c r="I14" s="1608"/>
      <c r="J14" s="1608"/>
      <c r="K14" s="1608"/>
      <c r="L14" s="1608"/>
      <c r="M14" s="1609"/>
    </row>
    <row r="15" spans="1:13" ht="13.5" thickBot="1" x14ac:dyDescent="0.25">
      <c r="A15" s="1601" t="s">
        <v>386</v>
      </c>
      <c r="B15" s="1602"/>
      <c r="C15" s="1602"/>
      <c r="D15" s="1602"/>
      <c r="E15" s="1602"/>
      <c r="F15" s="1602"/>
      <c r="G15" s="1602"/>
      <c r="H15" s="1602"/>
      <c r="I15" s="1602"/>
      <c r="J15" s="1602"/>
      <c r="K15" s="1602"/>
      <c r="L15" s="1602"/>
      <c r="M15" s="1603"/>
    </row>
    <row r="16" spans="1:13" ht="178.5" customHeight="1" x14ac:dyDescent="0.2">
      <c r="A16" s="1604" t="s">
        <v>385</v>
      </c>
      <c r="B16" s="1605"/>
      <c r="C16" s="1605"/>
      <c r="D16" s="1605"/>
      <c r="E16" s="1605"/>
      <c r="F16" s="1605"/>
      <c r="G16" s="1605"/>
      <c r="H16" s="1605"/>
      <c r="I16" s="1605"/>
      <c r="J16" s="1605"/>
      <c r="K16" s="1605"/>
      <c r="L16" s="1605"/>
      <c r="M16" s="1606"/>
    </row>
    <row r="17" spans="1:13" x14ac:dyDescent="0.2">
      <c r="A17" s="1607"/>
      <c r="B17" s="1608"/>
      <c r="C17" s="1608"/>
      <c r="D17" s="1608"/>
      <c r="E17" s="1608"/>
      <c r="F17" s="1608"/>
      <c r="G17" s="1608"/>
      <c r="H17" s="1608"/>
      <c r="I17" s="1608"/>
      <c r="J17" s="1608"/>
      <c r="K17" s="1608"/>
      <c r="L17" s="1608"/>
      <c r="M17" s="1609"/>
    </row>
    <row r="18" spans="1:13" x14ac:dyDescent="0.2">
      <c r="A18" s="1607"/>
      <c r="B18" s="1608"/>
      <c r="C18" s="1608"/>
      <c r="D18" s="1608"/>
      <c r="E18" s="1608"/>
      <c r="F18" s="1608"/>
      <c r="G18" s="1608"/>
      <c r="H18" s="1608"/>
      <c r="I18" s="1608"/>
      <c r="J18" s="1608"/>
      <c r="K18" s="1608"/>
      <c r="L18" s="1608"/>
      <c r="M18" s="1609"/>
    </row>
    <row r="19" spans="1:13" x14ac:dyDescent="0.2">
      <c r="A19" s="1607"/>
      <c r="B19" s="1608"/>
      <c r="C19" s="1608"/>
      <c r="D19" s="1608"/>
      <c r="E19" s="1608"/>
      <c r="F19" s="1608"/>
      <c r="G19" s="1608"/>
      <c r="H19" s="1608"/>
      <c r="I19" s="1608"/>
      <c r="J19" s="1608"/>
      <c r="K19" s="1608"/>
      <c r="L19" s="1608"/>
      <c r="M19" s="1609"/>
    </row>
    <row r="20" spans="1:13" x14ac:dyDescent="0.2">
      <c r="A20" s="1607"/>
      <c r="B20" s="1608"/>
      <c r="C20" s="1608"/>
      <c r="D20" s="1608"/>
      <c r="E20" s="1608"/>
      <c r="F20" s="1608"/>
      <c r="G20" s="1608"/>
      <c r="H20" s="1608"/>
      <c r="I20" s="1608"/>
      <c r="J20" s="1608"/>
      <c r="K20" s="1608"/>
      <c r="L20" s="1608"/>
      <c r="M20" s="1609"/>
    </row>
    <row r="21" spans="1:13" x14ac:dyDescent="0.2">
      <c r="A21" s="1607"/>
      <c r="B21" s="1608"/>
      <c r="C21" s="1608"/>
      <c r="D21" s="1608"/>
      <c r="E21" s="1608"/>
      <c r="F21" s="1608"/>
      <c r="G21" s="1608"/>
      <c r="H21" s="1608"/>
      <c r="I21" s="1608"/>
      <c r="J21" s="1608"/>
      <c r="K21" s="1608"/>
      <c r="L21" s="1608"/>
      <c r="M21" s="1609"/>
    </row>
    <row r="22" spans="1:13" ht="12.75" customHeight="1" x14ac:dyDescent="0.2">
      <c r="A22" s="1607"/>
      <c r="B22" s="1608"/>
      <c r="C22" s="1608"/>
      <c r="D22" s="1608"/>
      <c r="E22" s="1608"/>
      <c r="F22" s="1608"/>
      <c r="G22" s="1608"/>
      <c r="H22" s="1608"/>
      <c r="I22" s="1608"/>
      <c r="J22" s="1608"/>
      <c r="K22" s="1608"/>
      <c r="L22" s="1608"/>
      <c r="M22" s="1609"/>
    </row>
    <row r="23" spans="1:13" x14ac:dyDescent="0.2">
      <c r="A23" s="1607"/>
      <c r="B23" s="1608"/>
      <c r="C23" s="1608"/>
      <c r="D23" s="1608"/>
      <c r="E23" s="1608"/>
      <c r="F23" s="1608"/>
      <c r="G23" s="1608"/>
      <c r="H23" s="1608"/>
      <c r="I23" s="1608"/>
      <c r="J23" s="1608"/>
      <c r="K23" s="1608"/>
      <c r="L23" s="1608"/>
      <c r="M23" s="1609"/>
    </row>
    <row r="24" spans="1:13" x14ac:dyDescent="0.2">
      <c r="A24" s="1607"/>
      <c r="B24" s="1608"/>
      <c r="C24" s="1608"/>
      <c r="D24" s="1608"/>
      <c r="E24" s="1608"/>
      <c r="F24" s="1608"/>
      <c r="G24" s="1608"/>
      <c r="H24" s="1608"/>
      <c r="I24" s="1608"/>
      <c r="J24" s="1608"/>
      <c r="K24" s="1608"/>
      <c r="L24" s="1608"/>
      <c r="M24" s="1609"/>
    </row>
    <row r="25" spans="1:13" x14ac:dyDescent="0.2">
      <c r="A25" s="1607"/>
      <c r="B25" s="1608"/>
      <c r="C25" s="1608"/>
      <c r="D25" s="1608"/>
      <c r="E25" s="1608"/>
      <c r="F25" s="1608"/>
      <c r="G25" s="1608"/>
      <c r="H25" s="1608"/>
      <c r="I25" s="1608"/>
      <c r="J25" s="1608"/>
      <c r="K25" s="1608"/>
      <c r="L25" s="1608"/>
      <c r="M25" s="1609"/>
    </row>
    <row r="26" spans="1:13" x14ac:dyDescent="0.2">
      <c r="A26" s="1607"/>
      <c r="B26" s="1608"/>
      <c r="C26" s="1608"/>
      <c r="D26" s="1608"/>
      <c r="E26" s="1608"/>
      <c r="F26" s="1608"/>
      <c r="G26" s="1608"/>
      <c r="H26" s="1608"/>
      <c r="I26" s="1608"/>
      <c r="J26" s="1608"/>
      <c r="K26" s="1608"/>
      <c r="L26" s="1608"/>
      <c r="M26" s="1609"/>
    </row>
    <row r="27" spans="1:13" x14ac:dyDescent="0.2">
      <c r="A27" s="1607"/>
      <c r="B27" s="1608"/>
      <c r="C27" s="1608"/>
      <c r="D27" s="1608"/>
      <c r="E27" s="1608"/>
      <c r="F27" s="1608"/>
      <c r="G27" s="1608"/>
      <c r="H27" s="1608"/>
      <c r="I27" s="1608"/>
      <c r="J27" s="1608"/>
      <c r="K27" s="1608"/>
      <c r="L27" s="1608"/>
      <c r="M27" s="1609"/>
    </row>
    <row r="28" spans="1:13" x14ac:dyDescent="0.2">
      <c r="A28" s="1607"/>
      <c r="B28" s="1608"/>
      <c r="C28" s="1608"/>
      <c r="D28" s="1608"/>
      <c r="E28" s="1608"/>
      <c r="F28" s="1608"/>
      <c r="G28" s="1608"/>
      <c r="H28" s="1608"/>
      <c r="I28" s="1608"/>
      <c r="J28" s="1608"/>
      <c r="K28" s="1608"/>
      <c r="L28" s="1608"/>
      <c r="M28" s="1609"/>
    </row>
    <row r="29" spans="1:13" x14ac:dyDescent="0.2">
      <c r="A29" s="1607"/>
      <c r="B29" s="1608"/>
      <c r="C29" s="1608"/>
      <c r="D29" s="1608"/>
      <c r="E29" s="1608"/>
      <c r="F29" s="1608"/>
      <c r="G29" s="1608"/>
      <c r="H29" s="1608"/>
      <c r="I29" s="1608"/>
      <c r="J29" s="1608"/>
      <c r="K29" s="1608"/>
      <c r="L29" s="1608"/>
      <c r="M29" s="1609"/>
    </row>
    <row r="30" spans="1:13" x14ac:dyDescent="0.2">
      <c r="A30" s="1607"/>
      <c r="B30" s="1608"/>
      <c r="C30" s="1608"/>
      <c r="D30" s="1608"/>
      <c r="E30" s="1608"/>
      <c r="F30" s="1608"/>
      <c r="G30" s="1608"/>
      <c r="H30" s="1608"/>
      <c r="I30" s="1608"/>
      <c r="J30" s="1608"/>
      <c r="K30" s="1608"/>
      <c r="L30" s="1608"/>
      <c r="M30" s="1609"/>
    </row>
    <row r="31" spans="1:13" x14ac:dyDescent="0.2">
      <c r="A31" s="1607"/>
      <c r="B31" s="1608"/>
      <c r="C31" s="1608"/>
      <c r="D31" s="1608"/>
      <c r="E31" s="1608"/>
      <c r="F31" s="1608"/>
      <c r="G31" s="1608"/>
      <c r="H31" s="1608"/>
      <c r="I31" s="1608"/>
      <c r="J31" s="1608"/>
      <c r="K31" s="1608"/>
      <c r="L31" s="1608"/>
      <c r="M31" s="1609"/>
    </row>
    <row r="32" spans="1:13" x14ac:dyDescent="0.2">
      <c r="A32" s="1607"/>
      <c r="B32" s="1608"/>
      <c r="C32" s="1608"/>
      <c r="D32" s="1608"/>
      <c r="E32" s="1608"/>
      <c r="F32" s="1608"/>
      <c r="G32" s="1608"/>
      <c r="H32" s="1608"/>
      <c r="I32" s="1608"/>
      <c r="J32" s="1608"/>
      <c r="K32" s="1608"/>
      <c r="L32" s="1608"/>
      <c r="M32" s="1609"/>
    </row>
    <row r="33" spans="1:13" x14ac:dyDescent="0.2">
      <c r="A33" s="1607"/>
      <c r="B33" s="1608"/>
      <c r="C33" s="1608"/>
      <c r="D33" s="1608"/>
      <c r="E33" s="1608"/>
      <c r="F33" s="1608"/>
      <c r="G33" s="1608"/>
      <c r="H33" s="1608"/>
      <c r="I33" s="1608"/>
      <c r="J33" s="1608"/>
      <c r="K33" s="1608"/>
      <c r="L33" s="1608"/>
      <c r="M33" s="1609"/>
    </row>
    <row r="34" spans="1:13" x14ac:dyDescent="0.2">
      <c r="A34" s="1607"/>
      <c r="B34" s="1608"/>
      <c r="C34" s="1608"/>
      <c r="D34" s="1608"/>
      <c r="E34" s="1608"/>
      <c r="F34" s="1608"/>
      <c r="G34" s="1608"/>
      <c r="H34" s="1608"/>
      <c r="I34" s="1608"/>
      <c r="J34" s="1608"/>
      <c r="K34" s="1608"/>
      <c r="L34" s="1608"/>
      <c r="M34" s="1609"/>
    </row>
    <row r="35" spans="1:13" x14ac:dyDescent="0.2">
      <c r="A35" s="1607"/>
      <c r="B35" s="1608"/>
      <c r="C35" s="1608"/>
      <c r="D35" s="1608"/>
      <c r="E35" s="1608"/>
      <c r="F35" s="1608"/>
      <c r="G35" s="1608"/>
      <c r="H35" s="1608"/>
      <c r="I35" s="1608"/>
      <c r="J35" s="1608"/>
      <c r="K35" s="1608"/>
      <c r="L35" s="1608"/>
      <c r="M35" s="1609"/>
    </row>
    <row r="36" spans="1:13" x14ac:dyDescent="0.2">
      <c r="A36" s="1607"/>
      <c r="B36" s="1608"/>
      <c r="C36" s="1608"/>
      <c r="D36" s="1608"/>
      <c r="E36" s="1608"/>
      <c r="F36" s="1608"/>
      <c r="G36" s="1608"/>
      <c r="H36" s="1608"/>
      <c r="I36" s="1608"/>
      <c r="J36" s="1608"/>
      <c r="K36" s="1608"/>
      <c r="L36" s="1608"/>
      <c r="M36" s="1609"/>
    </row>
    <row r="37" spans="1:13" x14ac:dyDescent="0.2">
      <c r="A37" s="1607"/>
      <c r="B37" s="1608"/>
      <c r="C37" s="1608"/>
      <c r="D37" s="1608"/>
      <c r="E37" s="1608"/>
      <c r="F37" s="1608"/>
      <c r="G37" s="1608"/>
      <c r="H37" s="1608"/>
      <c r="I37" s="1608"/>
      <c r="J37" s="1608"/>
      <c r="K37" s="1608"/>
      <c r="L37" s="1608"/>
      <c r="M37" s="1609"/>
    </row>
    <row r="38" spans="1:13" x14ac:dyDescent="0.2">
      <c r="A38" s="1607"/>
      <c r="B38" s="1608"/>
      <c r="C38" s="1608"/>
      <c r="D38" s="1608"/>
      <c r="E38" s="1608"/>
      <c r="F38" s="1608"/>
      <c r="G38" s="1608"/>
      <c r="H38" s="1608"/>
      <c r="I38" s="1608"/>
      <c r="J38" s="1608"/>
      <c r="K38" s="1608"/>
      <c r="L38" s="1608"/>
      <c r="M38" s="1609"/>
    </row>
    <row r="39" spans="1:13" x14ac:dyDescent="0.2">
      <c r="A39" s="1607"/>
      <c r="B39" s="1608"/>
      <c r="C39" s="1608"/>
      <c r="D39" s="1608"/>
      <c r="E39" s="1608"/>
      <c r="F39" s="1608"/>
      <c r="G39" s="1608"/>
      <c r="H39" s="1608"/>
      <c r="I39" s="1608"/>
      <c r="J39" s="1608"/>
      <c r="K39" s="1608"/>
      <c r="L39" s="1608"/>
      <c r="M39" s="1609"/>
    </row>
    <row r="40" spans="1:13" x14ac:dyDescent="0.2">
      <c r="A40" s="1607"/>
      <c r="B40" s="1608"/>
      <c r="C40" s="1608"/>
      <c r="D40" s="1608"/>
      <c r="E40" s="1608"/>
      <c r="F40" s="1608"/>
      <c r="G40" s="1608"/>
      <c r="H40" s="1608"/>
      <c r="I40" s="1608"/>
      <c r="J40" s="1608"/>
      <c r="K40" s="1608"/>
      <c r="L40" s="1608"/>
      <c r="M40" s="1609"/>
    </row>
    <row r="41" spans="1:13" x14ac:dyDescent="0.2">
      <c r="A41" s="1607"/>
      <c r="B41" s="1608"/>
      <c r="C41" s="1608"/>
      <c r="D41" s="1608"/>
      <c r="E41" s="1608"/>
      <c r="F41" s="1608"/>
      <c r="G41" s="1608"/>
      <c r="H41" s="1608"/>
      <c r="I41" s="1608"/>
      <c r="J41" s="1608"/>
      <c r="K41" s="1608"/>
      <c r="L41" s="1608"/>
      <c r="M41" s="1609"/>
    </row>
    <row r="42" spans="1:13" ht="13.5" thickBot="1" x14ac:dyDescent="0.25">
      <c r="A42" s="1610"/>
      <c r="B42" s="1611"/>
      <c r="C42" s="1611"/>
      <c r="D42" s="1611"/>
      <c r="E42" s="1611"/>
      <c r="F42" s="1611"/>
      <c r="G42" s="1611"/>
      <c r="H42" s="1611"/>
      <c r="I42" s="1611"/>
      <c r="J42" s="1611"/>
      <c r="K42" s="1611"/>
      <c r="L42" s="1611"/>
      <c r="M42" s="1612"/>
    </row>
    <row r="43" spans="1:13" ht="13.5" thickBot="1" x14ac:dyDescent="0.25">
      <c r="A43" s="1601" t="s">
        <v>380</v>
      </c>
      <c r="B43" s="1602"/>
      <c r="C43" s="1602"/>
      <c r="D43" s="1602"/>
      <c r="E43" s="1602"/>
      <c r="F43" s="1602"/>
      <c r="G43" s="1602"/>
      <c r="H43" s="1602"/>
      <c r="I43" s="1602"/>
      <c r="J43" s="1602"/>
      <c r="K43" s="1602"/>
      <c r="L43" s="1602"/>
      <c r="M43" s="1603"/>
    </row>
    <row r="44" spans="1:13" x14ac:dyDescent="0.2">
      <c r="A44" s="1607"/>
      <c r="B44" s="1608"/>
      <c r="C44" s="1608"/>
      <c r="D44" s="1608"/>
      <c r="E44" s="1608"/>
      <c r="F44" s="1608"/>
      <c r="G44" s="1608"/>
      <c r="H44" s="1608"/>
      <c r="I44" s="1608"/>
      <c r="J44" s="1608"/>
      <c r="K44" s="1608"/>
      <c r="L44" s="1608"/>
      <c r="M44" s="1609"/>
    </row>
    <row r="45" spans="1:13" x14ac:dyDescent="0.2">
      <c r="A45" s="1607"/>
      <c r="B45" s="1608"/>
      <c r="C45" s="1608"/>
      <c r="D45" s="1608"/>
      <c r="E45" s="1608"/>
      <c r="F45" s="1608"/>
      <c r="G45" s="1608"/>
      <c r="H45" s="1608"/>
      <c r="I45" s="1608"/>
      <c r="J45" s="1608"/>
      <c r="K45" s="1608"/>
      <c r="L45" s="1608"/>
      <c r="M45" s="1609"/>
    </row>
    <row r="46" spans="1:13" x14ac:dyDescent="0.2">
      <c r="A46" s="1607"/>
      <c r="B46" s="1608"/>
      <c r="C46" s="1608"/>
      <c r="D46" s="1608"/>
      <c r="E46" s="1608"/>
      <c r="F46" s="1608"/>
      <c r="G46" s="1608"/>
      <c r="H46" s="1608"/>
      <c r="I46" s="1608"/>
      <c r="J46" s="1608"/>
      <c r="K46" s="1608"/>
      <c r="L46" s="1608"/>
      <c r="M46" s="1609"/>
    </row>
    <row r="47" spans="1:13" x14ac:dyDescent="0.2">
      <c r="A47" s="1607"/>
      <c r="B47" s="1608"/>
      <c r="C47" s="1608"/>
      <c r="D47" s="1608"/>
      <c r="E47" s="1608"/>
      <c r="F47" s="1608"/>
      <c r="G47" s="1608"/>
      <c r="H47" s="1608"/>
      <c r="I47" s="1608"/>
      <c r="J47" s="1608"/>
      <c r="K47" s="1608"/>
      <c r="L47" s="1608"/>
      <c r="M47" s="1609"/>
    </row>
    <row r="48" spans="1:13" x14ac:dyDescent="0.2">
      <c r="A48" s="1607"/>
      <c r="B48" s="1608"/>
      <c r="C48" s="1608"/>
      <c r="D48" s="1608"/>
      <c r="E48" s="1608"/>
      <c r="F48" s="1608"/>
      <c r="G48" s="1608"/>
      <c r="H48" s="1608"/>
      <c r="I48" s="1608"/>
      <c r="J48" s="1608"/>
      <c r="K48" s="1608"/>
      <c r="L48" s="1608"/>
      <c r="M48" s="1609"/>
    </row>
    <row r="49" spans="1:13" x14ac:dyDescent="0.2">
      <c r="A49" s="1607"/>
      <c r="B49" s="1608"/>
      <c r="C49" s="1608"/>
      <c r="D49" s="1608"/>
      <c r="E49" s="1608"/>
      <c r="F49" s="1608"/>
      <c r="G49" s="1608"/>
      <c r="H49" s="1608"/>
      <c r="I49" s="1608"/>
      <c r="J49" s="1608"/>
      <c r="K49" s="1608"/>
      <c r="L49" s="1608"/>
      <c r="M49" s="1609"/>
    </row>
    <row r="50" spans="1:13" x14ac:dyDescent="0.2">
      <c r="A50" s="1607"/>
      <c r="B50" s="1608"/>
      <c r="C50" s="1608"/>
      <c r="D50" s="1608"/>
      <c r="E50" s="1608"/>
      <c r="F50" s="1608"/>
      <c r="G50" s="1608"/>
      <c r="H50" s="1608"/>
      <c r="I50" s="1608"/>
      <c r="J50" s="1608"/>
      <c r="K50" s="1608"/>
      <c r="L50" s="1608"/>
      <c r="M50" s="1609"/>
    </row>
    <row r="51" spans="1:13" x14ac:dyDescent="0.2">
      <c r="A51" s="1607"/>
      <c r="B51" s="1608"/>
      <c r="C51" s="1608"/>
      <c r="D51" s="1608"/>
      <c r="E51" s="1608"/>
      <c r="F51" s="1608"/>
      <c r="G51" s="1608"/>
      <c r="H51" s="1608"/>
      <c r="I51" s="1608"/>
      <c r="J51" s="1608"/>
      <c r="K51" s="1608"/>
      <c r="L51" s="1608"/>
      <c r="M51" s="1609"/>
    </row>
    <row r="52" spans="1:13" x14ac:dyDescent="0.2">
      <c r="A52" s="1607"/>
      <c r="B52" s="1608"/>
      <c r="C52" s="1608"/>
      <c r="D52" s="1608"/>
      <c r="E52" s="1608"/>
      <c r="F52" s="1608"/>
      <c r="G52" s="1608"/>
      <c r="H52" s="1608"/>
      <c r="I52" s="1608"/>
      <c r="J52" s="1608"/>
      <c r="K52" s="1608"/>
      <c r="L52" s="1608"/>
      <c r="M52" s="1609"/>
    </row>
    <row r="53" spans="1:13" x14ac:dyDescent="0.2">
      <c r="A53" s="1607"/>
      <c r="B53" s="1608"/>
      <c r="C53" s="1608"/>
      <c r="D53" s="1608"/>
      <c r="E53" s="1608"/>
      <c r="F53" s="1608"/>
      <c r="G53" s="1608"/>
      <c r="H53" s="1608"/>
      <c r="I53" s="1608"/>
      <c r="J53" s="1608"/>
      <c r="K53" s="1608"/>
      <c r="L53" s="1608"/>
      <c r="M53" s="1609"/>
    </row>
    <row r="54" spans="1:13" x14ac:dyDescent="0.2">
      <c r="A54" s="1607"/>
      <c r="B54" s="1608"/>
      <c r="C54" s="1608"/>
      <c r="D54" s="1608"/>
      <c r="E54" s="1608"/>
      <c r="F54" s="1608"/>
      <c r="G54" s="1608"/>
      <c r="H54" s="1608"/>
      <c r="I54" s="1608"/>
      <c r="J54" s="1608"/>
      <c r="K54" s="1608"/>
      <c r="L54" s="1608"/>
      <c r="M54" s="1609"/>
    </row>
    <row r="55" spans="1:13" x14ac:dyDescent="0.2">
      <c r="A55" s="1607"/>
      <c r="B55" s="1608"/>
      <c r="C55" s="1608"/>
      <c r="D55" s="1608"/>
      <c r="E55" s="1608"/>
      <c r="F55" s="1608"/>
      <c r="G55" s="1608"/>
      <c r="H55" s="1608"/>
      <c r="I55" s="1608"/>
      <c r="J55" s="1608"/>
      <c r="K55" s="1608"/>
      <c r="L55" s="1608"/>
      <c r="M55" s="1609"/>
    </row>
    <row r="56" spans="1:13" x14ac:dyDescent="0.2">
      <c r="A56" s="1607"/>
      <c r="B56" s="1608"/>
      <c r="C56" s="1608"/>
      <c r="D56" s="1608"/>
      <c r="E56" s="1608"/>
      <c r="F56" s="1608"/>
      <c r="G56" s="1608"/>
      <c r="H56" s="1608"/>
      <c r="I56" s="1608"/>
      <c r="J56" s="1608"/>
      <c r="K56" s="1608"/>
      <c r="L56" s="1608"/>
      <c r="M56" s="1609"/>
    </row>
    <row r="57" spans="1:13" x14ac:dyDescent="0.2">
      <c r="A57" s="1607"/>
      <c r="B57" s="1608"/>
      <c r="C57" s="1608"/>
      <c r="D57" s="1608"/>
      <c r="E57" s="1608"/>
      <c r="F57" s="1608"/>
      <c r="G57" s="1608"/>
      <c r="H57" s="1608"/>
      <c r="I57" s="1608"/>
      <c r="J57" s="1608"/>
      <c r="K57" s="1608"/>
      <c r="L57" s="1608"/>
      <c r="M57" s="1609"/>
    </row>
    <row r="58" spans="1:13" ht="13.5" thickBot="1" x14ac:dyDescent="0.25">
      <c r="A58" s="1610"/>
      <c r="B58" s="1611"/>
      <c r="C58" s="1611"/>
      <c r="D58" s="1611"/>
      <c r="E58" s="1611"/>
      <c r="F58" s="1611"/>
      <c r="G58" s="1611"/>
      <c r="H58" s="1611"/>
      <c r="I58" s="1611"/>
      <c r="J58" s="1611"/>
      <c r="K58" s="1611"/>
      <c r="L58" s="1611"/>
      <c r="M58" s="1612"/>
    </row>
  </sheetData>
  <mergeCells count="12">
    <mergeCell ref="A15:M15"/>
    <mergeCell ref="A16:M42"/>
    <mergeCell ref="A43:M43"/>
    <mergeCell ref="A44:M58"/>
    <mergeCell ref="A1:M1"/>
    <mergeCell ref="A3:M3"/>
    <mergeCell ref="A2:B2"/>
    <mergeCell ref="D2:F2"/>
    <mergeCell ref="J2:K2"/>
    <mergeCell ref="L2:M2"/>
    <mergeCell ref="G2:I2"/>
    <mergeCell ref="A4:M14"/>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1">
    <pageSetUpPr fitToPage="1"/>
  </sheetPr>
  <dimension ref="A1:T133"/>
  <sheetViews>
    <sheetView zoomScale="89" zoomScaleNormal="100" workbookViewId="0">
      <selection activeCell="A24" sqref="A24:J24"/>
    </sheetView>
  </sheetViews>
  <sheetFormatPr defaultColWidth="9.140625" defaultRowHeight="12.75" x14ac:dyDescent="0.2"/>
  <cols>
    <col min="1" max="1" width="4" style="117" customWidth="1"/>
    <col min="2" max="2" width="23" style="124" customWidth="1"/>
    <col min="3" max="3" width="17.5703125" style="124" customWidth="1"/>
    <col min="4" max="4" width="16.85546875" style="124" customWidth="1"/>
    <col min="5" max="6" width="9" style="124" customWidth="1"/>
    <col min="7" max="7" width="11.5703125" style="124" customWidth="1"/>
    <col min="8" max="8" width="10.42578125" style="124" customWidth="1"/>
    <col min="9" max="9" width="12.140625" style="124" customWidth="1"/>
    <col min="10" max="10" width="13.5703125" style="124" customWidth="1"/>
    <col min="11" max="11" width="21.140625" style="124" customWidth="1"/>
    <col min="12" max="12" width="5" style="124" customWidth="1"/>
    <col min="13" max="13" width="17" style="124" customWidth="1"/>
    <col min="14" max="14" width="15.7109375" style="124" customWidth="1"/>
    <col min="15" max="15" width="7" style="124" customWidth="1"/>
    <col min="16" max="16" width="9.140625" style="124"/>
    <col min="17" max="17" width="14.5703125" style="124" customWidth="1"/>
    <col min="18" max="18" width="14" style="124" customWidth="1"/>
    <col min="19" max="16384" width="9.140625" style="124"/>
  </cols>
  <sheetData>
    <row r="1" spans="1:19" s="119" customFormat="1" ht="13.5" thickBot="1" x14ac:dyDescent="0.25">
      <c r="A1" s="117"/>
      <c r="B1" s="118"/>
      <c r="C1" s="118"/>
      <c r="D1" s="118"/>
      <c r="E1" s="118"/>
      <c r="F1" s="118"/>
      <c r="G1" s="118"/>
      <c r="H1" s="118"/>
      <c r="I1" s="118"/>
      <c r="J1" s="118"/>
      <c r="K1" s="118"/>
      <c r="L1" s="118"/>
    </row>
    <row r="2" spans="1:19" ht="12.75" customHeight="1" x14ac:dyDescent="0.2">
      <c r="B2" s="120"/>
      <c r="C2" s="121"/>
      <c r="D2" s="1666" t="s">
        <v>189</v>
      </c>
      <c r="E2" s="1666"/>
      <c r="F2" s="1666"/>
      <c r="G2" s="1666"/>
      <c r="H2" s="1666"/>
      <c r="I2" s="1666"/>
      <c r="J2" s="1666"/>
      <c r="K2" s="121"/>
      <c r="L2" s="122"/>
      <c r="M2" s="123"/>
      <c r="N2" s="123"/>
      <c r="O2" s="123"/>
      <c r="P2" s="123"/>
      <c r="Q2" s="123"/>
      <c r="R2" s="123"/>
      <c r="S2" s="123"/>
    </row>
    <row r="3" spans="1:19" ht="12.75" customHeight="1" x14ac:dyDescent="0.2">
      <c r="B3" s="125"/>
      <c r="C3" s="123"/>
      <c r="D3" s="1667"/>
      <c r="E3" s="1667"/>
      <c r="F3" s="1667"/>
      <c r="G3" s="1667"/>
      <c r="H3" s="1667"/>
      <c r="I3" s="1667"/>
      <c r="J3" s="1667"/>
      <c r="K3" s="123"/>
      <c r="L3" s="126"/>
      <c r="M3" s="123"/>
      <c r="N3" s="123"/>
      <c r="O3" s="123"/>
      <c r="P3" s="123"/>
      <c r="Q3" s="123"/>
      <c r="R3" s="123"/>
      <c r="S3" s="123"/>
    </row>
    <row r="4" spans="1:19" ht="12.75" customHeight="1" x14ac:dyDescent="0.2">
      <c r="B4" s="125"/>
      <c r="C4" s="123"/>
      <c r="D4" s="123"/>
      <c r="E4" s="123"/>
      <c r="F4" s="123"/>
      <c r="G4" s="123"/>
      <c r="H4" s="123"/>
      <c r="I4" s="123"/>
      <c r="J4" s="123"/>
      <c r="K4" s="123"/>
      <c r="L4" s="126"/>
      <c r="M4" s="123"/>
      <c r="N4" s="123"/>
      <c r="O4" s="123"/>
      <c r="P4" s="123"/>
      <c r="Q4" s="123"/>
      <c r="R4" s="123"/>
      <c r="S4" s="123"/>
    </row>
    <row r="5" spans="1:19" ht="13.5" thickBot="1" x14ac:dyDescent="0.25">
      <c r="B5" s="125"/>
      <c r="C5" s="123"/>
      <c r="D5" s="123"/>
      <c r="E5" s="123"/>
      <c r="F5" s="123"/>
      <c r="G5" s="123"/>
      <c r="H5" s="123"/>
      <c r="I5" s="123"/>
      <c r="J5" s="123"/>
      <c r="K5" s="123"/>
      <c r="L5" s="126"/>
      <c r="M5" s="123"/>
      <c r="N5" s="123"/>
      <c r="O5" s="123"/>
      <c r="P5" s="123"/>
      <c r="Q5" s="123"/>
      <c r="R5" s="123"/>
      <c r="S5" s="123"/>
    </row>
    <row r="6" spans="1:19" ht="15" thickBot="1" x14ac:dyDescent="0.25">
      <c r="B6" s="127" t="s">
        <v>190</v>
      </c>
      <c r="C6" s="1668"/>
      <c r="D6" s="1669"/>
      <c r="E6" s="128"/>
      <c r="F6" s="128"/>
      <c r="G6" s="123"/>
      <c r="H6" s="1670" t="s">
        <v>191</v>
      </c>
      <c r="I6" s="1670"/>
      <c r="J6" s="1668">
        <f>Approval!Q7</f>
        <v>0</v>
      </c>
      <c r="K6" s="1669"/>
      <c r="L6" s="126"/>
      <c r="M6" s="123"/>
      <c r="N6" s="123"/>
      <c r="O6" s="123"/>
      <c r="P6" s="123"/>
      <c r="Q6" s="123"/>
      <c r="R6" s="123"/>
      <c r="S6" s="123"/>
    </row>
    <row r="7" spans="1:19" ht="15" thickBot="1" x14ac:dyDescent="0.25">
      <c r="B7" s="127" t="s">
        <v>192</v>
      </c>
      <c r="C7" s="1668"/>
      <c r="D7" s="1669"/>
      <c r="E7" s="128"/>
      <c r="F7" s="128"/>
      <c r="G7" s="123"/>
      <c r="H7" s="129" t="s">
        <v>20</v>
      </c>
      <c r="I7" s="123"/>
      <c r="J7" s="1671">
        <f ca="1">NOW()</f>
        <v>43075.662767824077</v>
      </c>
      <c r="K7" s="1672"/>
      <c r="L7" s="126"/>
      <c r="M7" s="123"/>
      <c r="N7" s="123"/>
      <c r="O7" s="123"/>
      <c r="P7" s="123"/>
      <c r="Q7" s="123"/>
      <c r="R7" s="123"/>
      <c r="S7" s="123"/>
    </row>
    <row r="8" spans="1:19" ht="13.5" thickBot="1" x14ac:dyDescent="0.25">
      <c r="B8" s="125"/>
      <c r="C8" s="123"/>
      <c r="D8" s="123"/>
      <c r="E8" s="123"/>
      <c r="F8" s="123"/>
      <c r="G8" s="123"/>
      <c r="H8" s="123"/>
      <c r="I8" s="123"/>
      <c r="J8" s="123"/>
      <c r="K8" s="123"/>
      <c r="L8" s="126"/>
      <c r="M8" s="123"/>
      <c r="N8" s="123"/>
      <c r="O8" s="123"/>
      <c r="P8" s="123"/>
      <c r="Q8" s="123"/>
      <c r="R8" s="123"/>
      <c r="S8" s="123"/>
    </row>
    <row r="9" spans="1:19" ht="15.75" thickBot="1" x14ac:dyDescent="0.25">
      <c r="B9" s="1673" t="s">
        <v>193</v>
      </c>
      <c r="C9" s="1674"/>
      <c r="D9" s="1674"/>
      <c r="E9" s="1674"/>
      <c r="F9" s="1674"/>
      <c r="G9" s="1674"/>
      <c r="H9" s="1674"/>
      <c r="I9" s="1674"/>
      <c r="J9" s="1674"/>
      <c r="K9" s="1674"/>
      <c r="L9" s="1675"/>
      <c r="M9" s="123"/>
      <c r="N9" s="123"/>
      <c r="O9" s="123"/>
      <c r="P9" s="123"/>
      <c r="Q9" s="123"/>
      <c r="R9" s="123"/>
      <c r="S9" s="123"/>
    </row>
    <row r="10" spans="1:19" ht="13.5" thickBot="1" x14ac:dyDescent="0.25">
      <c r="B10" s="125"/>
      <c r="C10" s="123"/>
      <c r="D10" s="123"/>
      <c r="E10" s="123"/>
      <c r="F10" s="123"/>
      <c r="G10" s="123"/>
      <c r="H10" s="123"/>
      <c r="I10" s="123"/>
      <c r="J10" s="123"/>
      <c r="K10" s="123"/>
      <c r="L10" s="126"/>
      <c r="M10" s="123"/>
      <c r="N10" s="123"/>
      <c r="O10" s="123"/>
      <c r="P10" s="123"/>
      <c r="Q10" s="123"/>
      <c r="R10" s="123"/>
      <c r="S10" s="123"/>
    </row>
    <row r="11" spans="1:19" ht="13.5" thickBot="1" x14ac:dyDescent="0.25">
      <c r="B11" s="130" t="s">
        <v>194</v>
      </c>
      <c r="C11" s="131"/>
      <c r="D11" s="132" t="s">
        <v>195</v>
      </c>
      <c r="E11" s="133"/>
      <c r="F11" s="134"/>
      <c r="G11" s="135"/>
      <c r="H11" s="136" t="s">
        <v>196</v>
      </c>
      <c r="I11" s="137" t="s">
        <v>197</v>
      </c>
      <c r="J11" s="138">
        <f>C11*G11*52/12</f>
        <v>0</v>
      </c>
      <c r="K11" s="139" t="s">
        <v>198</v>
      </c>
      <c r="L11" s="140"/>
      <c r="M11" s="123"/>
      <c r="N11" s="123"/>
      <c r="O11" s="123"/>
      <c r="P11" s="123"/>
      <c r="Q11" s="123"/>
      <c r="R11" s="123"/>
      <c r="S11" s="123"/>
    </row>
    <row r="12" spans="1:19" ht="13.5" thickBot="1" x14ac:dyDescent="0.25">
      <c r="B12" s="125"/>
      <c r="C12" s="131"/>
      <c r="D12" s="141" t="s">
        <v>199</v>
      </c>
      <c r="E12" s="142"/>
      <c r="F12" s="134"/>
      <c r="G12" s="135"/>
      <c r="H12" s="143" t="s">
        <v>200</v>
      </c>
      <c r="I12" s="134"/>
      <c r="J12" s="138" t="str">
        <f>IF(G12=0,"",C12/G12)</f>
        <v/>
      </c>
      <c r="K12" s="139" t="s">
        <v>198</v>
      </c>
      <c r="L12" s="140"/>
      <c r="M12" s="134"/>
      <c r="N12" s="134"/>
      <c r="O12" s="123"/>
      <c r="P12" s="123"/>
      <c r="Q12" s="123"/>
      <c r="R12" s="123"/>
      <c r="S12" s="123"/>
    </row>
    <row r="13" spans="1:19" ht="13.5" thickBot="1" x14ac:dyDescent="0.25">
      <c r="B13" s="125"/>
      <c r="C13" s="131"/>
      <c r="D13" s="141" t="s">
        <v>201</v>
      </c>
      <c r="E13" s="144">
        <v>2014</v>
      </c>
      <c r="F13" s="134"/>
      <c r="G13" s="135">
        <v>12</v>
      </c>
      <c r="H13" s="143" t="s">
        <v>200</v>
      </c>
      <c r="I13" s="134"/>
      <c r="J13" s="138">
        <f>IF(G13=0,"",C13/G13)</f>
        <v>0</v>
      </c>
      <c r="K13" s="139" t="s">
        <v>198</v>
      </c>
      <c r="L13" s="140"/>
      <c r="M13" s="134"/>
      <c r="N13" s="134"/>
      <c r="O13" s="123"/>
      <c r="P13" s="123"/>
      <c r="Q13" s="123"/>
      <c r="R13" s="123"/>
      <c r="S13" s="123"/>
    </row>
    <row r="14" spans="1:19" ht="13.5" thickBot="1" x14ac:dyDescent="0.25">
      <c r="B14" s="125"/>
      <c r="C14" s="131"/>
      <c r="D14" s="145" t="s">
        <v>201</v>
      </c>
      <c r="E14" s="144">
        <v>2013</v>
      </c>
      <c r="F14" s="134"/>
      <c r="G14" s="135">
        <v>12</v>
      </c>
      <c r="H14" s="146" t="s">
        <v>200</v>
      </c>
      <c r="I14" s="134"/>
      <c r="J14" s="138">
        <f>IF(G14=0,"",C14/G14)</f>
        <v>0</v>
      </c>
      <c r="K14" s="139" t="s">
        <v>198</v>
      </c>
      <c r="L14" s="140"/>
      <c r="M14" s="134"/>
      <c r="N14" s="134"/>
      <c r="O14" s="123"/>
      <c r="P14" s="123"/>
      <c r="Q14" s="123"/>
      <c r="R14" s="123"/>
      <c r="S14" s="123"/>
    </row>
    <row r="15" spans="1:19" ht="13.5" thickBot="1" x14ac:dyDescent="0.25">
      <c r="B15" s="125"/>
      <c r="C15" s="134"/>
      <c r="D15" s="134"/>
      <c r="E15" s="134"/>
      <c r="F15" s="134"/>
      <c r="G15" s="134"/>
      <c r="H15" s="134"/>
      <c r="I15" s="134"/>
      <c r="J15" s="134"/>
      <c r="K15" s="134"/>
      <c r="L15" s="140"/>
      <c r="M15" s="134"/>
      <c r="N15" s="134"/>
      <c r="O15" s="123"/>
      <c r="P15" s="123"/>
      <c r="Q15" s="123"/>
      <c r="R15" s="123"/>
      <c r="S15" s="123"/>
    </row>
    <row r="16" spans="1:19" ht="13.5" thickBot="1" x14ac:dyDescent="0.25">
      <c r="B16" s="147"/>
      <c r="C16" s="138">
        <f>J11</f>
        <v>0</v>
      </c>
      <c r="D16" s="148" t="s">
        <v>195</v>
      </c>
      <c r="E16" s="133"/>
      <c r="F16" s="134"/>
      <c r="G16" s="149" t="b">
        <v>0</v>
      </c>
      <c r="H16" s="134"/>
      <c r="I16" s="134"/>
      <c r="J16" s="134"/>
      <c r="K16" s="134"/>
      <c r="L16" s="140"/>
      <c r="M16" s="134"/>
      <c r="N16" s="134"/>
      <c r="O16" s="123"/>
      <c r="P16" s="123"/>
      <c r="Q16" s="123"/>
      <c r="R16" s="123"/>
      <c r="S16" s="123"/>
    </row>
    <row r="17" spans="2:19" ht="13.5" thickBot="1" x14ac:dyDescent="0.25">
      <c r="B17" s="147"/>
      <c r="C17" s="138" t="str">
        <f>J12</f>
        <v/>
      </c>
      <c r="D17" s="141" t="s">
        <v>202</v>
      </c>
      <c r="E17" s="150"/>
      <c r="F17" s="134"/>
      <c r="G17" s="149" t="b">
        <v>0</v>
      </c>
      <c r="H17" s="134"/>
      <c r="I17" s="134"/>
      <c r="J17" s="134"/>
      <c r="K17" s="134"/>
      <c r="L17" s="140"/>
      <c r="M17" s="134"/>
      <c r="N17" s="134"/>
      <c r="O17" s="123"/>
      <c r="P17" s="123"/>
      <c r="Q17" s="123"/>
      <c r="R17" s="123"/>
      <c r="S17" s="123"/>
    </row>
    <row r="18" spans="2:19" ht="13.5" thickBot="1" x14ac:dyDescent="0.25">
      <c r="B18" s="147"/>
      <c r="C18" s="138" t="str">
        <f>IF(SUM(C13)=0,"",SUM(C12+C13)/SUM(G12+G13))</f>
        <v/>
      </c>
      <c r="D18" s="141" t="s">
        <v>203</v>
      </c>
      <c r="E18" s="150"/>
      <c r="F18" s="134"/>
      <c r="G18" s="149" t="b">
        <v>0</v>
      </c>
      <c r="H18" s="134"/>
      <c r="I18" s="134"/>
      <c r="J18" s="134"/>
      <c r="K18" s="134"/>
      <c r="L18" s="140"/>
      <c r="M18" s="134"/>
      <c r="N18" s="134"/>
      <c r="O18" s="123"/>
      <c r="P18" s="123"/>
      <c r="Q18" s="123"/>
      <c r="R18" s="123"/>
      <c r="S18" s="123"/>
    </row>
    <row r="19" spans="2:19" ht="13.5" thickBot="1" x14ac:dyDescent="0.25">
      <c r="B19" s="147"/>
      <c r="C19" s="138" t="str">
        <f>IF(SUM(C14)=0,"",SUM(C12:C14)/SUM(G12:G14))</f>
        <v/>
      </c>
      <c r="D19" s="145" t="s">
        <v>204</v>
      </c>
      <c r="E19" s="151"/>
      <c r="F19" s="134"/>
      <c r="G19" s="149" t="b">
        <v>1</v>
      </c>
      <c r="H19" s="134"/>
      <c r="I19" s="134"/>
      <c r="J19" s="134"/>
      <c r="K19" s="134"/>
      <c r="L19" s="140"/>
      <c r="M19" s="134"/>
      <c r="N19" s="134"/>
      <c r="O19" s="123"/>
      <c r="P19" s="123"/>
      <c r="Q19" s="123"/>
      <c r="R19" s="123"/>
      <c r="S19" s="123"/>
    </row>
    <row r="20" spans="2:19" ht="13.5" thickBot="1" x14ac:dyDescent="0.25">
      <c r="B20" s="125"/>
      <c r="C20" s="134"/>
      <c r="D20" s="134"/>
      <c r="E20" s="134"/>
      <c r="F20" s="134"/>
      <c r="G20" s="134"/>
      <c r="H20" s="134"/>
      <c r="I20" s="134"/>
      <c r="J20" s="134"/>
      <c r="K20" s="134"/>
      <c r="L20" s="140"/>
      <c r="M20" s="134"/>
      <c r="N20" s="134"/>
      <c r="O20" s="123"/>
      <c r="P20" s="123"/>
      <c r="Q20" s="123"/>
      <c r="R20" s="123"/>
      <c r="S20" s="123"/>
    </row>
    <row r="21" spans="2:19" ht="13.5" thickBot="1" x14ac:dyDescent="0.25">
      <c r="B21" s="125"/>
      <c r="C21" s="152">
        <f>MIN(C16:C19)</f>
        <v>0</v>
      </c>
      <c r="D21" s="153" t="s">
        <v>205</v>
      </c>
      <c r="E21" s="154"/>
      <c r="F21" s="1649" t="s">
        <v>206</v>
      </c>
      <c r="G21" s="1650"/>
      <c r="H21" s="1650"/>
      <c r="I21" s="1650"/>
      <c r="J21" s="155" t="str">
        <f>IF(G16=TRUE,C16,IF(G17=TRUE,C17,IF(G18=TRUE,C18,IF(G19=TRUE,C19,0))))</f>
        <v/>
      </c>
      <c r="K21" s="156" t="str">
        <f>IF(J21=0,C21,J21)</f>
        <v/>
      </c>
      <c r="L21" s="140"/>
      <c r="M21" s="134"/>
      <c r="N21" s="134"/>
      <c r="O21" s="123"/>
      <c r="P21" s="123"/>
      <c r="Q21" s="123"/>
      <c r="R21" s="123"/>
      <c r="S21" s="123"/>
    </row>
    <row r="22" spans="2:19" x14ac:dyDescent="0.2">
      <c r="B22" s="125"/>
      <c r="C22" s="134"/>
      <c r="D22" s="134"/>
      <c r="E22" s="134"/>
      <c r="F22" s="134"/>
      <c r="G22" s="134"/>
      <c r="H22" s="134"/>
      <c r="I22" s="134"/>
      <c r="J22" s="134"/>
      <c r="K22" s="134"/>
      <c r="L22" s="140"/>
      <c r="M22" s="134"/>
      <c r="N22" s="134"/>
      <c r="O22" s="123"/>
      <c r="P22" s="123"/>
      <c r="Q22" s="123"/>
      <c r="R22" s="123"/>
      <c r="S22" s="123"/>
    </row>
    <row r="23" spans="2:19" ht="13.5" thickBot="1" x14ac:dyDescent="0.25">
      <c r="B23" s="125"/>
      <c r="C23" s="134"/>
      <c r="D23" s="134"/>
      <c r="E23" s="134"/>
      <c r="F23" s="134"/>
      <c r="G23" s="134"/>
      <c r="H23" s="134"/>
      <c r="I23" s="134"/>
      <c r="J23" s="134"/>
      <c r="K23" s="134"/>
      <c r="L23" s="140"/>
      <c r="M23" s="134"/>
      <c r="N23" s="134"/>
      <c r="O23" s="123"/>
      <c r="P23" s="123"/>
      <c r="Q23" s="123"/>
      <c r="R23" s="123"/>
      <c r="S23" s="123"/>
    </row>
    <row r="24" spans="2:19" ht="13.5" thickBot="1" x14ac:dyDescent="0.25">
      <c r="B24" s="157" t="s">
        <v>207</v>
      </c>
      <c r="C24" s="134"/>
      <c r="D24" s="158" t="s">
        <v>208</v>
      </c>
      <c r="E24" s="159"/>
      <c r="F24" s="137"/>
      <c r="G24" s="134"/>
      <c r="H24" s="134"/>
      <c r="I24" s="134"/>
      <c r="J24" s="134"/>
      <c r="K24" s="134"/>
      <c r="L24" s="140"/>
      <c r="M24" s="134"/>
      <c r="N24" s="134"/>
      <c r="O24" s="123"/>
      <c r="P24" s="123"/>
      <c r="Q24" s="123"/>
      <c r="R24" s="123"/>
      <c r="S24" s="123"/>
    </row>
    <row r="25" spans="2:19" ht="13.5" thickBot="1" x14ac:dyDescent="0.25">
      <c r="B25" s="125"/>
      <c r="C25" s="134"/>
      <c r="D25" s="134"/>
      <c r="E25" s="134"/>
      <c r="F25" s="134"/>
      <c r="G25" s="134"/>
      <c r="H25" s="134"/>
      <c r="I25" s="134"/>
      <c r="J25" s="134"/>
      <c r="K25" s="134"/>
      <c r="L25" s="140"/>
      <c r="M25" s="134"/>
      <c r="N25" s="134"/>
      <c r="O25" s="123"/>
      <c r="P25" s="123"/>
      <c r="Q25" s="123"/>
      <c r="R25" s="123"/>
      <c r="S25" s="123"/>
    </row>
    <row r="26" spans="2:19" ht="13.5" thickBot="1" x14ac:dyDescent="0.25">
      <c r="B26" s="125"/>
      <c r="C26" s="131">
        <v>0</v>
      </c>
      <c r="D26" s="132" t="s">
        <v>209</v>
      </c>
      <c r="E26" s="132"/>
      <c r="F26" s="132"/>
      <c r="G26" s="160" t="s">
        <v>210</v>
      </c>
      <c r="H26" s="160"/>
      <c r="I26" s="161" t="s">
        <v>135</v>
      </c>
      <c r="J26" s="138">
        <f>C26*1</f>
        <v>0</v>
      </c>
      <c r="K26" s="136" t="s">
        <v>198</v>
      </c>
      <c r="L26" s="140"/>
      <c r="M26" s="134"/>
      <c r="N26" s="134"/>
      <c r="O26" s="123"/>
      <c r="P26" s="123"/>
      <c r="Q26" s="123"/>
      <c r="R26" s="123"/>
      <c r="S26" s="123"/>
    </row>
    <row r="27" spans="2:19" ht="13.5" thickBot="1" x14ac:dyDescent="0.25">
      <c r="B27" s="125"/>
      <c r="C27" s="131"/>
      <c r="D27" s="134" t="s">
        <v>211</v>
      </c>
      <c r="E27" s="134"/>
      <c r="F27" s="134"/>
      <c r="G27" s="162" t="s">
        <v>212</v>
      </c>
      <c r="H27" s="162"/>
      <c r="I27" s="163" t="s">
        <v>135</v>
      </c>
      <c r="J27" s="138">
        <f>C27*26/12</f>
        <v>0</v>
      </c>
      <c r="K27" s="143" t="s">
        <v>198</v>
      </c>
      <c r="L27" s="140"/>
      <c r="M27" s="149" t="b">
        <v>0</v>
      </c>
      <c r="N27" s="134"/>
      <c r="O27" s="123"/>
      <c r="P27" s="123"/>
      <c r="Q27" s="123"/>
      <c r="R27" s="123"/>
      <c r="S27" s="123"/>
    </row>
    <row r="28" spans="2:19" ht="13.5" thickBot="1" x14ac:dyDescent="0.25">
      <c r="B28" s="125"/>
      <c r="C28" s="131"/>
      <c r="D28" s="134" t="s">
        <v>213</v>
      </c>
      <c r="E28" s="134"/>
      <c r="F28" s="134"/>
      <c r="G28" s="162" t="s">
        <v>214</v>
      </c>
      <c r="H28" s="162"/>
      <c r="I28" s="162" t="s">
        <v>135</v>
      </c>
      <c r="J28" s="138">
        <f>C28*24/12</f>
        <v>0</v>
      </c>
      <c r="K28" s="143" t="s">
        <v>198</v>
      </c>
      <c r="L28" s="140"/>
      <c r="M28" s="149" t="b">
        <v>0</v>
      </c>
      <c r="N28" s="134"/>
      <c r="O28" s="123"/>
      <c r="P28" s="123"/>
      <c r="Q28" s="123"/>
      <c r="R28" s="123"/>
      <c r="S28" s="123"/>
    </row>
    <row r="29" spans="2:19" ht="13.5" thickBot="1" x14ac:dyDescent="0.25">
      <c r="B29" s="125"/>
      <c r="C29" s="131">
        <v>0</v>
      </c>
      <c r="D29" s="164" t="s">
        <v>215</v>
      </c>
      <c r="E29" s="164"/>
      <c r="F29" s="164"/>
      <c r="G29" s="165" t="s">
        <v>197</v>
      </c>
      <c r="H29" s="165"/>
      <c r="I29" s="166" t="s">
        <v>135</v>
      </c>
      <c r="J29" s="138">
        <f>C29*52/12</f>
        <v>0</v>
      </c>
      <c r="K29" s="146" t="s">
        <v>198</v>
      </c>
      <c r="L29" s="140"/>
      <c r="M29" s="149" t="b">
        <v>0</v>
      </c>
      <c r="N29" s="134"/>
      <c r="O29" s="123"/>
      <c r="P29" s="123"/>
      <c r="Q29" s="123"/>
      <c r="R29" s="123"/>
      <c r="S29" s="123"/>
    </row>
    <row r="30" spans="2:19" ht="13.5" thickBot="1" x14ac:dyDescent="0.25">
      <c r="B30" s="125"/>
      <c r="C30" s="134"/>
      <c r="D30" s="134"/>
      <c r="E30" s="134"/>
      <c r="F30" s="134"/>
      <c r="G30" s="134"/>
      <c r="H30" s="134"/>
      <c r="I30" s="134"/>
      <c r="J30" s="134"/>
      <c r="K30" s="134"/>
      <c r="L30" s="140"/>
      <c r="M30" s="149" t="b">
        <v>0</v>
      </c>
      <c r="N30" s="134"/>
      <c r="O30" s="123"/>
      <c r="P30" s="123"/>
      <c r="Q30" s="123"/>
      <c r="R30" s="123"/>
      <c r="S30" s="123"/>
    </row>
    <row r="31" spans="2:19" ht="13.5" thickBot="1" x14ac:dyDescent="0.25">
      <c r="B31" s="125"/>
      <c r="C31" s="131"/>
      <c r="D31" s="132" t="s">
        <v>216</v>
      </c>
      <c r="E31" s="132"/>
      <c r="F31" s="167"/>
      <c r="G31" s="135"/>
      <c r="H31" s="136" t="s">
        <v>200</v>
      </c>
      <c r="I31" s="134" t="s">
        <v>136</v>
      </c>
      <c r="J31" s="138" t="str">
        <f>IF(G31=0,"",C31/G31)</f>
        <v/>
      </c>
      <c r="K31" s="136" t="s">
        <v>217</v>
      </c>
      <c r="L31" s="140"/>
      <c r="M31" s="149"/>
      <c r="N31" s="134"/>
      <c r="O31" s="123"/>
      <c r="P31" s="123"/>
      <c r="Q31" s="123"/>
      <c r="R31" s="123"/>
      <c r="S31" s="123"/>
    </row>
    <row r="32" spans="2:19" ht="13.5" thickBot="1" x14ac:dyDescent="0.25">
      <c r="B32" s="125"/>
      <c r="C32" s="131"/>
      <c r="D32" s="134" t="s">
        <v>218</v>
      </c>
      <c r="E32" s="134"/>
      <c r="F32" s="134"/>
      <c r="G32" s="135">
        <v>12</v>
      </c>
      <c r="H32" s="143" t="s">
        <v>200</v>
      </c>
      <c r="I32" s="134"/>
      <c r="J32" s="138">
        <f>IF(G32=0,"",C32/G32)</f>
        <v>0</v>
      </c>
      <c r="K32" s="143" t="s">
        <v>198</v>
      </c>
      <c r="L32" s="140"/>
      <c r="M32" s="149" t="b">
        <v>0</v>
      </c>
      <c r="N32" s="134"/>
      <c r="O32" s="123"/>
      <c r="P32" s="123"/>
      <c r="Q32" s="123"/>
      <c r="R32" s="123"/>
      <c r="S32" s="123"/>
    </row>
    <row r="33" spans="1:19" ht="13.5" thickBot="1" x14ac:dyDescent="0.25">
      <c r="B33" s="125"/>
      <c r="C33" s="131"/>
      <c r="D33" s="164" t="s">
        <v>219</v>
      </c>
      <c r="E33" s="164"/>
      <c r="F33" s="168"/>
      <c r="G33" s="135">
        <v>12</v>
      </c>
      <c r="H33" s="146" t="s">
        <v>200</v>
      </c>
      <c r="I33" s="134"/>
      <c r="J33" s="138">
        <f>IF(G33=0,"",C33/G33)</f>
        <v>0</v>
      </c>
      <c r="K33" s="146" t="s">
        <v>198</v>
      </c>
      <c r="L33" s="140"/>
      <c r="M33" s="149" t="b">
        <v>0</v>
      </c>
      <c r="N33" s="134"/>
      <c r="O33" s="123"/>
      <c r="P33" s="123"/>
      <c r="Q33" s="123"/>
      <c r="R33" s="123"/>
      <c r="S33" s="123"/>
    </row>
    <row r="34" spans="1:19" ht="13.5" thickBot="1" x14ac:dyDescent="0.25">
      <c r="B34" s="125"/>
      <c r="C34" s="134"/>
      <c r="D34" s="134"/>
      <c r="E34" s="134"/>
      <c r="F34" s="134"/>
      <c r="G34" s="134"/>
      <c r="H34" s="134"/>
      <c r="I34" s="134"/>
      <c r="J34" s="134"/>
      <c r="K34" s="134"/>
      <c r="L34" s="140"/>
      <c r="M34" s="149" t="b">
        <v>0</v>
      </c>
      <c r="N34" s="134"/>
      <c r="O34" s="123"/>
      <c r="P34" s="123"/>
      <c r="Q34" s="123"/>
      <c r="R34" s="123"/>
      <c r="S34" s="123"/>
    </row>
    <row r="35" spans="1:19" ht="13.5" thickBot="1" x14ac:dyDescent="0.25">
      <c r="B35" s="125"/>
      <c r="C35" s="152">
        <f>IF(M27=TRUE,J26,IF(M28=TRUE,J27,IF(M29=TRUE,J28,IF(M30=TRUE,J29,IF(M32=TRUE,J31,IF(M33=TRUE,J32,IF(M34=TRUE,J33,0)))))))</f>
        <v>0</v>
      </c>
      <c r="D35" s="1676" t="s">
        <v>220</v>
      </c>
      <c r="E35" s="1677"/>
      <c r="F35" s="1649" t="s">
        <v>221</v>
      </c>
      <c r="G35" s="1650"/>
      <c r="H35" s="1650"/>
      <c r="I35" s="1650"/>
      <c r="J35" s="1653" t="s">
        <v>222</v>
      </c>
      <c r="K35" s="1653"/>
      <c r="L35" s="140"/>
      <c r="M35" s="134"/>
      <c r="N35" s="134"/>
      <c r="O35" s="123"/>
      <c r="P35" s="123"/>
      <c r="Q35" s="123"/>
      <c r="R35" s="123"/>
      <c r="S35" s="123"/>
    </row>
    <row r="36" spans="1:19" x14ac:dyDescent="0.2">
      <c r="B36" s="169"/>
      <c r="C36" s="162"/>
      <c r="D36" s="162"/>
      <c r="E36" s="162"/>
      <c r="F36" s="162"/>
      <c r="G36" s="162"/>
      <c r="H36" s="162"/>
      <c r="I36" s="162"/>
      <c r="J36" s="1653" t="s">
        <v>223</v>
      </c>
      <c r="K36" s="1653"/>
      <c r="L36" s="1665"/>
      <c r="M36" s="134"/>
      <c r="N36" s="134"/>
      <c r="O36" s="123"/>
      <c r="P36" s="123"/>
      <c r="Q36" s="123"/>
      <c r="R36" s="123"/>
      <c r="S36" s="123"/>
    </row>
    <row r="37" spans="1:19" ht="13.5" thickBot="1" x14ac:dyDescent="0.25">
      <c r="A37" s="170"/>
      <c r="B37" s="125"/>
      <c r="C37" s="134"/>
      <c r="D37" s="134"/>
      <c r="E37" s="134"/>
      <c r="F37" s="134"/>
      <c r="G37" s="134"/>
      <c r="H37" s="134"/>
      <c r="I37" s="134"/>
      <c r="J37" s="134"/>
      <c r="K37" s="134"/>
      <c r="L37" s="140"/>
      <c r="M37" s="134"/>
      <c r="N37" s="134"/>
      <c r="O37" s="123"/>
      <c r="P37" s="123"/>
      <c r="Q37" s="123"/>
      <c r="R37" s="123"/>
      <c r="S37" s="123"/>
    </row>
    <row r="38" spans="1:19" ht="13.5" thickBot="1" x14ac:dyDescent="0.25">
      <c r="B38" s="157" t="s">
        <v>224</v>
      </c>
      <c r="C38" s="134"/>
      <c r="D38" s="1658" t="s">
        <v>225</v>
      </c>
      <c r="E38" s="1659"/>
      <c r="F38" s="1659"/>
      <c r="G38" s="1660"/>
      <c r="H38" s="134"/>
      <c r="I38" s="134"/>
      <c r="J38" s="134"/>
      <c r="K38" s="134"/>
      <c r="L38" s="140"/>
      <c r="M38" s="134"/>
      <c r="N38" s="134"/>
      <c r="O38" s="123"/>
      <c r="P38" s="123"/>
      <c r="Q38" s="123"/>
      <c r="R38" s="123"/>
      <c r="S38" s="123"/>
    </row>
    <row r="39" spans="1:19" ht="13.5" thickBot="1" x14ac:dyDescent="0.25">
      <c r="B39" s="125"/>
      <c r="C39" s="134"/>
      <c r="D39" s="134"/>
      <c r="E39" s="134"/>
      <c r="F39" s="134"/>
      <c r="G39" s="134"/>
      <c r="H39" s="134"/>
      <c r="I39" s="134"/>
      <c r="J39" s="134"/>
      <c r="K39" s="164"/>
      <c r="L39" s="140"/>
      <c r="M39" s="134"/>
      <c r="N39" s="134"/>
      <c r="O39" s="123"/>
      <c r="P39" s="123"/>
      <c r="Q39" s="123"/>
      <c r="R39" s="123"/>
      <c r="S39" s="123"/>
    </row>
    <row r="40" spans="1:19" ht="13.5" thickBot="1" x14ac:dyDescent="0.25">
      <c r="B40" s="125"/>
      <c r="C40" s="131"/>
      <c r="D40" s="148" t="s">
        <v>226</v>
      </c>
      <c r="E40" s="132"/>
      <c r="F40" s="167"/>
      <c r="G40" s="135"/>
      <c r="H40" s="171" t="s">
        <v>200</v>
      </c>
      <c r="I40" s="123"/>
      <c r="J40" s="138" t="str">
        <f>IF(G40=0,"",C40/G40)</f>
        <v/>
      </c>
      <c r="K40" s="143" t="s">
        <v>198</v>
      </c>
      <c r="L40" s="140"/>
      <c r="M40" s="134"/>
      <c r="N40" s="134"/>
      <c r="O40" s="123"/>
      <c r="P40" s="123"/>
      <c r="Q40" s="123"/>
      <c r="R40" s="123"/>
      <c r="S40" s="123"/>
    </row>
    <row r="41" spans="1:19" ht="13.5" thickBot="1" x14ac:dyDescent="0.25">
      <c r="B41" s="125"/>
      <c r="C41" s="131">
        <v>0</v>
      </c>
      <c r="D41" s="134" t="s">
        <v>227</v>
      </c>
      <c r="E41" s="134"/>
      <c r="F41" s="134"/>
      <c r="G41" s="135"/>
      <c r="H41" s="172" t="s">
        <v>200</v>
      </c>
      <c r="I41" s="123"/>
      <c r="J41" s="138" t="str">
        <f>IF(G41=0,"",C41/G41)</f>
        <v/>
      </c>
      <c r="K41" s="143" t="s">
        <v>198</v>
      </c>
      <c r="L41" s="140"/>
      <c r="M41" s="134"/>
      <c r="N41" s="134"/>
      <c r="O41" s="123"/>
      <c r="P41" s="123"/>
      <c r="Q41" s="123"/>
      <c r="R41" s="123"/>
      <c r="S41" s="123"/>
    </row>
    <row r="42" spans="1:19" ht="13.5" thickBot="1" x14ac:dyDescent="0.25">
      <c r="B42" s="125"/>
      <c r="C42" s="131">
        <v>0</v>
      </c>
      <c r="D42" s="145" t="s">
        <v>228</v>
      </c>
      <c r="E42" s="164"/>
      <c r="F42" s="168"/>
      <c r="G42" s="135"/>
      <c r="H42" s="173" t="s">
        <v>200</v>
      </c>
      <c r="I42" s="123"/>
      <c r="J42" s="138" t="str">
        <f>IF(G42=0,"",C42/G42)</f>
        <v/>
      </c>
      <c r="K42" s="146" t="s">
        <v>198</v>
      </c>
      <c r="L42" s="140"/>
      <c r="M42" s="134"/>
      <c r="N42" s="134"/>
      <c r="O42" s="123"/>
      <c r="P42" s="123"/>
      <c r="Q42" s="123"/>
      <c r="R42" s="123"/>
      <c r="S42" s="123"/>
    </row>
    <row r="43" spans="1:19" ht="13.5" thickBot="1" x14ac:dyDescent="0.25">
      <c r="B43" s="125"/>
      <c r="C43" s="134"/>
      <c r="D43" s="134"/>
      <c r="E43" s="134"/>
      <c r="F43" s="134"/>
      <c r="G43" s="134"/>
      <c r="H43" s="134"/>
      <c r="I43" s="134"/>
      <c r="J43" s="134"/>
      <c r="K43" s="134"/>
      <c r="L43" s="140"/>
      <c r="M43" s="134"/>
      <c r="N43" s="134"/>
      <c r="O43" s="123"/>
      <c r="P43" s="123"/>
      <c r="Q43" s="123"/>
      <c r="R43" s="123"/>
      <c r="S43" s="123"/>
    </row>
    <row r="44" spans="1:19" ht="13.5" thickBot="1" x14ac:dyDescent="0.25">
      <c r="B44" s="125"/>
      <c r="C44" s="138" t="str">
        <f>J40</f>
        <v/>
      </c>
      <c r="D44" s="133" t="s">
        <v>202</v>
      </c>
      <c r="E44" s="134"/>
      <c r="F44" s="134"/>
      <c r="G44" s="149" t="b">
        <v>0</v>
      </c>
      <c r="H44" s="1661" t="s">
        <v>229</v>
      </c>
      <c r="I44" s="1661"/>
      <c r="J44" s="1661"/>
      <c r="K44" s="1661"/>
      <c r="L44" s="140"/>
      <c r="M44" s="134"/>
      <c r="N44" s="134"/>
      <c r="O44" s="123"/>
      <c r="P44" s="123"/>
      <c r="Q44" s="123"/>
      <c r="R44" s="123"/>
      <c r="S44" s="123"/>
    </row>
    <row r="45" spans="1:19" ht="13.5" thickBot="1" x14ac:dyDescent="0.25">
      <c r="B45" s="125"/>
      <c r="C45" s="138" t="str">
        <f>IF(SUM(C41)=0,"",SUM(C40:C41)/SUM(G40:G41))</f>
        <v/>
      </c>
      <c r="D45" s="150" t="s">
        <v>230</v>
      </c>
      <c r="E45" s="134"/>
      <c r="F45" s="134"/>
      <c r="G45" s="149" t="b">
        <v>0</v>
      </c>
      <c r="H45" s="1661"/>
      <c r="I45" s="1661"/>
      <c r="J45" s="1661"/>
      <c r="K45" s="1661"/>
      <c r="L45" s="140"/>
      <c r="M45" s="134"/>
      <c r="N45" s="134"/>
      <c r="O45" s="123"/>
      <c r="P45" s="123"/>
      <c r="Q45" s="123"/>
      <c r="R45" s="123"/>
      <c r="S45" s="123"/>
    </row>
    <row r="46" spans="1:19" ht="13.5" thickBot="1" x14ac:dyDescent="0.25">
      <c r="B46" s="125"/>
      <c r="C46" s="138" t="str">
        <f>IF(SUM(C42)=0,"",SUM(C40:C42)/SUM(G40:G42))</f>
        <v/>
      </c>
      <c r="D46" s="151" t="s">
        <v>231</v>
      </c>
      <c r="E46" s="134"/>
      <c r="F46" s="134"/>
      <c r="G46" s="149" t="b">
        <v>0</v>
      </c>
      <c r="H46" s="134"/>
      <c r="I46" s="134"/>
      <c r="J46" s="134"/>
      <c r="K46" s="134"/>
      <c r="L46" s="140"/>
      <c r="M46" s="134"/>
      <c r="N46" s="134"/>
      <c r="O46" s="123"/>
      <c r="P46" s="123"/>
      <c r="Q46" s="123"/>
      <c r="R46" s="123"/>
      <c r="S46" s="123"/>
    </row>
    <row r="47" spans="1:19" ht="13.5" thickBot="1" x14ac:dyDescent="0.25">
      <c r="B47" s="125"/>
      <c r="C47" s="134"/>
      <c r="D47" s="134"/>
      <c r="E47" s="134"/>
      <c r="F47" s="134"/>
      <c r="G47" s="134"/>
      <c r="H47" s="134"/>
      <c r="I47" s="134"/>
      <c r="J47" s="134"/>
      <c r="K47" s="134"/>
      <c r="L47" s="140"/>
      <c r="M47" s="134"/>
      <c r="N47" s="134"/>
      <c r="O47" s="123"/>
      <c r="P47" s="123"/>
      <c r="Q47" s="123"/>
      <c r="R47" s="123"/>
      <c r="S47" s="123"/>
    </row>
    <row r="48" spans="1:19" ht="13.5" thickBot="1" x14ac:dyDescent="0.25">
      <c r="B48" s="125"/>
      <c r="C48" s="152">
        <f>MIN(C44:C46)</f>
        <v>0</v>
      </c>
      <c r="D48" s="174" t="s">
        <v>232</v>
      </c>
      <c r="E48" s="174"/>
      <c r="F48" s="1649" t="s">
        <v>206</v>
      </c>
      <c r="G48" s="1650"/>
      <c r="H48" s="1650"/>
      <c r="I48" s="1650"/>
      <c r="J48" s="155">
        <f>IF(G44=TRUE,C44,IF(G45=TRUE,C45,IF(G46=TRUE,C46,0)))</f>
        <v>0</v>
      </c>
      <c r="K48" s="156">
        <f>IF(J48=0,C48,J48)</f>
        <v>0</v>
      </c>
      <c r="L48" s="140"/>
      <c r="M48" s="134"/>
      <c r="N48" s="134"/>
      <c r="O48" s="123"/>
      <c r="P48" s="123"/>
      <c r="Q48" s="123"/>
      <c r="R48" s="123"/>
      <c r="S48" s="123"/>
    </row>
    <row r="49" spans="2:19" x14ac:dyDescent="0.2">
      <c r="B49" s="125"/>
      <c r="C49" s="134"/>
      <c r="D49" s="134"/>
      <c r="E49" s="134"/>
      <c r="F49" s="134"/>
      <c r="G49" s="134"/>
      <c r="H49" s="134"/>
      <c r="I49" s="134"/>
      <c r="J49" s="134"/>
      <c r="K49" s="134"/>
      <c r="L49" s="140"/>
      <c r="M49" s="134"/>
      <c r="N49" s="134"/>
      <c r="O49" s="123"/>
      <c r="P49" s="123"/>
      <c r="Q49" s="123"/>
      <c r="R49" s="123"/>
      <c r="S49" s="123"/>
    </row>
    <row r="50" spans="2:19" ht="13.5" thickBot="1" x14ac:dyDescent="0.25">
      <c r="B50" s="125"/>
      <c r="C50" s="134"/>
      <c r="D50" s="134"/>
      <c r="E50" s="134"/>
      <c r="F50" s="134"/>
      <c r="G50" s="134"/>
      <c r="H50" s="134"/>
      <c r="I50" s="134"/>
      <c r="J50" s="134"/>
      <c r="K50" s="134"/>
      <c r="L50" s="140"/>
      <c r="M50" s="134"/>
      <c r="N50" s="134"/>
      <c r="O50" s="123"/>
      <c r="P50" s="123"/>
      <c r="Q50" s="123"/>
      <c r="R50" s="123"/>
      <c r="S50" s="123"/>
    </row>
    <row r="51" spans="2:19" ht="13.5" thickBot="1" x14ac:dyDescent="0.25">
      <c r="B51" s="157" t="s">
        <v>233</v>
      </c>
      <c r="C51" s="134"/>
      <c r="D51" s="1658" t="s">
        <v>234</v>
      </c>
      <c r="E51" s="1659"/>
      <c r="F51" s="1659"/>
      <c r="G51" s="1660"/>
      <c r="H51" s="134"/>
      <c r="I51" s="134"/>
      <c r="J51" s="134"/>
      <c r="K51" s="134"/>
      <c r="L51" s="140"/>
      <c r="M51" s="134"/>
      <c r="N51" s="134"/>
      <c r="O51" s="123"/>
      <c r="P51" s="123"/>
      <c r="Q51" s="123"/>
      <c r="R51" s="123"/>
      <c r="S51" s="123"/>
    </row>
    <row r="52" spans="2:19" ht="13.5" thickBot="1" x14ac:dyDescent="0.25">
      <c r="B52" s="125"/>
      <c r="C52" s="134"/>
      <c r="D52" s="134"/>
      <c r="E52" s="134"/>
      <c r="F52" s="134"/>
      <c r="G52" s="134"/>
      <c r="H52" s="134"/>
      <c r="I52" s="134"/>
      <c r="J52" s="134"/>
      <c r="K52" s="134"/>
      <c r="L52" s="140"/>
      <c r="M52" s="134"/>
      <c r="N52" s="134"/>
      <c r="O52" s="123"/>
      <c r="P52" s="123"/>
      <c r="Q52" s="123"/>
      <c r="R52" s="123"/>
      <c r="S52" s="123"/>
    </row>
    <row r="53" spans="2:19" ht="13.5" thickBot="1" x14ac:dyDescent="0.25">
      <c r="B53" s="125"/>
      <c r="C53" s="131">
        <v>0</v>
      </c>
      <c r="D53" s="132" t="s">
        <v>235</v>
      </c>
      <c r="E53" s="132"/>
      <c r="F53" s="132"/>
      <c r="G53" s="1662" t="s">
        <v>236</v>
      </c>
      <c r="H53" s="1634"/>
      <c r="I53" s="175" t="e">
        <f>SUM(K65*C53)</f>
        <v>#VALUE!</v>
      </c>
      <c r="J53" s="1663" t="s">
        <v>237</v>
      </c>
      <c r="K53" s="1664"/>
      <c r="L53" s="176"/>
      <c r="M53" s="134"/>
      <c r="N53" s="134"/>
      <c r="O53" s="123"/>
      <c r="P53" s="123"/>
      <c r="Q53" s="123"/>
      <c r="R53" s="123"/>
      <c r="S53" s="123"/>
    </row>
    <row r="54" spans="2:19" ht="13.5" thickBot="1" x14ac:dyDescent="0.25">
      <c r="B54" s="125"/>
      <c r="C54" s="131">
        <v>0</v>
      </c>
      <c r="D54" s="134" t="s">
        <v>238</v>
      </c>
      <c r="E54" s="134"/>
      <c r="F54" s="134"/>
      <c r="G54" s="1651" t="s">
        <v>236</v>
      </c>
      <c r="H54" s="1652"/>
      <c r="I54" s="131"/>
      <c r="J54" s="1653" t="s">
        <v>239</v>
      </c>
      <c r="K54" s="1654"/>
      <c r="L54" s="140"/>
      <c r="M54" s="123"/>
      <c r="N54" s="123"/>
      <c r="O54" s="123"/>
      <c r="P54" s="123"/>
      <c r="Q54" s="123"/>
      <c r="R54" s="123"/>
      <c r="S54" s="177"/>
    </row>
    <row r="55" spans="2:19" ht="13.5" thickBot="1" x14ac:dyDescent="0.25">
      <c r="B55" s="178"/>
      <c r="C55" s="131">
        <v>0</v>
      </c>
      <c r="D55" s="164" t="s">
        <v>240</v>
      </c>
      <c r="E55" s="164"/>
      <c r="F55" s="164"/>
      <c r="G55" s="1655" t="s">
        <v>236</v>
      </c>
      <c r="H55" s="1638"/>
      <c r="I55" s="131"/>
      <c r="J55" s="1656" t="s">
        <v>241</v>
      </c>
      <c r="K55" s="1657"/>
      <c r="L55" s="140"/>
      <c r="M55" s="123"/>
      <c r="N55" s="123"/>
      <c r="O55" s="123"/>
      <c r="P55" s="123"/>
      <c r="Q55" s="123"/>
      <c r="R55" s="123"/>
      <c r="S55" s="177"/>
    </row>
    <row r="56" spans="2:19" ht="13.5" thickBot="1" x14ac:dyDescent="0.25">
      <c r="B56" s="125"/>
      <c r="C56" s="134"/>
      <c r="D56" s="134"/>
      <c r="E56" s="134"/>
      <c r="F56" s="134"/>
      <c r="G56" s="134"/>
      <c r="H56" s="134"/>
      <c r="I56" s="134"/>
      <c r="J56" s="134"/>
      <c r="K56" s="134"/>
      <c r="L56" s="140"/>
      <c r="M56" s="123"/>
      <c r="N56" s="123"/>
      <c r="O56" s="123"/>
      <c r="P56" s="123"/>
      <c r="Q56" s="123"/>
      <c r="R56" s="123"/>
      <c r="S56" s="177"/>
    </row>
    <row r="57" spans="2:19" ht="13.5" thickBot="1" x14ac:dyDescent="0.25">
      <c r="B57" s="125"/>
      <c r="C57" s="138" t="e">
        <f>C53-I53</f>
        <v>#VALUE!</v>
      </c>
      <c r="D57" s="148" t="s">
        <v>242</v>
      </c>
      <c r="E57" s="132"/>
      <c r="F57" s="167"/>
      <c r="G57" s="179"/>
      <c r="H57" s="180" t="s">
        <v>200</v>
      </c>
      <c r="I57" s="181" t="str">
        <f>IF(G57=0,"",C57/G57)</f>
        <v/>
      </c>
      <c r="J57" s="182" t="s">
        <v>243</v>
      </c>
      <c r="K57" s="134"/>
      <c r="L57" s="140"/>
      <c r="M57" s="134"/>
      <c r="N57" s="134"/>
      <c r="O57" s="123"/>
      <c r="P57" s="123"/>
      <c r="Q57" s="123"/>
      <c r="R57" s="123"/>
      <c r="S57" s="123"/>
    </row>
    <row r="58" spans="2:19" ht="13.5" thickBot="1" x14ac:dyDescent="0.25">
      <c r="B58" s="125"/>
      <c r="C58" s="138">
        <f>C54-I54</f>
        <v>0</v>
      </c>
      <c r="D58" s="134" t="s">
        <v>244</v>
      </c>
      <c r="E58" s="134"/>
      <c r="F58" s="134"/>
      <c r="G58" s="179"/>
      <c r="H58" s="183" t="s">
        <v>200</v>
      </c>
      <c r="I58" s="181" t="str">
        <f>IF(G58=0,"",C58/G58)</f>
        <v/>
      </c>
      <c r="J58" s="184" t="s">
        <v>243</v>
      </c>
      <c r="K58" s="134"/>
      <c r="L58" s="140"/>
      <c r="M58" s="134"/>
      <c r="N58" s="134"/>
      <c r="O58" s="123"/>
      <c r="P58" s="123"/>
      <c r="Q58" s="123"/>
      <c r="R58" s="123"/>
      <c r="S58" s="123"/>
    </row>
    <row r="59" spans="2:19" ht="13.5" thickBot="1" x14ac:dyDescent="0.25">
      <c r="B59" s="125"/>
      <c r="C59" s="138">
        <f>C55-I55</f>
        <v>0</v>
      </c>
      <c r="D59" s="145" t="s">
        <v>244</v>
      </c>
      <c r="E59" s="164"/>
      <c r="F59" s="168"/>
      <c r="G59" s="179"/>
      <c r="H59" s="185" t="s">
        <v>200</v>
      </c>
      <c r="I59" s="181" t="str">
        <f>IF(G59=0,"",C59/G59)</f>
        <v/>
      </c>
      <c r="J59" s="186" t="s">
        <v>243</v>
      </c>
      <c r="K59" s="134"/>
      <c r="L59" s="140"/>
      <c r="M59" s="134"/>
      <c r="N59" s="134"/>
      <c r="O59" s="123"/>
      <c r="P59" s="123"/>
      <c r="Q59" s="123"/>
      <c r="R59" s="123"/>
      <c r="S59" s="123"/>
    </row>
    <row r="60" spans="2:19" ht="13.5" thickBot="1" x14ac:dyDescent="0.25">
      <c r="B60" s="125"/>
      <c r="C60" s="134"/>
      <c r="D60" s="134"/>
      <c r="E60" s="134"/>
      <c r="F60" s="134"/>
      <c r="G60" s="134"/>
      <c r="H60" s="134"/>
      <c r="I60" s="134"/>
      <c r="J60" s="134"/>
      <c r="K60" s="134"/>
      <c r="L60" s="140"/>
      <c r="M60" s="134"/>
      <c r="N60" s="134"/>
      <c r="O60" s="123"/>
      <c r="P60" s="123"/>
      <c r="Q60" s="123"/>
      <c r="R60" s="123"/>
      <c r="S60" s="123"/>
    </row>
    <row r="61" spans="2:19" ht="13.5" thickBot="1" x14ac:dyDescent="0.25">
      <c r="B61" s="125"/>
      <c r="C61" s="138" t="str">
        <f>I57</f>
        <v/>
      </c>
      <c r="D61" s="187" t="s">
        <v>245</v>
      </c>
      <c r="E61" s="133"/>
      <c r="F61" s="134"/>
      <c r="G61" s="149" t="b">
        <v>0</v>
      </c>
      <c r="H61" s="134"/>
      <c r="I61" s="188" t="s">
        <v>246</v>
      </c>
      <c r="J61" s="161"/>
      <c r="K61" s="189"/>
      <c r="L61" s="140"/>
      <c r="M61" s="134"/>
      <c r="N61" s="134"/>
      <c r="O61" s="123"/>
      <c r="P61" s="123"/>
      <c r="Q61" s="123"/>
      <c r="R61" s="123"/>
      <c r="S61" s="123"/>
    </row>
    <row r="62" spans="2:19" ht="13.5" thickBot="1" x14ac:dyDescent="0.25">
      <c r="B62" s="125"/>
      <c r="C62" s="138" t="str">
        <f>IF(SUM(C54)=0,"",SUM(C57:C58)/SUM(G57:G58))</f>
        <v/>
      </c>
      <c r="D62" s="190" t="s">
        <v>247</v>
      </c>
      <c r="E62" s="150"/>
      <c r="F62" s="134"/>
      <c r="G62" s="149" t="b">
        <v>0</v>
      </c>
      <c r="H62" s="134"/>
      <c r="I62" s="191" t="s">
        <v>248</v>
      </c>
      <c r="J62" s="163"/>
      <c r="K62" s="192"/>
      <c r="L62" s="140"/>
      <c r="M62" s="134"/>
      <c r="N62" s="134"/>
      <c r="O62" s="123"/>
      <c r="P62" s="123"/>
      <c r="Q62" s="123"/>
      <c r="R62" s="123"/>
      <c r="S62" s="123"/>
    </row>
    <row r="63" spans="2:19" ht="13.5" thickBot="1" x14ac:dyDescent="0.25">
      <c r="B63" s="125"/>
      <c r="C63" s="138" t="str">
        <f>IF(SUM(C55)=0,"",SUM(C57:C59)/SUM(G57:G59))</f>
        <v/>
      </c>
      <c r="D63" s="193" t="s">
        <v>249</v>
      </c>
      <c r="E63" s="151"/>
      <c r="F63" s="134"/>
      <c r="G63" s="149" t="b">
        <v>0</v>
      </c>
      <c r="H63" s="134"/>
      <c r="I63" s="191" t="s">
        <v>233</v>
      </c>
      <c r="J63" s="163"/>
      <c r="K63" s="138">
        <f>C54+C55</f>
        <v>0</v>
      </c>
      <c r="L63" s="140"/>
      <c r="M63" s="134"/>
      <c r="N63" s="134"/>
      <c r="O63" s="123"/>
      <c r="P63" s="123"/>
      <c r="Q63" s="123"/>
      <c r="R63" s="123"/>
      <c r="S63" s="123"/>
    </row>
    <row r="64" spans="2:19" ht="13.5" thickBot="1" x14ac:dyDescent="0.25">
      <c r="B64" s="125"/>
      <c r="C64" s="134"/>
      <c r="D64" s="134"/>
      <c r="E64" s="134"/>
      <c r="F64" s="134"/>
      <c r="G64" s="134"/>
      <c r="H64" s="134"/>
      <c r="I64" s="191" t="s">
        <v>250</v>
      </c>
      <c r="J64" s="163"/>
      <c r="K64" s="138">
        <f>I54+I55</f>
        <v>0</v>
      </c>
      <c r="L64" s="140"/>
      <c r="M64" s="134"/>
      <c r="N64" s="134"/>
      <c r="O64" s="123"/>
      <c r="P64" s="123"/>
      <c r="Q64" s="123"/>
      <c r="R64" s="123"/>
      <c r="S64" s="123"/>
    </row>
    <row r="65" spans="2:19" ht="13.5" thickBot="1" x14ac:dyDescent="0.25">
      <c r="B65" s="125"/>
      <c r="C65" s="134"/>
      <c r="D65" s="123"/>
      <c r="E65" s="123"/>
      <c r="F65" s="123"/>
      <c r="G65" s="134"/>
      <c r="H65" s="134"/>
      <c r="I65" s="194" t="s">
        <v>251</v>
      </c>
      <c r="J65" s="166"/>
      <c r="K65" s="138" t="str">
        <f>IF((K63)=0,"",K64/K63)</f>
        <v/>
      </c>
      <c r="L65" s="140"/>
      <c r="M65" s="134"/>
      <c r="N65" s="134"/>
      <c r="O65" s="123"/>
      <c r="P65" s="123"/>
      <c r="Q65" s="123"/>
      <c r="R65" s="123"/>
      <c r="S65" s="123"/>
    </row>
    <row r="66" spans="2:19" ht="13.5" thickBot="1" x14ac:dyDescent="0.25">
      <c r="B66" s="125"/>
      <c r="C66" s="134"/>
      <c r="D66" s="123"/>
      <c r="E66" s="123"/>
      <c r="F66" s="123"/>
      <c r="G66" s="134"/>
      <c r="H66" s="134"/>
      <c r="I66" s="163"/>
      <c r="J66" s="163"/>
      <c r="K66" s="195"/>
      <c r="L66" s="140"/>
      <c r="M66" s="134"/>
      <c r="N66" s="134"/>
      <c r="O66" s="123"/>
      <c r="P66" s="123"/>
      <c r="Q66" s="123"/>
      <c r="R66" s="123"/>
      <c r="S66" s="123"/>
    </row>
    <row r="67" spans="2:19" ht="13.5" thickBot="1" x14ac:dyDescent="0.25">
      <c r="B67" s="125"/>
      <c r="C67" s="196">
        <f>MIN(C61:C63)</f>
        <v>0</v>
      </c>
      <c r="D67" s="1647" t="s">
        <v>252</v>
      </c>
      <c r="E67" s="1648"/>
      <c r="F67" s="1649" t="s">
        <v>206</v>
      </c>
      <c r="G67" s="1650"/>
      <c r="H67" s="1650"/>
      <c r="I67" s="1650"/>
      <c r="J67" s="155">
        <f>IF(G61=TRUE,C61,IF(G62=TRUE,C62,IF(G63=TRUE,C63,0)))</f>
        <v>0</v>
      </c>
      <c r="K67" s="156">
        <f>IF(J67=0,C67,J67)</f>
        <v>0</v>
      </c>
      <c r="L67" s="140"/>
      <c r="M67" s="134"/>
      <c r="N67" s="134"/>
      <c r="O67" s="123"/>
      <c r="P67" s="123"/>
      <c r="Q67" s="123"/>
      <c r="R67" s="123"/>
      <c r="S67" s="123"/>
    </row>
    <row r="68" spans="2:19" x14ac:dyDescent="0.2">
      <c r="B68" s="125"/>
      <c r="C68" s="134"/>
      <c r="D68" s="134"/>
      <c r="E68" s="134"/>
      <c r="F68" s="134"/>
      <c r="G68" s="134"/>
      <c r="H68" s="134"/>
      <c r="I68" s="134"/>
      <c r="J68" s="134"/>
      <c r="K68" s="134"/>
      <c r="L68" s="140"/>
      <c r="M68" s="134"/>
      <c r="N68" s="134"/>
      <c r="O68" s="123"/>
      <c r="P68" s="123"/>
      <c r="Q68" s="123"/>
      <c r="R68" s="123"/>
      <c r="S68" s="123"/>
    </row>
    <row r="69" spans="2:19" ht="13.5" thickBot="1" x14ac:dyDescent="0.25">
      <c r="B69" s="125"/>
      <c r="C69" s="134"/>
      <c r="D69" s="134"/>
      <c r="E69" s="134"/>
      <c r="F69" s="134"/>
      <c r="G69" s="134"/>
      <c r="H69" s="134"/>
      <c r="I69" s="134"/>
      <c r="J69" s="134"/>
      <c r="K69" s="134"/>
      <c r="L69" s="140"/>
      <c r="M69" s="134"/>
      <c r="N69" s="134"/>
      <c r="O69" s="123"/>
      <c r="P69" s="123"/>
      <c r="Q69" s="123"/>
      <c r="R69" s="123"/>
      <c r="S69" s="123"/>
    </row>
    <row r="70" spans="2:19" ht="13.5" thickBot="1" x14ac:dyDescent="0.25">
      <c r="B70" s="157" t="s">
        <v>253</v>
      </c>
      <c r="C70" s="134"/>
      <c r="D70" s="197" t="s">
        <v>254</v>
      </c>
      <c r="E70" s="1632"/>
      <c r="F70" s="1633"/>
      <c r="G70" s="134"/>
      <c r="H70" s="134"/>
      <c r="I70" s="134"/>
      <c r="J70" s="134"/>
      <c r="K70" s="134"/>
      <c r="L70" s="140"/>
      <c r="M70" s="134"/>
      <c r="N70" s="134"/>
      <c r="O70" s="123"/>
      <c r="P70" s="123"/>
      <c r="Q70" s="123"/>
      <c r="R70" s="123"/>
      <c r="S70" s="123"/>
    </row>
    <row r="71" spans="2:19" ht="13.5" thickBot="1" x14ac:dyDescent="0.25">
      <c r="B71" s="125"/>
      <c r="C71" s="134"/>
      <c r="D71" s="123"/>
      <c r="E71" s="123"/>
      <c r="F71" s="123"/>
      <c r="G71" s="134"/>
      <c r="H71" s="134"/>
      <c r="I71" s="134"/>
      <c r="J71" s="134"/>
      <c r="K71" s="134"/>
      <c r="L71" s="140"/>
      <c r="M71" s="134"/>
      <c r="N71" s="134"/>
      <c r="O71" s="123"/>
      <c r="P71" s="123"/>
      <c r="Q71" s="123"/>
      <c r="R71" s="123"/>
      <c r="S71" s="123"/>
    </row>
    <row r="72" spans="2:19" ht="13.5" thickBot="1" x14ac:dyDescent="0.25">
      <c r="B72" s="125" t="s">
        <v>136</v>
      </c>
      <c r="C72" s="131"/>
      <c r="D72" s="187" t="s">
        <v>255</v>
      </c>
      <c r="E72" s="134"/>
      <c r="F72" s="134"/>
      <c r="G72" s="135"/>
      <c r="H72" s="1644" t="s">
        <v>200</v>
      </c>
      <c r="I72" s="1645"/>
      <c r="J72" s="138" t="str">
        <f>IF((G72)=0,"",C72/G72)</f>
        <v/>
      </c>
      <c r="K72" s="136" t="s">
        <v>198</v>
      </c>
      <c r="L72" s="140"/>
      <c r="M72" s="134"/>
      <c r="N72" s="134"/>
      <c r="O72" s="123"/>
      <c r="P72" s="123"/>
      <c r="Q72" s="123"/>
      <c r="R72" s="123"/>
      <c r="S72" s="123"/>
    </row>
    <row r="73" spans="2:19" ht="13.5" thickBot="1" x14ac:dyDescent="0.25">
      <c r="B73" s="125"/>
      <c r="C73" s="131"/>
      <c r="D73" s="141" t="s">
        <v>256</v>
      </c>
      <c r="E73" s="144">
        <v>2014</v>
      </c>
      <c r="F73" s="134"/>
      <c r="G73" s="135">
        <v>12</v>
      </c>
      <c r="H73" s="1644" t="s">
        <v>200</v>
      </c>
      <c r="I73" s="1645"/>
      <c r="J73" s="138">
        <f>IF((G73)=0,"",C73/G73)</f>
        <v>0</v>
      </c>
      <c r="K73" s="143" t="s">
        <v>198</v>
      </c>
      <c r="L73" s="140"/>
      <c r="M73" s="134"/>
      <c r="N73" s="134"/>
      <c r="O73" s="123"/>
      <c r="P73" s="123"/>
      <c r="Q73" s="123"/>
      <c r="R73" s="123"/>
      <c r="S73" s="123"/>
    </row>
    <row r="74" spans="2:19" ht="13.5" thickBot="1" x14ac:dyDescent="0.25">
      <c r="B74" s="125"/>
      <c r="C74" s="131"/>
      <c r="D74" s="145" t="s">
        <v>256</v>
      </c>
      <c r="E74" s="144">
        <v>2013</v>
      </c>
      <c r="F74" s="134"/>
      <c r="G74" s="198">
        <v>12</v>
      </c>
      <c r="H74" s="1646" t="s">
        <v>200</v>
      </c>
      <c r="I74" s="1646"/>
      <c r="J74" s="199">
        <f>IF((G74)=0,"",C74/G74)</f>
        <v>0</v>
      </c>
      <c r="K74" s="146" t="s">
        <v>198</v>
      </c>
      <c r="L74" s="140"/>
      <c r="M74" s="134"/>
      <c r="N74" s="134"/>
      <c r="O74" s="123"/>
      <c r="P74" s="123"/>
      <c r="Q74" s="123"/>
      <c r="R74" s="123"/>
      <c r="S74" s="123"/>
    </row>
    <row r="75" spans="2:19" ht="13.5" thickBot="1" x14ac:dyDescent="0.25">
      <c r="B75" s="125"/>
      <c r="C75" s="134"/>
      <c r="D75" s="134"/>
      <c r="E75" s="134"/>
      <c r="F75" s="134"/>
      <c r="G75" s="134"/>
      <c r="H75" s="134"/>
      <c r="I75" s="134"/>
      <c r="J75" s="134"/>
      <c r="K75" s="134"/>
      <c r="L75" s="140"/>
      <c r="M75" s="134"/>
      <c r="N75" s="134"/>
      <c r="O75" s="123"/>
      <c r="P75" s="123"/>
      <c r="Q75" s="123"/>
      <c r="R75" s="123"/>
      <c r="S75" s="123"/>
    </row>
    <row r="76" spans="2:19" ht="13.5" thickBot="1" x14ac:dyDescent="0.25">
      <c r="B76" s="125"/>
      <c r="C76" s="138" t="str">
        <f>J72</f>
        <v/>
      </c>
      <c r="D76" s="133" t="s">
        <v>257</v>
      </c>
      <c r="E76" s="134"/>
      <c r="F76" s="134"/>
      <c r="G76" s="149" t="b">
        <v>0</v>
      </c>
      <c r="H76" s="134"/>
      <c r="I76" s="134"/>
      <c r="J76" s="134"/>
      <c r="K76" s="134"/>
      <c r="L76" s="140"/>
      <c r="M76" s="134"/>
      <c r="N76" s="134"/>
      <c r="O76" s="123"/>
      <c r="P76" s="123"/>
      <c r="Q76" s="123"/>
      <c r="R76" s="123"/>
      <c r="S76" s="123"/>
    </row>
    <row r="77" spans="2:19" ht="13.5" thickBot="1" x14ac:dyDescent="0.25">
      <c r="B77" s="125"/>
      <c r="C77" s="138">
        <f>IF(SUM(G72:G73)=0,"",SUM(C72:C73)/SUM(G72:G73))</f>
        <v>0</v>
      </c>
      <c r="D77" s="150" t="s">
        <v>258</v>
      </c>
      <c r="E77" s="134"/>
      <c r="F77" s="134"/>
      <c r="G77" s="149" t="b">
        <v>0</v>
      </c>
      <c r="H77" s="134"/>
      <c r="I77" s="134"/>
      <c r="J77" s="134"/>
      <c r="K77" s="134"/>
      <c r="L77" s="140"/>
      <c r="M77" s="134"/>
      <c r="N77" s="134"/>
      <c r="O77" s="123"/>
      <c r="P77" s="123"/>
      <c r="Q77" s="123"/>
      <c r="R77" s="123"/>
      <c r="S77" s="123"/>
    </row>
    <row r="78" spans="2:19" ht="13.5" thickBot="1" x14ac:dyDescent="0.25">
      <c r="B78" s="125"/>
      <c r="C78" s="138">
        <f>IF(SUM(G72:G74)=0,"",SUM(C72:C74)/SUM(G72:G74))</f>
        <v>0</v>
      </c>
      <c r="D78" s="151" t="s">
        <v>259</v>
      </c>
      <c r="E78" s="134"/>
      <c r="F78" s="134"/>
      <c r="G78" s="149" t="b">
        <v>0</v>
      </c>
      <c r="H78" s="134"/>
      <c r="I78" s="134"/>
      <c r="J78" s="134"/>
      <c r="K78" s="134"/>
      <c r="L78" s="140"/>
      <c r="M78" s="134"/>
      <c r="N78" s="134"/>
      <c r="O78" s="123"/>
      <c r="P78" s="123"/>
      <c r="Q78" s="123"/>
      <c r="R78" s="123"/>
      <c r="S78" s="123"/>
    </row>
    <row r="79" spans="2:19" ht="13.5" thickBot="1" x14ac:dyDescent="0.25">
      <c r="B79" s="125"/>
      <c r="C79" s="134"/>
      <c r="D79" s="134" t="s">
        <v>136</v>
      </c>
      <c r="E79" s="134"/>
      <c r="F79" s="134"/>
      <c r="G79" s="134"/>
      <c r="H79" s="134"/>
      <c r="I79" s="134"/>
      <c r="J79" s="134"/>
      <c r="K79" s="134"/>
      <c r="L79" s="140"/>
      <c r="M79" s="134"/>
      <c r="N79" s="134"/>
      <c r="O79" s="123"/>
      <c r="P79" s="123"/>
      <c r="Q79" s="123"/>
      <c r="R79" s="123"/>
      <c r="S79" s="123"/>
    </row>
    <row r="80" spans="2:19" ht="13.5" thickBot="1" x14ac:dyDescent="0.25">
      <c r="B80" s="125"/>
      <c r="C80" s="152">
        <f>MIN(C76,C77,C78)</f>
        <v>0</v>
      </c>
      <c r="D80" s="1647" t="s">
        <v>260</v>
      </c>
      <c r="E80" s="1648"/>
      <c r="F80" s="1649" t="s">
        <v>206</v>
      </c>
      <c r="G80" s="1650"/>
      <c r="H80" s="1650"/>
      <c r="I80" s="1650"/>
      <c r="J80" s="155">
        <f>IF(G76=TRUE,C76,IF(G77=TRUE,C77,IF(G78=TRUE,C78,0)))</f>
        <v>0</v>
      </c>
      <c r="K80" s="156">
        <f>IF(J80=0,C80,J80)</f>
        <v>0</v>
      </c>
      <c r="L80" s="140"/>
      <c r="M80" s="134"/>
      <c r="N80" s="134"/>
      <c r="O80" s="123"/>
      <c r="P80" s="123"/>
      <c r="Q80" s="123"/>
      <c r="R80" s="123"/>
      <c r="S80" s="123"/>
    </row>
    <row r="81" spans="2:20" x14ac:dyDescent="0.2">
      <c r="B81" s="125"/>
      <c r="C81" s="134"/>
      <c r="D81" s="134"/>
      <c r="E81" s="134"/>
      <c r="F81" s="134"/>
      <c r="G81" s="134"/>
      <c r="H81" s="134"/>
      <c r="I81" s="134"/>
      <c r="J81" s="134"/>
      <c r="K81" s="134"/>
      <c r="L81" s="140"/>
      <c r="M81" s="134"/>
      <c r="N81" s="134"/>
      <c r="O81" s="123"/>
      <c r="P81" s="123"/>
      <c r="Q81" s="123"/>
      <c r="R81" s="123"/>
      <c r="S81" s="123"/>
    </row>
    <row r="82" spans="2:20" ht="13.5" thickBot="1" x14ac:dyDescent="0.25">
      <c r="B82" s="125"/>
      <c r="C82" s="134"/>
      <c r="D82" s="134"/>
      <c r="E82" s="134"/>
      <c r="F82" s="134"/>
      <c r="G82" s="134"/>
      <c r="H82" s="134"/>
      <c r="I82" s="134"/>
      <c r="J82" s="134"/>
      <c r="K82" s="134"/>
      <c r="L82" s="140"/>
      <c r="M82" s="134"/>
      <c r="N82" s="134"/>
      <c r="O82" s="123"/>
      <c r="P82" s="123"/>
      <c r="Q82" s="123"/>
      <c r="R82" s="123"/>
      <c r="S82" s="123"/>
    </row>
    <row r="83" spans="2:20" ht="13.5" thickBot="1" x14ac:dyDescent="0.25">
      <c r="B83" s="200" t="s">
        <v>261</v>
      </c>
      <c r="C83" s="134"/>
      <c r="D83" s="197" t="s">
        <v>254</v>
      </c>
      <c r="E83" s="1632"/>
      <c r="F83" s="1633"/>
      <c r="G83" s="134"/>
      <c r="H83" s="134"/>
      <c r="I83" s="134"/>
      <c r="J83" s="134"/>
      <c r="K83" s="134"/>
      <c r="L83" s="140"/>
      <c r="M83" s="134"/>
      <c r="N83" s="134"/>
      <c r="O83" s="123"/>
      <c r="P83" s="123"/>
      <c r="Q83" s="123"/>
      <c r="R83" s="123"/>
      <c r="S83" s="123"/>
    </row>
    <row r="84" spans="2:20" ht="13.5" thickBot="1" x14ac:dyDescent="0.25">
      <c r="B84" s="125"/>
      <c r="C84" s="134"/>
      <c r="D84" s="134"/>
      <c r="E84" s="134"/>
      <c r="F84" s="134"/>
      <c r="G84" s="134"/>
      <c r="H84" s="134"/>
      <c r="I84" s="134"/>
      <c r="J84" s="134"/>
      <c r="K84" s="134"/>
      <c r="L84" s="140"/>
      <c r="M84" s="134"/>
      <c r="N84" s="134"/>
      <c r="O84" s="123"/>
      <c r="P84" s="123"/>
      <c r="Q84" s="123"/>
      <c r="R84" s="123"/>
      <c r="S84" s="123"/>
    </row>
    <row r="85" spans="2:20" ht="13.5" thickBot="1" x14ac:dyDescent="0.25">
      <c r="B85" s="125"/>
      <c r="C85" s="131">
        <v>0</v>
      </c>
      <c r="D85" s="132" t="s">
        <v>262</v>
      </c>
      <c r="E85" s="132"/>
      <c r="F85" s="132"/>
      <c r="G85" s="132"/>
      <c r="H85" s="132"/>
      <c r="I85" s="133"/>
      <c r="J85" s="199">
        <f>C85</f>
        <v>0</v>
      </c>
      <c r="K85" s="136" t="s">
        <v>198</v>
      </c>
      <c r="L85" s="201" t="b">
        <v>0</v>
      </c>
      <c r="M85" s="134"/>
      <c r="N85" s="134"/>
      <c r="O85" s="134"/>
      <c r="P85" s="123"/>
      <c r="Q85" s="123"/>
      <c r="R85" s="123"/>
      <c r="S85" s="123"/>
      <c r="T85" s="123"/>
    </row>
    <row r="86" spans="2:20" ht="13.5" thickBot="1" x14ac:dyDescent="0.25">
      <c r="B86" s="125"/>
      <c r="C86" s="131">
        <v>0</v>
      </c>
      <c r="D86" s="134" t="s">
        <v>263</v>
      </c>
      <c r="E86" s="134"/>
      <c r="F86" s="134"/>
      <c r="G86" s="134"/>
      <c r="H86" s="134"/>
      <c r="I86" s="150"/>
      <c r="J86" s="199">
        <f>C86/12</f>
        <v>0</v>
      </c>
      <c r="K86" s="146" t="s">
        <v>198</v>
      </c>
      <c r="L86" s="201" t="b">
        <v>0</v>
      </c>
      <c r="M86" s="134"/>
      <c r="N86" s="134"/>
      <c r="O86" s="134"/>
      <c r="P86" s="123"/>
      <c r="Q86" s="123"/>
      <c r="R86" s="123"/>
      <c r="S86" s="123"/>
      <c r="T86" s="123"/>
    </row>
    <row r="87" spans="2:20" ht="13.5" thickBot="1" x14ac:dyDescent="0.25">
      <c r="B87" s="125"/>
      <c r="C87" s="131">
        <v>0</v>
      </c>
      <c r="D87" s="134" t="s">
        <v>264</v>
      </c>
      <c r="E87" s="134"/>
      <c r="F87" s="134"/>
      <c r="G87" s="134"/>
      <c r="H87" s="134"/>
      <c r="I87" s="202"/>
      <c r="J87" s="203"/>
      <c r="K87" s="134"/>
      <c r="L87" s="140"/>
      <c r="M87" s="134"/>
      <c r="N87" s="134"/>
      <c r="O87" s="123"/>
      <c r="P87" s="123"/>
      <c r="Q87" s="123"/>
      <c r="R87" s="123"/>
      <c r="S87" s="123"/>
    </row>
    <row r="88" spans="2:20" ht="13.5" thickBot="1" x14ac:dyDescent="0.25">
      <c r="B88" s="125"/>
      <c r="C88" s="175">
        <f>C87*25%/12</f>
        <v>0</v>
      </c>
      <c r="D88" s="123" t="s">
        <v>265</v>
      </c>
      <c r="E88" s="134"/>
      <c r="F88" s="134"/>
      <c r="G88" s="134"/>
      <c r="H88" s="134"/>
      <c r="I88" s="202"/>
      <c r="J88" s="203"/>
      <c r="K88" s="134"/>
      <c r="L88" s="140"/>
      <c r="N88" s="123"/>
      <c r="O88" s="123"/>
    </row>
    <row r="89" spans="2:20" ht="13.5" thickBot="1" x14ac:dyDescent="0.25">
      <c r="B89" s="125"/>
      <c r="C89" s="175">
        <f>IF(L85=TRUE,(J85+C88),IF(L86=TRUE,(J86+C88),0))</f>
        <v>0</v>
      </c>
      <c r="D89" s="204" t="s">
        <v>266</v>
      </c>
      <c r="E89" s="164"/>
      <c r="F89" s="164"/>
      <c r="G89" s="164"/>
      <c r="H89" s="164"/>
      <c r="I89" s="205"/>
      <c r="J89" s="203"/>
      <c r="K89" s="134"/>
      <c r="L89" s="140"/>
    </row>
    <row r="90" spans="2:20" ht="13.5" thickBot="1" x14ac:dyDescent="0.25">
      <c r="B90" s="125"/>
      <c r="C90" s="123"/>
      <c r="D90" s="123"/>
      <c r="E90" s="134"/>
      <c r="F90" s="134"/>
      <c r="G90" s="134"/>
      <c r="H90" s="134"/>
      <c r="I90" s="203"/>
      <c r="J90" s="203"/>
      <c r="K90" s="134"/>
      <c r="L90" s="140"/>
    </row>
    <row r="91" spans="2:20" ht="13.5" thickBot="1" x14ac:dyDescent="0.25">
      <c r="B91" s="206" t="s">
        <v>267</v>
      </c>
      <c r="C91" s="123" t="s">
        <v>268</v>
      </c>
      <c r="D91" s="123"/>
      <c r="E91" s="134"/>
      <c r="F91" s="134"/>
      <c r="G91" s="134"/>
      <c r="H91" s="134"/>
      <c r="I91" s="203"/>
      <c r="J91" s="203"/>
      <c r="K91" s="134"/>
      <c r="L91" s="140"/>
    </row>
    <row r="92" spans="2:20" ht="13.5" thickBot="1" x14ac:dyDescent="0.25">
      <c r="B92" s="125"/>
      <c r="C92" s="123"/>
      <c r="D92" s="123"/>
      <c r="E92" s="134"/>
      <c r="F92" s="134"/>
      <c r="G92" s="134"/>
      <c r="H92" s="134"/>
      <c r="I92" s="203"/>
      <c r="J92" s="203"/>
      <c r="K92" s="134"/>
      <c r="L92" s="140"/>
    </row>
    <row r="93" spans="2:20" ht="13.5" thickBot="1" x14ac:dyDescent="0.25">
      <c r="B93" s="125"/>
      <c r="C93" s="131">
        <v>0</v>
      </c>
      <c r="D93" s="207" t="s">
        <v>269</v>
      </c>
      <c r="E93" s="144"/>
      <c r="F93" s="134"/>
      <c r="G93" s="138">
        <f>SUM(C93/12)</f>
        <v>0</v>
      </c>
      <c r="H93" s="1634" t="s">
        <v>270</v>
      </c>
      <c r="I93" s="1635"/>
      <c r="J93" s="1636" t="s">
        <v>271</v>
      </c>
      <c r="K93" s="1637"/>
      <c r="L93" s="201" t="b">
        <v>0</v>
      </c>
    </row>
    <row r="94" spans="2:20" ht="13.5" thickBot="1" x14ac:dyDescent="0.25">
      <c r="B94" s="125"/>
      <c r="C94" s="131">
        <v>0</v>
      </c>
      <c r="D94" s="208" t="s">
        <v>269</v>
      </c>
      <c r="E94" s="144"/>
      <c r="F94" s="134"/>
      <c r="G94" s="138">
        <f>SUM(C93+C94)/24</f>
        <v>0</v>
      </c>
      <c r="H94" s="1638" t="s">
        <v>272</v>
      </c>
      <c r="I94" s="1639"/>
      <c r="J94" s="1636"/>
      <c r="K94" s="1637"/>
      <c r="L94" s="201" t="b">
        <v>0</v>
      </c>
    </row>
    <row r="95" spans="2:20" x14ac:dyDescent="0.2">
      <c r="B95" s="125"/>
      <c r="C95" s="123"/>
      <c r="D95" s="123"/>
      <c r="E95" s="134"/>
      <c r="F95" s="134"/>
      <c r="G95" s="134"/>
      <c r="H95" s="134"/>
      <c r="I95" s="203"/>
      <c r="J95" s="203"/>
      <c r="K95" s="134"/>
      <c r="L95" s="209">
        <f>IF(L93=TRUE,G93,IF(L94=TRUE,G94,0))</f>
        <v>0</v>
      </c>
    </row>
    <row r="96" spans="2:20" ht="13.5" thickBot="1" x14ac:dyDescent="0.25">
      <c r="B96" s="125"/>
      <c r="C96" s="123"/>
      <c r="D96" s="123"/>
      <c r="E96" s="134"/>
      <c r="F96" s="134"/>
      <c r="G96" s="134"/>
      <c r="H96" s="134"/>
      <c r="I96" s="203"/>
      <c r="J96" s="203"/>
      <c r="K96" s="134"/>
      <c r="L96" s="140"/>
    </row>
    <row r="97" spans="1:12" ht="13.5" thickBot="1" x14ac:dyDescent="0.25">
      <c r="B97" s="1640" t="s">
        <v>273</v>
      </c>
      <c r="C97" s="1641"/>
      <c r="D97" s="175" t="e">
        <f>SUM(C89+C35+K21+K48+K67+K80)-(L95)</f>
        <v>#VALUE!</v>
      </c>
      <c r="E97" s="134"/>
      <c r="F97" s="134"/>
      <c r="G97" s="134"/>
      <c r="H97" s="134"/>
      <c r="I97" s="203"/>
      <c r="J97" s="203"/>
      <c r="K97" s="134"/>
      <c r="L97" s="140"/>
    </row>
    <row r="98" spans="1:12" x14ac:dyDescent="0.2">
      <c r="B98" s="210"/>
      <c r="C98" s="211"/>
      <c r="D98" s="212"/>
      <c r="E98" s="134"/>
      <c r="F98" s="134"/>
      <c r="G98" s="134"/>
      <c r="H98" s="134"/>
      <c r="I98" s="203"/>
      <c r="J98" s="203"/>
      <c r="K98" s="134"/>
      <c r="L98" s="140"/>
    </row>
    <row r="99" spans="1:12" s="219" customFormat="1" x14ac:dyDescent="0.2">
      <c r="A99" s="213"/>
      <c r="B99" s="1642" t="s">
        <v>274</v>
      </c>
      <c r="C99" s="1643"/>
      <c r="D99" s="1643"/>
      <c r="E99" s="1643"/>
      <c r="F99" s="1643"/>
      <c r="G99" s="1643"/>
      <c r="H99" s="214" t="s">
        <v>275</v>
      </c>
      <c r="I99" s="215"/>
      <c r="J99" s="216"/>
      <c r="K99" s="217"/>
      <c r="L99" s="218"/>
    </row>
    <row r="100" spans="1:12" ht="13.5" thickBot="1" x14ac:dyDescent="0.25">
      <c r="B100" s="220"/>
      <c r="C100" s="221"/>
      <c r="D100" s="221"/>
      <c r="E100" s="221"/>
      <c r="F100" s="221"/>
      <c r="G100" s="221"/>
      <c r="H100" s="221"/>
      <c r="I100" s="221"/>
      <c r="J100" s="221"/>
      <c r="K100" s="221"/>
      <c r="L100" s="222"/>
    </row>
    <row r="101" spans="1:12" ht="13.5" thickBot="1" x14ac:dyDescent="0.25">
      <c r="B101" s="220"/>
      <c r="C101" s="221"/>
      <c r="D101" s="221"/>
      <c r="E101" s="221"/>
      <c r="F101" s="221"/>
      <c r="G101" s="221"/>
      <c r="H101" s="221"/>
      <c r="I101" s="221"/>
      <c r="J101" s="221"/>
      <c r="K101" s="221"/>
      <c r="L101" s="222"/>
    </row>
    <row r="102" spans="1:12" ht="13.5" thickBot="1" x14ac:dyDescent="0.25">
      <c r="B102" s="123"/>
      <c r="C102" s="134"/>
      <c r="D102" s="134"/>
      <c r="E102" s="134"/>
      <c r="F102" s="134"/>
      <c r="G102" s="134"/>
      <c r="H102" s="134"/>
      <c r="I102" s="134"/>
      <c r="J102" s="134"/>
      <c r="K102" s="134"/>
      <c r="L102" s="134"/>
    </row>
    <row r="103" spans="1:12" ht="13.5" thickBot="1" x14ac:dyDescent="0.25">
      <c r="B103" s="1621" t="s">
        <v>276</v>
      </c>
      <c r="C103" s="1622"/>
    </row>
    <row r="104" spans="1:12" x14ac:dyDescent="0.2">
      <c r="B104" s="1623"/>
      <c r="C104" s="1624"/>
      <c r="D104" s="1625"/>
      <c r="E104" s="1625"/>
      <c r="F104" s="1625"/>
      <c r="G104" s="1625"/>
      <c r="H104" s="1625"/>
      <c r="I104" s="1625"/>
      <c r="J104" s="1625"/>
      <c r="K104" s="1625"/>
      <c r="L104" s="1626"/>
    </row>
    <row r="105" spans="1:12" x14ac:dyDescent="0.2">
      <c r="B105" s="1627"/>
      <c r="C105" s="1624"/>
      <c r="D105" s="1624"/>
      <c r="E105" s="1624"/>
      <c r="F105" s="1624"/>
      <c r="G105" s="1624"/>
      <c r="H105" s="1624"/>
      <c r="I105" s="1624"/>
      <c r="J105" s="1624"/>
      <c r="K105" s="1624"/>
      <c r="L105" s="1628"/>
    </row>
    <row r="106" spans="1:12" x14ac:dyDescent="0.2">
      <c r="B106" s="1627"/>
      <c r="C106" s="1624"/>
      <c r="D106" s="1624"/>
      <c r="E106" s="1624"/>
      <c r="F106" s="1624"/>
      <c r="G106" s="1624"/>
      <c r="H106" s="1624"/>
      <c r="I106" s="1624"/>
      <c r="J106" s="1624"/>
      <c r="K106" s="1624"/>
      <c r="L106" s="1628"/>
    </row>
    <row r="107" spans="1:12" x14ac:dyDescent="0.2">
      <c r="B107" s="1627"/>
      <c r="C107" s="1624"/>
      <c r="D107" s="1624"/>
      <c r="E107" s="1624"/>
      <c r="F107" s="1624"/>
      <c r="G107" s="1624"/>
      <c r="H107" s="1624"/>
      <c r="I107" s="1624"/>
      <c r="J107" s="1624"/>
      <c r="K107" s="1624"/>
      <c r="L107" s="1628"/>
    </row>
    <row r="108" spans="1:12" x14ac:dyDescent="0.2">
      <c r="B108" s="1627"/>
      <c r="C108" s="1624"/>
      <c r="D108" s="1624"/>
      <c r="E108" s="1624"/>
      <c r="F108" s="1624"/>
      <c r="G108" s="1624"/>
      <c r="H108" s="1624"/>
      <c r="I108" s="1624"/>
      <c r="J108" s="1624"/>
      <c r="K108" s="1624"/>
      <c r="L108" s="1628"/>
    </row>
    <row r="109" spans="1:12" x14ac:dyDescent="0.2">
      <c r="B109" s="1627"/>
      <c r="C109" s="1624"/>
      <c r="D109" s="1624"/>
      <c r="E109" s="1624"/>
      <c r="F109" s="1624"/>
      <c r="G109" s="1624"/>
      <c r="H109" s="1624"/>
      <c r="I109" s="1624"/>
      <c r="J109" s="1624"/>
      <c r="K109" s="1624"/>
      <c r="L109" s="1628"/>
    </row>
    <row r="110" spans="1:12" x14ac:dyDescent="0.2">
      <c r="B110" s="1627"/>
      <c r="C110" s="1624"/>
      <c r="D110" s="1624"/>
      <c r="E110" s="1624"/>
      <c r="F110" s="1624"/>
      <c r="G110" s="1624"/>
      <c r="H110" s="1624"/>
      <c r="I110" s="1624"/>
      <c r="J110" s="1624"/>
      <c r="K110" s="1624"/>
      <c r="L110" s="1628"/>
    </row>
    <row r="111" spans="1:12" x14ac:dyDescent="0.2">
      <c r="B111" s="1629"/>
      <c r="C111" s="1630"/>
      <c r="D111" s="1630"/>
      <c r="E111" s="1630"/>
      <c r="F111" s="1630"/>
      <c r="G111" s="1630"/>
      <c r="H111" s="1630"/>
      <c r="I111" s="1630"/>
      <c r="J111" s="1630"/>
      <c r="K111" s="1630"/>
      <c r="L111" s="1631"/>
    </row>
    <row r="133" spans="2:2" x14ac:dyDescent="0.2">
      <c r="B133" s="223" t="s">
        <v>277</v>
      </c>
    </row>
  </sheetData>
  <sheetProtection password="DA0F" sheet="1" objects="1" scenarios="1"/>
  <mergeCells count="38">
    <mergeCell ref="J36:L36"/>
    <mergeCell ref="D2:J3"/>
    <mergeCell ref="C6:D6"/>
    <mergeCell ref="H6:I6"/>
    <mergeCell ref="J6:K6"/>
    <mergeCell ref="C7:D7"/>
    <mergeCell ref="J7:K7"/>
    <mergeCell ref="B9:L9"/>
    <mergeCell ref="F21:I21"/>
    <mergeCell ref="D35:E35"/>
    <mergeCell ref="F35:I35"/>
    <mergeCell ref="J35:K35"/>
    <mergeCell ref="D38:G38"/>
    <mergeCell ref="H44:K45"/>
    <mergeCell ref="F48:I48"/>
    <mergeCell ref="D51:G51"/>
    <mergeCell ref="G53:H53"/>
    <mergeCell ref="J53:K53"/>
    <mergeCell ref="G54:H54"/>
    <mergeCell ref="J54:K54"/>
    <mergeCell ref="G55:H55"/>
    <mergeCell ref="J55:K55"/>
    <mergeCell ref="D67:E67"/>
    <mergeCell ref="F67:I67"/>
    <mergeCell ref="E70:F70"/>
    <mergeCell ref="H72:I72"/>
    <mergeCell ref="H73:I73"/>
    <mergeCell ref="H74:I74"/>
    <mergeCell ref="D80:E80"/>
    <mergeCell ref="F80:I80"/>
    <mergeCell ref="B103:C103"/>
    <mergeCell ref="B104:L111"/>
    <mergeCell ref="E83:F83"/>
    <mergeCell ref="H93:I93"/>
    <mergeCell ref="J93:K94"/>
    <mergeCell ref="H94:I94"/>
    <mergeCell ref="B97:C97"/>
    <mergeCell ref="B99:G99"/>
  </mergeCells>
  <conditionalFormatting sqref="C57 I53 C76">
    <cfRule type="expression" dxfId="1" priority="1" stopIfTrue="1">
      <formula>ISERROR(C53)</formula>
    </cfRule>
  </conditionalFormatting>
  <dataValidations count="41">
    <dataValidation allowBlank="1" showInputMessage="1" showErrorMessage="1" prompt="Enter amount from check or direct deposit and 1099.  Worksheet will provide monthly comparison average. Check the amount used to qualify, then enter the annual income from this source that is not taxed. The worksheet will apply a 25% adjustment and add to" sqref="B83"/>
    <dataValidation allowBlank="1" showInputMessage="1" showErrorMessage="1" prompt="Enter income source, YTD, and previous earnings from W-2 or tax return." sqref="B70"/>
    <dataValidation allowBlank="1" showInputMessage="1" showErrorMessage="1" prompt="Enter YTD and previous year's commission. Enter the business expense from previous 2 year's tax returns.  The worksheet will apply an expense calculation based upon previous years expenses for YTD income." sqref="B51"/>
    <dataValidation allowBlank="1" showInputMessage="1" showErrorMessage="1" prompt="Enter Salary type for borrower, worksheet will calculate monthly income. Enter applicable data. The salary income should be used unless lower Y-T-D or past year income would suggest a more conservative approach.  Choose stable income." sqref="B24"/>
    <dataValidation allowBlank="1" showInputMessage="1" showErrorMessage="1" prompt="Enter applicable information in fields.  The worksheet will automatically calculate the lowest income average. However, if a more reasonable approach should be used; utilize the check box next to that approach." sqref="B11"/>
    <dataValidation allowBlank="1" showInputMessage="1" showErrorMessage="1" prompt="Break out Bonus/Overtime Income from borrowers total income.  Do NOT double count earnings under hourly or salary income sections.  Back out any bonus or overtime earnings from W-2s in those sections and include in bonus/overtime section." sqref="B38"/>
    <dataValidation allowBlank="1" showInputMessage="1" showErrorMessage="1" prompt="Enter amount of Annual Expense" sqref="C93:C94"/>
    <dataValidation allowBlank="1" showInputMessage="1" showErrorMessage="1" prompt="Enter Income as Reflected on 1099" sqref="C86"/>
    <dataValidation allowBlank="1" showInputMessage="1" showErrorMessage="1" prompt="Enter amount of Monthly Social Security Check or Direct Deposit Amount" sqref="C85"/>
    <dataValidation allowBlank="1" showInputMessage="1" showErrorMessage="1" prompt="selecting this checkbox will use this figure in the calculations" sqref="C16"/>
    <dataValidation allowBlank="1" showInputMessage="1" showErrorMessage="1" prompt="Enter Other Income From W-2" sqref="C73:C74"/>
    <dataValidation allowBlank="1" showInputMessage="1" showErrorMessage="1" prompt="Enter the number of months reflected" sqref="G72:G74"/>
    <dataValidation allowBlank="1" showInputMessage="1" showErrorMessage="1" prompt="Enter Year-to-Date Income Amount" sqref="C72"/>
    <dataValidation allowBlank="1" showInputMessage="1" showErrorMessage="1" prompt="Enter the Number of Months" sqref="G57:G59"/>
    <dataValidation allowBlank="1" showInputMessage="1" showErrorMessage="1" prompt="Enter Prev. year Comm. Less any  Base salary" sqref="C55"/>
    <dataValidation allowBlank="1" showInputMessage="1" showErrorMessage="1" prompt="Enter the 2106 Expenses (if any)" sqref="I54:I55"/>
    <dataValidation allowBlank="1" showInputMessage="1" showErrorMessage="1" prompt="Enter Prev. Year Comm. Less any Base salary" sqref="C54"/>
    <dataValidation allowBlank="1" showInputMessage="1" showErrorMessage="1" prompt="Enter source of Other Income_x000a_" sqref="E70:F70 E83:F83"/>
    <dataValidation allowBlank="1" showInputMessage="1" showErrorMessage="1" prompt="Deduct YTD Commission from Base" sqref="C53"/>
    <dataValidation allowBlank="1" showInputMessage="1" showErrorMessage="1" prompt="Enter the Number of Months Reflected" sqref="G42"/>
    <dataValidation allowBlank="1" showInputMessage="1" showErrorMessage="1" prompt="Deduct Bonus/OT from annual Base Salary" sqref="C41:C42"/>
    <dataValidation allowBlank="1" showInputMessage="1" showErrorMessage="1" prompt="Enter Number of months reflected" sqref="G40:G41"/>
    <dataValidation allowBlank="1" showInputMessage="1" showErrorMessage="1" prompt="Deduct YTD Bonus/OT from Base Salary" sqref="C40"/>
    <dataValidation allowBlank="1" showInputMessage="1" showErrorMessage="1" prompt="Enter Number of Months reflected by W-2" sqref="G32:G33"/>
    <dataValidation allowBlank="1" showInputMessage="1" showErrorMessage="1" prompt="Enter W-2 Income" sqref="C32:C33"/>
    <dataValidation allowBlank="1" showInputMessage="1" showErrorMessage="1" prompt="Enter Number of Months reflected on Pay Stub" sqref="G31"/>
    <dataValidation allowBlank="1" showInputMessage="1" showErrorMessage="1" prompt="Enter Borrower's Employer" sqref="C7:D7"/>
    <dataValidation allowBlank="1" showInputMessage="1" showErrorMessage="1" prompt="Enter Borrower's Name" sqref="C6:D6"/>
    <dataValidation allowBlank="1" showInputMessage="1" showErrorMessage="1" prompt="Enter Tax Year" sqref="E13:E14 E73:E74 E93:E94"/>
    <dataValidation allowBlank="1" showInputMessage="1" showErrorMessage="1" prompt="Enter Year to Date Salary as reflected on Pay Stub" sqref="C31"/>
    <dataValidation allowBlank="1" showInputMessage="1" showErrorMessage="1" prompt="If Paid Weekly enter Weekly Salary" sqref="C29"/>
    <dataValidation allowBlank="1" showInputMessage="1" showErrorMessage="1" prompt="If paid Bi-Monthly enter Bi-Monthly Salary" sqref="C28"/>
    <dataValidation allowBlank="1" showInputMessage="1" showErrorMessage="1" prompt="If paid Bi-Weekly Enter Bi-Weekly salary" sqref="C27"/>
    <dataValidation allowBlank="1" showInputMessage="1" showErrorMessage="1" prompt="If paid monthly enter Monthly Salary" sqref="C26"/>
    <dataValidation allowBlank="1" showInputMessage="1" showErrorMessage="1" prompt="Enter Number of months worked for this Tax Year" sqref="G13:G14"/>
    <dataValidation allowBlank="1" showInputMessage="1" showErrorMessage="1" prompt="Enter Salary from W-2" sqref="C13:C14"/>
    <dataValidation allowBlank="1" showInputMessage="1" showErrorMessage="1" prompt="Enter The Number of Months" sqref="G12"/>
    <dataValidation allowBlank="1" showInputMessage="1" showErrorMessage="1" prompt="Enter Year-to-Date Earnings Reflected on Pay Stub" sqref="C12"/>
    <dataValidation allowBlank="1" showInputMessage="1" showErrorMessage="1" prompt="Enter Number of Hours worked Per week" sqref="G11"/>
    <dataValidation allowBlank="1" showInputMessage="1" showErrorMessage="1" prompt="Enter GMAC Loan Number" sqref="J6:K6"/>
    <dataValidation allowBlank="1" showInputMessage="1" showErrorMessage="1" prompt="Enter the Hourly Pay Rate" sqref="C11"/>
  </dataValidations>
  <hyperlinks>
    <hyperlink ref="B99:G99" location="'Red Flag Reminders'!A1" display="Complete the Red Flag Reminders items (click here to access Red Flag Reminders tab)"/>
  </hyperlinks>
  <printOptions horizontalCentered="1"/>
  <pageMargins left="0.36" right="0.16" top="0.3" bottom="0.26" header="0.17" footer="0.21"/>
  <pageSetup paperSize="5" scale="67" orientation="portrait" errors="blank" r:id="rId1"/>
  <headerFooter alignWithMargins="0">
    <oddFooter>&amp;LVersion 10.4&amp;CSee Self Employed Worksheet for all Self Employed Income&amp;RUpdated: 12/17/2010</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41" r:id="rId4" name="Check Box 1">
              <controlPr locked="0" defaultSize="0" autoFill="0" autoLine="0" autoPict="0">
                <anchor moveWithCells="1">
                  <from>
                    <xdr:col>1</xdr:col>
                    <xdr:colOff>962025</xdr:colOff>
                    <xdr:row>15</xdr:row>
                    <xdr:rowOff>161925</xdr:rowOff>
                  </from>
                  <to>
                    <xdr:col>1</xdr:col>
                    <xdr:colOff>1266825</xdr:colOff>
                    <xdr:row>17</xdr:row>
                    <xdr:rowOff>38100</xdr:rowOff>
                  </to>
                </anchor>
              </controlPr>
            </control>
          </mc:Choice>
        </mc:AlternateContent>
        <mc:AlternateContent xmlns:mc="http://schemas.openxmlformats.org/markup-compatibility/2006">
          <mc:Choice Requires="x14">
            <control shapeId="10242" r:id="rId5" name="Check Box 2">
              <controlPr locked="0" defaultSize="0" autoFill="0" autoLine="0" autoPict="0">
                <anchor moveWithCells="1">
                  <from>
                    <xdr:col>1</xdr:col>
                    <xdr:colOff>962025</xdr:colOff>
                    <xdr:row>16</xdr:row>
                    <xdr:rowOff>142875</xdr:rowOff>
                  </from>
                  <to>
                    <xdr:col>1</xdr:col>
                    <xdr:colOff>1266825</xdr:colOff>
                    <xdr:row>18</xdr:row>
                    <xdr:rowOff>19050</xdr:rowOff>
                  </to>
                </anchor>
              </controlPr>
            </control>
          </mc:Choice>
        </mc:AlternateContent>
        <mc:AlternateContent xmlns:mc="http://schemas.openxmlformats.org/markup-compatibility/2006">
          <mc:Choice Requires="x14">
            <control shapeId="10243" r:id="rId6" name="Check Box 3">
              <controlPr locked="0" defaultSize="0" autoFill="0" autoLine="0" autoPict="0">
                <anchor moveWithCells="1">
                  <from>
                    <xdr:col>1</xdr:col>
                    <xdr:colOff>962025</xdr:colOff>
                    <xdr:row>17</xdr:row>
                    <xdr:rowOff>152400</xdr:rowOff>
                  </from>
                  <to>
                    <xdr:col>1</xdr:col>
                    <xdr:colOff>1266825</xdr:colOff>
                    <xdr:row>19</xdr:row>
                    <xdr:rowOff>28575</xdr:rowOff>
                  </to>
                </anchor>
              </controlPr>
            </control>
          </mc:Choice>
        </mc:AlternateContent>
        <mc:AlternateContent xmlns:mc="http://schemas.openxmlformats.org/markup-compatibility/2006">
          <mc:Choice Requires="x14">
            <control shapeId="10244" r:id="rId7" name="Check Box 4">
              <controlPr defaultSize="0" autoFill="0" autoLine="0" autoPict="0">
                <anchor moveWithCells="1">
                  <from>
                    <xdr:col>1</xdr:col>
                    <xdr:colOff>933450</xdr:colOff>
                    <xdr:row>42</xdr:row>
                    <xdr:rowOff>123825</xdr:rowOff>
                  </from>
                  <to>
                    <xdr:col>1</xdr:col>
                    <xdr:colOff>1238250</xdr:colOff>
                    <xdr:row>44</xdr:row>
                    <xdr:rowOff>0</xdr:rowOff>
                  </to>
                </anchor>
              </controlPr>
            </control>
          </mc:Choice>
        </mc:AlternateContent>
        <mc:AlternateContent xmlns:mc="http://schemas.openxmlformats.org/markup-compatibility/2006">
          <mc:Choice Requires="x14">
            <control shapeId="10245" r:id="rId8" name="Check Box 5">
              <controlPr defaultSize="0" autoFill="0" autoLine="0" autoPict="0">
                <anchor moveWithCells="1">
                  <from>
                    <xdr:col>1</xdr:col>
                    <xdr:colOff>933450</xdr:colOff>
                    <xdr:row>43</xdr:row>
                    <xdr:rowOff>142875</xdr:rowOff>
                  </from>
                  <to>
                    <xdr:col>1</xdr:col>
                    <xdr:colOff>1238250</xdr:colOff>
                    <xdr:row>45</xdr:row>
                    <xdr:rowOff>19050</xdr:rowOff>
                  </to>
                </anchor>
              </controlPr>
            </control>
          </mc:Choice>
        </mc:AlternateContent>
        <mc:AlternateContent xmlns:mc="http://schemas.openxmlformats.org/markup-compatibility/2006">
          <mc:Choice Requires="x14">
            <control shapeId="10246" r:id="rId9" name="Check Box 6">
              <controlPr defaultSize="0" autoFill="0" autoLine="0" autoPict="0">
                <anchor moveWithCells="1">
                  <from>
                    <xdr:col>1</xdr:col>
                    <xdr:colOff>933450</xdr:colOff>
                    <xdr:row>44</xdr:row>
                    <xdr:rowOff>133350</xdr:rowOff>
                  </from>
                  <to>
                    <xdr:col>1</xdr:col>
                    <xdr:colOff>1238250</xdr:colOff>
                    <xdr:row>46</xdr:row>
                    <xdr:rowOff>9525</xdr:rowOff>
                  </to>
                </anchor>
              </controlPr>
            </control>
          </mc:Choice>
        </mc:AlternateContent>
        <mc:AlternateContent xmlns:mc="http://schemas.openxmlformats.org/markup-compatibility/2006">
          <mc:Choice Requires="x14">
            <control shapeId="10247" r:id="rId10" name="Check Box 7">
              <controlPr defaultSize="0" autoFill="0" autoLine="0" autoPict="0">
                <anchor moveWithCells="1">
                  <from>
                    <xdr:col>1</xdr:col>
                    <xdr:colOff>962025</xdr:colOff>
                    <xdr:row>14</xdr:row>
                    <xdr:rowOff>152400</xdr:rowOff>
                  </from>
                  <to>
                    <xdr:col>1</xdr:col>
                    <xdr:colOff>1266825</xdr:colOff>
                    <xdr:row>16</xdr:row>
                    <xdr:rowOff>28575</xdr:rowOff>
                  </to>
                </anchor>
              </controlPr>
            </control>
          </mc:Choice>
        </mc:AlternateContent>
        <mc:AlternateContent xmlns:mc="http://schemas.openxmlformats.org/markup-compatibility/2006">
          <mc:Choice Requires="x14">
            <control shapeId="10248" r:id="rId11" name="Check Box 8">
              <controlPr defaultSize="0" autoFill="0" autoLine="0" autoPict="0">
                <anchor moveWithCells="1">
                  <from>
                    <xdr:col>1</xdr:col>
                    <xdr:colOff>971550</xdr:colOff>
                    <xdr:row>59</xdr:row>
                    <xdr:rowOff>161925</xdr:rowOff>
                  </from>
                  <to>
                    <xdr:col>1</xdr:col>
                    <xdr:colOff>1276350</xdr:colOff>
                    <xdr:row>61</xdr:row>
                    <xdr:rowOff>38100</xdr:rowOff>
                  </to>
                </anchor>
              </controlPr>
            </control>
          </mc:Choice>
        </mc:AlternateContent>
        <mc:AlternateContent xmlns:mc="http://schemas.openxmlformats.org/markup-compatibility/2006">
          <mc:Choice Requires="x14">
            <control shapeId="10249" r:id="rId12" name="Check Box 9">
              <controlPr defaultSize="0" autoFill="0" autoLine="0" autoPict="0">
                <anchor moveWithCells="1">
                  <from>
                    <xdr:col>1</xdr:col>
                    <xdr:colOff>971550</xdr:colOff>
                    <xdr:row>60</xdr:row>
                    <xdr:rowOff>152400</xdr:rowOff>
                  </from>
                  <to>
                    <xdr:col>1</xdr:col>
                    <xdr:colOff>1276350</xdr:colOff>
                    <xdr:row>62</xdr:row>
                    <xdr:rowOff>28575</xdr:rowOff>
                  </to>
                </anchor>
              </controlPr>
            </control>
          </mc:Choice>
        </mc:AlternateContent>
        <mc:AlternateContent xmlns:mc="http://schemas.openxmlformats.org/markup-compatibility/2006">
          <mc:Choice Requires="x14">
            <control shapeId="10250" r:id="rId13" name="Check Box 10">
              <controlPr defaultSize="0" autoFill="0" autoLine="0" autoPict="0">
                <anchor moveWithCells="1">
                  <from>
                    <xdr:col>1</xdr:col>
                    <xdr:colOff>971550</xdr:colOff>
                    <xdr:row>61</xdr:row>
                    <xdr:rowOff>142875</xdr:rowOff>
                  </from>
                  <to>
                    <xdr:col>1</xdr:col>
                    <xdr:colOff>1276350</xdr:colOff>
                    <xdr:row>63</xdr:row>
                    <xdr:rowOff>19050</xdr:rowOff>
                  </to>
                </anchor>
              </controlPr>
            </control>
          </mc:Choice>
        </mc:AlternateContent>
        <mc:AlternateContent xmlns:mc="http://schemas.openxmlformats.org/markup-compatibility/2006">
          <mc:Choice Requires="x14">
            <control shapeId="10251" r:id="rId14" name="Check Box 11">
              <controlPr defaultSize="0" autoFill="0" autoLine="0" autoPict="0">
                <anchor moveWithCells="1">
                  <from>
                    <xdr:col>1</xdr:col>
                    <xdr:colOff>962025</xdr:colOff>
                    <xdr:row>74</xdr:row>
                    <xdr:rowOff>123825</xdr:rowOff>
                  </from>
                  <to>
                    <xdr:col>1</xdr:col>
                    <xdr:colOff>1266825</xdr:colOff>
                    <xdr:row>76</xdr:row>
                    <xdr:rowOff>0</xdr:rowOff>
                  </to>
                </anchor>
              </controlPr>
            </control>
          </mc:Choice>
        </mc:AlternateContent>
        <mc:AlternateContent xmlns:mc="http://schemas.openxmlformats.org/markup-compatibility/2006">
          <mc:Choice Requires="x14">
            <control shapeId="10252" r:id="rId15" name="Check Box 12">
              <controlPr defaultSize="0" autoFill="0" autoLine="0" autoPict="0">
                <anchor moveWithCells="1">
                  <from>
                    <xdr:col>1</xdr:col>
                    <xdr:colOff>962025</xdr:colOff>
                    <xdr:row>75</xdr:row>
                    <xdr:rowOff>114300</xdr:rowOff>
                  </from>
                  <to>
                    <xdr:col>1</xdr:col>
                    <xdr:colOff>1266825</xdr:colOff>
                    <xdr:row>76</xdr:row>
                    <xdr:rowOff>161925</xdr:rowOff>
                  </to>
                </anchor>
              </controlPr>
            </control>
          </mc:Choice>
        </mc:AlternateContent>
        <mc:AlternateContent xmlns:mc="http://schemas.openxmlformats.org/markup-compatibility/2006">
          <mc:Choice Requires="x14">
            <control shapeId="10253" r:id="rId16" name="Check Box 13">
              <controlPr defaultSize="0" autoFill="0" autoLine="0" autoPict="0">
                <anchor moveWithCells="1">
                  <from>
                    <xdr:col>1</xdr:col>
                    <xdr:colOff>962025</xdr:colOff>
                    <xdr:row>76</xdr:row>
                    <xdr:rowOff>104775</xdr:rowOff>
                  </from>
                  <to>
                    <xdr:col>1</xdr:col>
                    <xdr:colOff>1266825</xdr:colOff>
                    <xdr:row>77</xdr:row>
                    <xdr:rowOff>152400</xdr:rowOff>
                  </to>
                </anchor>
              </controlPr>
            </control>
          </mc:Choice>
        </mc:AlternateContent>
        <mc:AlternateContent xmlns:mc="http://schemas.openxmlformats.org/markup-compatibility/2006">
          <mc:Choice Requires="x14">
            <control shapeId="10254" r:id="rId17" name="Check Box 14">
              <controlPr defaultSize="0" autoFill="0" autoLine="0" autoPict="0">
                <anchor moveWithCells="1">
                  <from>
                    <xdr:col>1</xdr:col>
                    <xdr:colOff>962025</xdr:colOff>
                    <xdr:row>24</xdr:row>
                    <xdr:rowOff>142875</xdr:rowOff>
                  </from>
                  <to>
                    <xdr:col>1</xdr:col>
                    <xdr:colOff>1266825</xdr:colOff>
                    <xdr:row>26</xdr:row>
                    <xdr:rowOff>19050</xdr:rowOff>
                  </to>
                </anchor>
              </controlPr>
            </control>
          </mc:Choice>
        </mc:AlternateContent>
        <mc:AlternateContent xmlns:mc="http://schemas.openxmlformats.org/markup-compatibility/2006">
          <mc:Choice Requires="x14">
            <control shapeId="10255" r:id="rId18" name="Check Box 15">
              <controlPr defaultSize="0" autoFill="0" autoLine="0" autoPict="0">
                <anchor moveWithCells="1">
                  <from>
                    <xdr:col>1</xdr:col>
                    <xdr:colOff>962025</xdr:colOff>
                    <xdr:row>25</xdr:row>
                    <xdr:rowOff>142875</xdr:rowOff>
                  </from>
                  <to>
                    <xdr:col>1</xdr:col>
                    <xdr:colOff>1266825</xdr:colOff>
                    <xdr:row>27</xdr:row>
                    <xdr:rowOff>19050</xdr:rowOff>
                  </to>
                </anchor>
              </controlPr>
            </control>
          </mc:Choice>
        </mc:AlternateContent>
        <mc:AlternateContent xmlns:mc="http://schemas.openxmlformats.org/markup-compatibility/2006">
          <mc:Choice Requires="x14">
            <control shapeId="10256" r:id="rId19" name="Check Box 16">
              <controlPr defaultSize="0" autoFill="0" autoLine="0" autoPict="0">
                <anchor moveWithCells="1">
                  <from>
                    <xdr:col>1</xdr:col>
                    <xdr:colOff>962025</xdr:colOff>
                    <xdr:row>26</xdr:row>
                    <xdr:rowOff>142875</xdr:rowOff>
                  </from>
                  <to>
                    <xdr:col>1</xdr:col>
                    <xdr:colOff>1266825</xdr:colOff>
                    <xdr:row>28</xdr:row>
                    <xdr:rowOff>19050</xdr:rowOff>
                  </to>
                </anchor>
              </controlPr>
            </control>
          </mc:Choice>
        </mc:AlternateContent>
        <mc:AlternateContent xmlns:mc="http://schemas.openxmlformats.org/markup-compatibility/2006">
          <mc:Choice Requires="x14">
            <control shapeId="10257" r:id="rId20" name="Check Box 17">
              <controlPr defaultSize="0" autoFill="0" autoLine="0" autoPict="0">
                <anchor moveWithCells="1">
                  <from>
                    <xdr:col>1</xdr:col>
                    <xdr:colOff>962025</xdr:colOff>
                    <xdr:row>27</xdr:row>
                    <xdr:rowOff>142875</xdr:rowOff>
                  </from>
                  <to>
                    <xdr:col>1</xdr:col>
                    <xdr:colOff>1266825</xdr:colOff>
                    <xdr:row>29</xdr:row>
                    <xdr:rowOff>19050</xdr:rowOff>
                  </to>
                </anchor>
              </controlPr>
            </control>
          </mc:Choice>
        </mc:AlternateContent>
        <mc:AlternateContent xmlns:mc="http://schemas.openxmlformats.org/markup-compatibility/2006">
          <mc:Choice Requires="x14">
            <control shapeId="10258" r:id="rId21" name="Check Box 18">
              <controlPr defaultSize="0" autoFill="0" autoLine="0" autoPict="0">
                <anchor moveWithCells="1">
                  <from>
                    <xdr:col>1</xdr:col>
                    <xdr:colOff>962025</xdr:colOff>
                    <xdr:row>29</xdr:row>
                    <xdr:rowOff>142875</xdr:rowOff>
                  </from>
                  <to>
                    <xdr:col>1</xdr:col>
                    <xdr:colOff>1266825</xdr:colOff>
                    <xdr:row>31</xdr:row>
                    <xdr:rowOff>19050</xdr:rowOff>
                  </to>
                </anchor>
              </controlPr>
            </control>
          </mc:Choice>
        </mc:AlternateContent>
        <mc:AlternateContent xmlns:mc="http://schemas.openxmlformats.org/markup-compatibility/2006">
          <mc:Choice Requires="x14">
            <control shapeId="10259" r:id="rId22" name="Check Box 19">
              <controlPr defaultSize="0" autoFill="0" autoLine="0" autoPict="0">
                <anchor moveWithCells="1">
                  <from>
                    <xdr:col>1</xdr:col>
                    <xdr:colOff>962025</xdr:colOff>
                    <xdr:row>30</xdr:row>
                    <xdr:rowOff>152400</xdr:rowOff>
                  </from>
                  <to>
                    <xdr:col>1</xdr:col>
                    <xdr:colOff>1266825</xdr:colOff>
                    <xdr:row>32</xdr:row>
                    <xdr:rowOff>28575</xdr:rowOff>
                  </to>
                </anchor>
              </controlPr>
            </control>
          </mc:Choice>
        </mc:AlternateContent>
        <mc:AlternateContent xmlns:mc="http://schemas.openxmlformats.org/markup-compatibility/2006">
          <mc:Choice Requires="x14">
            <control shapeId="10260" r:id="rId23" name="Check Box 20">
              <controlPr defaultSize="0" autoFill="0" autoLine="0" autoPict="0">
                <anchor moveWithCells="1">
                  <from>
                    <xdr:col>1</xdr:col>
                    <xdr:colOff>962025</xdr:colOff>
                    <xdr:row>31</xdr:row>
                    <xdr:rowOff>152400</xdr:rowOff>
                  </from>
                  <to>
                    <xdr:col>1</xdr:col>
                    <xdr:colOff>1266825</xdr:colOff>
                    <xdr:row>33</xdr:row>
                    <xdr:rowOff>28575</xdr:rowOff>
                  </to>
                </anchor>
              </controlPr>
            </control>
          </mc:Choice>
        </mc:AlternateContent>
        <mc:AlternateContent xmlns:mc="http://schemas.openxmlformats.org/markup-compatibility/2006">
          <mc:Choice Requires="x14">
            <control shapeId="10261" r:id="rId24" name="Check Box 21">
              <controlPr defaultSize="0" autoFill="0" autoLine="0" autoPict="0">
                <anchor moveWithCells="1">
                  <from>
                    <xdr:col>5</xdr:col>
                    <xdr:colOff>352425</xdr:colOff>
                    <xdr:row>91</xdr:row>
                    <xdr:rowOff>114300</xdr:rowOff>
                  </from>
                  <to>
                    <xdr:col>6</xdr:col>
                    <xdr:colOff>57150</xdr:colOff>
                    <xdr:row>92</xdr:row>
                    <xdr:rowOff>161925</xdr:rowOff>
                  </to>
                </anchor>
              </controlPr>
            </control>
          </mc:Choice>
        </mc:AlternateContent>
        <mc:AlternateContent xmlns:mc="http://schemas.openxmlformats.org/markup-compatibility/2006">
          <mc:Choice Requires="x14">
            <control shapeId="10262" r:id="rId25" name="Check Box 22">
              <controlPr defaultSize="0" autoFill="0" autoLine="0" autoPict="0">
                <anchor moveWithCells="1">
                  <from>
                    <xdr:col>5</xdr:col>
                    <xdr:colOff>352425</xdr:colOff>
                    <xdr:row>92</xdr:row>
                    <xdr:rowOff>104775</xdr:rowOff>
                  </from>
                  <to>
                    <xdr:col>6</xdr:col>
                    <xdr:colOff>57150</xdr:colOff>
                    <xdr:row>93</xdr:row>
                    <xdr:rowOff>152400</xdr:rowOff>
                  </to>
                </anchor>
              </controlPr>
            </control>
          </mc:Choice>
        </mc:AlternateContent>
        <mc:AlternateContent xmlns:mc="http://schemas.openxmlformats.org/markup-compatibility/2006">
          <mc:Choice Requires="x14">
            <control shapeId="10263" r:id="rId26" name="Check Box 23">
              <controlPr defaultSize="0" autoFill="0" autoLine="0" autoPict="0">
                <anchor moveWithCells="1">
                  <from>
                    <xdr:col>1</xdr:col>
                    <xdr:colOff>1019175</xdr:colOff>
                    <xdr:row>83</xdr:row>
                    <xdr:rowOff>133350</xdr:rowOff>
                  </from>
                  <to>
                    <xdr:col>1</xdr:col>
                    <xdr:colOff>1323975</xdr:colOff>
                    <xdr:row>85</xdr:row>
                    <xdr:rowOff>9525</xdr:rowOff>
                  </to>
                </anchor>
              </controlPr>
            </control>
          </mc:Choice>
        </mc:AlternateContent>
        <mc:AlternateContent xmlns:mc="http://schemas.openxmlformats.org/markup-compatibility/2006">
          <mc:Choice Requires="x14">
            <control shapeId="10264" r:id="rId27" name="Check Box 24">
              <controlPr defaultSize="0" autoFill="0" autoLine="0" autoPict="0">
                <anchor moveWithCells="1">
                  <from>
                    <xdr:col>1</xdr:col>
                    <xdr:colOff>1019175</xdr:colOff>
                    <xdr:row>84</xdr:row>
                    <xdr:rowOff>133350</xdr:rowOff>
                  </from>
                  <to>
                    <xdr:col>1</xdr:col>
                    <xdr:colOff>1323975</xdr:colOff>
                    <xdr:row>86</xdr:row>
                    <xdr:rowOff>9525</xdr:rowOff>
                  </to>
                </anchor>
              </controlPr>
            </control>
          </mc:Choice>
        </mc:AlternateContent>
        <mc:AlternateContent xmlns:mc="http://schemas.openxmlformats.org/markup-compatibility/2006">
          <mc:Choice Requires="x14">
            <control shapeId="10265" r:id="rId28" name="Check Box 25">
              <controlPr locked="0" defaultSize="0" autoFill="0" autoLine="0" autoPict="0">
                <anchor moveWithCells="1">
                  <from>
                    <xdr:col>6</xdr:col>
                    <xdr:colOff>561975</xdr:colOff>
                    <xdr:row>97</xdr:row>
                    <xdr:rowOff>123825</xdr:rowOff>
                  </from>
                  <to>
                    <xdr:col>7</xdr:col>
                    <xdr:colOff>95250</xdr:colOff>
                    <xdr:row>99</xdr:row>
                    <xdr:rowOff>9525</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9"/>
  <sheetViews>
    <sheetView workbookViewId="0">
      <selection activeCell="P16" sqref="P16"/>
    </sheetView>
  </sheetViews>
  <sheetFormatPr defaultRowHeight="12.75" x14ac:dyDescent="0.2"/>
  <cols>
    <col min="1" max="1" width="20.140625" customWidth="1"/>
  </cols>
  <sheetData>
    <row r="1" spans="1:16" x14ac:dyDescent="0.2">
      <c r="A1" s="108" t="s">
        <v>289</v>
      </c>
    </row>
    <row r="2" spans="1:16" x14ac:dyDescent="0.2">
      <c r="B2" s="329" t="s">
        <v>298</v>
      </c>
      <c r="C2" s="329" t="s">
        <v>299</v>
      </c>
      <c r="D2" s="35"/>
      <c r="E2" s="108" t="s">
        <v>300</v>
      </c>
      <c r="M2" s="108" t="s">
        <v>433</v>
      </c>
      <c r="N2" s="108" t="s">
        <v>442</v>
      </c>
      <c r="P2" s="108" t="s">
        <v>441</v>
      </c>
    </row>
    <row r="3" spans="1:16" x14ac:dyDescent="0.2">
      <c r="A3" s="108" t="s">
        <v>290</v>
      </c>
      <c r="B3" s="327">
        <v>2.5000000000000001E-3</v>
      </c>
      <c r="C3" s="328" t="s">
        <v>28</v>
      </c>
      <c r="E3" s="108" t="s">
        <v>301</v>
      </c>
      <c r="N3" s="108" t="s">
        <v>436</v>
      </c>
      <c r="P3" s="108" t="s">
        <v>79</v>
      </c>
    </row>
    <row r="4" spans="1:16" x14ac:dyDescent="0.2">
      <c r="A4" s="108" t="s">
        <v>290</v>
      </c>
      <c r="B4" s="327">
        <v>2.5000000000000001E-3</v>
      </c>
      <c r="C4" s="327">
        <v>2.5000000000000001E-3</v>
      </c>
      <c r="E4" s="108" t="s">
        <v>302</v>
      </c>
      <c r="M4" s="108" t="s">
        <v>431</v>
      </c>
      <c r="N4" s="108" t="s">
        <v>437</v>
      </c>
      <c r="P4" s="30">
        <v>2</v>
      </c>
    </row>
    <row r="5" spans="1:16" x14ac:dyDescent="0.2">
      <c r="A5" s="108" t="s">
        <v>291</v>
      </c>
      <c r="B5" s="327">
        <v>2.5000000000000001E-3</v>
      </c>
      <c r="C5" s="328" t="s">
        <v>28</v>
      </c>
      <c r="E5" s="108" t="s">
        <v>303</v>
      </c>
      <c r="M5" s="108" t="s">
        <v>434</v>
      </c>
      <c r="N5" s="108" t="s">
        <v>432</v>
      </c>
      <c r="P5" s="30">
        <v>3</v>
      </c>
    </row>
    <row r="6" spans="1:16" x14ac:dyDescent="0.2">
      <c r="A6" s="108" t="s">
        <v>100</v>
      </c>
      <c r="B6" s="327">
        <v>1.25E-3</v>
      </c>
      <c r="C6" s="328" t="s">
        <v>28</v>
      </c>
      <c r="E6" s="108" t="s">
        <v>304</v>
      </c>
      <c r="N6" s="108" t="s">
        <v>531</v>
      </c>
      <c r="P6" s="30">
        <v>4</v>
      </c>
    </row>
    <row r="7" spans="1:16" x14ac:dyDescent="0.2">
      <c r="A7" s="108" t="s">
        <v>292</v>
      </c>
      <c r="B7" s="327">
        <v>3.7499999999999999E-3</v>
      </c>
      <c r="C7" s="327">
        <v>2.5000000000000001E-3</v>
      </c>
      <c r="E7" s="108" t="s">
        <v>304</v>
      </c>
      <c r="N7" s="108" t="s">
        <v>438</v>
      </c>
    </row>
    <row r="8" spans="1:16" x14ac:dyDescent="0.2">
      <c r="A8" s="108" t="s">
        <v>297</v>
      </c>
      <c r="B8" s="327">
        <v>5.0000000000000001E-3</v>
      </c>
      <c r="C8" s="328" t="s">
        <v>28</v>
      </c>
      <c r="N8" s="108" t="s">
        <v>439</v>
      </c>
    </row>
    <row r="9" spans="1:16" x14ac:dyDescent="0.2">
      <c r="A9" s="108" t="s">
        <v>296</v>
      </c>
      <c r="B9" s="327">
        <v>2.5000000000000001E-3</v>
      </c>
      <c r="C9" s="328" t="s">
        <v>28</v>
      </c>
      <c r="N9" s="108" t="s">
        <v>524</v>
      </c>
    </row>
    <row r="10" spans="1:16" x14ac:dyDescent="0.2">
      <c r="A10" s="108" t="s">
        <v>295</v>
      </c>
      <c r="B10" s="328" t="s">
        <v>28</v>
      </c>
      <c r="C10" s="328" t="s">
        <v>28</v>
      </c>
      <c r="E10" s="108" t="s">
        <v>305</v>
      </c>
    </row>
    <row r="11" spans="1:16" x14ac:dyDescent="0.2">
      <c r="A11" s="108" t="s">
        <v>293</v>
      </c>
      <c r="B11" s="327">
        <v>2.5000000000000001E-3</v>
      </c>
      <c r="C11" s="328" t="s">
        <v>28</v>
      </c>
      <c r="E11" s="108" t="s">
        <v>306</v>
      </c>
      <c r="M11" s="108" t="s">
        <v>532</v>
      </c>
      <c r="P11" t="s">
        <v>534</v>
      </c>
    </row>
    <row r="12" spans="1:16" x14ac:dyDescent="0.2">
      <c r="A12" s="108" t="s">
        <v>294</v>
      </c>
      <c r="B12" s="327">
        <v>3.7499999999999999E-3</v>
      </c>
      <c r="C12" s="327">
        <v>2.5000000000000001E-3</v>
      </c>
      <c r="E12" s="108" t="s">
        <v>306</v>
      </c>
      <c r="M12" s="108" t="s">
        <v>407</v>
      </c>
      <c r="P12" t="s">
        <v>407</v>
      </c>
    </row>
    <row r="13" spans="1:16" x14ac:dyDescent="0.2">
      <c r="E13" s="108" t="s">
        <v>307</v>
      </c>
      <c r="M13" s="108" t="s">
        <v>533</v>
      </c>
      <c r="P13" s="108" t="s">
        <v>434</v>
      </c>
    </row>
    <row r="14" spans="1:16" x14ac:dyDescent="0.2">
      <c r="A14" s="330">
        <v>75000</v>
      </c>
      <c r="E14" s="108" t="s">
        <v>308</v>
      </c>
      <c r="M14" s="108" t="s">
        <v>537</v>
      </c>
      <c r="P14" s="108" t="s">
        <v>539</v>
      </c>
    </row>
    <row r="15" spans="1:16" x14ac:dyDescent="0.2">
      <c r="M15" s="108" t="s">
        <v>538</v>
      </c>
      <c r="P15" s="108" t="s">
        <v>540</v>
      </c>
    </row>
    <row r="16" spans="1:16" x14ac:dyDescent="0.2">
      <c r="A16" s="108" t="s">
        <v>309</v>
      </c>
      <c r="B16" s="331">
        <v>2.5000000000000001E-3</v>
      </c>
      <c r="C16" s="328" t="s">
        <v>28</v>
      </c>
    </row>
    <row r="17" spans="1:13" x14ac:dyDescent="0.2">
      <c r="A17" s="108" t="s">
        <v>310</v>
      </c>
      <c r="B17" s="331">
        <v>2.5000000000000001E-3</v>
      </c>
      <c r="C17" s="327">
        <v>2.5000000000000001E-3</v>
      </c>
      <c r="E17" s="108" t="s">
        <v>313</v>
      </c>
    </row>
    <row r="18" spans="1:13" x14ac:dyDescent="0.2">
      <c r="A18" s="108" t="s">
        <v>311</v>
      </c>
      <c r="B18" s="331">
        <v>5.0000000000000001E-3</v>
      </c>
      <c r="C18" s="327">
        <v>2.5000000000000001E-3</v>
      </c>
      <c r="E18" s="108" t="s">
        <v>313</v>
      </c>
    </row>
    <row r="19" spans="1:13" x14ac:dyDescent="0.2">
      <c r="A19" s="108" t="s">
        <v>312</v>
      </c>
      <c r="B19" s="331">
        <v>5.0000000000000001E-3</v>
      </c>
      <c r="C19" s="327">
        <v>5.0000000000000001E-3</v>
      </c>
      <c r="E19" s="108" t="s">
        <v>314</v>
      </c>
      <c r="M19" s="108" t="s">
        <v>536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dimension ref="A1:K40"/>
  <sheetViews>
    <sheetView workbookViewId="0"/>
  </sheetViews>
  <sheetFormatPr defaultRowHeight="12.75" x14ac:dyDescent="0.2"/>
  <cols>
    <col min="1" max="1" width="10.7109375" customWidth="1"/>
    <col min="2" max="2" width="3.7109375" customWidth="1"/>
    <col min="3" max="3" width="2.7109375" customWidth="1"/>
    <col min="4" max="5" width="10.7109375" customWidth="1"/>
    <col min="6" max="6" width="2.7109375" customWidth="1"/>
    <col min="7" max="8" width="10.7109375" customWidth="1"/>
  </cols>
  <sheetData>
    <row r="1" spans="1:11" x14ac:dyDescent="0.2">
      <c r="B1" s="7"/>
      <c r="C1" s="7"/>
      <c r="D1" s="7"/>
      <c r="E1" s="24"/>
      <c r="F1" s="7"/>
      <c r="G1" s="7"/>
      <c r="H1" s="7"/>
    </row>
    <row r="2" spans="1:11" ht="20.25" x14ac:dyDescent="0.3">
      <c r="B2" s="9"/>
      <c r="C2" s="9"/>
      <c r="D2" s="9"/>
      <c r="E2" s="25"/>
      <c r="F2" s="9"/>
      <c r="G2" s="9"/>
      <c r="K2" s="21" t="s">
        <v>70</v>
      </c>
    </row>
    <row r="3" spans="1:11" x14ac:dyDescent="0.2">
      <c r="G3" s="42"/>
    </row>
    <row r="4" spans="1:11" ht="15.75" x14ac:dyDescent="0.25">
      <c r="A4" s="18" t="s">
        <v>1</v>
      </c>
      <c r="C4" s="44"/>
      <c r="E4" s="45"/>
      <c r="F4" s="45"/>
      <c r="G4" s="45"/>
      <c r="H4" s="29" t="s">
        <v>2</v>
      </c>
      <c r="I4" s="1684"/>
      <c r="J4" s="1684"/>
      <c r="K4" s="1684"/>
    </row>
    <row r="5" spans="1:11" ht="15.75" x14ac:dyDescent="0.25">
      <c r="A5" s="18"/>
      <c r="C5" s="19"/>
      <c r="D5" s="31"/>
      <c r="E5" s="28"/>
      <c r="F5" s="28"/>
      <c r="G5" s="11"/>
      <c r="H5" s="43"/>
      <c r="I5" s="43"/>
      <c r="J5" s="43"/>
    </row>
    <row r="6" spans="1:11" s="17" customFormat="1" ht="15.75" customHeight="1" x14ac:dyDescent="0.25">
      <c r="A6" s="16" t="s">
        <v>73</v>
      </c>
      <c r="C6" s="38"/>
      <c r="D6" s="38"/>
      <c r="E6" s="38"/>
      <c r="F6" s="38"/>
      <c r="G6" s="39"/>
      <c r="H6" s="41" t="s">
        <v>83</v>
      </c>
      <c r="I6" s="38"/>
      <c r="J6" s="38"/>
      <c r="K6" s="38"/>
    </row>
    <row r="7" spans="1:11" s="17" customFormat="1" ht="15.75" customHeight="1" x14ac:dyDescent="0.25">
      <c r="A7" s="16"/>
      <c r="C7" s="38"/>
      <c r="D7" s="38"/>
      <c r="E7" s="38"/>
      <c r="F7" s="38"/>
      <c r="G7" s="12"/>
      <c r="I7" s="46"/>
      <c r="J7" s="46"/>
      <c r="K7" s="46"/>
    </row>
    <row r="8" spans="1:11" ht="15.75" customHeight="1" x14ac:dyDescent="0.25">
      <c r="A8" s="16" t="s">
        <v>72</v>
      </c>
      <c r="C8" s="38"/>
      <c r="D8" s="38"/>
      <c r="E8" s="38"/>
      <c r="F8" s="38"/>
      <c r="G8" s="45"/>
      <c r="H8" s="41" t="s">
        <v>71</v>
      </c>
      <c r="I8" s="38"/>
      <c r="J8" s="38"/>
      <c r="K8" s="38"/>
    </row>
    <row r="9" spans="1:11" ht="15.75" customHeight="1" x14ac:dyDescent="0.2">
      <c r="B9" s="17"/>
      <c r="C9" s="17"/>
      <c r="D9" s="17"/>
      <c r="E9" s="17"/>
      <c r="F9" s="17"/>
      <c r="G9" s="17"/>
      <c r="H9" s="17"/>
    </row>
    <row r="10" spans="1:11" ht="15.75" customHeight="1" x14ac:dyDescent="0.25">
      <c r="C10" s="1689" t="s">
        <v>78</v>
      </c>
      <c r="D10" s="1592"/>
      <c r="E10" s="1592"/>
      <c r="F10" s="1592"/>
      <c r="G10" s="1592"/>
      <c r="H10" s="1592"/>
    </row>
    <row r="11" spans="1:11" ht="15.75" customHeight="1" thickBot="1" x14ac:dyDescent="0.25">
      <c r="B11" s="17"/>
      <c r="C11" s="17"/>
      <c r="D11" s="17"/>
      <c r="E11" s="17"/>
      <c r="F11" s="17"/>
      <c r="G11" s="17"/>
      <c r="H11" s="17"/>
    </row>
    <row r="12" spans="1:11" ht="15" customHeight="1" thickBot="1" x14ac:dyDescent="0.25">
      <c r="B12" s="17"/>
      <c r="C12" s="40"/>
      <c r="D12" s="17" t="s">
        <v>74</v>
      </c>
      <c r="E12" s="17"/>
      <c r="F12" s="40"/>
      <c r="G12" s="17" t="s">
        <v>75</v>
      </c>
      <c r="H12" s="17"/>
    </row>
    <row r="13" spans="1:11" ht="15" customHeight="1" thickBot="1" x14ac:dyDescent="0.25">
      <c r="B13" s="17"/>
      <c r="C13" s="46"/>
      <c r="D13" s="46"/>
      <c r="E13" s="46"/>
      <c r="F13" s="46"/>
      <c r="G13" s="46"/>
      <c r="H13" s="46"/>
    </row>
    <row r="14" spans="1:11" ht="15" customHeight="1" thickBot="1" x14ac:dyDescent="0.25">
      <c r="B14" s="17"/>
      <c r="C14" s="40"/>
      <c r="D14" s="17" t="s">
        <v>76</v>
      </c>
      <c r="E14" s="17"/>
      <c r="F14" s="40"/>
      <c r="G14" s="17" t="s">
        <v>77</v>
      </c>
      <c r="H14" s="17"/>
    </row>
    <row r="15" spans="1:11" ht="18" customHeight="1" x14ac:dyDescent="0.2">
      <c r="B15" s="17"/>
      <c r="C15" s="17"/>
      <c r="D15" s="17"/>
      <c r="E15" s="17"/>
      <c r="F15" s="17"/>
      <c r="G15" s="17"/>
      <c r="H15" s="17"/>
    </row>
    <row r="16" spans="1:11" ht="18" customHeight="1" x14ac:dyDescent="0.25">
      <c r="B16" s="47" t="s">
        <v>79</v>
      </c>
      <c r="C16" s="48"/>
      <c r="D16" s="1685" t="s">
        <v>80</v>
      </c>
      <c r="E16" s="1686"/>
      <c r="F16" s="48"/>
      <c r="G16" s="1685" t="s">
        <v>81</v>
      </c>
      <c r="H16" s="1687"/>
      <c r="I16" s="1688" t="s">
        <v>82</v>
      </c>
      <c r="J16" s="1687"/>
      <c r="K16" s="1687"/>
    </row>
    <row r="17" spans="2:11" ht="18" customHeight="1" x14ac:dyDescent="0.25">
      <c r="B17" s="47">
        <v>1</v>
      </c>
      <c r="C17" s="49"/>
      <c r="D17" s="1679"/>
      <c r="E17" s="1683"/>
      <c r="F17" s="49"/>
      <c r="G17" s="1679"/>
      <c r="H17" s="1680"/>
      <c r="I17" s="1678"/>
      <c r="J17" s="1678"/>
      <c r="K17" s="1678"/>
    </row>
    <row r="18" spans="2:11" ht="18" customHeight="1" x14ac:dyDescent="0.25">
      <c r="B18" s="47">
        <v>2</v>
      </c>
      <c r="C18" s="49"/>
      <c r="D18" s="1679"/>
      <c r="E18" s="1683"/>
      <c r="F18" s="49"/>
      <c r="G18" s="1679"/>
      <c r="H18" s="1680"/>
      <c r="I18" s="1678"/>
      <c r="J18" s="1678"/>
      <c r="K18" s="1678"/>
    </row>
    <row r="19" spans="2:11" ht="18" customHeight="1" x14ac:dyDescent="0.25">
      <c r="B19" s="47">
        <v>3</v>
      </c>
      <c r="C19" s="49"/>
      <c r="D19" s="1679"/>
      <c r="E19" s="1683"/>
      <c r="F19" s="49"/>
      <c r="G19" s="1679"/>
      <c r="H19" s="1680"/>
      <c r="I19" s="1678"/>
      <c r="J19" s="1678"/>
      <c r="K19" s="1678"/>
    </row>
    <row r="20" spans="2:11" ht="18" customHeight="1" x14ac:dyDescent="0.25">
      <c r="B20" s="47">
        <v>4</v>
      </c>
      <c r="C20" s="49"/>
      <c r="D20" s="1679"/>
      <c r="E20" s="1683"/>
      <c r="F20" s="49"/>
      <c r="G20" s="1679"/>
      <c r="H20" s="1680"/>
      <c r="I20" s="1678"/>
      <c r="J20" s="1678"/>
      <c r="K20" s="1678"/>
    </row>
    <row r="21" spans="2:11" ht="18" customHeight="1" x14ac:dyDescent="0.25">
      <c r="B21" s="47">
        <v>5</v>
      </c>
      <c r="C21" s="49"/>
      <c r="D21" s="1679"/>
      <c r="E21" s="1683"/>
      <c r="F21" s="49"/>
      <c r="G21" s="1679"/>
      <c r="H21" s="1680"/>
      <c r="I21" s="1678"/>
      <c r="J21" s="1678"/>
      <c r="K21" s="1678"/>
    </row>
    <row r="22" spans="2:11" ht="18" customHeight="1" x14ac:dyDescent="0.25">
      <c r="B22" s="47">
        <v>6</v>
      </c>
      <c r="C22" s="49"/>
      <c r="D22" s="1679"/>
      <c r="E22" s="1683"/>
      <c r="F22" s="49"/>
      <c r="G22" s="1679"/>
      <c r="H22" s="1680"/>
      <c r="I22" s="1678"/>
      <c r="J22" s="1678"/>
      <c r="K22" s="1678"/>
    </row>
    <row r="23" spans="2:11" ht="18" customHeight="1" x14ac:dyDescent="0.25">
      <c r="B23" s="47">
        <v>7</v>
      </c>
      <c r="C23" s="49"/>
      <c r="D23" s="1679"/>
      <c r="E23" s="1683"/>
      <c r="F23" s="49"/>
      <c r="G23" s="1679"/>
      <c r="H23" s="1680"/>
      <c r="I23" s="1678"/>
      <c r="J23" s="1678"/>
      <c r="K23" s="1678"/>
    </row>
    <row r="24" spans="2:11" ht="18" customHeight="1" x14ac:dyDescent="0.25">
      <c r="B24" s="47">
        <v>8</v>
      </c>
      <c r="C24" s="49"/>
      <c r="D24" s="1679"/>
      <c r="E24" s="1683"/>
      <c r="F24" s="49"/>
      <c r="G24" s="1679"/>
      <c r="H24" s="1680"/>
      <c r="I24" s="1678"/>
      <c r="J24" s="1678"/>
      <c r="K24" s="1678"/>
    </row>
    <row r="25" spans="2:11" ht="18" customHeight="1" x14ac:dyDescent="0.25">
      <c r="B25" s="47">
        <v>9</v>
      </c>
      <c r="C25" s="49"/>
      <c r="D25" s="1679"/>
      <c r="E25" s="1683"/>
      <c r="F25" s="49"/>
      <c r="G25" s="1679"/>
      <c r="H25" s="1680"/>
      <c r="I25" s="1678"/>
      <c r="J25" s="1678"/>
      <c r="K25" s="1678"/>
    </row>
    <row r="26" spans="2:11" ht="18" customHeight="1" x14ac:dyDescent="0.25">
      <c r="B26" s="47">
        <v>10</v>
      </c>
      <c r="C26" s="49"/>
      <c r="D26" s="1679"/>
      <c r="E26" s="1683"/>
      <c r="F26" s="49"/>
      <c r="G26" s="1679"/>
      <c r="H26" s="1680"/>
      <c r="I26" s="1678"/>
      <c r="J26" s="1678"/>
      <c r="K26" s="1678"/>
    </row>
    <row r="27" spans="2:11" ht="18" customHeight="1" x14ac:dyDescent="0.25">
      <c r="B27" s="47">
        <v>11</v>
      </c>
      <c r="C27" s="49"/>
      <c r="D27" s="1679"/>
      <c r="E27" s="1683"/>
      <c r="F27" s="49"/>
      <c r="G27" s="1679"/>
      <c r="H27" s="1680"/>
      <c r="I27" s="1678"/>
      <c r="J27" s="1678"/>
      <c r="K27" s="1678"/>
    </row>
    <row r="28" spans="2:11" ht="18" customHeight="1" x14ac:dyDescent="0.25">
      <c r="B28" s="47">
        <v>12</v>
      </c>
      <c r="C28" s="50"/>
      <c r="D28" s="1679"/>
      <c r="E28" s="1683"/>
      <c r="F28" s="50"/>
      <c r="G28" s="1679"/>
      <c r="H28" s="1680"/>
      <c r="I28" s="1678"/>
      <c r="J28" s="1678"/>
      <c r="K28" s="1678"/>
    </row>
    <row r="29" spans="2:11" ht="18" customHeight="1" x14ac:dyDescent="0.2">
      <c r="B29" s="17"/>
      <c r="C29" s="17"/>
      <c r="D29" s="17"/>
      <c r="E29" s="17"/>
      <c r="F29" s="17"/>
      <c r="G29" s="17"/>
      <c r="H29" s="17"/>
    </row>
    <row r="30" spans="2:11" ht="18" customHeight="1" x14ac:dyDescent="0.25">
      <c r="C30" s="17"/>
      <c r="D30" s="41" t="s">
        <v>84</v>
      </c>
      <c r="E30" s="38"/>
      <c r="F30" s="46"/>
      <c r="G30" s="16" t="s">
        <v>85</v>
      </c>
      <c r="H30" s="17"/>
    </row>
    <row r="31" spans="2:11" ht="18" customHeight="1" x14ac:dyDescent="0.25">
      <c r="B31" s="17"/>
      <c r="C31" s="17"/>
      <c r="D31" s="17"/>
      <c r="E31" s="39"/>
      <c r="F31" s="17"/>
      <c r="G31" s="16" t="s">
        <v>86</v>
      </c>
      <c r="H31" s="17"/>
    </row>
    <row r="32" spans="2:11" ht="18" customHeight="1" x14ac:dyDescent="0.25">
      <c r="B32" s="17"/>
      <c r="C32" s="17"/>
      <c r="D32" s="17"/>
      <c r="E32" s="39"/>
      <c r="F32" s="17"/>
      <c r="G32" s="16" t="s">
        <v>87</v>
      </c>
      <c r="H32" s="17"/>
    </row>
    <row r="33" spans="2:11" ht="18" customHeight="1" x14ac:dyDescent="0.25">
      <c r="B33" s="17"/>
      <c r="C33" s="17"/>
      <c r="D33" s="17"/>
      <c r="E33" s="39"/>
      <c r="F33" s="17"/>
      <c r="G33" s="16" t="s">
        <v>88</v>
      </c>
      <c r="H33" s="17"/>
    </row>
    <row r="34" spans="2:11" ht="18" customHeight="1" x14ac:dyDescent="0.2"/>
    <row r="35" spans="2:11" ht="18" customHeight="1" x14ac:dyDescent="0.2"/>
    <row r="36" spans="2:11" ht="18" customHeight="1" x14ac:dyDescent="0.25">
      <c r="F36" s="27" t="s">
        <v>45</v>
      </c>
      <c r="H36" s="1681"/>
      <c r="I36" s="1681"/>
      <c r="J36" s="1681"/>
      <c r="K36" s="1681"/>
    </row>
    <row r="37" spans="2:11" ht="18" customHeight="1" x14ac:dyDescent="0.2">
      <c r="G37" s="22"/>
      <c r="H37" s="22"/>
      <c r="I37" s="22"/>
      <c r="J37" s="22"/>
      <c r="K37" s="23"/>
    </row>
    <row r="38" spans="2:11" ht="18" customHeight="1" x14ac:dyDescent="0.25">
      <c r="F38" s="27" t="s">
        <v>46</v>
      </c>
      <c r="H38" s="1682"/>
      <c r="I38" s="1682"/>
      <c r="J38" s="1682"/>
      <c r="K38" s="1682"/>
    </row>
    <row r="39" spans="2:11" ht="18" customHeight="1" x14ac:dyDescent="0.2"/>
    <row r="40" spans="2:11" ht="18" customHeight="1" x14ac:dyDescent="0.2"/>
  </sheetData>
  <mergeCells count="43">
    <mergeCell ref="D18:E18"/>
    <mergeCell ref="D19:E19"/>
    <mergeCell ref="D20:E20"/>
    <mergeCell ref="D21:E21"/>
    <mergeCell ref="I4:K4"/>
    <mergeCell ref="D16:E16"/>
    <mergeCell ref="G16:H16"/>
    <mergeCell ref="D17:E17"/>
    <mergeCell ref="I16:K16"/>
    <mergeCell ref="C10:H10"/>
    <mergeCell ref="I17:K17"/>
    <mergeCell ref="G21:H21"/>
    <mergeCell ref="I18:K18"/>
    <mergeCell ref="I20:K20"/>
    <mergeCell ref="I21:K21"/>
    <mergeCell ref="I19:K19"/>
    <mergeCell ref="D26:E26"/>
    <mergeCell ref="D27:E27"/>
    <mergeCell ref="D28:E28"/>
    <mergeCell ref="G27:H27"/>
    <mergeCell ref="G28:H28"/>
    <mergeCell ref="D22:E22"/>
    <mergeCell ref="D23:E23"/>
    <mergeCell ref="D24:E24"/>
    <mergeCell ref="D25:E25"/>
    <mergeCell ref="G25:H25"/>
    <mergeCell ref="G22:H22"/>
    <mergeCell ref="G17:H17"/>
    <mergeCell ref="G18:H18"/>
    <mergeCell ref="G19:H19"/>
    <mergeCell ref="G20:H20"/>
    <mergeCell ref="I22:K22"/>
    <mergeCell ref="I23:K23"/>
    <mergeCell ref="G23:H23"/>
    <mergeCell ref="I28:K28"/>
    <mergeCell ref="H36:K36"/>
    <mergeCell ref="H38:K38"/>
    <mergeCell ref="I24:K24"/>
    <mergeCell ref="I25:K25"/>
    <mergeCell ref="I26:K26"/>
    <mergeCell ref="I27:K27"/>
    <mergeCell ref="G26:H26"/>
    <mergeCell ref="G24:H24"/>
  </mergeCells>
  <phoneticPr fontId="0" type="noConversion"/>
  <pageMargins left="0.75" right="0.75" top="1" bottom="1" header="0.5" footer="0.5"/>
  <pageSetup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pageSetUpPr fitToPage="1"/>
  </sheetPr>
  <dimension ref="B1:E21"/>
  <sheetViews>
    <sheetView workbookViewId="0">
      <selection activeCell="E16" sqref="E16"/>
    </sheetView>
  </sheetViews>
  <sheetFormatPr defaultColWidth="0" defaultRowHeight="12.75" zeroHeight="1" x14ac:dyDescent="0.2"/>
  <cols>
    <col min="1" max="1" width="2.7109375" customWidth="1"/>
    <col min="2" max="2" width="43.42578125" bestFit="1" customWidth="1"/>
    <col min="3" max="3" width="9.140625" customWidth="1"/>
    <col min="4" max="4" width="11.5703125" customWidth="1"/>
    <col min="5" max="5" width="26.42578125" bestFit="1" customWidth="1"/>
    <col min="6" max="6" width="2.7109375" customWidth="1"/>
  </cols>
  <sheetData>
    <row r="1" spans="2:5" x14ac:dyDescent="0.2"/>
    <row r="2" spans="2:5" ht="20.25" x14ac:dyDescent="0.3">
      <c r="E2" s="21" t="s">
        <v>147</v>
      </c>
    </row>
    <row r="3" spans="2:5" ht="20.25" x14ac:dyDescent="0.3">
      <c r="E3" s="21" t="s">
        <v>148</v>
      </c>
    </row>
    <row r="4" spans="2:5" x14ac:dyDescent="0.2"/>
    <row r="5" spans="2:5" ht="15.75" x14ac:dyDescent="0.25">
      <c r="E5" s="41">
        <f>Approval!E6</f>
        <v>0</v>
      </c>
    </row>
    <row r="6" spans="2:5" ht="15.75" x14ac:dyDescent="0.25">
      <c r="E6" s="41" t="str">
        <f>Approval!Q6</f>
        <v>Loan #</v>
      </c>
    </row>
    <row r="7" spans="2:5" x14ac:dyDescent="0.2"/>
    <row r="8" spans="2:5" x14ac:dyDescent="0.2"/>
    <row r="9" spans="2:5" ht="15.75" x14ac:dyDescent="0.25">
      <c r="B9" s="16" t="s">
        <v>140</v>
      </c>
      <c r="C9" s="16"/>
      <c r="D9" s="16"/>
      <c r="E9" s="96">
        <f>Approval!AI41</f>
        <v>0</v>
      </c>
    </row>
    <row r="10" spans="2:5" ht="15.75" x14ac:dyDescent="0.25">
      <c r="B10" s="16" t="s">
        <v>151</v>
      </c>
      <c r="C10" s="97">
        <v>0.1</v>
      </c>
      <c r="D10" s="16"/>
      <c r="E10" s="95">
        <f>E9*-C10</f>
        <v>0</v>
      </c>
    </row>
    <row r="11" spans="2:5" ht="15.75" x14ac:dyDescent="0.25">
      <c r="B11" s="16" t="s">
        <v>141</v>
      </c>
      <c r="C11" s="16"/>
      <c r="D11" s="16"/>
      <c r="E11" s="96">
        <f>SUM(E9:E10)</f>
        <v>0</v>
      </c>
    </row>
    <row r="12" spans="2:5" ht="15.75" x14ac:dyDescent="0.25">
      <c r="B12" s="16" t="s">
        <v>142</v>
      </c>
      <c r="C12" s="97">
        <v>0.15</v>
      </c>
      <c r="D12" s="16"/>
      <c r="E12" s="98">
        <f>E11*-C12</f>
        <v>0</v>
      </c>
    </row>
    <row r="13" spans="2:5" ht="15.75" x14ac:dyDescent="0.25">
      <c r="B13" s="16" t="s">
        <v>143</v>
      </c>
      <c r="C13" s="16"/>
      <c r="D13" s="16"/>
      <c r="E13" s="98" t="e">
        <f>-1*(Approval!AG9)*(Approval!AK14/100)</f>
        <v>#DIV/0!</v>
      </c>
    </row>
    <row r="14" spans="2:5" ht="15.75" x14ac:dyDescent="0.25">
      <c r="B14" s="16" t="s">
        <v>144</v>
      </c>
      <c r="C14" s="16"/>
      <c r="D14" s="16"/>
      <c r="E14" s="96" t="e">
        <f>SUM(E11:E13)</f>
        <v>#DIV/0!</v>
      </c>
    </row>
    <row r="15" spans="2:5" ht="15.75" x14ac:dyDescent="0.25">
      <c r="B15" s="16" t="s">
        <v>145</v>
      </c>
      <c r="C15" s="16"/>
      <c r="D15" s="16"/>
      <c r="E15" s="96">
        <f>Approval!AG9</f>
        <v>0</v>
      </c>
    </row>
    <row r="16" spans="2:5" ht="15.75" x14ac:dyDescent="0.25">
      <c r="B16" s="16" t="s">
        <v>146</v>
      </c>
      <c r="C16" s="16"/>
      <c r="D16" s="16"/>
      <c r="E16" s="99" t="e">
        <f>E14-E15</f>
        <v>#DIV/0!</v>
      </c>
    </row>
    <row r="17" x14ac:dyDescent="0.2"/>
    <row r="18" hidden="1" x14ac:dyDescent="0.2"/>
    <row r="19" hidden="1" x14ac:dyDescent="0.2"/>
    <row r="20" hidden="1" x14ac:dyDescent="0.2"/>
    <row r="21" hidden="1" x14ac:dyDescent="0.2"/>
  </sheetData>
  <pageMargins left="0.7" right="0.7" top="0.75" bottom="0.75" header="0.3" footer="0.3"/>
  <pageSetup scale="99" orientation="portrait" r:id="rId1"/>
  <headerFooter>
    <oddFooter>&amp;F</oddFooter>
  </headerFooter>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1">
    <pageSetUpPr fitToPage="1"/>
  </sheetPr>
  <dimension ref="A1:T133"/>
  <sheetViews>
    <sheetView zoomScale="89" zoomScaleNormal="100" workbookViewId="0">
      <selection activeCell="A24" sqref="A24:J24"/>
    </sheetView>
  </sheetViews>
  <sheetFormatPr defaultColWidth="9.140625" defaultRowHeight="12.75" x14ac:dyDescent="0.2"/>
  <cols>
    <col min="1" max="1" width="4" style="117" customWidth="1"/>
    <col min="2" max="2" width="23" style="124" customWidth="1"/>
    <col min="3" max="3" width="17.5703125" style="124" customWidth="1"/>
    <col min="4" max="4" width="16.85546875" style="124" customWidth="1"/>
    <col min="5" max="6" width="9" style="124" customWidth="1"/>
    <col min="7" max="7" width="11.5703125" style="124" customWidth="1"/>
    <col min="8" max="8" width="10.42578125" style="124" customWidth="1"/>
    <col min="9" max="9" width="12.140625" style="124" customWidth="1"/>
    <col min="10" max="10" width="13.5703125" style="124" customWidth="1"/>
    <col min="11" max="11" width="21.140625" style="124" customWidth="1"/>
    <col min="12" max="12" width="5" style="124" customWidth="1"/>
    <col min="13" max="13" width="17" style="124" customWidth="1"/>
    <col min="14" max="14" width="15.7109375" style="124" customWidth="1"/>
    <col min="15" max="15" width="7" style="124" customWidth="1"/>
    <col min="16" max="16" width="9.140625" style="124"/>
    <col min="17" max="17" width="14.5703125" style="124" customWidth="1"/>
    <col min="18" max="18" width="14" style="124" customWidth="1"/>
    <col min="19" max="16384" width="9.140625" style="124"/>
  </cols>
  <sheetData>
    <row r="1" spans="1:19" s="119" customFormat="1" ht="13.5" thickBot="1" x14ac:dyDescent="0.25">
      <c r="A1" s="117"/>
      <c r="B1" s="118"/>
      <c r="C1" s="118"/>
      <c r="D1" s="118"/>
      <c r="E1" s="118"/>
      <c r="F1" s="118"/>
      <c r="G1" s="118"/>
      <c r="H1" s="118"/>
      <c r="I1" s="118"/>
      <c r="J1" s="118"/>
      <c r="K1" s="118"/>
      <c r="L1" s="118"/>
    </row>
    <row r="2" spans="1:19" ht="12.75" customHeight="1" x14ac:dyDescent="0.2">
      <c r="B2" s="120"/>
      <c r="C2" s="121"/>
      <c r="D2" s="1666" t="s">
        <v>189</v>
      </c>
      <c r="E2" s="1666"/>
      <c r="F2" s="1666"/>
      <c r="G2" s="1666"/>
      <c r="H2" s="1666"/>
      <c r="I2" s="1666"/>
      <c r="J2" s="1666"/>
      <c r="K2" s="121"/>
      <c r="L2" s="122"/>
      <c r="M2" s="123"/>
      <c r="N2" s="123"/>
      <c r="O2" s="123"/>
      <c r="P2" s="123"/>
      <c r="Q2" s="123"/>
      <c r="R2" s="123"/>
      <c r="S2" s="123"/>
    </row>
    <row r="3" spans="1:19" ht="12.75" customHeight="1" x14ac:dyDescent="0.2">
      <c r="B3" s="125"/>
      <c r="C3" s="123"/>
      <c r="D3" s="1667"/>
      <c r="E3" s="1667"/>
      <c r="F3" s="1667"/>
      <c r="G3" s="1667"/>
      <c r="H3" s="1667"/>
      <c r="I3" s="1667"/>
      <c r="J3" s="1667"/>
      <c r="K3" s="123"/>
      <c r="L3" s="126"/>
      <c r="M3" s="123"/>
      <c r="N3" s="123"/>
      <c r="O3" s="123"/>
      <c r="P3" s="123"/>
      <c r="Q3" s="123"/>
      <c r="R3" s="123"/>
      <c r="S3" s="123"/>
    </row>
    <row r="4" spans="1:19" ht="12.75" customHeight="1" x14ac:dyDescent="0.2">
      <c r="B4" s="125"/>
      <c r="C4" s="123"/>
      <c r="D4" s="123"/>
      <c r="E4" s="123"/>
      <c r="F4" s="123"/>
      <c r="G4" s="123"/>
      <c r="H4" s="123"/>
      <c r="I4" s="123"/>
      <c r="J4" s="123"/>
      <c r="K4" s="123"/>
      <c r="L4" s="126"/>
      <c r="M4" s="123"/>
      <c r="N4" s="123"/>
      <c r="O4" s="123"/>
      <c r="P4" s="123"/>
      <c r="Q4" s="123"/>
      <c r="R4" s="123"/>
      <c r="S4" s="123"/>
    </row>
    <row r="5" spans="1:19" ht="13.5" thickBot="1" x14ac:dyDescent="0.25">
      <c r="B5" s="125"/>
      <c r="C5" s="123"/>
      <c r="D5" s="123"/>
      <c r="E5" s="123"/>
      <c r="F5" s="123"/>
      <c r="G5" s="123"/>
      <c r="H5" s="123"/>
      <c r="I5" s="123"/>
      <c r="J5" s="123"/>
      <c r="K5" s="123"/>
      <c r="L5" s="126"/>
      <c r="M5" s="123"/>
      <c r="N5" s="123"/>
      <c r="O5" s="123"/>
      <c r="P5" s="123"/>
      <c r="Q5" s="123"/>
      <c r="R5" s="123"/>
      <c r="S5" s="123"/>
    </row>
    <row r="6" spans="1:19" ht="15" thickBot="1" x14ac:dyDescent="0.25">
      <c r="B6" s="127" t="s">
        <v>190</v>
      </c>
      <c r="C6" s="1668"/>
      <c r="D6" s="1669"/>
      <c r="E6" s="128"/>
      <c r="F6" s="128"/>
      <c r="G6" s="123"/>
      <c r="H6" s="1670" t="s">
        <v>191</v>
      </c>
      <c r="I6" s="1670"/>
      <c r="J6" s="1668">
        <f>Approval!Q7</f>
        <v>0</v>
      </c>
      <c r="K6" s="1669"/>
      <c r="L6" s="126"/>
      <c r="M6" s="123"/>
      <c r="N6" s="123"/>
      <c r="O6" s="123"/>
      <c r="P6" s="123"/>
      <c r="Q6" s="123"/>
      <c r="R6" s="123"/>
      <c r="S6" s="123"/>
    </row>
    <row r="7" spans="1:19" ht="15" thickBot="1" x14ac:dyDescent="0.25">
      <c r="B7" s="127" t="s">
        <v>192</v>
      </c>
      <c r="C7" s="1668"/>
      <c r="D7" s="1669"/>
      <c r="E7" s="128"/>
      <c r="F7" s="128"/>
      <c r="G7" s="123"/>
      <c r="H7" s="129" t="s">
        <v>20</v>
      </c>
      <c r="I7" s="123"/>
      <c r="J7" s="1671">
        <f ca="1">NOW()</f>
        <v>43075.662767824077</v>
      </c>
      <c r="K7" s="1672"/>
      <c r="L7" s="126"/>
      <c r="M7" s="123"/>
      <c r="N7" s="123"/>
      <c r="O7" s="123"/>
      <c r="P7" s="123"/>
      <c r="Q7" s="123"/>
      <c r="R7" s="123"/>
      <c r="S7" s="123"/>
    </row>
    <row r="8" spans="1:19" ht="13.5" thickBot="1" x14ac:dyDescent="0.25">
      <c r="B8" s="125"/>
      <c r="C8" s="123"/>
      <c r="D8" s="123"/>
      <c r="E8" s="123"/>
      <c r="F8" s="123"/>
      <c r="G8" s="123"/>
      <c r="H8" s="123"/>
      <c r="I8" s="123"/>
      <c r="J8" s="123"/>
      <c r="K8" s="123"/>
      <c r="L8" s="126"/>
      <c r="M8" s="123"/>
      <c r="N8" s="123"/>
      <c r="O8" s="123"/>
      <c r="P8" s="123"/>
      <c r="Q8" s="123"/>
      <c r="R8" s="123"/>
      <c r="S8" s="123"/>
    </row>
    <row r="9" spans="1:19" ht="15.75" thickBot="1" x14ac:dyDescent="0.25">
      <c r="B9" s="1673" t="s">
        <v>193</v>
      </c>
      <c r="C9" s="1674"/>
      <c r="D9" s="1674"/>
      <c r="E9" s="1674"/>
      <c r="F9" s="1674"/>
      <c r="G9" s="1674"/>
      <c r="H9" s="1674"/>
      <c r="I9" s="1674"/>
      <c r="J9" s="1674"/>
      <c r="K9" s="1674"/>
      <c r="L9" s="1675"/>
      <c r="M9" s="123"/>
      <c r="N9" s="123"/>
      <c r="O9" s="123"/>
      <c r="P9" s="123"/>
      <c r="Q9" s="123"/>
      <c r="R9" s="123"/>
      <c r="S9" s="123"/>
    </row>
    <row r="10" spans="1:19" ht="13.5" thickBot="1" x14ac:dyDescent="0.25">
      <c r="B10" s="125"/>
      <c r="C10" s="123"/>
      <c r="D10" s="123"/>
      <c r="E10" s="123"/>
      <c r="F10" s="123"/>
      <c r="G10" s="123"/>
      <c r="H10" s="123"/>
      <c r="I10" s="123"/>
      <c r="J10" s="123"/>
      <c r="K10" s="123"/>
      <c r="L10" s="126"/>
      <c r="M10" s="123"/>
      <c r="N10" s="123"/>
      <c r="O10" s="123"/>
      <c r="P10" s="123"/>
      <c r="Q10" s="123"/>
      <c r="R10" s="123"/>
      <c r="S10" s="123"/>
    </row>
    <row r="11" spans="1:19" ht="13.5" thickBot="1" x14ac:dyDescent="0.25">
      <c r="B11" s="130" t="s">
        <v>194</v>
      </c>
      <c r="C11" s="131"/>
      <c r="D11" s="132" t="s">
        <v>195</v>
      </c>
      <c r="E11" s="133"/>
      <c r="F11" s="134"/>
      <c r="G11" s="135"/>
      <c r="H11" s="225" t="s">
        <v>196</v>
      </c>
      <c r="I11" s="227" t="s">
        <v>197</v>
      </c>
      <c r="J11" s="138">
        <f>C11*G11*52/12</f>
        <v>0</v>
      </c>
      <c r="K11" s="139" t="s">
        <v>198</v>
      </c>
      <c r="L11" s="140"/>
      <c r="M11" s="123"/>
      <c r="N11" s="123"/>
      <c r="O11" s="123"/>
      <c r="P11" s="123"/>
      <c r="Q11" s="123"/>
      <c r="R11" s="123"/>
      <c r="S11" s="123"/>
    </row>
    <row r="12" spans="1:19" ht="13.5" thickBot="1" x14ac:dyDescent="0.25">
      <c r="B12" s="125"/>
      <c r="C12" s="131"/>
      <c r="D12" s="141" t="s">
        <v>199</v>
      </c>
      <c r="E12" s="142"/>
      <c r="F12" s="134"/>
      <c r="G12" s="135"/>
      <c r="H12" s="143" t="s">
        <v>200</v>
      </c>
      <c r="I12" s="134"/>
      <c r="J12" s="138" t="str">
        <f>IF(G12=0,"",C12/G12)</f>
        <v/>
      </c>
      <c r="K12" s="139" t="s">
        <v>198</v>
      </c>
      <c r="L12" s="140"/>
      <c r="M12" s="134"/>
      <c r="N12" s="134"/>
      <c r="O12" s="123"/>
      <c r="P12" s="123"/>
      <c r="Q12" s="123"/>
      <c r="R12" s="123"/>
      <c r="S12" s="123"/>
    </row>
    <row r="13" spans="1:19" ht="13.5" thickBot="1" x14ac:dyDescent="0.25">
      <c r="B13" s="125"/>
      <c r="C13" s="131"/>
      <c r="D13" s="141" t="s">
        <v>201</v>
      </c>
      <c r="E13" s="144"/>
      <c r="F13" s="134"/>
      <c r="G13" s="135"/>
      <c r="H13" s="143" t="s">
        <v>200</v>
      </c>
      <c r="I13" s="134"/>
      <c r="J13" s="138" t="str">
        <f>IF(G13=0,"",C13/G13)</f>
        <v/>
      </c>
      <c r="K13" s="139" t="s">
        <v>198</v>
      </c>
      <c r="L13" s="140"/>
      <c r="M13" s="134"/>
      <c r="N13" s="134"/>
      <c r="O13" s="123"/>
      <c r="P13" s="123"/>
      <c r="Q13" s="123"/>
      <c r="R13" s="123"/>
      <c r="S13" s="123"/>
    </row>
    <row r="14" spans="1:19" ht="13.5" thickBot="1" x14ac:dyDescent="0.25">
      <c r="B14" s="125"/>
      <c r="C14" s="131"/>
      <c r="D14" s="145" t="s">
        <v>201</v>
      </c>
      <c r="E14" s="144"/>
      <c r="F14" s="134"/>
      <c r="G14" s="135"/>
      <c r="H14" s="226" t="s">
        <v>200</v>
      </c>
      <c r="I14" s="134"/>
      <c r="J14" s="138" t="str">
        <f>IF(G14=0,"",C14/G14)</f>
        <v/>
      </c>
      <c r="K14" s="139" t="s">
        <v>198</v>
      </c>
      <c r="L14" s="140"/>
      <c r="M14" s="134"/>
      <c r="N14" s="134"/>
      <c r="O14" s="123"/>
      <c r="P14" s="123"/>
      <c r="Q14" s="123"/>
      <c r="R14" s="123"/>
      <c r="S14" s="123"/>
    </row>
    <row r="15" spans="1:19" ht="13.5" thickBot="1" x14ac:dyDescent="0.25">
      <c r="B15" s="125"/>
      <c r="C15" s="134"/>
      <c r="D15" s="134"/>
      <c r="E15" s="134"/>
      <c r="F15" s="134"/>
      <c r="G15" s="134"/>
      <c r="H15" s="134"/>
      <c r="I15" s="134"/>
      <c r="J15" s="134"/>
      <c r="K15" s="134"/>
      <c r="L15" s="140"/>
      <c r="M15" s="134"/>
      <c r="N15" s="134"/>
      <c r="O15" s="123"/>
      <c r="P15" s="123"/>
      <c r="Q15" s="123"/>
      <c r="R15" s="123"/>
      <c r="S15" s="123"/>
    </row>
    <row r="16" spans="1:19" ht="13.5" thickBot="1" x14ac:dyDescent="0.25">
      <c r="B16" s="147"/>
      <c r="C16" s="138">
        <f>J11</f>
        <v>0</v>
      </c>
      <c r="D16" s="148" t="s">
        <v>195</v>
      </c>
      <c r="E16" s="133"/>
      <c r="F16" s="134"/>
      <c r="G16" s="149" t="b">
        <v>0</v>
      </c>
      <c r="H16" s="134"/>
      <c r="I16" s="134"/>
      <c r="J16" s="134"/>
      <c r="K16" s="134"/>
      <c r="L16" s="140"/>
      <c r="M16" s="134"/>
      <c r="N16" s="134"/>
      <c r="O16" s="123"/>
      <c r="P16" s="123"/>
      <c r="Q16" s="123"/>
      <c r="R16" s="123"/>
      <c r="S16" s="123"/>
    </row>
    <row r="17" spans="2:19" ht="13.5" thickBot="1" x14ac:dyDescent="0.25">
      <c r="B17" s="147"/>
      <c r="C17" s="138" t="str">
        <f>J12</f>
        <v/>
      </c>
      <c r="D17" s="141" t="s">
        <v>202</v>
      </c>
      <c r="E17" s="150"/>
      <c r="F17" s="134"/>
      <c r="G17" s="149" t="b">
        <v>0</v>
      </c>
      <c r="H17" s="134"/>
      <c r="I17" s="134"/>
      <c r="J17" s="134"/>
      <c r="K17" s="134"/>
      <c r="L17" s="140"/>
      <c r="M17" s="134"/>
      <c r="N17" s="134"/>
      <c r="O17" s="123"/>
      <c r="P17" s="123"/>
      <c r="Q17" s="123"/>
      <c r="R17" s="123"/>
      <c r="S17" s="123"/>
    </row>
    <row r="18" spans="2:19" ht="13.5" thickBot="1" x14ac:dyDescent="0.25">
      <c r="B18" s="147"/>
      <c r="C18" s="138" t="str">
        <f>IF(SUM(C13)=0,"",SUM(C12+C13)/SUM(G12+G13))</f>
        <v/>
      </c>
      <c r="D18" s="141" t="s">
        <v>203</v>
      </c>
      <c r="E18" s="150"/>
      <c r="F18" s="134"/>
      <c r="G18" s="149" t="b">
        <v>0</v>
      </c>
      <c r="H18" s="134"/>
      <c r="I18" s="134"/>
      <c r="J18" s="134"/>
      <c r="K18" s="134"/>
      <c r="L18" s="140"/>
      <c r="M18" s="134"/>
      <c r="N18" s="134"/>
      <c r="O18" s="123"/>
      <c r="P18" s="123"/>
      <c r="Q18" s="123"/>
      <c r="R18" s="123"/>
      <c r="S18" s="123"/>
    </row>
    <row r="19" spans="2:19" ht="13.5" thickBot="1" x14ac:dyDescent="0.25">
      <c r="B19" s="147"/>
      <c r="C19" s="138" t="str">
        <f>IF(SUM(C14)=0,"",SUM(C12:C14)/SUM(G12:G14))</f>
        <v/>
      </c>
      <c r="D19" s="145" t="s">
        <v>204</v>
      </c>
      <c r="E19" s="151"/>
      <c r="F19" s="134"/>
      <c r="G19" s="149" t="b">
        <v>0</v>
      </c>
      <c r="H19" s="134"/>
      <c r="I19" s="134"/>
      <c r="J19" s="134"/>
      <c r="K19" s="134"/>
      <c r="L19" s="140"/>
      <c r="M19" s="134"/>
      <c r="N19" s="134"/>
      <c r="O19" s="123"/>
      <c r="P19" s="123"/>
      <c r="Q19" s="123"/>
      <c r="R19" s="123"/>
      <c r="S19" s="123"/>
    </row>
    <row r="20" spans="2:19" ht="13.5" thickBot="1" x14ac:dyDescent="0.25">
      <c r="B20" s="125"/>
      <c r="C20" s="134"/>
      <c r="D20" s="134"/>
      <c r="E20" s="134"/>
      <c r="F20" s="134"/>
      <c r="G20" s="134"/>
      <c r="H20" s="134"/>
      <c r="I20" s="134"/>
      <c r="J20" s="134"/>
      <c r="K20" s="134"/>
      <c r="L20" s="140"/>
      <c r="M20" s="134"/>
      <c r="N20" s="134"/>
      <c r="O20" s="123"/>
      <c r="P20" s="123"/>
      <c r="Q20" s="123"/>
      <c r="R20" s="123"/>
      <c r="S20" s="123"/>
    </row>
    <row r="21" spans="2:19" ht="13.5" thickBot="1" x14ac:dyDescent="0.25">
      <c r="B21" s="125"/>
      <c r="C21" s="152">
        <f>MIN(C16:C19)</f>
        <v>0</v>
      </c>
      <c r="D21" s="153" t="s">
        <v>205</v>
      </c>
      <c r="E21" s="154"/>
      <c r="F21" s="1649" t="s">
        <v>206</v>
      </c>
      <c r="G21" s="1650"/>
      <c r="H21" s="1650"/>
      <c r="I21" s="1650"/>
      <c r="J21" s="155">
        <f>IF(G16=TRUE,C16,IF(G17=TRUE,C17,IF(G18=TRUE,C18,IF(G19=TRUE,C19,0))))</f>
        <v>0</v>
      </c>
      <c r="K21" s="156">
        <f>IF(J21=0,C21,J21)</f>
        <v>0</v>
      </c>
      <c r="L21" s="140"/>
      <c r="M21" s="134"/>
      <c r="N21" s="134"/>
      <c r="O21" s="123"/>
      <c r="P21" s="123"/>
      <c r="Q21" s="123"/>
      <c r="R21" s="123"/>
      <c r="S21" s="123"/>
    </row>
    <row r="22" spans="2:19" x14ac:dyDescent="0.2">
      <c r="B22" s="125"/>
      <c r="C22" s="134"/>
      <c r="D22" s="134"/>
      <c r="E22" s="134"/>
      <c r="F22" s="134"/>
      <c r="G22" s="134"/>
      <c r="H22" s="134"/>
      <c r="I22" s="134"/>
      <c r="J22" s="134"/>
      <c r="K22" s="134"/>
      <c r="L22" s="140"/>
      <c r="M22" s="134"/>
      <c r="N22" s="134"/>
      <c r="O22" s="123"/>
      <c r="P22" s="123"/>
      <c r="Q22" s="123"/>
      <c r="R22" s="123"/>
      <c r="S22" s="123"/>
    </row>
    <row r="23" spans="2:19" ht="13.5" thickBot="1" x14ac:dyDescent="0.25">
      <c r="B23" s="125"/>
      <c r="C23" s="134"/>
      <c r="D23" s="134"/>
      <c r="E23" s="134"/>
      <c r="F23" s="134"/>
      <c r="G23" s="134"/>
      <c r="H23" s="134"/>
      <c r="I23" s="134"/>
      <c r="J23" s="134"/>
      <c r="K23" s="134"/>
      <c r="L23" s="140"/>
      <c r="M23" s="134"/>
      <c r="N23" s="134"/>
      <c r="O23" s="123"/>
      <c r="P23" s="123"/>
      <c r="Q23" s="123"/>
      <c r="R23" s="123"/>
      <c r="S23" s="123"/>
    </row>
    <row r="24" spans="2:19" ht="13.5" thickBot="1" x14ac:dyDescent="0.25">
      <c r="B24" s="157" t="s">
        <v>207</v>
      </c>
      <c r="C24" s="134"/>
      <c r="D24" s="158" t="s">
        <v>208</v>
      </c>
      <c r="E24" s="159"/>
      <c r="F24" s="227"/>
      <c r="G24" s="134"/>
      <c r="H24" s="134"/>
      <c r="I24" s="134"/>
      <c r="J24" s="134"/>
      <c r="K24" s="134"/>
      <c r="L24" s="140"/>
      <c r="M24" s="134"/>
      <c r="N24" s="134"/>
      <c r="O24" s="123"/>
      <c r="P24" s="123"/>
      <c r="Q24" s="123"/>
      <c r="R24" s="123"/>
      <c r="S24" s="123"/>
    </row>
    <row r="25" spans="2:19" ht="13.5" thickBot="1" x14ac:dyDescent="0.25">
      <c r="B25" s="125"/>
      <c r="C25" s="134"/>
      <c r="D25" s="134"/>
      <c r="E25" s="134"/>
      <c r="F25" s="134"/>
      <c r="G25" s="134"/>
      <c r="H25" s="134"/>
      <c r="I25" s="134"/>
      <c r="J25" s="134"/>
      <c r="K25" s="134"/>
      <c r="L25" s="140"/>
      <c r="M25" s="134"/>
      <c r="N25" s="134"/>
      <c r="O25" s="123"/>
      <c r="P25" s="123"/>
      <c r="Q25" s="123"/>
      <c r="R25" s="123"/>
      <c r="S25" s="123"/>
    </row>
    <row r="26" spans="2:19" ht="13.5" thickBot="1" x14ac:dyDescent="0.25">
      <c r="B26" s="125"/>
      <c r="C26" s="131">
        <v>0</v>
      </c>
      <c r="D26" s="132" t="s">
        <v>209</v>
      </c>
      <c r="E26" s="132"/>
      <c r="F26" s="132"/>
      <c r="G26" s="160" t="s">
        <v>210</v>
      </c>
      <c r="H26" s="160"/>
      <c r="I26" s="161" t="s">
        <v>135</v>
      </c>
      <c r="J26" s="138">
        <f>C26*1</f>
        <v>0</v>
      </c>
      <c r="K26" s="225" t="s">
        <v>198</v>
      </c>
      <c r="L26" s="140"/>
      <c r="M26" s="134"/>
      <c r="N26" s="134"/>
      <c r="O26" s="123"/>
      <c r="P26" s="123"/>
      <c r="Q26" s="123"/>
      <c r="R26" s="123"/>
      <c r="S26" s="123"/>
    </row>
    <row r="27" spans="2:19" ht="13.5" thickBot="1" x14ac:dyDescent="0.25">
      <c r="B27" s="125"/>
      <c r="C27" s="131"/>
      <c r="D27" s="134" t="s">
        <v>211</v>
      </c>
      <c r="E27" s="134"/>
      <c r="F27" s="134"/>
      <c r="G27" s="162" t="s">
        <v>212</v>
      </c>
      <c r="H27" s="162"/>
      <c r="I27" s="228" t="s">
        <v>135</v>
      </c>
      <c r="J27" s="138">
        <f>C27*26/12</f>
        <v>0</v>
      </c>
      <c r="K27" s="143" t="s">
        <v>198</v>
      </c>
      <c r="L27" s="140"/>
      <c r="M27" s="149" t="b">
        <v>0</v>
      </c>
      <c r="N27" s="134"/>
      <c r="O27" s="123"/>
      <c r="P27" s="123"/>
      <c r="Q27" s="123"/>
      <c r="R27" s="123"/>
      <c r="S27" s="123"/>
    </row>
    <row r="28" spans="2:19" ht="13.5" thickBot="1" x14ac:dyDescent="0.25">
      <c r="B28" s="125"/>
      <c r="C28" s="131"/>
      <c r="D28" s="134" t="s">
        <v>213</v>
      </c>
      <c r="E28" s="134"/>
      <c r="F28" s="134"/>
      <c r="G28" s="162" t="s">
        <v>214</v>
      </c>
      <c r="H28" s="162"/>
      <c r="I28" s="162" t="s">
        <v>135</v>
      </c>
      <c r="J28" s="138">
        <f>C28*24/12</f>
        <v>0</v>
      </c>
      <c r="K28" s="143" t="s">
        <v>198</v>
      </c>
      <c r="L28" s="140"/>
      <c r="M28" s="149" t="b">
        <v>0</v>
      </c>
      <c r="N28" s="134"/>
      <c r="O28" s="123"/>
      <c r="P28" s="123"/>
      <c r="Q28" s="123"/>
      <c r="R28" s="123"/>
      <c r="S28" s="123"/>
    </row>
    <row r="29" spans="2:19" ht="13.5" thickBot="1" x14ac:dyDescent="0.25">
      <c r="B29" s="125"/>
      <c r="C29" s="131">
        <v>0</v>
      </c>
      <c r="D29" s="164" t="s">
        <v>215</v>
      </c>
      <c r="E29" s="164"/>
      <c r="F29" s="164"/>
      <c r="G29" s="165" t="s">
        <v>197</v>
      </c>
      <c r="H29" s="165"/>
      <c r="I29" s="230" t="s">
        <v>135</v>
      </c>
      <c r="J29" s="138">
        <f>C29*52/12</f>
        <v>0</v>
      </c>
      <c r="K29" s="226" t="s">
        <v>198</v>
      </c>
      <c r="L29" s="140"/>
      <c r="M29" s="149" t="b">
        <v>0</v>
      </c>
      <c r="N29" s="134"/>
      <c r="O29" s="123"/>
      <c r="P29" s="123"/>
      <c r="Q29" s="123"/>
      <c r="R29" s="123"/>
      <c r="S29" s="123"/>
    </row>
    <row r="30" spans="2:19" ht="13.5" thickBot="1" x14ac:dyDescent="0.25">
      <c r="B30" s="125"/>
      <c r="C30" s="134"/>
      <c r="D30" s="134"/>
      <c r="E30" s="134"/>
      <c r="F30" s="134"/>
      <c r="G30" s="134"/>
      <c r="H30" s="134"/>
      <c r="I30" s="134"/>
      <c r="J30" s="134"/>
      <c r="K30" s="134"/>
      <c r="L30" s="140"/>
      <c r="M30" s="149" t="b">
        <v>0</v>
      </c>
      <c r="N30" s="134"/>
      <c r="O30" s="123"/>
      <c r="P30" s="123"/>
      <c r="Q30" s="123"/>
      <c r="R30" s="123"/>
      <c r="S30" s="123"/>
    </row>
    <row r="31" spans="2:19" ht="13.5" thickBot="1" x14ac:dyDescent="0.25">
      <c r="B31" s="125"/>
      <c r="C31" s="131"/>
      <c r="D31" s="132" t="s">
        <v>216</v>
      </c>
      <c r="E31" s="132"/>
      <c r="F31" s="167"/>
      <c r="G31" s="135"/>
      <c r="H31" s="225" t="s">
        <v>200</v>
      </c>
      <c r="I31" s="134" t="s">
        <v>136</v>
      </c>
      <c r="J31" s="138" t="str">
        <f>IF(G31=0,"",C31/G31)</f>
        <v/>
      </c>
      <c r="K31" s="225" t="s">
        <v>217</v>
      </c>
      <c r="L31" s="140"/>
      <c r="M31" s="149"/>
      <c r="N31" s="134"/>
      <c r="O31" s="123"/>
      <c r="P31" s="123"/>
      <c r="Q31" s="123"/>
      <c r="R31" s="123"/>
      <c r="S31" s="123"/>
    </row>
    <row r="32" spans="2:19" ht="13.5" thickBot="1" x14ac:dyDescent="0.25">
      <c r="B32" s="125"/>
      <c r="C32" s="131"/>
      <c r="D32" s="134" t="s">
        <v>218</v>
      </c>
      <c r="E32" s="134"/>
      <c r="F32" s="134"/>
      <c r="G32" s="135">
        <v>12</v>
      </c>
      <c r="H32" s="143" t="s">
        <v>200</v>
      </c>
      <c r="I32" s="134"/>
      <c r="J32" s="138">
        <f>IF(G32=0,"",C32/G32)</f>
        <v>0</v>
      </c>
      <c r="K32" s="143" t="s">
        <v>198</v>
      </c>
      <c r="L32" s="140"/>
      <c r="M32" s="149" t="b">
        <v>0</v>
      </c>
      <c r="N32" s="134"/>
      <c r="O32" s="123"/>
      <c r="P32" s="123"/>
      <c r="Q32" s="123"/>
      <c r="R32" s="123"/>
      <c r="S32" s="123"/>
    </row>
    <row r="33" spans="1:19" ht="13.5" thickBot="1" x14ac:dyDescent="0.25">
      <c r="B33" s="125"/>
      <c r="C33" s="131"/>
      <c r="D33" s="164" t="s">
        <v>219</v>
      </c>
      <c r="E33" s="164"/>
      <c r="F33" s="168"/>
      <c r="G33" s="135">
        <v>12</v>
      </c>
      <c r="H33" s="226" t="s">
        <v>200</v>
      </c>
      <c r="I33" s="134"/>
      <c r="J33" s="138">
        <f>IF(G33=0,"",C33/G33)</f>
        <v>0</v>
      </c>
      <c r="K33" s="226" t="s">
        <v>198</v>
      </c>
      <c r="L33" s="140"/>
      <c r="M33" s="149" t="b">
        <v>0</v>
      </c>
      <c r="N33" s="134"/>
      <c r="O33" s="123"/>
      <c r="P33" s="123"/>
      <c r="Q33" s="123"/>
      <c r="R33" s="123"/>
      <c r="S33" s="123"/>
    </row>
    <row r="34" spans="1:19" ht="13.5" thickBot="1" x14ac:dyDescent="0.25">
      <c r="B34" s="125"/>
      <c r="C34" s="134"/>
      <c r="D34" s="134"/>
      <c r="E34" s="134"/>
      <c r="F34" s="134"/>
      <c r="G34" s="134"/>
      <c r="H34" s="134"/>
      <c r="I34" s="134"/>
      <c r="J34" s="134"/>
      <c r="K34" s="134"/>
      <c r="L34" s="140"/>
      <c r="M34" s="149" t="b">
        <v>0</v>
      </c>
      <c r="N34" s="134"/>
      <c r="O34" s="123"/>
      <c r="P34" s="123"/>
      <c r="Q34" s="123"/>
      <c r="R34" s="123"/>
      <c r="S34" s="123"/>
    </row>
    <row r="35" spans="1:19" ht="13.5" thickBot="1" x14ac:dyDescent="0.25">
      <c r="B35" s="125"/>
      <c r="C35" s="152">
        <f>IF(M27=TRUE,J26,IF(M28=TRUE,J27,IF(M29=TRUE,J28,IF(M30=TRUE,J29,IF(M32=TRUE,J31,IF(M33=TRUE,J32,IF(M34=TRUE,J33,0)))))))</f>
        <v>0</v>
      </c>
      <c r="D35" s="1676" t="s">
        <v>220</v>
      </c>
      <c r="E35" s="1677"/>
      <c r="F35" s="1649" t="s">
        <v>221</v>
      </c>
      <c r="G35" s="1650"/>
      <c r="H35" s="1650"/>
      <c r="I35" s="1650"/>
      <c r="J35" s="1653" t="s">
        <v>222</v>
      </c>
      <c r="K35" s="1653"/>
      <c r="L35" s="140"/>
      <c r="M35" s="134"/>
      <c r="N35" s="134"/>
      <c r="O35" s="123"/>
      <c r="P35" s="123"/>
      <c r="Q35" s="123"/>
      <c r="R35" s="123"/>
      <c r="S35" s="123"/>
    </row>
    <row r="36" spans="1:19" x14ac:dyDescent="0.2">
      <c r="B36" s="169"/>
      <c r="C36" s="162"/>
      <c r="D36" s="162"/>
      <c r="E36" s="162"/>
      <c r="F36" s="162"/>
      <c r="G36" s="162"/>
      <c r="H36" s="162"/>
      <c r="I36" s="162"/>
      <c r="J36" s="1653" t="s">
        <v>223</v>
      </c>
      <c r="K36" s="1653"/>
      <c r="L36" s="1665"/>
      <c r="M36" s="134"/>
      <c r="N36" s="134"/>
      <c r="O36" s="123"/>
      <c r="P36" s="123"/>
      <c r="Q36" s="123"/>
      <c r="R36" s="123"/>
      <c r="S36" s="123"/>
    </row>
    <row r="37" spans="1:19" ht="13.5" thickBot="1" x14ac:dyDescent="0.25">
      <c r="A37" s="170"/>
      <c r="B37" s="125"/>
      <c r="C37" s="134"/>
      <c r="D37" s="134"/>
      <c r="E37" s="134"/>
      <c r="F37" s="134"/>
      <c r="G37" s="134"/>
      <c r="H37" s="134"/>
      <c r="I37" s="134"/>
      <c r="J37" s="134"/>
      <c r="K37" s="134"/>
      <c r="L37" s="140"/>
      <c r="M37" s="134"/>
      <c r="N37" s="134"/>
      <c r="O37" s="123"/>
      <c r="P37" s="123"/>
      <c r="Q37" s="123"/>
      <c r="R37" s="123"/>
      <c r="S37" s="123"/>
    </row>
    <row r="38" spans="1:19" ht="13.5" thickBot="1" x14ac:dyDescent="0.25">
      <c r="B38" s="157" t="s">
        <v>224</v>
      </c>
      <c r="C38" s="134"/>
      <c r="D38" s="1658" t="s">
        <v>225</v>
      </c>
      <c r="E38" s="1659"/>
      <c r="F38" s="1659"/>
      <c r="G38" s="1660"/>
      <c r="H38" s="134"/>
      <c r="I38" s="134"/>
      <c r="J38" s="134"/>
      <c r="K38" s="134"/>
      <c r="L38" s="140"/>
      <c r="M38" s="134"/>
      <c r="N38" s="134"/>
      <c r="O38" s="123"/>
      <c r="P38" s="123"/>
      <c r="Q38" s="123"/>
      <c r="R38" s="123"/>
      <c r="S38" s="123"/>
    </row>
    <row r="39" spans="1:19" ht="13.5" thickBot="1" x14ac:dyDescent="0.25">
      <c r="B39" s="125"/>
      <c r="C39" s="134"/>
      <c r="D39" s="134"/>
      <c r="E39" s="134"/>
      <c r="F39" s="134"/>
      <c r="G39" s="134"/>
      <c r="H39" s="134"/>
      <c r="I39" s="134"/>
      <c r="J39" s="134"/>
      <c r="K39" s="164"/>
      <c r="L39" s="140"/>
      <c r="M39" s="134"/>
      <c r="N39" s="134"/>
      <c r="O39" s="123"/>
      <c r="P39" s="123"/>
      <c r="Q39" s="123"/>
      <c r="R39" s="123"/>
      <c r="S39" s="123"/>
    </row>
    <row r="40" spans="1:19" ht="13.5" thickBot="1" x14ac:dyDescent="0.25">
      <c r="B40" s="125"/>
      <c r="C40" s="131"/>
      <c r="D40" s="148" t="s">
        <v>226</v>
      </c>
      <c r="E40" s="132"/>
      <c r="F40" s="167"/>
      <c r="G40" s="135"/>
      <c r="H40" s="171" t="s">
        <v>200</v>
      </c>
      <c r="I40" s="123"/>
      <c r="J40" s="138" t="str">
        <f>IF(G40=0,"",C40/G40)</f>
        <v/>
      </c>
      <c r="K40" s="143" t="s">
        <v>198</v>
      </c>
      <c r="L40" s="140"/>
      <c r="M40" s="134"/>
      <c r="N40" s="134"/>
      <c r="O40" s="123"/>
      <c r="P40" s="123"/>
      <c r="Q40" s="123"/>
      <c r="R40" s="123"/>
      <c r="S40" s="123"/>
    </row>
    <row r="41" spans="1:19" ht="13.5" thickBot="1" x14ac:dyDescent="0.25">
      <c r="B41" s="125"/>
      <c r="C41" s="131">
        <v>0</v>
      </c>
      <c r="D41" s="134" t="s">
        <v>227</v>
      </c>
      <c r="E41" s="134"/>
      <c r="F41" s="134"/>
      <c r="G41" s="135"/>
      <c r="H41" s="172" t="s">
        <v>200</v>
      </c>
      <c r="I41" s="123"/>
      <c r="J41" s="138" t="str">
        <f>IF(G41=0,"",C41/G41)</f>
        <v/>
      </c>
      <c r="K41" s="143" t="s">
        <v>198</v>
      </c>
      <c r="L41" s="140"/>
      <c r="M41" s="134"/>
      <c r="N41" s="134"/>
      <c r="O41" s="123"/>
      <c r="P41" s="123"/>
      <c r="Q41" s="123"/>
      <c r="R41" s="123"/>
      <c r="S41" s="123"/>
    </row>
    <row r="42" spans="1:19" ht="13.5" thickBot="1" x14ac:dyDescent="0.25">
      <c r="B42" s="125"/>
      <c r="C42" s="131">
        <v>0</v>
      </c>
      <c r="D42" s="145" t="s">
        <v>228</v>
      </c>
      <c r="E42" s="164"/>
      <c r="F42" s="168"/>
      <c r="G42" s="135"/>
      <c r="H42" s="173" t="s">
        <v>200</v>
      </c>
      <c r="I42" s="123"/>
      <c r="J42" s="138" t="str">
        <f>IF(G42=0,"",C42/G42)</f>
        <v/>
      </c>
      <c r="K42" s="226" t="s">
        <v>198</v>
      </c>
      <c r="L42" s="140"/>
      <c r="M42" s="134"/>
      <c r="N42" s="134"/>
      <c r="O42" s="123"/>
      <c r="P42" s="123"/>
      <c r="Q42" s="123"/>
      <c r="R42" s="123"/>
      <c r="S42" s="123"/>
    </row>
    <row r="43" spans="1:19" ht="13.5" thickBot="1" x14ac:dyDescent="0.25">
      <c r="B43" s="125"/>
      <c r="C43" s="134"/>
      <c r="D43" s="134"/>
      <c r="E43" s="134"/>
      <c r="F43" s="134"/>
      <c r="G43" s="134"/>
      <c r="H43" s="134"/>
      <c r="I43" s="134"/>
      <c r="J43" s="134"/>
      <c r="K43" s="134"/>
      <c r="L43" s="140"/>
      <c r="M43" s="134"/>
      <c r="N43" s="134"/>
      <c r="O43" s="123"/>
      <c r="P43" s="123"/>
      <c r="Q43" s="123"/>
      <c r="R43" s="123"/>
      <c r="S43" s="123"/>
    </row>
    <row r="44" spans="1:19" ht="13.5" thickBot="1" x14ac:dyDescent="0.25">
      <c r="B44" s="125"/>
      <c r="C44" s="138" t="str">
        <f>J40</f>
        <v/>
      </c>
      <c r="D44" s="133" t="s">
        <v>202</v>
      </c>
      <c r="E44" s="134"/>
      <c r="F44" s="134"/>
      <c r="G44" s="149" t="b">
        <v>0</v>
      </c>
      <c r="H44" s="1661" t="s">
        <v>229</v>
      </c>
      <c r="I44" s="1661"/>
      <c r="J44" s="1661"/>
      <c r="K44" s="1661"/>
      <c r="L44" s="140"/>
      <c r="M44" s="134"/>
      <c r="N44" s="134"/>
      <c r="O44" s="123"/>
      <c r="P44" s="123"/>
      <c r="Q44" s="123"/>
      <c r="R44" s="123"/>
      <c r="S44" s="123"/>
    </row>
    <row r="45" spans="1:19" ht="13.5" thickBot="1" x14ac:dyDescent="0.25">
      <c r="B45" s="125"/>
      <c r="C45" s="138" t="str">
        <f>IF(SUM(C41)=0,"",SUM(C40:C41)/SUM(G40:G41))</f>
        <v/>
      </c>
      <c r="D45" s="150" t="s">
        <v>230</v>
      </c>
      <c r="E45" s="134"/>
      <c r="F45" s="134"/>
      <c r="G45" s="149" t="b">
        <v>0</v>
      </c>
      <c r="H45" s="1661"/>
      <c r="I45" s="1661"/>
      <c r="J45" s="1661"/>
      <c r="K45" s="1661"/>
      <c r="L45" s="140"/>
      <c r="M45" s="134"/>
      <c r="N45" s="134"/>
      <c r="O45" s="123"/>
      <c r="P45" s="123"/>
      <c r="Q45" s="123"/>
      <c r="R45" s="123"/>
      <c r="S45" s="123"/>
    </row>
    <row r="46" spans="1:19" ht="13.5" thickBot="1" x14ac:dyDescent="0.25">
      <c r="B46" s="125"/>
      <c r="C46" s="138" t="str">
        <f>IF(SUM(C42)=0,"",SUM(C40:C42)/SUM(G40:G42))</f>
        <v/>
      </c>
      <c r="D46" s="151" t="s">
        <v>231</v>
      </c>
      <c r="E46" s="134"/>
      <c r="F46" s="134"/>
      <c r="G46" s="149" t="b">
        <v>0</v>
      </c>
      <c r="H46" s="134"/>
      <c r="I46" s="134"/>
      <c r="J46" s="134"/>
      <c r="K46" s="134"/>
      <c r="L46" s="140"/>
      <c r="M46" s="134"/>
      <c r="N46" s="134"/>
      <c r="O46" s="123"/>
      <c r="P46" s="123"/>
      <c r="Q46" s="123"/>
      <c r="R46" s="123"/>
      <c r="S46" s="123"/>
    </row>
    <row r="47" spans="1:19" ht="13.5" thickBot="1" x14ac:dyDescent="0.25">
      <c r="B47" s="125"/>
      <c r="C47" s="134"/>
      <c r="D47" s="134"/>
      <c r="E47" s="134"/>
      <c r="F47" s="134"/>
      <c r="G47" s="134"/>
      <c r="H47" s="134"/>
      <c r="I47" s="134"/>
      <c r="J47" s="134"/>
      <c r="K47" s="134"/>
      <c r="L47" s="140"/>
      <c r="M47" s="134"/>
      <c r="N47" s="134"/>
      <c r="O47" s="123"/>
      <c r="P47" s="123"/>
      <c r="Q47" s="123"/>
      <c r="R47" s="123"/>
      <c r="S47" s="123"/>
    </row>
    <row r="48" spans="1:19" ht="13.5" thickBot="1" x14ac:dyDescent="0.25">
      <c r="B48" s="125"/>
      <c r="C48" s="152">
        <f>MIN(C44:C46)</f>
        <v>0</v>
      </c>
      <c r="D48" s="174" t="s">
        <v>232</v>
      </c>
      <c r="E48" s="174"/>
      <c r="F48" s="1649" t="s">
        <v>206</v>
      </c>
      <c r="G48" s="1650"/>
      <c r="H48" s="1650"/>
      <c r="I48" s="1650"/>
      <c r="J48" s="155">
        <f>IF(G44=TRUE,C44,IF(G45=TRUE,C45,IF(G46=TRUE,C46,0)))</f>
        <v>0</v>
      </c>
      <c r="K48" s="156">
        <f>IF(J48=0,C48,J48)</f>
        <v>0</v>
      </c>
      <c r="L48" s="140"/>
      <c r="M48" s="134"/>
      <c r="N48" s="134"/>
      <c r="O48" s="123"/>
      <c r="P48" s="123"/>
      <c r="Q48" s="123"/>
      <c r="R48" s="123"/>
      <c r="S48" s="123"/>
    </row>
    <row r="49" spans="2:19" x14ac:dyDescent="0.2">
      <c r="B49" s="125"/>
      <c r="C49" s="134"/>
      <c r="D49" s="134"/>
      <c r="E49" s="134"/>
      <c r="F49" s="134"/>
      <c r="G49" s="134"/>
      <c r="H49" s="134"/>
      <c r="I49" s="134"/>
      <c r="J49" s="134"/>
      <c r="K49" s="134"/>
      <c r="L49" s="140"/>
      <c r="M49" s="134"/>
      <c r="N49" s="134"/>
      <c r="O49" s="123"/>
      <c r="P49" s="123"/>
      <c r="Q49" s="123"/>
      <c r="R49" s="123"/>
      <c r="S49" s="123"/>
    </row>
    <row r="50" spans="2:19" ht="13.5" thickBot="1" x14ac:dyDescent="0.25">
      <c r="B50" s="125"/>
      <c r="C50" s="134"/>
      <c r="D50" s="134"/>
      <c r="E50" s="134"/>
      <c r="F50" s="134"/>
      <c r="G50" s="134"/>
      <c r="H50" s="134"/>
      <c r="I50" s="134"/>
      <c r="J50" s="134"/>
      <c r="K50" s="134"/>
      <c r="L50" s="140"/>
      <c r="M50" s="134"/>
      <c r="N50" s="134"/>
      <c r="O50" s="123"/>
      <c r="P50" s="123"/>
      <c r="Q50" s="123"/>
      <c r="R50" s="123"/>
      <c r="S50" s="123"/>
    </row>
    <row r="51" spans="2:19" ht="13.5" thickBot="1" x14ac:dyDescent="0.25">
      <c r="B51" s="157" t="s">
        <v>233</v>
      </c>
      <c r="C51" s="134"/>
      <c r="D51" s="1658" t="s">
        <v>234</v>
      </c>
      <c r="E51" s="1659"/>
      <c r="F51" s="1659"/>
      <c r="G51" s="1660"/>
      <c r="H51" s="134"/>
      <c r="I51" s="134"/>
      <c r="J51" s="134"/>
      <c r="K51" s="134"/>
      <c r="L51" s="140"/>
      <c r="M51" s="134"/>
      <c r="N51" s="134"/>
      <c r="O51" s="123"/>
      <c r="P51" s="123"/>
      <c r="Q51" s="123"/>
      <c r="R51" s="123"/>
      <c r="S51" s="123"/>
    </row>
    <row r="52" spans="2:19" ht="13.5" thickBot="1" x14ac:dyDescent="0.25">
      <c r="B52" s="125"/>
      <c r="C52" s="134"/>
      <c r="D52" s="134"/>
      <c r="E52" s="134"/>
      <c r="F52" s="134"/>
      <c r="G52" s="134"/>
      <c r="H52" s="134"/>
      <c r="I52" s="134"/>
      <c r="J52" s="134"/>
      <c r="K52" s="134"/>
      <c r="L52" s="140"/>
      <c r="M52" s="134"/>
      <c r="N52" s="134"/>
      <c r="O52" s="123"/>
      <c r="P52" s="123"/>
      <c r="Q52" s="123"/>
      <c r="R52" s="123"/>
      <c r="S52" s="123"/>
    </row>
    <row r="53" spans="2:19" ht="13.5" thickBot="1" x14ac:dyDescent="0.25">
      <c r="B53" s="125"/>
      <c r="C53" s="131">
        <v>0</v>
      </c>
      <c r="D53" s="132" t="s">
        <v>235</v>
      </c>
      <c r="E53" s="132"/>
      <c r="F53" s="132"/>
      <c r="G53" s="1662" t="s">
        <v>236</v>
      </c>
      <c r="H53" s="1634"/>
      <c r="I53" s="175" t="e">
        <f>SUM(K65*C53)</f>
        <v>#VALUE!</v>
      </c>
      <c r="J53" s="1663" t="s">
        <v>237</v>
      </c>
      <c r="K53" s="1664"/>
      <c r="L53" s="232"/>
      <c r="M53" s="134"/>
      <c r="N53" s="134"/>
      <c r="O53" s="123"/>
      <c r="P53" s="123"/>
      <c r="Q53" s="123"/>
      <c r="R53" s="123"/>
      <c r="S53" s="123"/>
    </row>
    <row r="54" spans="2:19" ht="13.5" thickBot="1" x14ac:dyDescent="0.25">
      <c r="B54" s="125"/>
      <c r="C54" s="131">
        <v>0</v>
      </c>
      <c r="D54" s="134" t="s">
        <v>238</v>
      </c>
      <c r="E54" s="134"/>
      <c r="F54" s="134"/>
      <c r="G54" s="1651" t="s">
        <v>236</v>
      </c>
      <c r="H54" s="1652"/>
      <c r="I54" s="131"/>
      <c r="J54" s="1653" t="s">
        <v>239</v>
      </c>
      <c r="K54" s="1654"/>
      <c r="L54" s="140"/>
      <c r="M54" s="123"/>
      <c r="N54" s="123"/>
      <c r="O54" s="123"/>
      <c r="P54" s="123"/>
      <c r="Q54" s="123"/>
      <c r="R54" s="123"/>
      <c r="S54" s="177"/>
    </row>
    <row r="55" spans="2:19" ht="13.5" thickBot="1" x14ac:dyDescent="0.25">
      <c r="B55" s="178"/>
      <c r="C55" s="131">
        <v>0</v>
      </c>
      <c r="D55" s="164" t="s">
        <v>240</v>
      </c>
      <c r="E55" s="164"/>
      <c r="F55" s="164"/>
      <c r="G55" s="1655" t="s">
        <v>236</v>
      </c>
      <c r="H55" s="1638"/>
      <c r="I55" s="131"/>
      <c r="J55" s="1656" t="s">
        <v>241</v>
      </c>
      <c r="K55" s="1657"/>
      <c r="L55" s="140"/>
      <c r="M55" s="123"/>
      <c r="N55" s="123"/>
      <c r="O55" s="123"/>
      <c r="P55" s="123"/>
      <c r="Q55" s="123"/>
      <c r="R55" s="123"/>
      <c r="S55" s="177"/>
    </row>
    <row r="56" spans="2:19" ht="13.5" thickBot="1" x14ac:dyDescent="0.25">
      <c r="B56" s="125"/>
      <c r="C56" s="134"/>
      <c r="D56" s="134"/>
      <c r="E56" s="134"/>
      <c r="F56" s="134"/>
      <c r="G56" s="134"/>
      <c r="H56" s="134"/>
      <c r="I56" s="134"/>
      <c r="J56" s="134"/>
      <c r="K56" s="134"/>
      <c r="L56" s="140"/>
      <c r="M56" s="123"/>
      <c r="N56" s="123"/>
      <c r="O56" s="123"/>
      <c r="P56" s="123"/>
      <c r="Q56" s="123"/>
      <c r="R56" s="123"/>
      <c r="S56" s="177"/>
    </row>
    <row r="57" spans="2:19" ht="13.5" thickBot="1" x14ac:dyDescent="0.25">
      <c r="B57" s="125"/>
      <c r="C57" s="138" t="e">
        <f>C53-I53</f>
        <v>#VALUE!</v>
      </c>
      <c r="D57" s="148" t="s">
        <v>242</v>
      </c>
      <c r="E57" s="132"/>
      <c r="F57" s="167"/>
      <c r="G57" s="179"/>
      <c r="H57" s="180" t="s">
        <v>200</v>
      </c>
      <c r="I57" s="181" t="str">
        <f>IF(G57=0,"",C57/G57)</f>
        <v/>
      </c>
      <c r="J57" s="182" t="s">
        <v>243</v>
      </c>
      <c r="K57" s="134"/>
      <c r="L57" s="140"/>
      <c r="M57" s="134"/>
      <c r="N57" s="134"/>
      <c r="O57" s="123"/>
      <c r="P57" s="123"/>
      <c r="Q57" s="123"/>
      <c r="R57" s="123"/>
      <c r="S57" s="123"/>
    </row>
    <row r="58" spans="2:19" ht="13.5" thickBot="1" x14ac:dyDescent="0.25">
      <c r="B58" s="125"/>
      <c r="C58" s="138">
        <f>C54-I54</f>
        <v>0</v>
      </c>
      <c r="D58" s="134" t="s">
        <v>244</v>
      </c>
      <c r="E58" s="134"/>
      <c r="F58" s="134"/>
      <c r="G58" s="179"/>
      <c r="H58" s="183" t="s">
        <v>200</v>
      </c>
      <c r="I58" s="181" t="str">
        <f>IF(G58=0,"",C58/G58)</f>
        <v/>
      </c>
      <c r="J58" s="184" t="s">
        <v>243</v>
      </c>
      <c r="K58" s="134"/>
      <c r="L58" s="140"/>
      <c r="M58" s="134"/>
      <c r="N58" s="134"/>
      <c r="O58" s="123"/>
      <c r="P58" s="123"/>
      <c r="Q58" s="123"/>
      <c r="R58" s="123"/>
      <c r="S58" s="123"/>
    </row>
    <row r="59" spans="2:19" ht="13.5" thickBot="1" x14ac:dyDescent="0.25">
      <c r="B59" s="125"/>
      <c r="C59" s="138">
        <f>C55-I55</f>
        <v>0</v>
      </c>
      <c r="D59" s="145" t="s">
        <v>244</v>
      </c>
      <c r="E59" s="164"/>
      <c r="F59" s="168"/>
      <c r="G59" s="179"/>
      <c r="H59" s="185" t="s">
        <v>200</v>
      </c>
      <c r="I59" s="181" t="str">
        <f>IF(G59=0,"",C59/G59)</f>
        <v/>
      </c>
      <c r="J59" s="186" t="s">
        <v>243</v>
      </c>
      <c r="K59" s="134"/>
      <c r="L59" s="140"/>
      <c r="M59" s="134"/>
      <c r="N59" s="134"/>
      <c r="O59" s="123"/>
      <c r="P59" s="123"/>
      <c r="Q59" s="123"/>
      <c r="R59" s="123"/>
      <c r="S59" s="123"/>
    </row>
    <row r="60" spans="2:19" ht="13.5" thickBot="1" x14ac:dyDescent="0.25">
      <c r="B60" s="125"/>
      <c r="C60" s="134"/>
      <c r="D60" s="134"/>
      <c r="E60" s="134"/>
      <c r="F60" s="134"/>
      <c r="G60" s="134"/>
      <c r="H60" s="134"/>
      <c r="I60" s="134"/>
      <c r="J60" s="134"/>
      <c r="K60" s="134"/>
      <c r="L60" s="140"/>
      <c r="M60" s="134"/>
      <c r="N60" s="134"/>
      <c r="O60" s="123"/>
      <c r="P60" s="123"/>
      <c r="Q60" s="123"/>
      <c r="R60" s="123"/>
      <c r="S60" s="123"/>
    </row>
    <row r="61" spans="2:19" ht="13.5" thickBot="1" x14ac:dyDescent="0.25">
      <c r="B61" s="125"/>
      <c r="C61" s="138" t="str">
        <f>I57</f>
        <v/>
      </c>
      <c r="D61" s="187" t="s">
        <v>245</v>
      </c>
      <c r="E61" s="133"/>
      <c r="F61" s="134"/>
      <c r="G61" s="149" t="b">
        <v>0</v>
      </c>
      <c r="H61" s="134"/>
      <c r="I61" s="188" t="s">
        <v>246</v>
      </c>
      <c r="J61" s="161"/>
      <c r="K61" s="231"/>
      <c r="L61" s="140"/>
      <c r="M61" s="134"/>
      <c r="N61" s="134"/>
      <c r="O61" s="123"/>
      <c r="P61" s="123"/>
      <c r="Q61" s="123"/>
      <c r="R61" s="123"/>
      <c r="S61" s="123"/>
    </row>
    <row r="62" spans="2:19" ht="13.5" thickBot="1" x14ac:dyDescent="0.25">
      <c r="B62" s="125"/>
      <c r="C62" s="138" t="str">
        <f>IF(SUM(C54)=0,"",SUM(C57:C58)/SUM(G57:G58))</f>
        <v/>
      </c>
      <c r="D62" s="190" t="s">
        <v>247</v>
      </c>
      <c r="E62" s="150"/>
      <c r="F62" s="134"/>
      <c r="G62" s="149" t="b">
        <v>0</v>
      </c>
      <c r="H62" s="134"/>
      <c r="I62" s="191" t="s">
        <v>248</v>
      </c>
      <c r="J62" s="228"/>
      <c r="K62" s="229"/>
      <c r="L62" s="140"/>
      <c r="M62" s="134"/>
      <c r="N62" s="134"/>
      <c r="O62" s="123"/>
      <c r="P62" s="123"/>
      <c r="Q62" s="123"/>
      <c r="R62" s="123"/>
      <c r="S62" s="123"/>
    </row>
    <row r="63" spans="2:19" ht="13.5" thickBot="1" x14ac:dyDescent="0.25">
      <c r="B63" s="125"/>
      <c r="C63" s="138" t="str">
        <f>IF(SUM(C55)=0,"",SUM(C57:C59)/SUM(G57:G59))</f>
        <v/>
      </c>
      <c r="D63" s="193" t="s">
        <v>249</v>
      </c>
      <c r="E63" s="151"/>
      <c r="F63" s="134"/>
      <c r="G63" s="149" t="b">
        <v>0</v>
      </c>
      <c r="H63" s="134"/>
      <c r="I63" s="191" t="s">
        <v>233</v>
      </c>
      <c r="J63" s="228"/>
      <c r="K63" s="138">
        <f>C54+C55</f>
        <v>0</v>
      </c>
      <c r="L63" s="140"/>
      <c r="M63" s="134"/>
      <c r="N63" s="134"/>
      <c r="O63" s="123"/>
      <c r="P63" s="123"/>
      <c r="Q63" s="123"/>
      <c r="R63" s="123"/>
      <c r="S63" s="123"/>
    </row>
    <row r="64" spans="2:19" ht="13.5" thickBot="1" x14ac:dyDescent="0.25">
      <c r="B64" s="125"/>
      <c r="C64" s="134"/>
      <c r="D64" s="134"/>
      <c r="E64" s="134"/>
      <c r="F64" s="134"/>
      <c r="G64" s="134"/>
      <c r="H64" s="134"/>
      <c r="I64" s="191" t="s">
        <v>250</v>
      </c>
      <c r="J64" s="228"/>
      <c r="K64" s="138">
        <f>I54+I55</f>
        <v>0</v>
      </c>
      <c r="L64" s="140"/>
      <c r="M64" s="134"/>
      <c r="N64" s="134"/>
      <c r="O64" s="123"/>
      <c r="P64" s="123"/>
      <c r="Q64" s="123"/>
      <c r="R64" s="123"/>
      <c r="S64" s="123"/>
    </row>
    <row r="65" spans="2:19" ht="13.5" thickBot="1" x14ac:dyDescent="0.25">
      <c r="B65" s="125"/>
      <c r="C65" s="134"/>
      <c r="D65" s="123"/>
      <c r="E65" s="123"/>
      <c r="F65" s="123"/>
      <c r="G65" s="134"/>
      <c r="H65" s="134"/>
      <c r="I65" s="194" t="s">
        <v>251</v>
      </c>
      <c r="J65" s="230"/>
      <c r="K65" s="138" t="str">
        <f>IF((K63)=0,"",K64/K63)</f>
        <v/>
      </c>
      <c r="L65" s="140"/>
      <c r="M65" s="134"/>
      <c r="N65" s="134"/>
      <c r="O65" s="123"/>
      <c r="P65" s="123"/>
      <c r="Q65" s="123"/>
      <c r="R65" s="123"/>
      <c r="S65" s="123"/>
    </row>
    <row r="66" spans="2:19" ht="13.5" thickBot="1" x14ac:dyDescent="0.25">
      <c r="B66" s="125"/>
      <c r="C66" s="134"/>
      <c r="D66" s="123"/>
      <c r="E66" s="123"/>
      <c r="F66" s="123"/>
      <c r="G66" s="134"/>
      <c r="H66" s="134"/>
      <c r="I66" s="228"/>
      <c r="J66" s="228"/>
      <c r="K66" s="195"/>
      <c r="L66" s="140"/>
      <c r="M66" s="134"/>
      <c r="N66" s="134"/>
      <c r="O66" s="123"/>
      <c r="P66" s="123"/>
      <c r="Q66" s="123"/>
      <c r="R66" s="123"/>
      <c r="S66" s="123"/>
    </row>
    <row r="67" spans="2:19" ht="13.5" thickBot="1" x14ac:dyDescent="0.25">
      <c r="B67" s="125"/>
      <c r="C67" s="196">
        <f>MIN(C61:C63)</f>
        <v>0</v>
      </c>
      <c r="D67" s="1647" t="s">
        <v>252</v>
      </c>
      <c r="E67" s="1648"/>
      <c r="F67" s="1649" t="s">
        <v>206</v>
      </c>
      <c r="G67" s="1650"/>
      <c r="H67" s="1650"/>
      <c r="I67" s="1650"/>
      <c r="J67" s="155">
        <f>IF(G61=TRUE,C61,IF(G62=TRUE,C62,IF(G63=TRUE,C63,0)))</f>
        <v>0</v>
      </c>
      <c r="K67" s="156">
        <f>IF(J67=0,C67,J67)</f>
        <v>0</v>
      </c>
      <c r="L67" s="140"/>
      <c r="M67" s="134"/>
      <c r="N67" s="134"/>
      <c r="O67" s="123"/>
      <c r="P67" s="123"/>
      <c r="Q67" s="123"/>
      <c r="R67" s="123"/>
      <c r="S67" s="123"/>
    </row>
    <row r="68" spans="2:19" x14ac:dyDescent="0.2">
      <c r="B68" s="125"/>
      <c r="C68" s="134"/>
      <c r="D68" s="134"/>
      <c r="E68" s="134"/>
      <c r="F68" s="134"/>
      <c r="G68" s="134"/>
      <c r="H68" s="134"/>
      <c r="I68" s="134"/>
      <c r="J68" s="134"/>
      <c r="K68" s="134"/>
      <c r="L68" s="140"/>
      <c r="M68" s="134"/>
      <c r="N68" s="134"/>
      <c r="O68" s="123"/>
      <c r="P68" s="123"/>
      <c r="Q68" s="123"/>
      <c r="R68" s="123"/>
      <c r="S68" s="123"/>
    </row>
    <row r="69" spans="2:19" ht="13.5" thickBot="1" x14ac:dyDescent="0.25">
      <c r="B69" s="125"/>
      <c r="C69" s="134"/>
      <c r="D69" s="134"/>
      <c r="E69" s="134"/>
      <c r="F69" s="134"/>
      <c r="G69" s="134"/>
      <c r="H69" s="134"/>
      <c r="I69" s="134"/>
      <c r="J69" s="134"/>
      <c r="K69" s="134"/>
      <c r="L69" s="140"/>
      <c r="M69" s="134"/>
      <c r="N69" s="134"/>
      <c r="O69" s="123"/>
      <c r="P69" s="123"/>
      <c r="Q69" s="123"/>
      <c r="R69" s="123"/>
      <c r="S69" s="123"/>
    </row>
    <row r="70" spans="2:19" ht="13.5" thickBot="1" x14ac:dyDescent="0.25">
      <c r="B70" s="157" t="s">
        <v>253</v>
      </c>
      <c r="C70" s="134"/>
      <c r="D70" s="197" t="s">
        <v>254</v>
      </c>
      <c r="E70" s="1632"/>
      <c r="F70" s="1633"/>
      <c r="G70" s="134"/>
      <c r="H70" s="134"/>
      <c r="I70" s="134"/>
      <c r="J70" s="134"/>
      <c r="K70" s="134"/>
      <c r="L70" s="140"/>
      <c r="M70" s="134"/>
      <c r="N70" s="134"/>
      <c r="O70" s="123"/>
      <c r="P70" s="123"/>
      <c r="Q70" s="123"/>
      <c r="R70" s="123"/>
      <c r="S70" s="123"/>
    </row>
    <row r="71" spans="2:19" ht="13.5" thickBot="1" x14ac:dyDescent="0.25">
      <c r="B71" s="125"/>
      <c r="C71" s="134"/>
      <c r="D71" s="123"/>
      <c r="E71" s="123"/>
      <c r="F71" s="123"/>
      <c r="G71" s="134"/>
      <c r="H71" s="134"/>
      <c r="I71" s="134"/>
      <c r="J71" s="134"/>
      <c r="K71" s="134"/>
      <c r="L71" s="140"/>
      <c r="M71" s="134"/>
      <c r="N71" s="134"/>
      <c r="O71" s="123"/>
      <c r="P71" s="123"/>
      <c r="Q71" s="123"/>
      <c r="R71" s="123"/>
      <c r="S71" s="123"/>
    </row>
    <row r="72" spans="2:19" ht="13.5" thickBot="1" x14ac:dyDescent="0.25">
      <c r="B72" s="125" t="s">
        <v>136</v>
      </c>
      <c r="C72" s="131"/>
      <c r="D72" s="187" t="s">
        <v>255</v>
      </c>
      <c r="E72" s="134"/>
      <c r="F72" s="134"/>
      <c r="G72" s="135"/>
      <c r="H72" s="1644" t="s">
        <v>200</v>
      </c>
      <c r="I72" s="1645"/>
      <c r="J72" s="138" t="str">
        <f>IF((G72)=0,"",C72/G72)</f>
        <v/>
      </c>
      <c r="K72" s="225" t="s">
        <v>198</v>
      </c>
      <c r="L72" s="140"/>
      <c r="M72" s="134"/>
      <c r="N72" s="134"/>
      <c r="O72" s="123"/>
      <c r="P72" s="123"/>
      <c r="Q72" s="123"/>
      <c r="R72" s="123"/>
      <c r="S72" s="123"/>
    </row>
    <row r="73" spans="2:19" ht="13.5" thickBot="1" x14ac:dyDescent="0.25">
      <c r="B73" s="125"/>
      <c r="C73" s="131"/>
      <c r="D73" s="141" t="s">
        <v>256</v>
      </c>
      <c r="E73" s="144">
        <v>2014</v>
      </c>
      <c r="F73" s="134"/>
      <c r="G73" s="135"/>
      <c r="H73" s="1644" t="s">
        <v>200</v>
      </c>
      <c r="I73" s="1645"/>
      <c r="J73" s="138" t="str">
        <f>IF((G73)=0,"",C73/G73)</f>
        <v/>
      </c>
      <c r="K73" s="143" t="s">
        <v>198</v>
      </c>
      <c r="L73" s="140"/>
      <c r="M73" s="134"/>
      <c r="N73" s="134"/>
      <c r="O73" s="123"/>
      <c r="P73" s="123"/>
      <c r="Q73" s="123"/>
      <c r="R73" s="123"/>
      <c r="S73" s="123"/>
    </row>
    <row r="74" spans="2:19" ht="13.5" thickBot="1" x14ac:dyDescent="0.25">
      <c r="B74" s="125"/>
      <c r="C74" s="131"/>
      <c r="D74" s="145" t="s">
        <v>256</v>
      </c>
      <c r="E74" s="144"/>
      <c r="F74" s="134"/>
      <c r="G74" s="224"/>
      <c r="H74" s="1646" t="s">
        <v>200</v>
      </c>
      <c r="I74" s="1646"/>
      <c r="J74" s="199" t="str">
        <f>IF((G74)=0,"",C74/G74)</f>
        <v/>
      </c>
      <c r="K74" s="226" t="s">
        <v>198</v>
      </c>
      <c r="L74" s="140"/>
      <c r="M74" s="134"/>
      <c r="N74" s="134"/>
      <c r="O74" s="123"/>
      <c r="P74" s="123"/>
      <c r="Q74" s="123"/>
      <c r="R74" s="123"/>
      <c r="S74" s="123"/>
    </row>
    <row r="75" spans="2:19" ht="13.5" thickBot="1" x14ac:dyDescent="0.25">
      <c r="B75" s="125"/>
      <c r="C75" s="134"/>
      <c r="D75" s="134"/>
      <c r="E75" s="134"/>
      <c r="F75" s="134"/>
      <c r="G75" s="134"/>
      <c r="H75" s="134"/>
      <c r="I75" s="134"/>
      <c r="J75" s="134"/>
      <c r="K75" s="134"/>
      <c r="L75" s="140"/>
      <c r="M75" s="134"/>
      <c r="N75" s="134"/>
      <c r="O75" s="123"/>
      <c r="P75" s="123"/>
      <c r="Q75" s="123"/>
      <c r="R75" s="123"/>
      <c r="S75" s="123"/>
    </row>
    <row r="76" spans="2:19" ht="13.5" thickBot="1" x14ac:dyDescent="0.25">
      <c r="B76" s="125"/>
      <c r="C76" s="138" t="str">
        <f>J72</f>
        <v/>
      </c>
      <c r="D76" s="133" t="s">
        <v>257</v>
      </c>
      <c r="E76" s="134"/>
      <c r="F76" s="134"/>
      <c r="G76" s="149" t="b">
        <v>0</v>
      </c>
      <c r="H76" s="134"/>
      <c r="I76" s="134"/>
      <c r="J76" s="134"/>
      <c r="K76" s="134"/>
      <c r="L76" s="140"/>
      <c r="M76" s="134"/>
      <c r="N76" s="134"/>
      <c r="O76" s="123"/>
      <c r="P76" s="123"/>
      <c r="Q76" s="123"/>
      <c r="R76" s="123"/>
      <c r="S76" s="123"/>
    </row>
    <row r="77" spans="2:19" ht="13.5" thickBot="1" x14ac:dyDescent="0.25">
      <c r="B77" s="125"/>
      <c r="C77" s="138" t="str">
        <f>IF(SUM(G72:G73)=0,"",SUM(C72:C73)/SUM(G72:G73))</f>
        <v/>
      </c>
      <c r="D77" s="150" t="s">
        <v>258</v>
      </c>
      <c r="E77" s="134"/>
      <c r="F77" s="134"/>
      <c r="G77" s="149" t="b">
        <v>0</v>
      </c>
      <c r="H77" s="134"/>
      <c r="I77" s="134"/>
      <c r="J77" s="134"/>
      <c r="K77" s="134"/>
      <c r="L77" s="140"/>
      <c r="M77" s="134"/>
      <c r="N77" s="134"/>
      <c r="O77" s="123"/>
      <c r="P77" s="123"/>
      <c r="Q77" s="123"/>
      <c r="R77" s="123"/>
      <c r="S77" s="123"/>
    </row>
    <row r="78" spans="2:19" ht="13.5" thickBot="1" x14ac:dyDescent="0.25">
      <c r="B78" s="125"/>
      <c r="C78" s="138" t="str">
        <f>IF(SUM(G72:G74)=0,"",SUM(C72:C74)/SUM(G72:G74))</f>
        <v/>
      </c>
      <c r="D78" s="151" t="s">
        <v>259</v>
      </c>
      <c r="E78" s="134"/>
      <c r="F78" s="134"/>
      <c r="G78" s="149" t="b">
        <v>0</v>
      </c>
      <c r="H78" s="134"/>
      <c r="I78" s="134"/>
      <c r="J78" s="134"/>
      <c r="K78" s="134"/>
      <c r="L78" s="140"/>
      <c r="M78" s="134"/>
      <c r="N78" s="134"/>
      <c r="O78" s="123"/>
      <c r="P78" s="123"/>
      <c r="Q78" s="123"/>
      <c r="R78" s="123"/>
      <c r="S78" s="123"/>
    </row>
    <row r="79" spans="2:19" ht="13.5" thickBot="1" x14ac:dyDescent="0.25">
      <c r="B79" s="125"/>
      <c r="C79" s="134"/>
      <c r="D79" s="134" t="s">
        <v>136</v>
      </c>
      <c r="E79" s="134"/>
      <c r="F79" s="134"/>
      <c r="G79" s="134"/>
      <c r="H79" s="134"/>
      <c r="I79" s="134"/>
      <c r="J79" s="134"/>
      <c r="K79" s="134"/>
      <c r="L79" s="140"/>
      <c r="M79" s="134"/>
      <c r="N79" s="134"/>
      <c r="O79" s="123"/>
      <c r="P79" s="123"/>
      <c r="Q79" s="123"/>
      <c r="R79" s="123"/>
      <c r="S79" s="123"/>
    </row>
    <row r="80" spans="2:19" ht="13.5" thickBot="1" x14ac:dyDescent="0.25">
      <c r="B80" s="125"/>
      <c r="C80" s="152">
        <f>MIN(C76,C77,C78)</f>
        <v>0</v>
      </c>
      <c r="D80" s="1647" t="s">
        <v>260</v>
      </c>
      <c r="E80" s="1648"/>
      <c r="F80" s="1649" t="s">
        <v>206</v>
      </c>
      <c r="G80" s="1650"/>
      <c r="H80" s="1650"/>
      <c r="I80" s="1650"/>
      <c r="J80" s="155">
        <f>IF(G76=TRUE,C76,IF(G77=TRUE,C77,IF(G78=TRUE,C78,0)))</f>
        <v>0</v>
      </c>
      <c r="K80" s="156">
        <f>IF(J80=0,C80,J80)</f>
        <v>0</v>
      </c>
      <c r="L80" s="140"/>
      <c r="M80" s="134"/>
      <c r="N80" s="134"/>
      <c r="O80" s="123"/>
      <c r="P80" s="123"/>
      <c r="Q80" s="123"/>
      <c r="R80" s="123"/>
      <c r="S80" s="123"/>
    </row>
    <row r="81" spans="2:20" x14ac:dyDescent="0.2">
      <c r="B81" s="125"/>
      <c r="C81" s="134"/>
      <c r="D81" s="134"/>
      <c r="E81" s="134"/>
      <c r="F81" s="134"/>
      <c r="G81" s="134"/>
      <c r="H81" s="134"/>
      <c r="I81" s="134"/>
      <c r="J81" s="134"/>
      <c r="K81" s="134"/>
      <c r="L81" s="140"/>
      <c r="M81" s="134"/>
      <c r="N81" s="134"/>
      <c r="O81" s="123"/>
      <c r="P81" s="123"/>
      <c r="Q81" s="123"/>
      <c r="R81" s="123"/>
      <c r="S81" s="123"/>
    </row>
    <row r="82" spans="2:20" ht="13.5" thickBot="1" x14ac:dyDescent="0.25">
      <c r="B82" s="125"/>
      <c r="C82" s="134"/>
      <c r="D82" s="134"/>
      <c r="E82" s="134"/>
      <c r="F82" s="134"/>
      <c r="G82" s="134"/>
      <c r="H82" s="134"/>
      <c r="I82" s="134"/>
      <c r="J82" s="134"/>
      <c r="K82" s="134"/>
      <c r="L82" s="140"/>
      <c r="M82" s="134"/>
      <c r="N82" s="134"/>
      <c r="O82" s="123"/>
      <c r="P82" s="123"/>
      <c r="Q82" s="123"/>
      <c r="R82" s="123"/>
      <c r="S82" s="123"/>
    </row>
    <row r="83" spans="2:20" ht="13.5" thickBot="1" x14ac:dyDescent="0.25">
      <c r="B83" s="200" t="s">
        <v>261</v>
      </c>
      <c r="C83" s="134"/>
      <c r="D83" s="197" t="s">
        <v>254</v>
      </c>
      <c r="E83" s="1632"/>
      <c r="F83" s="1633"/>
      <c r="G83" s="134"/>
      <c r="H83" s="134"/>
      <c r="I83" s="134"/>
      <c r="J83" s="134"/>
      <c r="K83" s="134"/>
      <c r="L83" s="140"/>
      <c r="M83" s="134"/>
      <c r="N83" s="134"/>
      <c r="O83" s="123"/>
      <c r="P83" s="123"/>
      <c r="Q83" s="123"/>
      <c r="R83" s="123"/>
      <c r="S83" s="123"/>
    </row>
    <row r="84" spans="2:20" ht="13.5" thickBot="1" x14ac:dyDescent="0.25">
      <c r="B84" s="125"/>
      <c r="C84" s="134"/>
      <c r="D84" s="134"/>
      <c r="E84" s="134"/>
      <c r="F84" s="134"/>
      <c r="G84" s="134"/>
      <c r="H84" s="134"/>
      <c r="I84" s="134"/>
      <c r="J84" s="134"/>
      <c r="K84" s="134"/>
      <c r="L84" s="140"/>
      <c r="M84" s="134"/>
      <c r="N84" s="134"/>
      <c r="O84" s="123"/>
      <c r="P84" s="123"/>
      <c r="Q84" s="123"/>
      <c r="R84" s="123"/>
      <c r="S84" s="123"/>
    </row>
    <row r="85" spans="2:20" ht="13.5" thickBot="1" x14ac:dyDescent="0.25">
      <c r="B85" s="125"/>
      <c r="C85" s="131">
        <v>0</v>
      </c>
      <c r="D85" s="132" t="s">
        <v>262</v>
      </c>
      <c r="E85" s="132"/>
      <c r="F85" s="132"/>
      <c r="G85" s="132"/>
      <c r="H85" s="132"/>
      <c r="I85" s="133"/>
      <c r="J85" s="199">
        <f>C85</f>
        <v>0</v>
      </c>
      <c r="K85" s="225" t="s">
        <v>198</v>
      </c>
      <c r="L85" s="201" t="b">
        <v>0</v>
      </c>
      <c r="M85" s="134"/>
      <c r="N85" s="134"/>
      <c r="O85" s="134"/>
      <c r="P85" s="123"/>
      <c r="Q85" s="123"/>
      <c r="R85" s="123"/>
      <c r="S85" s="123"/>
      <c r="T85" s="123"/>
    </row>
    <row r="86" spans="2:20" ht="13.5" thickBot="1" x14ac:dyDescent="0.25">
      <c r="B86" s="125"/>
      <c r="C86" s="131">
        <v>0</v>
      </c>
      <c r="D86" s="134" t="s">
        <v>263</v>
      </c>
      <c r="E86" s="134"/>
      <c r="F86" s="134"/>
      <c r="G86" s="134"/>
      <c r="H86" s="134"/>
      <c r="I86" s="150"/>
      <c r="J86" s="199">
        <f>C86/12</f>
        <v>0</v>
      </c>
      <c r="K86" s="226" t="s">
        <v>198</v>
      </c>
      <c r="L86" s="201" t="b">
        <v>0</v>
      </c>
      <c r="M86" s="134"/>
      <c r="N86" s="134"/>
      <c r="O86" s="134"/>
      <c r="P86" s="123"/>
      <c r="Q86" s="123"/>
      <c r="R86" s="123"/>
      <c r="S86" s="123"/>
      <c r="T86" s="123"/>
    </row>
    <row r="87" spans="2:20" ht="13.5" thickBot="1" x14ac:dyDescent="0.25">
      <c r="B87" s="125"/>
      <c r="C87" s="131">
        <v>0</v>
      </c>
      <c r="D87" s="134" t="s">
        <v>264</v>
      </c>
      <c r="E87" s="134"/>
      <c r="F87" s="134"/>
      <c r="G87" s="134"/>
      <c r="H87" s="134"/>
      <c r="I87" s="202"/>
      <c r="J87" s="203"/>
      <c r="K87" s="134"/>
      <c r="L87" s="140"/>
      <c r="M87" s="134"/>
      <c r="N87" s="134"/>
      <c r="O87" s="123"/>
      <c r="P87" s="123"/>
      <c r="Q87" s="123"/>
      <c r="R87" s="123"/>
      <c r="S87" s="123"/>
    </row>
    <row r="88" spans="2:20" ht="13.5" thickBot="1" x14ac:dyDescent="0.25">
      <c r="B88" s="125"/>
      <c r="C88" s="175">
        <f>C87*25%/12</f>
        <v>0</v>
      </c>
      <c r="D88" s="123" t="s">
        <v>265</v>
      </c>
      <c r="E88" s="134"/>
      <c r="F88" s="134"/>
      <c r="G88" s="134"/>
      <c r="H88" s="134"/>
      <c r="I88" s="202"/>
      <c r="J88" s="203"/>
      <c r="K88" s="134"/>
      <c r="L88" s="140"/>
      <c r="N88" s="123"/>
      <c r="O88" s="123"/>
    </row>
    <row r="89" spans="2:20" ht="13.5" thickBot="1" x14ac:dyDescent="0.25">
      <c r="B89" s="125"/>
      <c r="C89" s="175">
        <f>IF(L85=TRUE,(J85+C88),IF(L86=TRUE,(J86+C88),0))</f>
        <v>0</v>
      </c>
      <c r="D89" s="204" t="s">
        <v>266</v>
      </c>
      <c r="E89" s="164"/>
      <c r="F89" s="164"/>
      <c r="G89" s="164"/>
      <c r="H89" s="164"/>
      <c r="I89" s="205"/>
      <c r="J89" s="203"/>
      <c r="K89" s="134"/>
      <c r="L89" s="140"/>
    </row>
    <row r="90" spans="2:20" ht="13.5" thickBot="1" x14ac:dyDescent="0.25">
      <c r="B90" s="125"/>
      <c r="C90" s="123"/>
      <c r="D90" s="123"/>
      <c r="E90" s="134"/>
      <c r="F90" s="134"/>
      <c r="G90" s="134"/>
      <c r="H90" s="134"/>
      <c r="I90" s="203"/>
      <c r="J90" s="203"/>
      <c r="K90" s="134"/>
      <c r="L90" s="140"/>
    </row>
    <row r="91" spans="2:20" ht="13.5" thickBot="1" x14ac:dyDescent="0.25">
      <c r="B91" s="206" t="s">
        <v>267</v>
      </c>
      <c r="C91" s="123" t="s">
        <v>268</v>
      </c>
      <c r="D91" s="123"/>
      <c r="E91" s="134"/>
      <c r="F91" s="134"/>
      <c r="G91" s="134"/>
      <c r="H91" s="134"/>
      <c r="I91" s="203"/>
      <c r="J91" s="203"/>
      <c r="K91" s="134"/>
      <c r="L91" s="140"/>
    </row>
    <row r="92" spans="2:20" ht="13.5" thickBot="1" x14ac:dyDescent="0.25">
      <c r="B92" s="125"/>
      <c r="C92" s="123"/>
      <c r="D92" s="123"/>
      <c r="E92" s="134"/>
      <c r="F92" s="134"/>
      <c r="G92" s="134"/>
      <c r="H92" s="134"/>
      <c r="I92" s="203"/>
      <c r="J92" s="203"/>
      <c r="K92" s="134"/>
      <c r="L92" s="140"/>
    </row>
    <row r="93" spans="2:20" ht="13.5" thickBot="1" x14ac:dyDescent="0.25">
      <c r="B93" s="125"/>
      <c r="C93" s="131">
        <v>0</v>
      </c>
      <c r="D93" s="207" t="s">
        <v>269</v>
      </c>
      <c r="E93" s="144"/>
      <c r="F93" s="134"/>
      <c r="G93" s="138">
        <f>SUM(C93/12)</f>
        <v>0</v>
      </c>
      <c r="H93" s="1634" t="s">
        <v>270</v>
      </c>
      <c r="I93" s="1635"/>
      <c r="J93" s="1636" t="s">
        <v>271</v>
      </c>
      <c r="K93" s="1637"/>
      <c r="L93" s="201" t="b">
        <v>0</v>
      </c>
    </row>
    <row r="94" spans="2:20" ht="13.5" thickBot="1" x14ac:dyDescent="0.25">
      <c r="B94" s="125"/>
      <c r="C94" s="131">
        <v>0</v>
      </c>
      <c r="D94" s="208" t="s">
        <v>269</v>
      </c>
      <c r="E94" s="144"/>
      <c r="F94" s="134"/>
      <c r="G94" s="138">
        <f>SUM(C93+C94)/24</f>
        <v>0</v>
      </c>
      <c r="H94" s="1638" t="s">
        <v>272</v>
      </c>
      <c r="I94" s="1639"/>
      <c r="J94" s="1636"/>
      <c r="K94" s="1637"/>
      <c r="L94" s="201" t="b">
        <v>0</v>
      </c>
    </row>
    <row r="95" spans="2:20" x14ac:dyDescent="0.2">
      <c r="B95" s="125"/>
      <c r="C95" s="123"/>
      <c r="D95" s="123"/>
      <c r="E95" s="134"/>
      <c r="F95" s="134"/>
      <c r="G95" s="134"/>
      <c r="H95" s="134"/>
      <c r="I95" s="203"/>
      <c r="J95" s="203"/>
      <c r="K95" s="134"/>
      <c r="L95" s="209">
        <f>IF(L93=TRUE,G93,IF(L94=TRUE,G94,0))</f>
        <v>0</v>
      </c>
    </row>
    <row r="96" spans="2:20" ht="13.5" thickBot="1" x14ac:dyDescent="0.25">
      <c r="B96" s="125"/>
      <c r="C96" s="123"/>
      <c r="D96" s="123"/>
      <c r="E96" s="134"/>
      <c r="F96" s="134"/>
      <c r="G96" s="134"/>
      <c r="H96" s="134"/>
      <c r="I96" s="203"/>
      <c r="J96" s="203"/>
      <c r="K96" s="134"/>
      <c r="L96" s="140"/>
    </row>
    <row r="97" spans="1:12" ht="13.5" thickBot="1" x14ac:dyDescent="0.25">
      <c r="B97" s="1640" t="s">
        <v>273</v>
      </c>
      <c r="C97" s="1641"/>
      <c r="D97" s="175">
        <f>SUM(C89+C35+K21+K48+K67+K80)-(L95)</f>
        <v>0</v>
      </c>
      <c r="E97" s="134"/>
      <c r="F97" s="134"/>
      <c r="G97" s="134"/>
      <c r="H97" s="134"/>
      <c r="I97" s="203"/>
      <c r="J97" s="203"/>
      <c r="K97" s="134"/>
      <c r="L97" s="140"/>
    </row>
    <row r="98" spans="1:12" x14ac:dyDescent="0.2">
      <c r="B98" s="210"/>
      <c r="C98" s="211"/>
      <c r="D98" s="212"/>
      <c r="E98" s="134"/>
      <c r="F98" s="134"/>
      <c r="G98" s="134"/>
      <c r="H98" s="134"/>
      <c r="I98" s="203"/>
      <c r="J98" s="203"/>
      <c r="K98" s="134"/>
      <c r="L98" s="140"/>
    </row>
    <row r="99" spans="1:12" s="219" customFormat="1" x14ac:dyDescent="0.2">
      <c r="A99" s="213"/>
      <c r="B99" s="1642" t="s">
        <v>274</v>
      </c>
      <c r="C99" s="1643"/>
      <c r="D99" s="1643"/>
      <c r="E99" s="1643"/>
      <c r="F99" s="1643"/>
      <c r="G99" s="1643"/>
      <c r="H99" s="214" t="s">
        <v>275</v>
      </c>
      <c r="I99" s="215"/>
      <c r="J99" s="216"/>
      <c r="K99" s="217"/>
      <c r="L99" s="218"/>
    </row>
    <row r="100" spans="1:12" ht="13.5" thickBot="1" x14ac:dyDescent="0.25">
      <c r="B100" s="220"/>
      <c r="C100" s="221"/>
      <c r="D100" s="221"/>
      <c r="E100" s="221"/>
      <c r="F100" s="221"/>
      <c r="G100" s="221"/>
      <c r="H100" s="221"/>
      <c r="I100" s="221"/>
      <c r="J100" s="221"/>
      <c r="K100" s="221"/>
      <c r="L100" s="222"/>
    </row>
    <row r="101" spans="1:12" ht="13.5" thickBot="1" x14ac:dyDescent="0.25">
      <c r="B101" s="220"/>
      <c r="C101" s="221"/>
      <c r="D101" s="221"/>
      <c r="E101" s="221"/>
      <c r="F101" s="221"/>
      <c r="G101" s="221"/>
      <c r="H101" s="221"/>
      <c r="I101" s="221"/>
      <c r="J101" s="221"/>
      <c r="K101" s="221"/>
      <c r="L101" s="222"/>
    </row>
    <row r="102" spans="1:12" ht="13.5" thickBot="1" x14ac:dyDescent="0.25">
      <c r="B102" s="123"/>
      <c r="C102" s="134"/>
      <c r="D102" s="134"/>
      <c r="E102" s="134"/>
      <c r="F102" s="134"/>
      <c r="G102" s="134"/>
      <c r="H102" s="134"/>
      <c r="I102" s="134"/>
      <c r="J102" s="134"/>
      <c r="K102" s="134"/>
      <c r="L102" s="134"/>
    </row>
    <row r="103" spans="1:12" ht="13.5" thickBot="1" x14ac:dyDescent="0.25">
      <c r="B103" s="1621" t="s">
        <v>276</v>
      </c>
      <c r="C103" s="1622"/>
    </row>
    <row r="104" spans="1:12" x14ac:dyDescent="0.2">
      <c r="B104" s="1623"/>
      <c r="C104" s="1624"/>
      <c r="D104" s="1625"/>
      <c r="E104" s="1625"/>
      <c r="F104" s="1625"/>
      <c r="G104" s="1625"/>
      <c r="H104" s="1625"/>
      <c r="I104" s="1625"/>
      <c r="J104" s="1625"/>
      <c r="K104" s="1625"/>
      <c r="L104" s="1626"/>
    </row>
    <row r="105" spans="1:12" x14ac:dyDescent="0.2">
      <c r="B105" s="1627"/>
      <c r="C105" s="1624"/>
      <c r="D105" s="1624"/>
      <c r="E105" s="1624"/>
      <c r="F105" s="1624"/>
      <c r="G105" s="1624"/>
      <c r="H105" s="1624"/>
      <c r="I105" s="1624"/>
      <c r="J105" s="1624"/>
      <c r="K105" s="1624"/>
      <c r="L105" s="1628"/>
    </row>
    <row r="106" spans="1:12" x14ac:dyDescent="0.2">
      <c r="B106" s="1627"/>
      <c r="C106" s="1624"/>
      <c r="D106" s="1624"/>
      <c r="E106" s="1624"/>
      <c r="F106" s="1624"/>
      <c r="G106" s="1624"/>
      <c r="H106" s="1624"/>
      <c r="I106" s="1624"/>
      <c r="J106" s="1624"/>
      <c r="K106" s="1624"/>
      <c r="L106" s="1628"/>
    </row>
    <row r="107" spans="1:12" x14ac:dyDescent="0.2">
      <c r="B107" s="1627"/>
      <c r="C107" s="1624"/>
      <c r="D107" s="1624"/>
      <c r="E107" s="1624"/>
      <c r="F107" s="1624"/>
      <c r="G107" s="1624"/>
      <c r="H107" s="1624"/>
      <c r="I107" s="1624"/>
      <c r="J107" s="1624"/>
      <c r="K107" s="1624"/>
      <c r="L107" s="1628"/>
    </row>
    <row r="108" spans="1:12" x14ac:dyDescent="0.2">
      <c r="B108" s="1627"/>
      <c r="C108" s="1624"/>
      <c r="D108" s="1624"/>
      <c r="E108" s="1624"/>
      <c r="F108" s="1624"/>
      <c r="G108" s="1624"/>
      <c r="H108" s="1624"/>
      <c r="I108" s="1624"/>
      <c r="J108" s="1624"/>
      <c r="K108" s="1624"/>
      <c r="L108" s="1628"/>
    </row>
    <row r="109" spans="1:12" x14ac:dyDescent="0.2">
      <c r="B109" s="1627"/>
      <c r="C109" s="1624"/>
      <c r="D109" s="1624"/>
      <c r="E109" s="1624"/>
      <c r="F109" s="1624"/>
      <c r="G109" s="1624"/>
      <c r="H109" s="1624"/>
      <c r="I109" s="1624"/>
      <c r="J109" s="1624"/>
      <c r="K109" s="1624"/>
      <c r="L109" s="1628"/>
    </row>
    <row r="110" spans="1:12" x14ac:dyDescent="0.2">
      <c r="B110" s="1627"/>
      <c r="C110" s="1624"/>
      <c r="D110" s="1624"/>
      <c r="E110" s="1624"/>
      <c r="F110" s="1624"/>
      <c r="G110" s="1624"/>
      <c r="H110" s="1624"/>
      <c r="I110" s="1624"/>
      <c r="J110" s="1624"/>
      <c r="K110" s="1624"/>
      <c r="L110" s="1628"/>
    </row>
    <row r="111" spans="1:12" x14ac:dyDescent="0.2">
      <c r="B111" s="1629"/>
      <c r="C111" s="1630"/>
      <c r="D111" s="1630"/>
      <c r="E111" s="1630"/>
      <c r="F111" s="1630"/>
      <c r="G111" s="1630"/>
      <c r="H111" s="1630"/>
      <c r="I111" s="1630"/>
      <c r="J111" s="1630"/>
      <c r="K111" s="1630"/>
      <c r="L111" s="1631"/>
    </row>
    <row r="133" spans="2:2" x14ac:dyDescent="0.2">
      <c r="B133" s="223" t="s">
        <v>277</v>
      </c>
    </row>
  </sheetData>
  <sheetProtection password="DA0F" sheet="1" objects="1" scenarios="1"/>
  <mergeCells count="38">
    <mergeCell ref="J36:L36"/>
    <mergeCell ref="D2:J3"/>
    <mergeCell ref="C6:D6"/>
    <mergeCell ref="H6:I6"/>
    <mergeCell ref="J6:K6"/>
    <mergeCell ref="C7:D7"/>
    <mergeCell ref="J7:K7"/>
    <mergeCell ref="B9:L9"/>
    <mergeCell ref="F21:I21"/>
    <mergeCell ref="D35:E35"/>
    <mergeCell ref="F35:I35"/>
    <mergeCell ref="J35:K35"/>
    <mergeCell ref="D38:G38"/>
    <mergeCell ref="H44:K45"/>
    <mergeCell ref="F48:I48"/>
    <mergeCell ref="D51:G51"/>
    <mergeCell ref="G53:H53"/>
    <mergeCell ref="J53:K53"/>
    <mergeCell ref="G54:H54"/>
    <mergeCell ref="J54:K54"/>
    <mergeCell ref="G55:H55"/>
    <mergeCell ref="J55:K55"/>
    <mergeCell ref="D67:E67"/>
    <mergeCell ref="F67:I67"/>
    <mergeCell ref="E70:F70"/>
    <mergeCell ref="H72:I72"/>
    <mergeCell ref="H73:I73"/>
    <mergeCell ref="H74:I74"/>
    <mergeCell ref="D80:E80"/>
    <mergeCell ref="F80:I80"/>
    <mergeCell ref="B103:C103"/>
    <mergeCell ref="B104:L111"/>
    <mergeCell ref="E83:F83"/>
    <mergeCell ref="H93:I93"/>
    <mergeCell ref="J93:K94"/>
    <mergeCell ref="H94:I94"/>
    <mergeCell ref="B97:C97"/>
    <mergeCell ref="B99:G99"/>
  </mergeCells>
  <conditionalFormatting sqref="C57 I53 C76">
    <cfRule type="expression" dxfId="0" priority="1" stopIfTrue="1">
      <formula>ISERROR(C53)</formula>
    </cfRule>
  </conditionalFormatting>
  <dataValidations count="41">
    <dataValidation allowBlank="1" showInputMessage="1" showErrorMessage="1" prompt="Enter the Hourly Pay Rate" sqref="C11"/>
    <dataValidation allowBlank="1" showInputMessage="1" showErrorMessage="1" prompt="Enter GMAC Loan Number" sqref="J6:K6"/>
    <dataValidation allowBlank="1" showInputMessage="1" showErrorMessage="1" prompt="Enter Number of Hours worked Per week" sqref="G11"/>
    <dataValidation allowBlank="1" showInputMessage="1" showErrorMessage="1" prompt="Enter Year-to-Date Earnings Reflected on Pay Stub" sqref="C12"/>
    <dataValidation allowBlank="1" showInputMessage="1" showErrorMessage="1" prompt="Enter The Number of Months" sqref="G12"/>
    <dataValidation allowBlank="1" showInputMessage="1" showErrorMessage="1" prompt="Enter Salary from W-2" sqref="C13:C14"/>
    <dataValidation allowBlank="1" showInputMessage="1" showErrorMessage="1" prompt="Enter Number of months worked for this Tax Year" sqref="G13:G14"/>
    <dataValidation allowBlank="1" showInputMessage="1" showErrorMessage="1" prompt="If paid monthly enter Monthly Salary" sqref="C26"/>
    <dataValidation allowBlank="1" showInputMessage="1" showErrorMessage="1" prompt="If paid Bi-Weekly Enter Bi-Weekly salary" sqref="C27"/>
    <dataValidation allowBlank="1" showInputMessage="1" showErrorMessage="1" prompt="If paid Bi-Monthly enter Bi-Monthly Salary" sqref="C28"/>
    <dataValidation allowBlank="1" showInputMessage="1" showErrorMessage="1" prompt="If Paid Weekly enter Weekly Salary" sqref="C29"/>
    <dataValidation allowBlank="1" showInputMessage="1" showErrorMessage="1" prompt="Enter Year to Date Salary as reflected on Pay Stub" sqref="C31"/>
    <dataValidation allowBlank="1" showInputMessage="1" showErrorMessage="1" prompt="Enter Tax Year" sqref="E13:E14 E73:E74 E93:E94"/>
    <dataValidation allowBlank="1" showInputMessage="1" showErrorMessage="1" prompt="Enter Borrower's Name" sqref="C6:D6"/>
    <dataValidation allowBlank="1" showInputMessage="1" showErrorMessage="1" prompt="Enter Borrower's Employer" sqref="C7:D7"/>
    <dataValidation allowBlank="1" showInputMessage="1" showErrorMessage="1" prompt="Enter Number of Months reflected on Pay Stub" sqref="G31"/>
    <dataValidation allowBlank="1" showInputMessage="1" showErrorMessage="1" prompt="Enter W-2 Income" sqref="C32:C33"/>
    <dataValidation allowBlank="1" showInputMessage="1" showErrorMessage="1" prompt="Enter Number of Months reflected by W-2" sqref="G32:G33"/>
    <dataValidation allowBlank="1" showInputMessage="1" showErrorMessage="1" prompt="Deduct YTD Bonus/OT from Base Salary" sqref="C40"/>
    <dataValidation allowBlank="1" showInputMessage="1" showErrorMessage="1" prompt="Enter Number of months reflected" sqref="G40:G41"/>
    <dataValidation allowBlank="1" showInputMessage="1" showErrorMessage="1" prompt="Deduct Bonus/OT from annual Base Salary" sqref="C41:C42"/>
    <dataValidation allowBlank="1" showInputMessage="1" showErrorMessage="1" prompt="Enter the Number of Months Reflected" sqref="G42"/>
    <dataValidation allowBlank="1" showInputMessage="1" showErrorMessage="1" prompt="Deduct YTD Commission from Base" sqref="C53"/>
    <dataValidation allowBlank="1" showInputMessage="1" showErrorMessage="1" prompt="Enter source of Other Income_x000a_" sqref="E70:F70 E83:F83"/>
    <dataValidation allowBlank="1" showInputMessage="1" showErrorMessage="1" prompt="Enter Prev. Year Comm. Less any Base salary" sqref="C54"/>
    <dataValidation allowBlank="1" showInputMessage="1" showErrorMessage="1" prompt="Enter the 2106 Expenses (if any)" sqref="I54:I55"/>
    <dataValidation allowBlank="1" showInputMessage="1" showErrorMessage="1" prompt="Enter Prev. year Comm. Less any  Base salary" sqref="C55"/>
    <dataValidation allowBlank="1" showInputMessage="1" showErrorMessage="1" prompt="Enter the Number of Months" sqref="G57:G59"/>
    <dataValidation allowBlank="1" showInputMessage="1" showErrorMessage="1" prompt="Enter Year-to-Date Income Amount" sqref="C72"/>
    <dataValidation allowBlank="1" showInputMessage="1" showErrorMessage="1" prompt="Enter the number of months reflected" sqref="G72:G74"/>
    <dataValidation allowBlank="1" showInputMessage="1" showErrorMessage="1" prompt="Enter Other Income From W-2" sqref="C73:C74"/>
    <dataValidation allowBlank="1" showInputMessage="1" showErrorMessage="1" prompt="selecting this checkbox will use this figure in the calculations" sqref="C16"/>
    <dataValidation allowBlank="1" showInputMessage="1" showErrorMessage="1" prompt="Enter amount of Monthly Social Security Check or Direct Deposit Amount" sqref="C85"/>
    <dataValidation allowBlank="1" showInputMessage="1" showErrorMessage="1" prompt="Enter Income as Reflected on 1099" sqref="C86"/>
    <dataValidation allowBlank="1" showInputMessage="1" showErrorMessage="1" prompt="Enter amount of Annual Expense" sqref="C93:C94"/>
    <dataValidation allowBlank="1" showInputMessage="1" showErrorMessage="1" prompt="Break out Bonus/Overtime Income from borrowers total income.  Do NOT double count earnings under hourly or salary income sections.  Back out any bonus or overtime earnings from W-2s in those sections and include in bonus/overtime section." sqref="B38"/>
    <dataValidation allowBlank="1" showInputMessage="1" showErrorMessage="1" prompt="Enter applicable information in fields.  The worksheet will automatically calculate the lowest income average. However, if a more reasonable approach should be used; utilize the check box next to that approach." sqref="B11"/>
    <dataValidation allowBlank="1" showInputMessage="1" showErrorMessage="1" prompt="Enter Salary type for borrower, worksheet will calculate monthly income. Enter applicable data. The salary income should be used unless lower Y-T-D or past year income would suggest a more conservative approach.  Choose stable income." sqref="B24"/>
    <dataValidation allowBlank="1" showInputMessage="1" showErrorMessage="1" prompt="Enter YTD and previous year's commission. Enter the business expense from previous 2 year's tax returns.  The worksheet will apply an expense calculation based upon previous years expenses for YTD income." sqref="B51"/>
    <dataValidation allowBlank="1" showInputMessage="1" showErrorMessage="1" prompt="Enter income source, YTD, and previous earnings from W-2 or tax return." sqref="B70"/>
    <dataValidation allowBlank="1" showInputMessage="1" showErrorMessage="1" prompt="Enter amount from check or direct deposit and 1099.  Worksheet will provide monthly comparison average. Check the amount used to qualify, then enter the annual income from this source that is not taxed. The worksheet will apply a 25% adjustment and add to" sqref="B83"/>
  </dataValidations>
  <hyperlinks>
    <hyperlink ref="B99:G99" location="'Red Flag Reminders'!A1" display="Complete the Red Flag Reminders items (click here to access Red Flag Reminders tab)"/>
  </hyperlinks>
  <printOptions horizontalCentered="1"/>
  <pageMargins left="0.36" right="0.16" top="0.3" bottom="0.26" header="0.17" footer="0.21"/>
  <pageSetup paperSize="5" scale="67" orientation="portrait" errors="blank" r:id="rId1"/>
  <headerFooter alignWithMargins="0">
    <oddFooter>&amp;LVersion 10.4&amp;CSee Self Employed Worksheet for all Self Employed Income&amp;RUpdated: 12/17/2010</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433" r:id="rId4" name="Check Box 1">
              <controlPr locked="0" defaultSize="0" autoFill="0" autoLine="0" autoPict="0">
                <anchor moveWithCells="1">
                  <from>
                    <xdr:col>1</xdr:col>
                    <xdr:colOff>962025</xdr:colOff>
                    <xdr:row>15</xdr:row>
                    <xdr:rowOff>161925</xdr:rowOff>
                  </from>
                  <to>
                    <xdr:col>1</xdr:col>
                    <xdr:colOff>1266825</xdr:colOff>
                    <xdr:row>17</xdr:row>
                    <xdr:rowOff>38100</xdr:rowOff>
                  </to>
                </anchor>
              </controlPr>
            </control>
          </mc:Choice>
        </mc:AlternateContent>
        <mc:AlternateContent xmlns:mc="http://schemas.openxmlformats.org/markup-compatibility/2006">
          <mc:Choice Requires="x14">
            <control shapeId="18434" r:id="rId5" name="Check Box 2">
              <controlPr locked="0" defaultSize="0" autoFill="0" autoLine="0" autoPict="0">
                <anchor moveWithCells="1">
                  <from>
                    <xdr:col>1</xdr:col>
                    <xdr:colOff>962025</xdr:colOff>
                    <xdr:row>16</xdr:row>
                    <xdr:rowOff>142875</xdr:rowOff>
                  </from>
                  <to>
                    <xdr:col>1</xdr:col>
                    <xdr:colOff>1266825</xdr:colOff>
                    <xdr:row>18</xdr:row>
                    <xdr:rowOff>19050</xdr:rowOff>
                  </to>
                </anchor>
              </controlPr>
            </control>
          </mc:Choice>
        </mc:AlternateContent>
        <mc:AlternateContent xmlns:mc="http://schemas.openxmlformats.org/markup-compatibility/2006">
          <mc:Choice Requires="x14">
            <control shapeId="18435" r:id="rId6" name="Check Box 3">
              <controlPr locked="0" defaultSize="0" autoFill="0" autoLine="0" autoPict="0">
                <anchor moveWithCells="1">
                  <from>
                    <xdr:col>1</xdr:col>
                    <xdr:colOff>962025</xdr:colOff>
                    <xdr:row>17</xdr:row>
                    <xdr:rowOff>152400</xdr:rowOff>
                  </from>
                  <to>
                    <xdr:col>1</xdr:col>
                    <xdr:colOff>1266825</xdr:colOff>
                    <xdr:row>19</xdr:row>
                    <xdr:rowOff>28575</xdr:rowOff>
                  </to>
                </anchor>
              </controlPr>
            </control>
          </mc:Choice>
        </mc:AlternateContent>
        <mc:AlternateContent xmlns:mc="http://schemas.openxmlformats.org/markup-compatibility/2006">
          <mc:Choice Requires="x14">
            <control shapeId="18436" r:id="rId7" name="Check Box 4">
              <controlPr defaultSize="0" autoFill="0" autoLine="0" autoPict="0">
                <anchor moveWithCells="1">
                  <from>
                    <xdr:col>1</xdr:col>
                    <xdr:colOff>933450</xdr:colOff>
                    <xdr:row>42</xdr:row>
                    <xdr:rowOff>123825</xdr:rowOff>
                  </from>
                  <to>
                    <xdr:col>1</xdr:col>
                    <xdr:colOff>1238250</xdr:colOff>
                    <xdr:row>44</xdr:row>
                    <xdr:rowOff>0</xdr:rowOff>
                  </to>
                </anchor>
              </controlPr>
            </control>
          </mc:Choice>
        </mc:AlternateContent>
        <mc:AlternateContent xmlns:mc="http://schemas.openxmlformats.org/markup-compatibility/2006">
          <mc:Choice Requires="x14">
            <control shapeId="18437" r:id="rId8" name="Check Box 5">
              <controlPr defaultSize="0" autoFill="0" autoLine="0" autoPict="0">
                <anchor moveWithCells="1">
                  <from>
                    <xdr:col>1</xdr:col>
                    <xdr:colOff>933450</xdr:colOff>
                    <xdr:row>43</xdr:row>
                    <xdr:rowOff>142875</xdr:rowOff>
                  </from>
                  <to>
                    <xdr:col>1</xdr:col>
                    <xdr:colOff>1238250</xdr:colOff>
                    <xdr:row>45</xdr:row>
                    <xdr:rowOff>19050</xdr:rowOff>
                  </to>
                </anchor>
              </controlPr>
            </control>
          </mc:Choice>
        </mc:AlternateContent>
        <mc:AlternateContent xmlns:mc="http://schemas.openxmlformats.org/markup-compatibility/2006">
          <mc:Choice Requires="x14">
            <control shapeId="18438" r:id="rId9" name="Check Box 6">
              <controlPr defaultSize="0" autoFill="0" autoLine="0" autoPict="0">
                <anchor moveWithCells="1">
                  <from>
                    <xdr:col>1</xdr:col>
                    <xdr:colOff>933450</xdr:colOff>
                    <xdr:row>44</xdr:row>
                    <xdr:rowOff>133350</xdr:rowOff>
                  </from>
                  <to>
                    <xdr:col>1</xdr:col>
                    <xdr:colOff>1238250</xdr:colOff>
                    <xdr:row>46</xdr:row>
                    <xdr:rowOff>9525</xdr:rowOff>
                  </to>
                </anchor>
              </controlPr>
            </control>
          </mc:Choice>
        </mc:AlternateContent>
        <mc:AlternateContent xmlns:mc="http://schemas.openxmlformats.org/markup-compatibility/2006">
          <mc:Choice Requires="x14">
            <control shapeId="18439" r:id="rId10" name="Check Box 7">
              <controlPr defaultSize="0" autoFill="0" autoLine="0" autoPict="0">
                <anchor moveWithCells="1">
                  <from>
                    <xdr:col>1</xdr:col>
                    <xdr:colOff>962025</xdr:colOff>
                    <xdr:row>14</xdr:row>
                    <xdr:rowOff>152400</xdr:rowOff>
                  </from>
                  <to>
                    <xdr:col>1</xdr:col>
                    <xdr:colOff>1266825</xdr:colOff>
                    <xdr:row>16</xdr:row>
                    <xdr:rowOff>28575</xdr:rowOff>
                  </to>
                </anchor>
              </controlPr>
            </control>
          </mc:Choice>
        </mc:AlternateContent>
        <mc:AlternateContent xmlns:mc="http://schemas.openxmlformats.org/markup-compatibility/2006">
          <mc:Choice Requires="x14">
            <control shapeId="18440" r:id="rId11" name="Check Box 8">
              <controlPr defaultSize="0" autoFill="0" autoLine="0" autoPict="0">
                <anchor moveWithCells="1">
                  <from>
                    <xdr:col>1</xdr:col>
                    <xdr:colOff>971550</xdr:colOff>
                    <xdr:row>59</xdr:row>
                    <xdr:rowOff>161925</xdr:rowOff>
                  </from>
                  <to>
                    <xdr:col>1</xdr:col>
                    <xdr:colOff>1276350</xdr:colOff>
                    <xdr:row>61</xdr:row>
                    <xdr:rowOff>38100</xdr:rowOff>
                  </to>
                </anchor>
              </controlPr>
            </control>
          </mc:Choice>
        </mc:AlternateContent>
        <mc:AlternateContent xmlns:mc="http://schemas.openxmlformats.org/markup-compatibility/2006">
          <mc:Choice Requires="x14">
            <control shapeId="18441" r:id="rId12" name="Check Box 9">
              <controlPr defaultSize="0" autoFill="0" autoLine="0" autoPict="0">
                <anchor moveWithCells="1">
                  <from>
                    <xdr:col>1</xdr:col>
                    <xdr:colOff>971550</xdr:colOff>
                    <xdr:row>60</xdr:row>
                    <xdr:rowOff>152400</xdr:rowOff>
                  </from>
                  <to>
                    <xdr:col>1</xdr:col>
                    <xdr:colOff>1276350</xdr:colOff>
                    <xdr:row>62</xdr:row>
                    <xdr:rowOff>28575</xdr:rowOff>
                  </to>
                </anchor>
              </controlPr>
            </control>
          </mc:Choice>
        </mc:AlternateContent>
        <mc:AlternateContent xmlns:mc="http://schemas.openxmlformats.org/markup-compatibility/2006">
          <mc:Choice Requires="x14">
            <control shapeId="18442" r:id="rId13" name="Check Box 10">
              <controlPr defaultSize="0" autoFill="0" autoLine="0" autoPict="0">
                <anchor moveWithCells="1">
                  <from>
                    <xdr:col>1</xdr:col>
                    <xdr:colOff>971550</xdr:colOff>
                    <xdr:row>61</xdr:row>
                    <xdr:rowOff>142875</xdr:rowOff>
                  </from>
                  <to>
                    <xdr:col>1</xdr:col>
                    <xdr:colOff>1276350</xdr:colOff>
                    <xdr:row>63</xdr:row>
                    <xdr:rowOff>19050</xdr:rowOff>
                  </to>
                </anchor>
              </controlPr>
            </control>
          </mc:Choice>
        </mc:AlternateContent>
        <mc:AlternateContent xmlns:mc="http://schemas.openxmlformats.org/markup-compatibility/2006">
          <mc:Choice Requires="x14">
            <control shapeId="18443" r:id="rId14" name="Check Box 11">
              <controlPr defaultSize="0" autoFill="0" autoLine="0" autoPict="0">
                <anchor moveWithCells="1">
                  <from>
                    <xdr:col>1</xdr:col>
                    <xdr:colOff>962025</xdr:colOff>
                    <xdr:row>74</xdr:row>
                    <xdr:rowOff>123825</xdr:rowOff>
                  </from>
                  <to>
                    <xdr:col>1</xdr:col>
                    <xdr:colOff>1266825</xdr:colOff>
                    <xdr:row>76</xdr:row>
                    <xdr:rowOff>0</xdr:rowOff>
                  </to>
                </anchor>
              </controlPr>
            </control>
          </mc:Choice>
        </mc:AlternateContent>
        <mc:AlternateContent xmlns:mc="http://schemas.openxmlformats.org/markup-compatibility/2006">
          <mc:Choice Requires="x14">
            <control shapeId="18444" r:id="rId15" name="Check Box 12">
              <controlPr defaultSize="0" autoFill="0" autoLine="0" autoPict="0">
                <anchor moveWithCells="1">
                  <from>
                    <xdr:col>1</xdr:col>
                    <xdr:colOff>962025</xdr:colOff>
                    <xdr:row>75</xdr:row>
                    <xdr:rowOff>114300</xdr:rowOff>
                  </from>
                  <to>
                    <xdr:col>1</xdr:col>
                    <xdr:colOff>1266825</xdr:colOff>
                    <xdr:row>76</xdr:row>
                    <xdr:rowOff>161925</xdr:rowOff>
                  </to>
                </anchor>
              </controlPr>
            </control>
          </mc:Choice>
        </mc:AlternateContent>
        <mc:AlternateContent xmlns:mc="http://schemas.openxmlformats.org/markup-compatibility/2006">
          <mc:Choice Requires="x14">
            <control shapeId="18445" r:id="rId16" name="Check Box 13">
              <controlPr defaultSize="0" autoFill="0" autoLine="0" autoPict="0">
                <anchor moveWithCells="1">
                  <from>
                    <xdr:col>1</xdr:col>
                    <xdr:colOff>962025</xdr:colOff>
                    <xdr:row>76</xdr:row>
                    <xdr:rowOff>104775</xdr:rowOff>
                  </from>
                  <to>
                    <xdr:col>1</xdr:col>
                    <xdr:colOff>1266825</xdr:colOff>
                    <xdr:row>77</xdr:row>
                    <xdr:rowOff>152400</xdr:rowOff>
                  </to>
                </anchor>
              </controlPr>
            </control>
          </mc:Choice>
        </mc:AlternateContent>
        <mc:AlternateContent xmlns:mc="http://schemas.openxmlformats.org/markup-compatibility/2006">
          <mc:Choice Requires="x14">
            <control shapeId="18446" r:id="rId17" name="Check Box 14">
              <controlPr defaultSize="0" autoFill="0" autoLine="0" autoPict="0">
                <anchor moveWithCells="1">
                  <from>
                    <xdr:col>1</xdr:col>
                    <xdr:colOff>962025</xdr:colOff>
                    <xdr:row>24</xdr:row>
                    <xdr:rowOff>142875</xdr:rowOff>
                  </from>
                  <to>
                    <xdr:col>1</xdr:col>
                    <xdr:colOff>1266825</xdr:colOff>
                    <xdr:row>26</xdr:row>
                    <xdr:rowOff>19050</xdr:rowOff>
                  </to>
                </anchor>
              </controlPr>
            </control>
          </mc:Choice>
        </mc:AlternateContent>
        <mc:AlternateContent xmlns:mc="http://schemas.openxmlformats.org/markup-compatibility/2006">
          <mc:Choice Requires="x14">
            <control shapeId="18447" r:id="rId18" name="Check Box 15">
              <controlPr defaultSize="0" autoFill="0" autoLine="0" autoPict="0">
                <anchor moveWithCells="1">
                  <from>
                    <xdr:col>1</xdr:col>
                    <xdr:colOff>962025</xdr:colOff>
                    <xdr:row>25</xdr:row>
                    <xdr:rowOff>142875</xdr:rowOff>
                  </from>
                  <to>
                    <xdr:col>1</xdr:col>
                    <xdr:colOff>1266825</xdr:colOff>
                    <xdr:row>27</xdr:row>
                    <xdr:rowOff>19050</xdr:rowOff>
                  </to>
                </anchor>
              </controlPr>
            </control>
          </mc:Choice>
        </mc:AlternateContent>
        <mc:AlternateContent xmlns:mc="http://schemas.openxmlformats.org/markup-compatibility/2006">
          <mc:Choice Requires="x14">
            <control shapeId="18448" r:id="rId19" name="Check Box 16">
              <controlPr defaultSize="0" autoFill="0" autoLine="0" autoPict="0">
                <anchor moveWithCells="1">
                  <from>
                    <xdr:col>1</xdr:col>
                    <xdr:colOff>962025</xdr:colOff>
                    <xdr:row>26</xdr:row>
                    <xdr:rowOff>142875</xdr:rowOff>
                  </from>
                  <to>
                    <xdr:col>1</xdr:col>
                    <xdr:colOff>1266825</xdr:colOff>
                    <xdr:row>28</xdr:row>
                    <xdr:rowOff>19050</xdr:rowOff>
                  </to>
                </anchor>
              </controlPr>
            </control>
          </mc:Choice>
        </mc:AlternateContent>
        <mc:AlternateContent xmlns:mc="http://schemas.openxmlformats.org/markup-compatibility/2006">
          <mc:Choice Requires="x14">
            <control shapeId="18449" r:id="rId20" name="Check Box 17">
              <controlPr defaultSize="0" autoFill="0" autoLine="0" autoPict="0">
                <anchor moveWithCells="1">
                  <from>
                    <xdr:col>1</xdr:col>
                    <xdr:colOff>962025</xdr:colOff>
                    <xdr:row>27</xdr:row>
                    <xdr:rowOff>142875</xdr:rowOff>
                  </from>
                  <to>
                    <xdr:col>1</xdr:col>
                    <xdr:colOff>1266825</xdr:colOff>
                    <xdr:row>29</xdr:row>
                    <xdr:rowOff>19050</xdr:rowOff>
                  </to>
                </anchor>
              </controlPr>
            </control>
          </mc:Choice>
        </mc:AlternateContent>
        <mc:AlternateContent xmlns:mc="http://schemas.openxmlformats.org/markup-compatibility/2006">
          <mc:Choice Requires="x14">
            <control shapeId="18450" r:id="rId21" name="Check Box 18">
              <controlPr defaultSize="0" autoFill="0" autoLine="0" autoPict="0">
                <anchor moveWithCells="1">
                  <from>
                    <xdr:col>1</xdr:col>
                    <xdr:colOff>962025</xdr:colOff>
                    <xdr:row>29</xdr:row>
                    <xdr:rowOff>142875</xdr:rowOff>
                  </from>
                  <to>
                    <xdr:col>1</xdr:col>
                    <xdr:colOff>1266825</xdr:colOff>
                    <xdr:row>31</xdr:row>
                    <xdr:rowOff>19050</xdr:rowOff>
                  </to>
                </anchor>
              </controlPr>
            </control>
          </mc:Choice>
        </mc:AlternateContent>
        <mc:AlternateContent xmlns:mc="http://schemas.openxmlformats.org/markup-compatibility/2006">
          <mc:Choice Requires="x14">
            <control shapeId="18451" r:id="rId22" name="Check Box 19">
              <controlPr defaultSize="0" autoFill="0" autoLine="0" autoPict="0">
                <anchor moveWithCells="1">
                  <from>
                    <xdr:col>1</xdr:col>
                    <xdr:colOff>962025</xdr:colOff>
                    <xdr:row>30</xdr:row>
                    <xdr:rowOff>152400</xdr:rowOff>
                  </from>
                  <to>
                    <xdr:col>1</xdr:col>
                    <xdr:colOff>1266825</xdr:colOff>
                    <xdr:row>32</xdr:row>
                    <xdr:rowOff>28575</xdr:rowOff>
                  </to>
                </anchor>
              </controlPr>
            </control>
          </mc:Choice>
        </mc:AlternateContent>
        <mc:AlternateContent xmlns:mc="http://schemas.openxmlformats.org/markup-compatibility/2006">
          <mc:Choice Requires="x14">
            <control shapeId="18452" r:id="rId23" name="Check Box 20">
              <controlPr defaultSize="0" autoFill="0" autoLine="0" autoPict="0">
                <anchor moveWithCells="1">
                  <from>
                    <xdr:col>1</xdr:col>
                    <xdr:colOff>962025</xdr:colOff>
                    <xdr:row>31</xdr:row>
                    <xdr:rowOff>152400</xdr:rowOff>
                  </from>
                  <to>
                    <xdr:col>1</xdr:col>
                    <xdr:colOff>1266825</xdr:colOff>
                    <xdr:row>33</xdr:row>
                    <xdr:rowOff>28575</xdr:rowOff>
                  </to>
                </anchor>
              </controlPr>
            </control>
          </mc:Choice>
        </mc:AlternateContent>
        <mc:AlternateContent xmlns:mc="http://schemas.openxmlformats.org/markup-compatibility/2006">
          <mc:Choice Requires="x14">
            <control shapeId="18453" r:id="rId24" name="Check Box 21">
              <controlPr defaultSize="0" autoFill="0" autoLine="0" autoPict="0">
                <anchor moveWithCells="1">
                  <from>
                    <xdr:col>5</xdr:col>
                    <xdr:colOff>352425</xdr:colOff>
                    <xdr:row>91</xdr:row>
                    <xdr:rowOff>114300</xdr:rowOff>
                  </from>
                  <to>
                    <xdr:col>6</xdr:col>
                    <xdr:colOff>57150</xdr:colOff>
                    <xdr:row>92</xdr:row>
                    <xdr:rowOff>161925</xdr:rowOff>
                  </to>
                </anchor>
              </controlPr>
            </control>
          </mc:Choice>
        </mc:AlternateContent>
        <mc:AlternateContent xmlns:mc="http://schemas.openxmlformats.org/markup-compatibility/2006">
          <mc:Choice Requires="x14">
            <control shapeId="18454" r:id="rId25" name="Check Box 22">
              <controlPr defaultSize="0" autoFill="0" autoLine="0" autoPict="0">
                <anchor moveWithCells="1">
                  <from>
                    <xdr:col>5</xdr:col>
                    <xdr:colOff>352425</xdr:colOff>
                    <xdr:row>92</xdr:row>
                    <xdr:rowOff>104775</xdr:rowOff>
                  </from>
                  <to>
                    <xdr:col>6</xdr:col>
                    <xdr:colOff>57150</xdr:colOff>
                    <xdr:row>93</xdr:row>
                    <xdr:rowOff>152400</xdr:rowOff>
                  </to>
                </anchor>
              </controlPr>
            </control>
          </mc:Choice>
        </mc:AlternateContent>
        <mc:AlternateContent xmlns:mc="http://schemas.openxmlformats.org/markup-compatibility/2006">
          <mc:Choice Requires="x14">
            <control shapeId="18455" r:id="rId26" name="Check Box 23">
              <controlPr defaultSize="0" autoFill="0" autoLine="0" autoPict="0">
                <anchor moveWithCells="1">
                  <from>
                    <xdr:col>1</xdr:col>
                    <xdr:colOff>1019175</xdr:colOff>
                    <xdr:row>83</xdr:row>
                    <xdr:rowOff>133350</xdr:rowOff>
                  </from>
                  <to>
                    <xdr:col>1</xdr:col>
                    <xdr:colOff>1323975</xdr:colOff>
                    <xdr:row>85</xdr:row>
                    <xdr:rowOff>9525</xdr:rowOff>
                  </to>
                </anchor>
              </controlPr>
            </control>
          </mc:Choice>
        </mc:AlternateContent>
        <mc:AlternateContent xmlns:mc="http://schemas.openxmlformats.org/markup-compatibility/2006">
          <mc:Choice Requires="x14">
            <control shapeId="18456" r:id="rId27" name="Check Box 24">
              <controlPr defaultSize="0" autoFill="0" autoLine="0" autoPict="0">
                <anchor moveWithCells="1">
                  <from>
                    <xdr:col>1</xdr:col>
                    <xdr:colOff>1019175</xdr:colOff>
                    <xdr:row>84</xdr:row>
                    <xdr:rowOff>133350</xdr:rowOff>
                  </from>
                  <to>
                    <xdr:col>1</xdr:col>
                    <xdr:colOff>1323975</xdr:colOff>
                    <xdr:row>86</xdr:row>
                    <xdr:rowOff>9525</xdr:rowOff>
                  </to>
                </anchor>
              </controlPr>
            </control>
          </mc:Choice>
        </mc:AlternateContent>
        <mc:AlternateContent xmlns:mc="http://schemas.openxmlformats.org/markup-compatibility/2006">
          <mc:Choice Requires="x14">
            <control shapeId="18457" r:id="rId28" name="Check Box 25">
              <controlPr locked="0" defaultSize="0" autoFill="0" autoLine="0" autoPict="0">
                <anchor moveWithCells="1">
                  <from>
                    <xdr:col>6</xdr:col>
                    <xdr:colOff>561975</xdr:colOff>
                    <xdr:row>97</xdr:row>
                    <xdr:rowOff>123825</xdr:rowOff>
                  </from>
                  <to>
                    <xdr:col>7</xdr:col>
                    <xdr:colOff>95250</xdr:colOff>
                    <xdr:row>99</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CD9FC9AA33748469B05A1E1F16F63A6" ma:contentTypeVersion="4" ma:contentTypeDescription="Create a new document." ma:contentTypeScope="" ma:versionID="044eda7fed9f7450d8185a3bdcd5af7c">
  <xsd:schema xmlns:xsd="http://www.w3.org/2001/XMLSchema" xmlns:xs="http://www.w3.org/2001/XMLSchema" xmlns:p="http://schemas.microsoft.com/office/2006/metadata/properties" xmlns:ns2="f58a3443-3671-4897-909b-2387d21e34a4" xmlns:ns3="ae775935-64f3-4906-b41f-23df5756e9df" targetNamespace="http://schemas.microsoft.com/office/2006/metadata/properties" ma:root="true" ma:fieldsID="cefab2cf6357b68e1bae7e0fbaffde97" ns2:_="" ns3:_="">
    <xsd:import namespace="f58a3443-3671-4897-909b-2387d21e34a4"/>
    <xsd:import namespace="ae775935-64f3-4906-b41f-23df5756e9d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8a3443-3671-4897-909b-2387d21e34a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775935-64f3-4906-b41f-23df5756e9df"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A93ADC-7006-41CF-B370-B086F6C1770F}">
  <ds:schemaRefs>
    <ds:schemaRef ds:uri="http://schemas.microsoft.com/sharepoint/v3/contenttype/forms"/>
  </ds:schemaRefs>
</ds:datastoreItem>
</file>

<file path=customXml/itemProps2.xml><?xml version="1.0" encoding="utf-8"?>
<ds:datastoreItem xmlns:ds="http://schemas.openxmlformats.org/officeDocument/2006/customXml" ds:itemID="{DB6311AF-A1B5-4447-B02A-588A5EA1A902}">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f58a3443-3671-4897-909b-2387d21e34a4"/>
    <ds:schemaRef ds:uri="ae775935-64f3-4906-b41f-23df5756e9df"/>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90D4EEB9-51D2-4F69-A9DE-AC2D798B8F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8a3443-3671-4897-909b-2387d21e34a4"/>
    <ds:schemaRef ds:uri="ae775935-64f3-4906-b41f-23df5756e9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17</vt:i4>
      </vt:variant>
    </vt:vector>
  </HeadingPairs>
  <TitlesOfParts>
    <vt:vector size="34" baseType="lpstr">
      <vt:lpstr>Approval</vt:lpstr>
      <vt:lpstr>Add'l Debt</vt:lpstr>
      <vt:lpstr>ASSETS</vt:lpstr>
      <vt:lpstr>Wage Earner</vt:lpstr>
      <vt:lpstr>Bnk Stmts</vt:lpstr>
      <vt:lpstr>Appraisal Checklist</vt:lpstr>
      <vt:lpstr>REO Schedule</vt:lpstr>
      <vt:lpstr>Wage Earner (2)</vt:lpstr>
      <vt:lpstr>REO Schedule (2)</vt:lpstr>
      <vt:lpstr>Appraisal Analysis</vt:lpstr>
      <vt:lpstr>Exception Request</vt:lpstr>
      <vt:lpstr>UW Notes</vt:lpstr>
      <vt:lpstr>Income-Brw</vt:lpstr>
      <vt:lpstr>ADD-ON</vt:lpstr>
      <vt:lpstr>Mtg History</vt:lpstr>
      <vt:lpstr>E-2 Analysis</vt:lpstr>
      <vt:lpstr>Income-CB</vt:lpstr>
      <vt:lpstr>Broker_Compensation</vt:lpstr>
      <vt:lpstr>Broker_Compensation_TBD</vt:lpstr>
      <vt:lpstr>Condo?</vt:lpstr>
      <vt:lpstr>ODFList</vt:lpstr>
      <vt:lpstr>'Add''l Debt'!Print_Area</vt:lpstr>
      <vt:lpstr>'Appraisal Checklist'!Print_Area</vt:lpstr>
      <vt:lpstr>Approval!Print_Area</vt:lpstr>
      <vt:lpstr>ASSETS!Print_Area</vt:lpstr>
      <vt:lpstr>'Bnk Stmts'!Print_Area</vt:lpstr>
      <vt:lpstr>'Income-Brw'!Print_Area</vt:lpstr>
      <vt:lpstr>'Income-CB'!Print_Area</vt:lpstr>
      <vt:lpstr>'REO Schedule'!Print_Area</vt:lpstr>
      <vt:lpstr>'REO Schedule (2)'!Print_Area</vt:lpstr>
      <vt:lpstr>'Wage Earner'!Print_Area</vt:lpstr>
      <vt:lpstr>'Wage Earner (2)'!Print_Area</vt:lpstr>
      <vt:lpstr>RETAIL_LENDER_CREDIT</vt:lpstr>
      <vt:lpstr>UnitList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Underwriter12</dc:creator>
  <cp:lastModifiedBy>Theresa Garcia</cp:lastModifiedBy>
  <cp:lastPrinted>2017-12-06T17:58:15Z</cp:lastPrinted>
  <dcterms:created xsi:type="dcterms:W3CDTF">2004-06-18T15:50:04Z</dcterms:created>
  <dcterms:modified xsi:type="dcterms:W3CDTF">2017-12-06T23:58:14Z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0x010100BCD9FC9AA33748469B05A1E1F16F63A6</vt:lpwstr>
  </property>
</Properties>
</file>