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ese-a\Google Drive\MS Analytics\Spring 2018\FINC 649\Project\"/>
    </mc:Choice>
  </mc:AlternateContent>
  <bookViews>
    <workbookView xWindow="0" yWindow="0" windowWidth="28800" windowHeight="12300"/>
  </bookViews>
  <sheets>
    <sheet name="Summary" sheetId="17" r:id="rId1"/>
    <sheet name="Assumptions" sheetId="1" r:id="rId2"/>
    <sheet name="Raw Material Pricing" sheetId="2" r:id="rId3"/>
    <sheet name="Initial Financials" sheetId="3" r:id="rId4"/>
    <sheet name="CB_DATA_" sheetId="8" state="veryHidden" r:id="rId5"/>
    <sheet name="Pitch Plant Financials" sheetId="7" r:id="rId6"/>
    <sheet name="NPV" sheetId="5" r:id="rId7"/>
    <sheet name="NPV_Report" sheetId="18" r:id="rId8"/>
    <sheet name="Early Liquidation" sheetId="14" r:id="rId9"/>
    <sheet name="Early Liquidation_NPV" sheetId="19" r:id="rId10"/>
    <sheet name="With Loan" sheetId="16" r:id="rId11"/>
    <sheet name="With Loan_NPV" sheetId="20" r:id="rId12"/>
    <sheet name="Depreciation" sheetId="9" r:id="rId13"/>
    <sheet name="CapM" sheetId="11" r:id="rId14"/>
    <sheet name="ICC" sheetId="15" r:id="rId15"/>
    <sheet name="Debt CoC" sheetId="13" r:id="rId16"/>
  </sheets>
  <definedNames>
    <definedName name="_xlnm._FilterDatabase" localSheetId="13" hidden="1">CapM!$E$1:$H$123</definedName>
    <definedName name="_xlnm._FilterDatabase" localSheetId="2" hidden="1">'Raw Material Pricing'!$A$6:$B$6</definedName>
    <definedName name="CB_03f5b3b3e4c54d8c9dbed8e8e88be06c" localSheetId="2" hidden="1">'Raw Material Pricing'!$D$23</definedName>
    <definedName name="CB_1a1ee0a7cba34a5fb355f9e30cc440ec" localSheetId="2" hidden="1">'Raw Material Pricing'!$D$19</definedName>
    <definedName name="CB_1c3f52b973c146d8b6e57e2447731b4a" localSheetId="5" hidden="1">'Pitch Plant Financials'!$G$5</definedName>
    <definedName name="CB_29907dfb258a47dba6cfd27d73a6b151" localSheetId="5" hidden="1">'Pitch Plant Financials'!$J$5</definedName>
    <definedName name="CB_30d6f3388220426ca67da851775d19dc" localSheetId="2" hidden="1">'Raw Material Pricing'!$D$22</definedName>
    <definedName name="CB_335cf058de294614bf10b9069a071516" localSheetId="2" hidden="1">'Raw Material Pricing'!$D$18</definedName>
    <definedName name="CB_386768296a73403a8b201652074ff38a" localSheetId="10" hidden="1">'With Loan'!$B$2</definedName>
    <definedName name="CB_3a2d87038fc543f7923e83e04001c1aa" localSheetId="5" hidden="1">'Pitch Plant Financials'!$I$5</definedName>
    <definedName name="CB_3f5cd0c73dce43c599b1fb8f6417ffd6" localSheetId="6" hidden="1">NPV!$C$22</definedName>
    <definedName name="CB_4b2a65795471448da8bf2abcd10ababd" localSheetId="2" hidden="1">'Raw Material Pricing'!$D$27</definedName>
    <definedName name="CB_55ba96cb5d8543e5a44cf678dcfaf9ad" localSheetId="5" hidden="1">'Pitch Plant Financials'!$E$5</definedName>
    <definedName name="CB_579c05ecf8954df4bc608948c7630aea" localSheetId="2" hidden="1">'Raw Material Pricing'!$D$21</definedName>
    <definedName name="CB_8069ae84d6c44bee91a3e242d20ea613" localSheetId="5" hidden="1">'Pitch Plant Financials'!$F$5</definedName>
    <definedName name="CB_a009ccd99a0a45c0929dfd4063feecd0" localSheetId="10" hidden="1">'With Loan'!$B$26</definedName>
    <definedName name="CB_a371ce604cc84a74b16a9497d3c94743" localSheetId="2" hidden="1">'Raw Material Pricing'!$D$20</definedName>
    <definedName name="CB_b049a44e8f7c4788bc5c156ff0a03eed" localSheetId="8" hidden="1">'Early Liquidation'!$B$16</definedName>
    <definedName name="CB_b378aa40c4fc42a9a32b66cd181a89ff" localSheetId="5" hidden="1">'Pitch Plant Financials'!$L$5</definedName>
    <definedName name="CB_b583a26153c8460f8e3a8865dace8a53" localSheetId="2" hidden="1">'Raw Material Pricing'!$D$24</definedName>
    <definedName name="CB_be37ee407825442a9015182c4d58f7fa" localSheetId="5" hidden="1">'Pitch Plant Financials'!$K$5</definedName>
    <definedName name="CB_Block_00000000000000000000000000000000" localSheetId="1" hidden="1">"'7.0.0.0"</definedName>
    <definedName name="CB_Block_00000000000000000000000000000000" localSheetId="4" hidden="1">"'7.0.0.0"</definedName>
    <definedName name="CB_Block_00000000000000000000000000000000" localSheetId="8" hidden="1">"'7.0.0.0"</definedName>
    <definedName name="CB_Block_00000000000000000000000000000000" localSheetId="6" hidden="1">"'7.0.0.0"</definedName>
    <definedName name="CB_Block_00000000000000000000000000000000" localSheetId="5" hidden="1">"'7.0.0.0"</definedName>
    <definedName name="CB_Block_00000000000000000000000000000000" localSheetId="2" hidden="1">"'7.0.0.0"</definedName>
    <definedName name="CB_Block_00000000000000000000000000000000" localSheetId="10" hidden="1">"'7.0.0.0"</definedName>
    <definedName name="CB_Block_00000000000000000000000000000001" localSheetId="1" hidden="1">"'636607207071679381"</definedName>
    <definedName name="CB_Block_00000000000000000000000000000001" localSheetId="4" hidden="1">"'636607230927621944"</definedName>
    <definedName name="CB_Block_00000000000000000000000000000001" localSheetId="8" hidden="1">"'636607230927422117"</definedName>
    <definedName name="CB_Block_00000000000000000000000000000001" localSheetId="6" hidden="1">"'636607230928061912"</definedName>
    <definedName name="CB_Block_00000000000000000000000000000001" localSheetId="5" hidden="1">"'636607230927581948"</definedName>
    <definedName name="CB_Block_00000000000000000000000000000001" localSheetId="2" hidden="1">"'636607230927901940"</definedName>
    <definedName name="CB_Block_00000000000000000000000000000001" localSheetId="10" hidden="1">"'636607230928292095"</definedName>
    <definedName name="CB_Block_00000000000000000000000000000003" localSheetId="1" hidden="1">"'11.1.4716.0"</definedName>
    <definedName name="CB_Block_00000000000000000000000000000003" localSheetId="4" hidden="1">"'11.1.4716.0"</definedName>
    <definedName name="CB_Block_00000000000000000000000000000003" localSheetId="8" hidden="1">"'11.1.4716.0"</definedName>
    <definedName name="CB_Block_00000000000000000000000000000003" localSheetId="6" hidden="1">"'11.1.4716.0"</definedName>
    <definedName name="CB_Block_00000000000000000000000000000003" localSheetId="5" hidden="1">"'11.1.4716.0"</definedName>
    <definedName name="CB_Block_00000000000000000000000000000003" localSheetId="2" hidden="1">"'11.1.4716.0"</definedName>
    <definedName name="CB_Block_00000000000000000000000000000003" localSheetId="10" hidden="1">"'11.1.4716.0"</definedName>
    <definedName name="CB_BlockExt_00000000000000000000000000000003" localSheetId="1" hidden="1">"'11.1.2.4.850"</definedName>
    <definedName name="CB_BlockExt_00000000000000000000000000000003" localSheetId="4" hidden="1">"'11.1.2.4.850"</definedName>
    <definedName name="CB_BlockExt_00000000000000000000000000000003" localSheetId="8" hidden="1">"'11.1.2.4.850"</definedName>
    <definedName name="CB_BlockExt_00000000000000000000000000000003" localSheetId="6" hidden="1">"'11.1.2.4.850"</definedName>
    <definedName name="CB_BlockExt_00000000000000000000000000000003" localSheetId="5" hidden="1">"'11.1.2.4.850"</definedName>
    <definedName name="CB_BlockExt_00000000000000000000000000000003" localSheetId="2" hidden="1">"'11.1.2.4.850"</definedName>
    <definedName name="CB_BlockExt_00000000000000000000000000000003" localSheetId="10" hidden="1">"'11.1.2.4.850"</definedName>
    <definedName name="CB_c148b4066fdd41c7aafa2d6da17ed2ae" localSheetId="5" hidden="1">'Pitch Plant Financials'!$D$5</definedName>
    <definedName name="CB_c1ae51f7d7694f629d493f1873576ff2" localSheetId="4" hidden="1">#N/A</definedName>
    <definedName name="CB_d4c4f306ff1e4b01b12aaad054ac55c9" localSheetId="2" hidden="1">'Raw Material Pricing'!$D$25</definedName>
    <definedName name="CB_d92b85dbfc824903be734aba9edfc719" localSheetId="5" hidden="1">'Pitch Plant Financials'!$H$5</definedName>
    <definedName name="CB_e6753ded8c5c4d3b84fa4f34ed15d711" localSheetId="5" hidden="1">'Pitch Plant Financials'!$C$5</definedName>
    <definedName name="CB_e770a650462948919b405d5297d5b106" localSheetId="8" hidden="1">'Early Liquidation'!$B$1</definedName>
    <definedName name="CB_f141a07290244d5e94ce04ace7c2a01a" localSheetId="2" hidden="1">'Raw Material Pricing'!$D$26</definedName>
    <definedName name="CBCR_19086bf7a2c846718ab92ed3fbab783c" localSheetId="4" hidden="1">CB_DATA_!$A$10002</definedName>
    <definedName name="CBCR_4847efbe70414863bf8dd2f8d14cd9de" localSheetId="2" hidden="1">'Raw Material Pricing'!$I$7</definedName>
    <definedName name="CBCR_4d56bbd6b73f4da985e7c43b9f2c4f24" localSheetId="2" hidden="1">'Raw Material Pricing'!$I$7</definedName>
    <definedName name="CBCR_75131a2521bb44968d479b5c4adb7dc2" localSheetId="2" hidden="1">'Raw Material Pricing'!$I$7</definedName>
    <definedName name="CBCR_82b40e8b2fdd48b2a272f2410e1b1cd9" localSheetId="2" hidden="1">'Raw Material Pricing'!$I$7</definedName>
    <definedName name="CBCR_bb21fcef53804e17972964e6fd62895a" localSheetId="2" hidden="1">'Raw Material Pricing'!$I$7</definedName>
    <definedName name="CBCR_c4475bc6ac394431a13d549edb8a87fd" localSheetId="2" hidden="1">'Raw Material Pricing'!$I$7</definedName>
    <definedName name="CBCR_c54dffb131a0498db78744c2b3e664e7" localSheetId="2" hidden="1">'Raw Material Pricing'!$I$7</definedName>
    <definedName name="CBCR_ce0cb5f7422a4b5d9b2d6f4931b29fe3" localSheetId="2" hidden="1">'Raw Material Pricing'!$I$7</definedName>
    <definedName name="CBCR_da4a89511f6a4e2c86d8f0aa049e45bf" localSheetId="2" hidden="1">'Raw Material Pricing'!$I$7</definedName>
    <definedName name="CBCR_f3dc5cf71e6643acb6f5a179ba11f0e6" localSheetId="2" hidden="1">'Raw Material Pricing'!$I$7</definedName>
    <definedName name="CBWorkbookPriority" localSheetId="4" hidden="1">-842698531</definedName>
    <definedName name="CBx_218d0b24ab66451cb869d62807bcf40b" localSheetId="4" hidden="1">"'With Loan'!$A$1"</definedName>
    <definedName name="CBx_461b12646e364f76b1005428c0d22a32" localSheetId="4" hidden="1">"'Raw Material Pricing'!$A$1"</definedName>
    <definedName name="CBx_65d97ace47b04fbeacb36d4d7a0a35c1" localSheetId="4" hidden="1">"'NPV'!$A$1"</definedName>
    <definedName name="CBx_a18859a3d8e6460484e6881b52aa974f" localSheetId="4" hidden="1">"'CB_DATA_'!$A$1"</definedName>
    <definedName name="CBx_b478ab949d7a46449f9777d3286ccceb" localSheetId="4" hidden="1">"'Pitch Plant Financials'!$A$1"</definedName>
    <definedName name="CBx_df980607cf754fd2b64611d44da76348" localSheetId="4" hidden="1">"'Assumptions'!$A$1"</definedName>
    <definedName name="CBx_e719b97dcd684151b03841935ca36200" localSheetId="4" hidden="1">"'Early Liquidation'!$A$1"</definedName>
    <definedName name="CBx_Sheet_Guid" localSheetId="1" hidden="1">"'df980607-cf75-4fd2-b646-11d44da76348"</definedName>
    <definedName name="CBx_Sheet_Guid" localSheetId="4" hidden="1">"'a18859a3-d8e6-4604-84e6-881b52aa974f"</definedName>
    <definedName name="CBx_Sheet_Guid" localSheetId="8" hidden="1">"'e719b97d-cd68-4151-b038-41935ca36200"</definedName>
    <definedName name="CBx_Sheet_Guid" localSheetId="6" hidden="1">"'65d97ace-47b0-4fbe-acb3-6d4d7a0a35c1"</definedName>
    <definedName name="CBx_Sheet_Guid" localSheetId="5" hidden="1">"'b478ab94-9d7a-4644-9f97-77d3286ccceb"</definedName>
    <definedName name="CBx_Sheet_Guid" localSheetId="2" hidden="1">"'461b1264-6e36-4f76-b100-5428c0d22a32"</definedName>
    <definedName name="CBx_Sheet_Guid" localSheetId="10" hidden="1">"'218d0b24-ab66-451c-b869-d62807bcf40b"</definedName>
    <definedName name="CBx_SheetRef" localSheetId="1" hidden="1">CB_DATA_!$G$14</definedName>
    <definedName name="CBx_SheetRef" localSheetId="4" hidden="1">CB_DATA_!$A$14</definedName>
    <definedName name="CBx_SheetRef" localSheetId="8" hidden="1">CB_DATA_!$E$14</definedName>
    <definedName name="CBx_SheetRef" localSheetId="6" hidden="1">CB_DATA_!$D$14</definedName>
    <definedName name="CBx_SheetRef" localSheetId="5" hidden="1">CB_DATA_!$B$14</definedName>
    <definedName name="CBx_SheetRef" localSheetId="2" hidden="1">CB_DATA_!$C$14</definedName>
    <definedName name="CBx_SheetRef" localSheetId="10" hidden="1">CB_DATA_!$F$14</definedName>
    <definedName name="CBx_StorageType" localSheetId="1" hidden="1">2</definedName>
    <definedName name="CBx_StorageType" localSheetId="4" hidden="1">2</definedName>
    <definedName name="CBx_StorageType" localSheetId="8" hidden="1">2</definedName>
    <definedName name="CBx_StorageType" localSheetId="6" hidden="1">2</definedName>
    <definedName name="CBx_StorageType" localSheetId="5" hidden="1">2</definedName>
    <definedName name="CBx_StorageType" localSheetId="2" hidden="1">2</definedName>
    <definedName name="CBx_StorageType" localSheetId="10" hidden="1">2</definedName>
    <definedName name="Early_Liquidation_NPV">'Early Liquidation_NPV'!$E$56</definedName>
    <definedName name="IncrementalCashFlows">NPV!$B$18:$L$20</definedName>
    <definedName name="NPV_1">NPV_Report!$E$56</definedName>
    <definedName name="Optimal_Loan_Amount">'With Loan'!$B$2</definedName>
    <definedName name="Optimal_Threshold">'Early Liquidation'!$B$1</definedName>
    <definedName name="_xlnm.Print_Area" localSheetId="9">'Early Liquidation_NPV'!$A$1:$J$141</definedName>
    <definedName name="_xlnm.Print_Area" localSheetId="7">NPV_Report!$A$1:$J$84</definedName>
    <definedName name="_xlnm.Print_Area" localSheetId="11">'With Loan_NPV'!$A$1:$J$198</definedName>
    <definedName name="r_ua">ICC!$B$25</definedName>
    <definedName name="solver_eng" localSheetId="14" hidden="1">1</definedName>
    <definedName name="solver_neg" localSheetId="14" hidden="1">1</definedName>
    <definedName name="solver_num" localSheetId="14" hidden="1">0</definedName>
    <definedName name="solver_opt" localSheetId="14" hidden="1">ICC!$B$14</definedName>
    <definedName name="solver_typ" localSheetId="14" hidden="1">1</definedName>
    <definedName name="solver_val" localSheetId="14" hidden="1">0</definedName>
    <definedName name="solver_ver" localSheetId="14" hidden="1">3</definedName>
    <definedName name="With_Loan_NPV">'With Loan_NPV'!$E$170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002" i="8" l="1"/>
  <c r="G11" i="8"/>
  <c r="C33" i="16" l="1"/>
  <c r="D33" i="16"/>
  <c r="E33" i="16"/>
  <c r="F33" i="16"/>
  <c r="G33" i="16"/>
  <c r="H33" i="16"/>
  <c r="I33" i="16"/>
  <c r="J33" i="16"/>
  <c r="K33" i="16"/>
  <c r="B31" i="16"/>
  <c r="B32" i="16"/>
  <c r="B33" i="16"/>
  <c r="B30" i="16"/>
  <c r="E1" i="16" l="1"/>
  <c r="B22" i="16"/>
  <c r="K39" i="16"/>
  <c r="B14" i="16"/>
  <c r="B13" i="16"/>
  <c r="B12" i="16"/>
  <c r="B11" i="16"/>
  <c r="B15" i="16" s="1"/>
  <c r="F11" i="8"/>
  <c r="B16" i="16"/>
  <c r="C7" i="16"/>
  <c r="C9" i="16" s="1"/>
  <c r="B7" i="16"/>
  <c r="B9" i="16" s="1"/>
  <c r="J38" i="16" l="1"/>
  <c r="H38" i="16"/>
  <c r="I38" i="16"/>
  <c r="B23" i="16"/>
  <c r="E38" i="16"/>
  <c r="F37" i="16"/>
  <c r="J37" i="16"/>
  <c r="C37" i="16"/>
  <c r="C18" i="16" s="1"/>
  <c r="G37" i="16"/>
  <c r="K37" i="16"/>
  <c r="F38" i="16"/>
  <c r="C17" i="16"/>
  <c r="D37" i="16"/>
  <c r="H37" i="16"/>
  <c r="C38" i="16"/>
  <c r="G38" i="16"/>
  <c r="K38" i="16"/>
  <c r="J39" i="16" s="1"/>
  <c r="E37" i="16"/>
  <c r="I37" i="16"/>
  <c r="D38" i="16"/>
  <c r="K19" i="15"/>
  <c r="B18" i="15"/>
  <c r="K17" i="15"/>
  <c r="K13" i="15"/>
  <c r="U11" i="15"/>
  <c r="T11" i="15"/>
  <c r="V11" i="15" s="1"/>
  <c r="S11" i="15"/>
  <c r="E7" i="15"/>
  <c r="D7" i="15"/>
  <c r="Q6" i="15"/>
  <c r="K6" i="15"/>
  <c r="K18" i="15" s="1"/>
  <c r="E6" i="15"/>
  <c r="F6" i="15" s="1"/>
  <c r="D6" i="15"/>
  <c r="C6" i="15"/>
  <c r="C7" i="15" s="1"/>
  <c r="Q5" i="15"/>
  <c r="C39" i="16" l="1"/>
  <c r="D39" i="16"/>
  <c r="I39" i="16"/>
  <c r="F39" i="16"/>
  <c r="H39" i="16"/>
  <c r="B39" i="16"/>
  <c r="E39" i="16"/>
  <c r="G39" i="16"/>
  <c r="F7" i="15"/>
  <c r="F8" i="15" s="1"/>
  <c r="F9" i="15" s="1"/>
  <c r="F10" i="15" s="1"/>
  <c r="F12" i="15" s="1"/>
  <c r="G6" i="15"/>
  <c r="G7" i="15" s="1"/>
  <c r="G8" i="15" s="1"/>
  <c r="G9" i="15" s="1"/>
  <c r="F11" i="15" s="1"/>
  <c r="K14" i="15"/>
  <c r="N20" i="15" s="1"/>
  <c r="E8" i="15" s="1"/>
  <c r="E9" i="15" s="1"/>
  <c r="E10" i="15" s="1"/>
  <c r="E12" i="15" s="1"/>
  <c r="K15" i="15"/>
  <c r="K16" i="15"/>
  <c r="M20" i="15" l="1"/>
  <c r="D8" i="15" s="1"/>
  <c r="D9" i="15" s="1"/>
  <c r="D10" i="15" s="1"/>
  <c r="D12" i="15" s="1"/>
  <c r="L20" i="15"/>
  <c r="C8" i="15" s="1"/>
  <c r="C9" i="15" s="1"/>
  <c r="C10" i="15" s="1"/>
  <c r="C12" i="15" s="1"/>
  <c r="B13" i="15" s="1"/>
  <c r="D4" i="7" l="1"/>
  <c r="E11" i="8" l="1"/>
  <c r="B13" i="14"/>
  <c r="B12" i="14"/>
  <c r="C23" i="14"/>
  <c r="D23" i="14"/>
  <c r="E23" i="14"/>
  <c r="F23" i="14"/>
  <c r="G23" i="14"/>
  <c r="H23" i="14"/>
  <c r="I23" i="14"/>
  <c r="J23" i="14"/>
  <c r="K23" i="14"/>
  <c r="B23" i="14"/>
  <c r="D8" i="9"/>
  <c r="E8" i="9"/>
  <c r="F8" i="9"/>
  <c r="G8" i="9"/>
  <c r="H8" i="9"/>
  <c r="I8" i="9"/>
  <c r="J8" i="9"/>
  <c r="K8" i="9"/>
  <c r="L8" i="9"/>
  <c r="C8" i="9"/>
  <c r="B5" i="9"/>
  <c r="B11" i="14"/>
  <c r="B22" i="14"/>
  <c r="B10" i="14"/>
  <c r="B21" i="14"/>
  <c r="B20" i="14"/>
  <c r="C6" i="14"/>
  <c r="C8" i="14" s="1"/>
  <c r="B6" i="14"/>
  <c r="B8" i="14" s="1"/>
  <c r="C20" i="14" l="1"/>
  <c r="C30" i="16" s="1"/>
  <c r="D11" i="8"/>
  <c r="D9" i="13"/>
  <c r="D8" i="13"/>
  <c r="D7" i="13"/>
  <c r="E7" i="13"/>
  <c r="C16" i="13"/>
  <c r="C20" i="13"/>
  <c r="B8" i="13"/>
  <c r="B9" i="13" s="1"/>
  <c r="B10" i="13" s="1"/>
  <c r="B11" i="13" s="1"/>
  <c r="B12" i="13" s="1"/>
  <c r="B13" i="13" s="1"/>
  <c r="B14" i="13" s="1"/>
  <c r="B15" i="13" s="1"/>
  <c r="B16" i="13" s="1"/>
  <c r="B17" i="13" s="1"/>
  <c r="B18" i="13" s="1"/>
  <c r="B19" i="13" s="1"/>
  <c r="B20" i="13" s="1"/>
  <c r="B21" i="13" s="1"/>
  <c r="D14" i="13"/>
  <c r="D15" i="13" s="1"/>
  <c r="D12" i="13"/>
  <c r="D10" i="13"/>
  <c r="N4" i="13"/>
  <c r="C21" i="13" s="1"/>
  <c r="E4" i="7" l="1"/>
  <c r="D20" i="14" s="1"/>
  <c r="D30" i="16" s="1"/>
  <c r="D16" i="13"/>
  <c r="E15" i="13"/>
  <c r="C19" i="13"/>
  <c r="C18" i="13"/>
  <c r="C17" i="13"/>
  <c r="C11" i="13"/>
  <c r="C9" i="13"/>
  <c r="C12" i="13"/>
  <c r="C7" i="13"/>
  <c r="G7" i="13" s="1"/>
  <c r="C10" i="13"/>
  <c r="C15" i="13"/>
  <c r="G15" i="13" s="1"/>
  <c r="C14" i="13"/>
  <c r="C8" i="13"/>
  <c r="C13" i="13"/>
  <c r="E8" i="13"/>
  <c r="E10" i="13"/>
  <c r="E9" i="13"/>
  <c r="D11" i="13"/>
  <c r="E11" i="13" s="1"/>
  <c r="D13" i="13"/>
  <c r="E13" i="13" s="1"/>
  <c r="B1" i="13"/>
  <c r="B2" i="13" s="1"/>
  <c r="B10" i="11"/>
  <c r="B7" i="11"/>
  <c r="B4" i="11"/>
  <c r="B3" i="11"/>
  <c r="C18" i="2"/>
  <c r="C11" i="8"/>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I3"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E16" i="13" l="1"/>
  <c r="D17" i="13"/>
  <c r="G8" i="13"/>
  <c r="G16" i="13"/>
  <c r="G10" i="13"/>
  <c r="G9" i="13"/>
  <c r="G11" i="13"/>
  <c r="R3" i="13"/>
  <c r="R4" i="13" s="1"/>
  <c r="R5" i="13" s="1"/>
  <c r="C6" i="13" s="1"/>
  <c r="B6" i="13"/>
  <c r="E14" i="13"/>
  <c r="G14" i="13" s="1"/>
  <c r="E12" i="13"/>
  <c r="G12" i="13" s="1"/>
  <c r="G13" i="13"/>
  <c r="A18" i="2"/>
  <c r="C19" i="2" s="1"/>
  <c r="E17" i="13" l="1"/>
  <c r="G17" i="13" s="1"/>
  <c r="D18" i="13"/>
  <c r="C22" i="13"/>
  <c r="G6" i="13"/>
  <c r="A19" i="2"/>
  <c r="D19" i="13" l="1"/>
  <c r="E18" i="13"/>
  <c r="G18" i="13"/>
  <c r="D20" i="13" l="1"/>
  <c r="E19" i="13"/>
  <c r="G19" i="13" s="1"/>
  <c r="D21" i="13" l="1"/>
  <c r="E20" i="13"/>
  <c r="G20" i="13" s="1"/>
  <c r="E21" i="13" l="1"/>
  <c r="G21" i="13"/>
  <c r="C23" i="13" s="1"/>
  <c r="B12" i="11" l="1"/>
  <c r="B13" i="11" s="1"/>
  <c r="B15" i="11" s="1"/>
  <c r="B16" i="11" s="1"/>
  <c r="B23" i="15"/>
  <c r="B25" i="15" s="1"/>
  <c r="B21" i="16" s="1"/>
  <c r="J33" i="3"/>
  <c r="J34" i="3"/>
  <c r="B69" i="7"/>
  <c r="B70" i="7"/>
  <c r="D88" i="7"/>
  <c r="E88" i="7"/>
  <c r="F88" i="7"/>
  <c r="G88" i="7"/>
  <c r="H88" i="7"/>
  <c r="I88" i="7"/>
  <c r="J88" i="7"/>
  <c r="K88" i="7"/>
  <c r="L88" i="7"/>
  <c r="B55" i="7"/>
  <c r="D84" i="7"/>
  <c r="D85" i="7" s="1"/>
  <c r="E84" i="7"/>
  <c r="E99" i="7" s="1"/>
  <c r="F84" i="7"/>
  <c r="F99" i="7" s="1"/>
  <c r="G84" i="7"/>
  <c r="G99" i="7" s="1"/>
  <c r="H84" i="7"/>
  <c r="H85" i="7" s="1"/>
  <c r="I84" i="7"/>
  <c r="I99" i="7" s="1"/>
  <c r="J84" i="7"/>
  <c r="J99" i="7" s="1"/>
  <c r="K84" i="7"/>
  <c r="K85" i="7" s="1"/>
  <c r="L84" i="7"/>
  <c r="L85" i="7" s="1"/>
  <c r="F85" i="7"/>
  <c r="G85" i="7"/>
  <c r="J85" i="7"/>
  <c r="E85" i="7"/>
  <c r="I85" i="7"/>
  <c r="B80" i="7"/>
  <c r="B79" i="7"/>
  <c r="B78" i="7"/>
  <c r="C41" i="3"/>
  <c r="B41" i="3"/>
  <c r="B61" i="7"/>
  <c r="C37" i="3"/>
  <c r="B33" i="3"/>
  <c r="I33" i="3" s="1"/>
  <c r="G53" i="7"/>
  <c r="G76" i="7" s="1"/>
  <c r="G96" i="7" s="1"/>
  <c r="K53" i="7"/>
  <c r="K76" i="7" s="1"/>
  <c r="K96" i="7" s="1"/>
  <c r="D39" i="7"/>
  <c r="D53" i="7" s="1"/>
  <c r="D76" i="7" s="1"/>
  <c r="D96" i="7" s="1"/>
  <c r="E39" i="7"/>
  <c r="E53" i="7" s="1"/>
  <c r="E76" i="7" s="1"/>
  <c r="E96" i="7" s="1"/>
  <c r="F39" i="7"/>
  <c r="F53" i="7" s="1"/>
  <c r="F76" i="7" s="1"/>
  <c r="F96" i="7" s="1"/>
  <c r="G39" i="7"/>
  <c r="H39" i="7"/>
  <c r="H53" i="7" s="1"/>
  <c r="H76" i="7" s="1"/>
  <c r="H96" i="7" s="1"/>
  <c r="I39" i="7"/>
  <c r="I53" i="7" s="1"/>
  <c r="I76" i="7" s="1"/>
  <c r="I96" i="7" s="1"/>
  <c r="J39" i="7"/>
  <c r="J53" i="7" s="1"/>
  <c r="J76" i="7" s="1"/>
  <c r="J96" i="7" s="1"/>
  <c r="K39" i="7"/>
  <c r="L39" i="7"/>
  <c r="L53" i="7" s="1"/>
  <c r="L76" i="7" s="1"/>
  <c r="L96" i="7" s="1"/>
  <c r="C39" i="7"/>
  <c r="C53" i="7" s="1"/>
  <c r="C76" i="7" s="1"/>
  <c r="C96" i="7" s="1"/>
  <c r="J14" i="3"/>
  <c r="J17" i="3"/>
  <c r="I7" i="3"/>
  <c r="C47" i="7"/>
  <c r="C81" i="7" s="1"/>
  <c r="C100" i="7" s="1"/>
  <c r="E5" i="9"/>
  <c r="F5" i="9" s="1"/>
  <c r="D5" i="9"/>
  <c r="C6" i="9"/>
  <c r="D4" i="9"/>
  <c r="E4" i="9" s="1"/>
  <c r="F4" i="9" s="1"/>
  <c r="G4" i="9" s="1"/>
  <c r="H4" i="9" s="1"/>
  <c r="I4" i="9" s="1"/>
  <c r="J4" i="9" s="1"/>
  <c r="K4" i="9" s="1"/>
  <c r="L4" i="9" s="1"/>
  <c r="C5" i="9"/>
  <c r="B4" i="9"/>
  <c r="B3" i="9"/>
  <c r="D3" i="9" s="1"/>
  <c r="E3" i="9" s="1"/>
  <c r="F3" i="9" s="1"/>
  <c r="G3" i="9" s="1"/>
  <c r="H3" i="9" s="1"/>
  <c r="I3" i="9" s="1"/>
  <c r="J3" i="9" s="1"/>
  <c r="K3" i="9" s="1"/>
  <c r="L3" i="9" s="1"/>
  <c r="D6" i="9" l="1"/>
  <c r="D47" i="7" s="1"/>
  <c r="D81" i="7" s="1"/>
  <c r="D100" i="7" s="1"/>
  <c r="E6" i="9"/>
  <c r="E47" i="7" s="1"/>
  <c r="E81" i="7" s="1"/>
  <c r="E100" i="7" s="1"/>
  <c r="C21" i="5"/>
  <c r="B15" i="14" s="1"/>
  <c r="D99" i="7"/>
  <c r="K99" i="7"/>
  <c r="H99" i="7"/>
  <c r="L99" i="7"/>
  <c r="F6" i="9"/>
  <c r="F47" i="7" s="1"/>
  <c r="F81" i="7" s="1"/>
  <c r="F100" i="7" s="1"/>
  <c r="G5" i="9"/>
  <c r="M3" i="9"/>
  <c r="M4" i="9"/>
  <c r="G6" i="9" l="1"/>
  <c r="G47" i="7" s="1"/>
  <c r="G81" i="7" s="1"/>
  <c r="G100" i="7" s="1"/>
  <c r="H5" i="9"/>
  <c r="I5" i="9" l="1"/>
  <c r="H6" i="9"/>
  <c r="H47" i="7" s="1"/>
  <c r="H81" i="7" s="1"/>
  <c r="H100" i="7" s="1"/>
  <c r="I6" i="9" l="1"/>
  <c r="I47" i="7" s="1"/>
  <c r="I81" i="7" s="1"/>
  <c r="I100" i="7" s="1"/>
  <c r="J5" i="9"/>
  <c r="J6" i="9" l="1"/>
  <c r="J47" i="7" s="1"/>
  <c r="J81" i="7" s="1"/>
  <c r="J100" i="7" s="1"/>
  <c r="K5" i="9"/>
  <c r="L5" i="9" l="1"/>
  <c r="L6" i="9" s="1"/>
  <c r="L47" i="7" s="1"/>
  <c r="L81" i="7" s="1"/>
  <c r="L100" i="7" s="1"/>
  <c r="K6" i="9"/>
  <c r="K47" i="7" s="1"/>
  <c r="K81" i="7" s="1"/>
  <c r="K100" i="7" s="1"/>
  <c r="C46" i="7" l="1"/>
  <c r="E8" i="2"/>
  <c r="E9" i="2"/>
  <c r="E10" i="2"/>
  <c r="E11" i="2"/>
  <c r="E12" i="2"/>
  <c r="E13" i="2"/>
  <c r="E14" i="2"/>
  <c r="E15" i="2"/>
  <c r="E16" i="2"/>
  <c r="E17" i="2"/>
  <c r="E7" i="2"/>
  <c r="E18" i="2" l="1"/>
  <c r="C33" i="7" s="1"/>
  <c r="E19" i="2" l="1"/>
  <c r="D33" i="7" s="1"/>
  <c r="C20" i="2" l="1"/>
  <c r="A20" i="2" l="1"/>
  <c r="C21" i="2" s="1"/>
  <c r="A21" i="2" s="1"/>
  <c r="C9" i="2"/>
  <c r="C10" i="2"/>
  <c r="C11" i="2"/>
  <c r="C12" i="2"/>
  <c r="C13" i="2"/>
  <c r="C14" i="2"/>
  <c r="C15" i="2"/>
  <c r="C16" i="2"/>
  <c r="C17" i="2"/>
  <c r="C8" i="2"/>
  <c r="C34" i="7"/>
  <c r="C58" i="7" s="1"/>
  <c r="B5" i="3"/>
  <c r="J18" i="3"/>
  <c r="C23" i="7"/>
  <c r="D23" i="7" s="1"/>
  <c r="D25" i="7" s="1"/>
  <c r="C22" i="7"/>
  <c r="D22" i="7" s="1"/>
  <c r="D24" i="7" s="1"/>
  <c r="C20" i="7"/>
  <c r="C19" i="7"/>
  <c r="B14" i="7"/>
  <c r="C14" i="7" s="1"/>
  <c r="B4" i="7"/>
  <c r="C12" i="7" s="1"/>
  <c r="E20" i="2" l="1"/>
  <c r="E33" i="7" s="1"/>
  <c r="E21" i="2"/>
  <c r="F33" i="7" s="1"/>
  <c r="C22" i="2"/>
  <c r="A22" i="2" s="1"/>
  <c r="E22" i="2" s="1"/>
  <c r="G33" i="7" s="1"/>
  <c r="C61" i="7"/>
  <c r="D61" i="7" s="1"/>
  <c r="E61" i="7" s="1"/>
  <c r="F61" i="7" s="1"/>
  <c r="G61" i="7" s="1"/>
  <c r="H61" i="7" s="1"/>
  <c r="I61" i="7" s="1"/>
  <c r="J61" i="7" s="1"/>
  <c r="K61" i="7" s="1"/>
  <c r="L61" i="7" s="1"/>
  <c r="C88" i="7"/>
  <c r="C84" i="7"/>
  <c r="D28" i="7"/>
  <c r="D46" i="7" s="1"/>
  <c r="D45" i="7"/>
  <c r="D27" i="7"/>
  <c r="D42" i="7"/>
  <c r="C25" i="7"/>
  <c r="C45" i="7" s="1"/>
  <c r="C24" i="7"/>
  <c r="E23" i="7"/>
  <c r="E22" i="7"/>
  <c r="B7" i="7"/>
  <c r="B8" i="7" s="1"/>
  <c r="E12" i="7"/>
  <c r="E13" i="7" s="1"/>
  <c r="D12" i="7"/>
  <c r="D13" i="7" s="1"/>
  <c r="D9" i="7"/>
  <c r="E9" i="7"/>
  <c r="F9" i="7"/>
  <c r="G9" i="7"/>
  <c r="H9" i="7"/>
  <c r="I9" i="7"/>
  <c r="J9" i="7"/>
  <c r="K9" i="7"/>
  <c r="L9" i="7"/>
  <c r="C9" i="7"/>
  <c r="C69" i="7" l="1"/>
  <c r="D69" i="7" s="1"/>
  <c r="E69" i="7" s="1"/>
  <c r="F69" i="7" s="1"/>
  <c r="G69" i="7" s="1"/>
  <c r="H69" i="7" s="1"/>
  <c r="I69" i="7" s="1"/>
  <c r="J69" i="7" s="1"/>
  <c r="K69" i="7" s="1"/>
  <c r="L69" i="7" s="1"/>
  <c r="C23" i="2"/>
  <c r="A23" i="2" s="1"/>
  <c r="C24" i="2" s="1"/>
  <c r="A24" i="2" s="1"/>
  <c r="C85" i="7"/>
  <c r="C99" i="7"/>
  <c r="C42" i="7"/>
  <c r="F22" i="7"/>
  <c r="E24" i="7"/>
  <c r="F23" i="7"/>
  <c r="E25" i="7"/>
  <c r="D7" i="7"/>
  <c r="C7" i="7"/>
  <c r="C10" i="7" s="1"/>
  <c r="B11" i="8"/>
  <c r="A11" i="8"/>
  <c r="E23" i="2" l="1"/>
  <c r="H33" i="7" s="1"/>
  <c r="C25" i="2"/>
  <c r="A25" i="2" s="1"/>
  <c r="E24" i="2"/>
  <c r="I33" i="7" s="1"/>
  <c r="E27" i="7"/>
  <c r="E42" i="7"/>
  <c r="E28" i="7"/>
  <c r="E46" i="7" s="1"/>
  <c r="E45" i="7"/>
  <c r="G23" i="7"/>
  <c r="F25" i="7"/>
  <c r="G22" i="7"/>
  <c r="F24" i="7"/>
  <c r="C11" i="7"/>
  <c r="C29" i="7" s="1"/>
  <c r="F4" i="7"/>
  <c r="E20" i="14" s="1"/>
  <c r="E30" i="16" s="1"/>
  <c r="E7" i="7"/>
  <c r="C18" i="3"/>
  <c r="C11" i="5"/>
  <c r="C4" i="5"/>
  <c r="B19" i="3"/>
  <c r="J23" i="3"/>
  <c r="J22" i="3"/>
  <c r="J20" i="3"/>
  <c r="J19" i="3"/>
  <c r="B18" i="3"/>
  <c r="B44" i="1"/>
  <c r="I17" i="3"/>
  <c r="I18" i="3"/>
  <c r="B31" i="1"/>
  <c r="F12" i="7" l="1"/>
  <c r="F13" i="7" s="1"/>
  <c r="C26" i="2"/>
  <c r="A26" i="2" s="1"/>
  <c r="E25" i="2"/>
  <c r="J33" i="7" s="1"/>
  <c r="C30" i="7"/>
  <c r="C36" i="7" s="1"/>
  <c r="C41" i="7" s="1"/>
  <c r="D14" i="7"/>
  <c r="C15" i="7"/>
  <c r="C40" i="7" s="1"/>
  <c r="F28" i="7"/>
  <c r="F46" i="7" s="1"/>
  <c r="F45" i="7"/>
  <c r="F27" i="7"/>
  <c r="F42" i="7"/>
  <c r="H22" i="7"/>
  <c r="G24" i="7"/>
  <c r="H23" i="7"/>
  <c r="G25" i="7"/>
  <c r="C8" i="7"/>
  <c r="D10" i="7" s="1"/>
  <c r="G4" i="7"/>
  <c r="F7" i="7"/>
  <c r="B25" i="1"/>
  <c r="B64" i="3"/>
  <c r="I62" i="3"/>
  <c r="J60" i="3"/>
  <c r="C60" i="3"/>
  <c r="B60" i="3"/>
  <c r="I56" i="3"/>
  <c r="C56" i="3"/>
  <c r="I55" i="3"/>
  <c r="I47" i="3"/>
  <c r="B47" i="3"/>
  <c r="I46" i="3"/>
  <c r="I45" i="3"/>
  <c r="B37" i="3"/>
  <c r="I37" i="3" s="1"/>
  <c r="J56" i="3"/>
  <c r="B22" i="3"/>
  <c r="I22" i="3" s="1"/>
  <c r="I19" i="3"/>
  <c r="J13" i="3"/>
  <c r="J63" i="3" s="1"/>
  <c r="I13" i="3"/>
  <c r="J12" i="3"/>
  <c r="I12" i="3"/>
  <c r="I53" i="3" s="1"/>
  <c r="C12" i="3"/>
  <c r="B12" i="3"/>
  <c r="G12" i="7" l="1"/>
  <c r="G13" i="7" s="1"/>
  <c r="F20" i="14"/>
  <c r="F30" i="16" s="1"/>
  <c r="E14" i="7"/>
  <c r="D21" i="14" s="1"/>
  <c r="D31" i="16" s="1"/>
  <c r="C21" i="14"/>
  <c r="C31" i="16" s="1"/>
  <c r="C59" i="7"/>
  <c r="C79" i="7" s="1"/>
  <c r="C27" i="2"/>
  <c r="A27" i="2" s="1"/>
  <c r="E26" i="2"/>
  <c r="K33" i="7" s="1"/>
  <c r="C57" i="7"/>
  <c r="C65" i="7"/>
  <c r="B24" i="14" s="1"/>
  <c r="B34" i="16" s="1"/>
  <c r="C56" i="7"/>
  <c r="C43" i="7"/>
  <c r="C44" i="7" s="1"/>
  <c r="C48" i="7" s="1"/>
  <c r="C49" i="7" s="1"/>
  <c r="C50" i="7" s="1"/>
  <c r="C55" i="7"/>
  <c r="C92" i="7" s="1"/>
  <c r="G27" i="7"/>
  <c r="G42" i="7"/>
  <c r="G28" i="7"/>
  <c r="G46" i="7" s="1"/>
  <c r="G45" i="7"/>
  <c r="I23" i="7"/>
  <c r="H25" i="7"/>
  <c r="I22" i="7"/>
  <c r="H24" i="7"/>
  <c r="D11" i="7"/>
  <c r="D29" i="7" s="1"/>
  <c r="D32" i="7" s="1"/>
  <c r="D34" i="7" s="1"/>
  <c r="H4" i="7"/>
  <c r="G7" i="7"/>
  <c r="B14" i="3"/>
  <c r="B17" i="3" s="1"/>
  <c r="I63" i="3"/>
  <c r="I64" i="3" s="1"/>
  <c r="C14" i="3"/>
  <c r="C17" i="3" s="1"/>
  <c r="J37" i="3"/>
  <c r="J45" i="3"/>
  <c r="I54" i="3"/>
  <c r="I59" i="3"/>
  <c r="I60" i="3" s="1"/>
  <c r="J21" i="3"/>
  <c r="J24" i="3" s="1"/>
  <c r="J25" i="3" s="1"/>
  <c r="I23" i="3"/>
  <c r="H12" i="7" l="1"/>
  <c r="H13" i="7" s="1"/>
  <c r="G20" i="14"/>
  <c r="G30" i="16" s="1"/>
  <c r="F14" i="7"/>
  <c r="C78" i="7"/>
  <c r="E27" i="2"/>
  <c r="L33" i="7" s="1"/>
  <c r="C66" i="7"/>
  <c r="C80" i="7"/>
  <c r="C77" i="7"/>
  <c r="C60" i="7"/>
  <c r="C62" i="7" s="1"/>
  <c r="D36" i="7"/>
  <c r="D41" i="7" s="1"/>
  <c r="D65" i="7"/>
  <c r="C24" i="14" s="1"/>
  <c r="C34" i="16" s="1"/>
  <c r="D58" i="7"/>
  <c r="D56" i="7"/>
  <c r="D57" i="7"/>
  <c r="C32" i="3"/>
  <c r="J32" i="3" s="1"/>
  <c r="C7" i="5" s="1"/>
  <c r="C35" i="3"/>
  <c r="H28" i="7"/>
  <c r="H46" i="7" s="1"/>
  <c r="H45" i="7"/>
  <c r="H27" i="7"/>
  <c r="H42" i="7"/>
  <c r="D8" i="7"/>
  <c r="E10" i="7" s="1"/>
  <c r="J23" i="7"/>
  <c r="I25" i="7"/>
  <c r="D15" i="7"/>
  <c r="D40" i="7" s="1"/>
  <c r="D59" i="7" s="1"/>
  <c r="J22" i="7"/>
  <c r="I24" i="7"/>
  <c r="I4" i="7"/>
  <c r="H7" i="7"/>
  <c r="J26" i="3"/>
  <c r="C2" i="5" s="1"/>
  <c r="C55" i="3"/>
  <c r="B34" i="3"/>
  <c r="I34" i="3" s="1"/>
  <c r="C53" i="3"/>
  <c r="C21" i="3"/>
  <c r="C24" i="3" s="1"/>
  <c r="C20" i="3"/>
  <c r="C42" i="3"/>
  <c r="J41" i="3"/>
  <c r="C12" i="5" s="1"/>
  <c r="B35" i="3"/>
  <c r="I35" i="3" s="1"/>
  <c r="B32" i="3"/>
  <c r="B20" i="3"/>
  <c r="B21" i="3" s="1"/>
  <c r="B24" i="3" s="1"/>
  <c r="I20" i="3"/>
  <c r="I21" i="3" s="1"/>
  <c r="I24" i="3" s="1"/>
  <c r="I12" i="7" l="1"/>
  <c r="I13" i="7" s="1"/>
  <c r="H20" i="14"/>
  <c r="H30" i="16" s="1"/>
  <c r="G14" i="7"/>
  <c r="E21" i="14"/>
  <c r="E31" i="16" s="1"/>
  <c r="D79" i="7"/>
  <c r="C22" i="14"/>
  <c r="C32" i="16" s="1"/>
  <c r="C98" i="7"/>
  <c r="C97" i="7"/>
  <c r="C82" i="7"/>
  <c r="C87" i="7" s="1"/>
  <c r="D66" i="7"/>
  <c r="D80" i="7"/>
  <c r="D78" i="7"/>
  <c r="D43" i="7"/>
  <c r="D44" i="7" s="1"/>
  <c r="D48" i="7" s="1"/>
  <c r="D55" i="7"/>
  <c r="I28" i="7"/>
  <c r="I46" i="7" s="1"/>
  <c r="I45" i="7"/>
  <c r="I27" i="7"/>
  <c r="I42" i="7"/>
  <c r="E11" i="7"/>
  <c r="E29" i="7" s="1"/>
  <c r="E32" i="7" s="1"/>
  <c r="E34" i="7" s="1"/>
  <c r="K22" i="7"/>
  <c r="J24" i="7"/>
  <c r="K23" i="7"/>
  <c r="J25" i="7"/>
  <c r="J4" i="7"/>
  <c r="I7" i="7"/>
  <c r="I25" i="3"/>
  <c r="I26" i="3" s="1"/>
  <c r="B25" i="3"/>
  <c r="B26" i="3" s="1"/>
  <c r="B52" i="3" s="1"/>
  <c r="J42" i="3"/>
  <c r="C25" i="3"/>
  <c r="C26" i="3" s="1"/>
  <c r="C52" i="3" s="1"/>
  <c r="C36" i="3"/>
  <c r="C38" i="3" s="1"/>
  <c r="I41" i="3"/>
  <c r="I42" i="3" s="1"/>
  <c r="I49" i="3" s="1"/>
  <c r="B42" i="3"/>
  <c r="B49" i="3" s="1"/>
  <c r="I32" i="3"/>
  <c r="B36" i="3"/>
  <c r="B38" i="3" s="1"/>
  <c r="C54" i="3"/>
  <c r="J35" i="3"/>
  <c r="F21" i="14" l="1"/>
  <c r="F31" i="16" s="1"/>
  <c r="H14" i="7"/>
  <c r="J12" i="7"/>
  <c r="J13" i="7" s="1"/>
  <c r="I20" i="14"/>
  <c r="I30" i="16" s="1"/>
  <c r="C102" i="7"/>
  <c r="C89" i="7"/>
  <c r="C91" i="7" s="1"/>
  <c r="C93" i="7" s="1"/>
  <c r="C70" i="7"/>
  <c r="D60" i="7"/>
  <c r="D62" i="7" s="1"/>
  <c r="D92" i="7"/>
  <c r="D98" i="7" s="1"/>
  <c r="E36" i="7"/>
  <c r="E41" i="7" s="1"/>
  <c r="E58" i="7"/>
  <c r="E65" i="7"/>
  <c r="D24" i="14" s="1"/>
  <c r="D34" i="16" s="1"/>
  <c r="E56" i="7"/>
  <c r="E57" i="7"/>
  <c r="C10" i="5"/>
  <c r="C13" i="5" s="1"/>
  <c r="J54" i="3"/>
  <c r="D49" i="7"/>
  <c r="D50" i="7" s="1"/>
  <c r="J28" i="7"/>
  <c r="J46" i="7" s="1"/>
  <c r="J45" i="7"/>
  <c r="J27" i="7"/>
  <c r="J42" i="7"/>
  <c r="E8" i="7"/>
  <c r="F10" i="7" s="1"/>
  <c r="F11" i="7" s="1"/>
  <c r="E15" i="7"/>
  <c r="E40" i="7" s="1"/>
  <c r="E59" i="7" s="1"/>
  <c r="J53" i="3"/>
  <c r="C3" i="5"/>
  <c r="C5" i="5" s="1"/>
  <c r="L23" i="7"/>
  <c r="L25" i="7" s="1"/>
  <c r="K25" i="7"/>
  <c r="L22" i="7"/>
  <c r="L24" i="7" s="1"/>
  <c r="K24" i="7"/>
  <c r="K4" i="7"/>
  <c r="J7" i="7"/>
  <c r="B57" i="3"/>
  <c r="B66" i="3" s="1"/>
  <c r="I52" i="3"/>
  <c r="I57" i="3" s="1"/>
  <c r="I66" i="3" s="1"/>
  <c r="J36" i="3"/>
  <c r="J38" i="3" s="1"/>
  <c r="I36" i="3"/>
  <c r="I38" i="3" s="1"/>
  <c r="J55" i="3"/>
  <c r="E79" i="7" l="1"/>
  <c r="D22" i="14"/>
  <c r="D32" i="16" s="1"/>
  <c r="K12" i="7"/>
  <c r="K13" i="7" s="1"/>
  <c r="J20" i="14"/>
  <c r="J30" i="16" s="1"/>
  <c r="G21" i="14"/>
  <c r="G31" i="16" s="1"/>
  <c r="I14" i="7"/>
  <c r="C19" i="5"/>
  <c r="C20" i="5" s="1"/>
  <c r="C71" i="7"/>
  <c r="C73" i="7" s="1"/>
  <c r="C74" i="7" s="1"/>
  <c r="C15" i="5"/>
  <c r="D77" i="7"/>
  <c r="E78" i="7"/>
  <c r="E66" i="7"/>
  <c r="E80" i="7"/>
  <c r="E43" i="7"/>
  <c r="E44" i="7" s="1"/>
  <c r="E48" i="7" s="1"/>
  <c r="E55" i="7"/>
  <c r="L28" i="7"/>
  <c r="L46" i="7" s="1"/>
  <c r="L45" i="7"/>
  <c r="K27" i="7"/>
  <c r="K42" i="7"/>
  <c r="K28" i="7"/>
  <c r="K46" i="7" s="1"/>
  <c r="K45" i="7"/>
  <c r="L27" i="7"/>
  <c r="L42" i="7"/>
  <c r="F8" i="7"/>
  <c r="G10" i="7" s="1"/>
  <c r="G11" i="7" s="1"/>
  <c r="F29" i="7"/>
  <c r="F32" i="7" s="1"/>
  <c r="F34" i="7" s="1"/>
  <c r="F15" i="7"/>
  <c r="F40" i="7" s="1"/>
  <c r="F59" i="7" s="1"/>
  <c r="L4" i="7"/>
  <c r="K7" i="7"/>
  <c r="C57" i="3"/>
  <c r="C62" i="3" s="1"/>
  <c r="C46" i="3" s="1"/>
  <c r="J52" i="3"/>
  <c r="J57" i="3" s="1"/>
  <c r="F79" i="7" l="1"/>
  <c r="E22" i="14"/>
  <c r="E32" i="16" s="1"/>
  <c r="H21" i="14"/>
  <c r="H31" i="16" s="1"/>
  <c r="J14" i="7"/>
  <c r="B6" i="7"/>
  <c r="K20" i="14"/>
  <c r="K30" i="16" s="1"/>
  <c r="D97" i="7"/>
  <c r="D82" i="7"/>
  <c r="D87" i="7" s="1"/>
  <c r="D70" i="7" s="1"/>
  <c r="E60" i="7"/>
  <c r="E62" i="7" s="1"/>
  <c r="E92" i="7"/>
  <c r="E98" i="7" s="1"/>
  <c r="F36" i="7"/>
  <c r="F41" i="7" s="1"/>
  <c r="F58" i="7"/>
  <c r="F65" i="7"/>
  <c r="E24" i="14" s="1"/>
  <c r="E34" i="16" s="1"/>
  <c r="F56" i="7"/>
  <c r="F57" i="7"/>
  <c r="F43" i="7"/>
  <c r="F55" i="7"/>
  <c r="F92" i="7" s="1"/>
  <c r="E49" i="7"/>
  <c r="E50" i="7" s="1"/>
  <c r="E77" i="7" s="1"/>
  <c r="G8" i="7"/>
  <c r="H10" i="7" s="1"/>
  <c r="G29" i="7"/>
  <c r="G32" i="7" s="1"/>
  <c r="G34" i="7" s="1"/>
  <c r="G15" i="7"/>
  <c r="G40" i="7" s="1"/>
  <c r="L7" i="7"/>
  <c r="L12" i="7"/>
  <c r="L13" i="7" s="1"/>
  <c r="B4" i="14" l="1"/>
  <c r="B14" i="14" s="1"/>
  <c r="B5" i="16"/>
  <c r="B20" i="16" s="1"/>
  <c r="I21" i="14"/>
  <c r="I31" i="16" s="1"/>
  <c r="K14" i="7"/>
  <c r="J21" i="14" s="1"/>
  <c r="J31" i="16" s="1"/>
  <c r="D102" i="7"/>
  <c r="F78" i="7"/>
  <c r="E97" i="7"/>
  <c r="E82" i="7"/>
  <c r="E87" i="7" s="1"/>
  <c r="E89" i="7" s="1"/>
  <c r="E91" i="7" s="1"/>
  <c r="E93" i="7" s="1"/>
  <c r="F66" i="7"/>
  <c r="F80" i="7"/>
  <c r="F44" i="7"/>
  <c r="F48" i="7" s="1"/>
  <c r="F49" i="7" s="1"/>
  <c r="F50" i="7" s="1"/>
  <c r="F77" i="7" s="1"/>
  <c r="D89" i="7"/>
  <c r="D91" i="7" s="1"/>
  <c r="D93" i="7" s="1"/>
  <c r="G55" i="7"/>
  <c r="G92" i="7" s="1"/>
  <c r="G59" i="7"/>
  <c r="G36" i="7"/>
  <c r="G41" i="7" s="1"/>
  <c r="G65" i="7"/>
  <c r="F24" i="14" s="1"/>
  <c r="F34" i="16" s="1"/>
  <c r="G58" i="7"/>
  <c r="G56" i="7"/>
  <c r="G57" i="7"/>
  <c r="F60" i="7"/>
  <c r="F62" i="7" s="1"/>
  <c r="G43" i="7"/>
  <c r="H11" i="7"/>
  <c r="H29" i="7" s="1"/>
  <c r="H32" i="7" s="1"/>
  <c r="H34" i="7" s="1"/>
  <c r="J62" i="3"/>
  <c r="J64" i="3" s="1"/>
  <c r="J66" i="3" s="1"/>
  <c r="C64" i="3"/>
  <c r="C66" i="3" s="1"/>
  <c r="C47" i="3"/>
  <c r="C49" i="3" s="1"/>
  <c r="J46" i="3"/>
  <c r="J47" i="3" s="1"/>
  <c r="J49" i="3" s="1"/>
  <c r="G79" i="7" l="1"/>
  <c r="F22" i="14"/>
  <c r="F32" i="16" s="1"/>
  <c r="L14" i="7"/>
  <c r="K21" i="14" s="1"/>
  <c r="K31" i="16" s="1"/>
  <c r="E102" i="7"/>
  <c r="D19" i="5"/>
  <c r="D20" i="5" s="1"/>
  <c r="F98" i="7"/>
  <c r="G44" i="7"/>
  <c r="G48" i="7" s="1"/>
  <c r="G49" i="7" s="1"/>
  <c r="G50" i="7" s="1"/>
  <c r="G77" i="7" s="1"/>
  <c r="G97" i="7" s="1"/>
  <c r="F97" i="7"/>
  <c r="F82" i="7"/>
  <c r="F87" i="7" s="1"/>
  <c r="F89" i="7" s="1"/>
  <c r="F91" i="7" s="1"/>
  <c r="F93" i="7" s="1"/>
  <c r="G78" i="7"/>
  <c r="G66" i="7"/>
  <c r="G80" i="7"/>
  <c r="E70" i="7"/>
  <c r="D71" i="7"/>
  <c r="D73" i="7" s="1"/>
  <c r="D74" i="7" s="1"/>
  <c r="H36" i="7"/>
  <c r="H41" i="7" s="1"/>
  <c r="H58" i="7"/>
  <c r="H65" i="7"/>
  <c r="G24" i="14" s="1"/>
  <c r="G34" i="16" s="1"/>
  <c r="H56" i="7"/>
  <c r="H57" i="7"/>
  <c r="G60" i="7"/>
  <c r="G62" i="7" s="1"/>
  <c r="H8" i="7"/>
  <c r="I10" i="7" s="1"/>
  <c r="I11" i="7" s="1"/>
  <c r="I29" i="7" s="1"/>
  <c r="I32" i="7" s="1"/>
  <c r="I34" i="7" s="1"/>
  <c r="H15" i="7"/>
  <c r="H40" i="7" s="1"/>
  <c r="H59" i="7" s="1"/>
  <c r="B60" i="1"/>
  <c r="C4" i="14" l="1"/>
  <c r="C5" i="14" s="1"/>
  <c r="D6" i="14" s="1"/>
  <c r="C5" i="16"/>
  <c r="C6" i="16" s="1"/>
  <c r="H79" i="7"/>
  <c r="G22" i="14"/>
  <c r="G32" i="16" s="1"/>
  <c r="E19" i="5"/>
  <c r="E20" i="5" s="1"/>
  <c r="F102" i="7"/>
  <c r="G82" i="7"/>
  <c r="G87" i="7" s="1"/>
  <c r="G89" i="7" s="1"/>
  <c r="G91" i="7" s="1"/>
  <c r="G93" i="7" s="1"/>
  <c r="G98" i="7"/>
  <c r="G102" i="7" s="1"/>
  <c r="H66" i="7"/>
  <c r="H80" i="7"/>
  <c r="H78" i="7"/>
  <c r="F70" i="7"/>
  <c r="E71" i="7"/>
  <c r="E73" i="7" s="1"/>
  <c r="E74" i="7" s="1"/>
  <c r="I36" i="7"/>
  <c r="I41" i="7" s="1"/>
  <c r="I58" i="7"/>
  <c r="I65" i="7"/>
  <c r="H24" i="14" s="1"/>
  <c r="H34" i="16" s="1"/>
  <c r="I57" i="7"/>
  <c r="I56" i="7"/>
  <c r="H43" i="7"/>
  <c r="H44" i="7" s="1"/>
  <c r="H48" i="7" s="1"/>
  <c r="H55" i="7"/>
  <c r="I8" i="7"/>
  <c r="J10" i="7" s="1"/>
  <c r="I15" i="7"/>
  <c r="I40" i="7" s="1"/>
  <c r="I59" i="7" s="1"/>
  <c r="C7" i="14" l="1"/>
  <c r="C12" i="14" s="1"/>
  <c r="D4" i="14"/>
  <c r="D5" i="14" s="1"/>
  <c r="D7" i="14" s="1"/>
  <c r="D13" i="14" s="1"/>
  <c r="D5" i="16"/>
  <c r="C8" i="16"/>
  <c r="D7" i="16"/>
  <c r="D8" i="14"/>
  <c r="I79" i="7"/>
  <c r="H22" i="14"/>
  <c r="H32" i="16" s="1"/>
  <c r="F19" i="5"/>
  <c r="F20" i="5" s="1"/>
  <c r="G19" i="5"/>
  <c r="G20" i="5" s="1"/>
  <c r="I78" i="7"/>
  <c r="H60" i="7"/>
  <c r="H62" i="7" s="1"/>
  <c r="H92" i="7"/>
  <c r="H98" i="7" s="1"/>
  <c r="I66" i="7"/>
  <c r="I80" i="7"/>
  <c r="G70" i="7"/>
  <c r="F71" i="7"/>
  <c r="F73" i="7" s="1"/>
  <c r="F74" i="7" s="1"/>
  <c r="I43" i="7"/>
  <c r="I44" i="7" s="1"/>
  <c r="I48" i="7" s="1"/>
  <c r="I49" i="7" s="1"/>
  <c r="I50" i="7" s="1"/>
  <c r="I77" i="7" s="1"/>
  <c r="I55" i="7"/>
  <c r="H49" i="7"/>
  <c r="H50" i="7" s="1"/>
  <c r="H77" i="7" s="1"/>
  <c r="H97" i="7" s="1"/>
  <c r="J11" i="7"/>
  <c r="J29" i="7" s="1"/>
  <c r="J32" i="7" s="1"/>
  <c r="J34" i="7" s="1"/>
  <c r="C13" i="14" l="1"/>
  <c r="C11" i="14"/>
  <c r="C10" i="14"/>
  <c r="E6" i="14"/>
  <c r="E8" i="14" s="1"/>
  <c r="D10" i="14"/>
  <c r="D11" i="14"/>
  <c r="D12" i="14"/>
  <c r="D17" i="16"/>
  <c r="D6" i="16" s="1"/>
  <c r="D9" i="16"/>
  <c r="D18" i="16"/>
  <c r="C19" i="16"/>
  <c r="C13" i="16"/>
  <c r="C14" i="16"/>
  <c r="C11" i="16"/>
  <c r="C12" i="16"/>
  <c r="F4" i="14"/>
  <c r="F5" i="14" s="1"/>
  <c r="F5" i="16"/>
  <c r="E4" i="14"/>
  <c r="E5" i="14" s="1"/>
  <c r="F6" i="14" s="1"/>
  <c r="F8" i="14" s="1"/>
  <c r="E5" i="16"/>
  <c r="I97" i="7"/>
  <c r="I82" i="7"/>
  <c r="I87" i="7" s="1"/>
  <c r="I89" i="7" s="1"/>
  <c r="I91" i="7" s="1"/>
  <c r="I60" i="7"/>
  <c r="I62" i="7" s="1"/>
  <c r="I92" i="7"/>
  <c r="I98" i="7" s="1"/>
  <c r="H102" i="7"/>
  <c r="H82" i="7"/>
  <c r="H87" i="7" s="1"/>
  <c r="H89" i="7" s="1"/>
  <c r="H91" i="7" s="1"/>
  <c r="H93" i="7" s="1"/>
  <c r="G71" i="7"/>
  <c r="G73" i="7" s="1"/>
  <c r="G74" i="7" s="1"/>
  <c r="J36" i="7"/>
  <c r="J41" i="7" s="1"/>
  <c r="J58" i="7"/>
  <c r="J65" i="7"/>
  <c r="I24" i="14" s="1"/>
  <c r="I34" i="16" s="1"/>
  <c r="J56" i="7"/>
  <c r="J57" i="7"/>
  <c r="J15" i="7"/>
  <c r="J40" i="7" s="1"/>
  <c r="J8" i="7"/>
  <c r="K10" i="7" s="1"/>
  <c r="C14" i="14" l="1"/>
  <c r="D14" i="14"/>
  <c r="G6" i="14"/>
  <c r="E7" i="14"/>
  <c r="E13" i="14" s="1"/>
  <c r="F7" i="14"/>
  <c r="F11" i="14" s="1"/>
  <c r="C15" i="16"/>
  <c r="C20" i="16" s="1"/>
  <c r="D8" i="16"/>
  <c r="E7" i="16"/>
  <c r="H19" i="5"/>
  <c r="H20" i="5" s="1"/>
  <c r="H70" i="7"/>
  <c r="I70" i="7" s="1"/>
  <c r="I93" i="7"/>
  <c r="J66" i="7"/>
  <c r="J80" i="7"/>
  <c r="J78" i="7"/>
  <c r="I102" i="7"/>
  <c r="J55" i="7"/>
  <c r="J59" i="7"/>
  <c r="J43" i="7"/>
  <c r="J44" i="7" s="1"/>
  <c r="J48" i="7" s="1"/>
  <c r="J49" i="7" s="1"/>
  <c r="J50" i="7" s="1"/>
  <c r="J77" i="7" s="1"/>
  <c r="K11" i="7"/>
  <c r="K29" i="7" s="1"/>
  <c r="K32" i="7" s="1"/>
  <c r="K34" i="7" s="1"/>
  <c r="E12" i="14" l="1"/>
  <c r="F12" i="14"/>
  <c r="F13" i="14"/>
  <c r="E10" i="14"/>
  <c r="E11" i="14"/>
  <c r="F10" i="14"/>
  <c r="G4" i="14"/>
  <c r="G5" i="14" s="1"/>
  <c r="G7" i="14" s="1"/>
  <c r="G5" i="16"/>
  <c r="D19" i="16"/>
  <c r="D12" i="16"/>
  <c r="D13" i="16"/>
  <c r="D11" i="16"/>
  <c r="D14" i="16"/>
  <c r="E18" i="16"/>
  <c r="E17" i="16"/>
  <c r="E6" i="16" s="1"/>
  <c r="E9" i="16"/>
  <c r="J79" i="7"/>
  <c r="J82" i="7" s="1"/>
  <c r="J87" i="7" s="1"/>
  <c r="J89" i="7" s="1"/>
  <c r="J91" i="7" s="1"/>
  <c r="I22" i="14"/>
  <c r="I32" i="16" s="1"/>
  <c r="G8" i="14"/>
  <c r="I19" i="5"/>
  <c r="I20" i="5" s="1"/>
  <c r="H71" i="7"/>
  <c r="H73" i="7" s="1"/>
  <c r="H74" i="7" s="1"/>
  <c r="J60" i="7"/>
  <c r="J62" i="7" s="1"/>
  <c r="J92" i="7"/>
  <c r="J97" i="7"/>
  <c r="I71" i="7"/>
  <c r="I73" i="7" s="1"/>
  <c r="I74" i="7" s="1"/>
  <c r="K36" i="7"/>
  <c r="K41" i="7" s="1"/>
  <c r="K65" i="7"/>
  <c r="J24" i="14" s="1"/>
  <c r="J34" i="16" s="1"/>
  <c r="K58" i="7"/>
  <c r="K56" i="7"/>
  <c r="K57" i="7"/>
  <c r="K15" i="7"/>
  <c r="K40" i="7" s="1"/>
  <c r="K8" i="7"/>
  <c r="L10" i="7" s="1"/>
  <c r="E14" i="14" l="1"/>
  <c r="F14" i="14"/>
  <c r="H6" i="14"/>
  <c r="H8" i="14" s="1"/>
  <c r="D15" i="16"/>
  <c r="D20" i="16" s="1"/>
  <c r="H4" i="14"/>
  <c r="H5" i="14" s="1"/>
  <c r="I6" i="14" s="1"/>
  <c r="H5" i="16"/>
  <c r="E8" i="16"/>
  <c r="F7" i="16"/>
  <c r="G13" i="14"/>
  <c r="G12" i="14"/>
  <c r="G10" i="14"/>
  <c r="G11" i="14"/>
  <c r="J70" i="7"/>
  <c r="J71" i="7" s="1"/>
  <c r="J73" i="7" s="1"/>
  <c r="J74" i="7" s="1"/>
  <c r="J93" i="7"/>
  <c r="J98" i="7"/>
  <c r="J102" i="7" s="1"/>
  <c r="K66" i="7"/>
  <c r="K80" i="7"/>
  <c r="K78" i="7"/>
  <c r="L78" i="7"/>
  <c r="K55" i="7"/>
  <c r="K92" i="7" s="1"/>
  <c r="K59" i="7"/>
  <c r="K43" i="7"/>
  <c r="K44" i="7" s="1"/>
  <c r="K48" i="7" s="1"/>
  <c r="K49" i="7" s="1"/>
  <c r="K50" i="7" s="1"/>
  <c r="K77" i="7" s="1"/>
  <c r="L11" i="7"/>
  <c r="L15" i="7" s="1"/>
  <c r="L40" i="7" s="1"/>
  <c r="H7" i="14" l="1"/>
  <c r="H13" i="14" s="1"/>
  <c r="E13" i="16"/>
  <c r="E19" i="16"/>
  <c r="E14" i="16"/>
  <c r="E12" i="16"/>
  <c r="F18" i="16"/>
  <c r="F9" i="16"/>
  <c r="F17" i="16"/>
  <c r="F6" i="16" s="1"/>
  <c r="K79" i="7"/>
  <c r="K82" i="7" s="1"/>
  <c r="K87" i="7" s="1"/>
  <c r="K89" i="7" s="1"/>
  <c r="K91" i="7" s="1"/>
  <c r="K93" i="7" s="1"/>
  <c r="J22" i="14"/>
  <c r="J32" i="16" s="1"/>
  <c r="G14" i="14"/>
  <c r="J19" i="5"/>
  <c r="J20" i="5" s="1"/>
  <c r="K97" i="7"/>
  <c r="K60" i="7"/>
  <c r="K62" i="7" s="1"/>
  <c r="L59" i="7"/>
  <c r="L55" i="7"/>
  <c r="L92" i="7" s="1"/>
  <c r="L43" i="7"/>
  <c r="L29" i="7"/>
  <c r="L32" i="7" s="1"/>
  <c r="L34" i="7" s="1"/>
  <c r="L8" i="7"/>
  <c r="H11" i="14" l="1"/>
  <c r="H12" i="14"/>
  <c r="H10" i="14"/>
  <c r="G7" i="16"/>
  <c r="F8" i="16"/>
  <c r="I4" i="14"/>
  <c r="I5" i="14" s="1"/>
  <c r="I7" i="14" s="1"/>
  <c r="I5" i="16"/>
  <c r="K98" i="7"/>
  <c r="K102" i="7" s="1"/>
  <c r="L79" i="7"/>
  <c r="K22" i="14"/>
  <c r="K32" i="16" s="1"/>
  <c r="I8" i="14"/>
  <c r="K70" i="7"/>
  <c r="L36" i="7"/>
  <c r="L41" i="7" s="1"/>
  <c r="L44" i="7" s="1"/>
  <c r="L48" i="7" s="1"/>
  <c r="L49" i="7" s="1"/>
  <c r="L50" i="7" s="1"/>
  <c r="L77" i="7" s="1"/>
  <c r="L97" i="7" s="1"/>
  <c r="L65" i="7"/>
  <c r="K24" i="14" s="1"/>
  <c r="K34" i="16" s="1"/>
  <c r="L60" i="7"/>
  <c r="L62" i="7" s="1"/>
  <c r="L101" i="7" s="1"/>
  <c r="H14" i="14" l="1"/>
  <c r="J6" i="14"/>
  <c r="F13" i="16"/>
  <c r="F19" i="16"/>
  <c r="F14" i="16"/>
  <c r="F11" i="16"/>
  <c r="F12" i="16"/>
  <c r="G18" i="16"/>
  <c r="G17" i="16"/>
  <c r="G6" i="16" s="1"/>
  <c r="G9" i="16"/>
  <c r="I10" i="14"/>
  <c r="I11" i="14"/>
  <c r="I13" i="14"/>
  <c r="I12" i="14"/>
  <c r="K19" i="5"/>
  <c r="K20" i="5" s="1"/>
  <c r="K71" i="7"/>
  <c r="K73" i="7" s="1"/>
  <c r="K74" i="7" s="1"/>
  <c r="L66" i="7"/>
  <c r="L80" i="7"/>
  <c r="F15" i="16" l="1"/>
  <c r="F20" i="16" s="1"/>
  <c r="G8" i="16"/>
  <c r="H7" i="16"/>
  <c r="J4" i="14"/>
  <c r="J5" i="14" s="1"/>
  <c r="K6" i="14" s="1"/>
  <c r="J5" i="16"/>
  <c r="I14" i="14"/>
  <c r="L82" i="7"/>
  <c r="L87" i="7" s="1"/>
  <c r="L98" i="7"/>
  <c r="L102" i="7" s="1"/>
  <c r="J8" i="14" l="1"/>
  <c r="H18" i="16"/>
  <c r="H17" i="16"/>
  <c r="H6" i="16" s="1"/>
  <c r="H9" i="16"/>
  <c r="J7" i="14"/>
  <c r="J11" i="14" s="1"/>
  <c r="G14" i="16"/>
  <c r="G11" i="16"/>
  <c r="G12" i="16"/>
  <c r="G19" i="16"/>
  <c r="G13" i="16"/>
  <c r="L19" i="5"/>
  <c r="L20" i="5" s="1"/>
  <c r="K5" i="16" s="1"/>
  <c r="L89" i="7"/>
  <c r="L91" i="7" s="1"/>
  <c r="L93" i="7" s="1"/>
  <c r="L70" i="7"/>
  <c r="L71" i="7" s="1"/>
  <c r="L73" i="7" s="1"/>
  <c r="L74" i="7" s="1"/>
  <c r="J12" i="14" l="1"/>
  <c r="G15" i="16"/>
  <c r="G20" i="16" s="1"/>
  <c r="J10" i="14"/>
  <c r="J13" i="14"/>
  <c r="H8" i="16"/>
  <c r="I7" i="16"/>
  <c r="C22" i="5"/>
  <c r="K4" i="14"/>
  <c r="K5" i="14" s="1"/>
  <c r="K7" i="14" s="1"/>
  <c r="K12" i="14" s="1"/>
  <c r="J14" i="14" l="1"/>
  <c r="I18" i="16"/>
  <c r="I17" i="16"/>
  <c r="I6" i="16" s="1"/>
  <c r="I9" i="16"/>
  <c r="H11" i="16"/>
  <c r="H12" i="16"/>
  <c r="H19" i="16"/>
  <c r="H14" i="16"/>
  <c r="H13" i="16"/>
  <c r="K8" i="14"/>
  <c r="K13" i="14"/>
  <c r="K10" i="14"/>
  <c r="K11" i="14"/>
  <c r="H15" i="16" l="1"/>
  <c r="H20" i="16" s="1"/>
  <c r="J7" i="16"/>
  <c r="I8" i="16"/>
  <c r="K14" i="14"/>
  <c r="B16" i="14" s="1"/>
  <c r="I11" i="16" l="1"/>
  <c r="I13" i="16"/>
  <c r="I12" i="16"/>
  <c r="I19" i="16"/>
  <c r="I14" i="16"/>
  <c r="J18" i="16"/>
  <c r="J9" i="16"/>
  <c r="J17" i="16"/>
  <c r="J6" i="16" s="1"/>
  <c r="K7" i="16" l="1"/>
  <c r="J8" i="16"/>
  <c r="I15" i="16"/>
  <c r="I20" i="16" s="1"/>
  <c r="J14" i="16" l="1"/>
  <c r="J13" i="16"/>
  <c r="J19" i="16"/>
  <c r="J12" i="16"/>
  <c r="J11" i="16"/>
  <c r="K18" i="16"/>
  <c r="B25" i="16" s="1"/>
  <c r="K9" i="16"/>
  <c r="K17" i="16"/>
  <c r="K6" i="16" s="1"/>
  <c r="K8" i="16" s="1"/>
  <c r="K19" i="16" l="1"/>
  <c r="K14" i="16"/>
  <c r="K12" i="16"/>
  <c r="K11" i="16"/>
  <c r="K13" i="16"/>
  <c r="J15" i="16"/>
  <c r="J20" i="16" s="1"/>
  <c r="K15" i="16" l="1"/>
  <c r="K20" i="16" s="1"/>
  <c r="E11" i="16"/>
  <c r="E15" i="16" s="1"/>
  <c r="E20" i="16" s="1"/>
  <c r="B24" i="16" l="1"/>
  <c r="B26" i="16" s="1"/>
  <c r="E26" i="16" s="1"/>
</calcChain>
</file>

<file path=xl/comments1.xml><?xml version="1.0" encoding="utf-8"?>
<comments xmlns="http://schemas.openxmlformats.org/spreadsheetml/2006/main">
  <authors>
    <author>reese-a</author>
  </authors>
  <commentList>
    <comment ref="C8" authorId="0" shapeId="0">
      <text>
        <r>
          <rPr>
            <b/>
            <sz val="9"/>
            <color indexed="81"/>
            <rFont val="Tahoma"/>
            <family val="2"/>
          </rPr>
          <t>reese-a:</t>
        </r>
        <r>
          <rPr>
            <sz val="9"/>
            <color indexed="81"/>
            <rFont val="Tahoma"/>
            <family val="2"/>
          </rPr>
          <t xml:space="preserve">
40 days/365 * 250 units sold in 2011 * unit price * 0.5</t>
        </r>
      </text>
    </comment>
  </commentList>
</comments>
</file>

<file path=xl/comments2.xml><?xml version="1.0" encoding="utf-8"?>
<comments xmlns="http://schemas.openxmlformats.org/spreadsheetml/2006/main">
  <authors>
    <author>ivan berry</author>
  </authors>
  <commentList>
    <comment ref="C6" authorId="0" shapeId="0">
      <text>
        <r>
          <rPr>
            <b/>
            <sz val="9"/>
            <color indexed="81"/>
            <rFont val="Tahoma"/>
            <family val="2"/>
          </rPr>
          <t>ivan berry:</t>
        </r>
        <r>
          <rPr>
            <sz val="9"/>
            <color indexed="81"/>
            <rFont val="Tahoma"/>
            <family val="2"/>
          </rPr>
          <t xml:space="preserve">
this was changed from the early liqudation case.if the firm lacks the cash flows to cover the debt service payment in a given year, the firm will default and the bank will liquidate it.</t>
        </r>
      </text>
    </comment>
  </commentList>
</comments>
</file>

<file path=xl/sharedStrings.xml><?xml version="1.0" encoding="utf-8"?>
<sst xmlns="http://schemas.openxmlformats.org/spreadsheetml/2006/main" count="909" uniqueCount="487">
  <si>
    <t>Total</t>
  </si>
  <si>
    <t>tons</t>
  </si>
  <si>
    <t>Estimated employment in 2011</t>
  </si>
  <si>
    <t>people</t>
  </si>
  <si>
    <t>RMB</t>
  </si>
  <si>
    <t>Estimated price of pitch</t>
  </si>
  <si>
    <t>RMB/ton</t>
  </si>
  <si>
    <t>years</t>
  </si>
  <si>
    <t>Expected life of project</t>
  </si>
  <si>
    <t>RMB/year</t>
  </si>
  <si>
    <t>Over life of project</t>
  </si>
  <si>
    <t>Liquidation value</t>
  </si>
  <si>
    <t>Depreciation of current fixed assets (carbon fiber production)</t>
  </si>
  <si>
    <t>per year</t>
  </si>
  <si>
    <t>Risk tolerance</t>
  </si>
  <si>
    <t>Probability of pitch plant success</t>
  </si>
  <si>
    <t>Pitch plant capacity</t>
  </si>
  <si>
    <t>tons/year</t>
  </si>
  <si>
    <t>Pitch plant CapEx cost</t>
  </si>
  <si>
    <t>Carbon fiber pitch usage rate</t>
  </si>
  <si>
    <t>Pitch overcapacity</t>
  </si>
  <si>
    <t>minimum requirement for tech</t>
  </si>
  <si>
    <t>Raw Material</t>
  </si>
  <si>
    <t>Catyl165SO</t>
  </si>
  <si>
    <t>Exhibit 1</t>
  </si>
  <si>
    <t>CHINACARB</t>
  </si>
  <si>
    <t>Per-Ton Price of Catyl65SO, 2000–10</t>
  </si>
  <si>
    <t>(in USD)</t>
  </si>
  <si>
    <t>Price per ton</t>
  </si>
  <si>
    <t>On September 30</t>
  </si>
  <si>
    <t>China Carb Historical 2010 and 2011 Financial Statement Forecasts (RMB)</t>
  </si>
  <si>
    <t>China Carb Historical 2010 and 2011 Financial Statement Forecasts (USD)</t>
  </si>
  <si>
    <t>Assumes no pitch plant is built</t>
  </si>
  <si>
    <t>Pitch Cost/ton USD (locked for 2011)</t>
  </si>
  <si>
    <t>Tax rate</t>
  </si>
  <si>
    <t>Carb. Fiber Yield Rate</t>
  </si>
  <si>
    <t>Cash % sales</t>
  </si>
  <si>
    <t>Current Exchange Rate</t>
  </si>
  <si>
    <t>Selling Cost %</t>
  </si>
  <si>
    <t>Pitch Days Invenotry</t>
  </si>
  <si>
    <t>Based on Materials Costs</t>
  </si>
  <si>
    <t>Dollar Inflation</t>
  </si>
  <si>
    <t>Days to collect revenues</t>
  </si>
  <si>
    <t>CF Days Inventory</t>
  </si>
  <si>
    <t>Based on Materials + Labor Costs</t>
  </si>
  <si>
    <t>Days to Pay for Raw Materials</t>
  </si>
  <si>
    <t>RMB Inflation</t>
  </si>
  <si>
    <t xml:space="preserve">Year </t>
  </si>
  <si>
    <t>Exchange rate</t>
  </si>
  <si>
    <t>Quntity Sold (tons)</t>
  </si>
  <si>
    <t>Quantity Sold (tons)</t>
  </si>
  <si>
    <t>Price/ton (RMB)</t>
  </si>
  <si>
    <t>Price per ton (USD)</t>
  </si>
  <si>
    <t>Income Statement (RMB)</t>
  </si>
  <si>
    <t>Income Statement (USD)</t>
  </si>
  <si>
    <t>Revenues</t>
  </si>
  <si>
    <t>Pitch Costs</t>
  </si>
  <si>
    <t>CF Plant Labor Costs</t>
  </si>
  <si>
    <t>CF Selling Costs</t>
  </si>
  <si>
    <t>Gross Profit</t>
  </si>
  <si>
    <t>CF Plant Fixed Costs</t>
  </si>
  <si>
    <t>Depreciation</t>
  </si>
  <si>
    <t>Income Before Tax</t>
  </si>
  <si>
    <t>Taxes</t>
  </si>
  <si>
    <t>Net Income</t>
  </si>
  <si>
    <t>Balance Sheet (RMB)</t>
  </si>
  <si>
    <t>Balance Sheet (USD)</t>
  </si>
  <si>
    <t>Assets</t>
  </si>
  <si>
    <t>Required Cash</t>
  </si>
  <si>
    <t>Carbon Fiber Inventory</t>
  </si>
  <si>
    <t>Pitch Inventory</t>
  </si>
  <si>
    <t>Receivables</t>
  </si>
  <si>
    <t>Total Current Assets</t>
  </si>
  <si>
    <t>Net PP&amp;E</t>
  </si>
  <si>
    <t>Total Assets</t>
  </si>
  <si>
    <t>Liabilities</t>
  </si>
  <si>
    <t>Accounts Payable</t>
  </si>
  <si>
    <t>Total Liabilities</t>
  </si>
  <si>
    <t>Equity</t>
  </si>
  <si>
    <t>Common Stock</t>
  </si>
  <si>
    <t>Retained Earnings</t>
  </si>
  <si>
    <t>Total S.E</t>
  </si>
  <si>
    <t>Liab. + SE</t>
  </si>
  <si>
    <t>Cash Flow Statement (RMB)</t>
  </si>
  <si>
    <t>Cash Flow Statement (USD)</t>
  </si>
  <si>
    <t>Chng. Inventory</t>
  </si>
  <si>
    <t>Chng. Receivables</t>
  </si>
  <si>
    <t>Chng. Payables</t>
  </si>
  <si>
    <t>Cash From Operations</t>
  </si>
  <si>
    <t>CAPX</t>
  </si>
  <si>
    <t>Total Cash From Investing</t>
  </si>
  <si>
    <t>Dividends</t>
  </si>
  <si>
    <t>Stock Stock Issuance</t>
  </si>
  <si>
    <t>Cash From Financing</t>
  </si>
  <si>
    <t>Total Change in Cash</t>
  </si>
  <si>
    <t>Cost in $</t>
  </si>
  <si>
    <t>Pitch plant salvage value</t>
  </si>
  <si>
    <t>Straight line depreciation over 9 years</t>
  </si>
  <si>
    <t>Cost incurred in 2011, production starts in 2012</t>
  </si>
  <si>
    <t>Price of remaining supplier pitch</t>
  </si>
  <si>
    <t>Used for 2011 production</t>
  </si>
  <si>
    <t>per ton</t>
  </si>
  <si>
    <t>Cost of pitch production tech</t>
  </si>
  <si>
    <t>Incurred in 2011, straight line depreciation over 9 years</t>
  </si>
  <si>
    <t>Pitch plant yield</t>
  </si>
  <si>
    <t>100 tons of Catyl65S0 will be converted into 71 tons of pitch</t>
  </si>
  <si>
    <t>Carbon fiber plant yield</t>
  </si>
  <si>
    <t>100 tons of pitch will be converted into 44 tons of carbon fiber</t>
  </si>
  <si>
    <t>Maitenance CapEx</t>
  </si>
  <si>
    <t>Labor cost growth rate</t>
  </si>
  <si>
    <t>Carbon fiber fixed costs in 2011</t>
  </si>
  <si>
    <t>Fixed cost growth rate</t>
  </si>
  <si>
    <t>Pitch plant fixed costs</t>
  </si>
  <si>
    <t>x Carbon fiber fixed costs</t>
  </si>
  <si>
    <t>Carbon fiber Labor costs in 2011</t>
  </si>
  <si>
    <t>Pitch plant labor costs</t>
  </si>
  <si>
    <t>x Carbon fiber labor costs</t>
  </si>
  <si>
    <t>Catyl65SO price</t>
  </si>
  <si>
    <t>AR(1) process</t>
  </si>
  <si>
    <t>General Assumptions</t>
  </si>
  <si>
    <t>Working Capital Assumptions</t>
  </si>
  <si>
    <t>Days to collect receivables</t>
  </si>
  <si>
    <t>Pitch Days Inventory</t>
  </si>
  <si>
    <t>Catyl165SO Days Inventory</t>
  </si>
  <si>
    <t>Pitch plant labor plus raw material cost</t>
  </si>
  <si>
    <t>Pitch plant and CF labor plus raw material cost</t>
  </si>
  <si>
    <t>days</t>
  </si>
  <si>
    <t>Days to pay for raw materials</t>
  </si>
  <si>
    <t>Days to pay labor and selling costs</t>
  </si>
  <si>
    <t>Currency Assumptions</t>
  </si>
  <si>
    <t>Exchange Rate</t>
  </si>
  <si>
    <t>RMB per USD</t>
  </si>
  <si>
    <t>Quantity Sold and Selling Price</t>
  </si>
  <si>
    <t>CF Demand</t>
  </si>
  <si>
    <t>Random-walk process with gaussian shock term, with only 10% chance to fall below 200 tons</t>
  </si>
  <si>
    <t>CF Demand in 2011</t>
  </si>
  <si>
    <t>Assume 100% certainty</t>
  </si>
  <si>
    <t>CF Production Cap</t>
  </si>
  <si>
    <t>USD Inflation Rate</t>
  </si>
  <si>
    <t>CF Selling Price</t>
  </si>
  <si>
    <t>RMB per ton</t>
  </si>
  <si>
    <t>CF Price Inflation</t>
  </si>
  <si>
    <t>CF Price Change (independent of inflation)</t>
  </si>
  <si>
    <t>per % change in demand</t>
  </si>
  <si>
    <t>Liquidation Assumptions</t>
  </si>
  <si>
    <t>Pitch Inventory Liq Value</t>
  </si>
  <si>
    <t>Forecasted market price in year of liquidation</t>
  </si>
  <si>
    <t>Raw Material (Catyl65SO) Inventory</t>
  </si>
  <si>
    <t>CF Inventory</t>
  </si>
  <si>
    <t>50% discount of forecasted selling price</t>
  </si>
  <si>
    <t>Fixed Assets</t>
  </si>
  <si>
    <t>book value</t>
  </si>
  <si>
    <t>Pitch Tech</t>
  </si>
  <si>
    <t>Misc Assumptions (From Case)</t>
  </si>
  <si>
    <t>Tax Rate</t>
  </si>
  <si>
    <t>Liquidation</t>
  </si>
  <si>
    <t>Net Income in 2011</t>
  </si>
  <si>
    <t>Change in Working Capital</t>
  </si>
  <si>
    <t>Free Cash Flows in 2011</t>
  </si>
  <si>
    <t>Cash</t>
  </si>
  <si>
    <t>Revenue Model</t>
  </si>
  <si>
    <t>CF Demand (tons)</t>
  </si>
  <si>
    <t>Gaussian Shock Term</t>
  </si>
  <si>
    <t>sigma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</si>
  <si>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</si>
  <si>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</si>
  <si>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</si>
  <si>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</si>
  <si>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</si>
  <si>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</si>
  <si>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</si>
  <si>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</si>
  <si>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</si>
  <si>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</si>
  <si>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</si>
  <si>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</si>
  <si>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a18859a3-d8e6-4604-84e6-881b52aa974f</t>
  </si>
  <si>
    <t>CB_Block_0</t>
  </si>
  <si>
    <t>㜸〱敤㕣㕢㙣ㅣ㔷ㄹ摥ㄹ敦慥㜷搶㜶散挶戹㌴改捤扤㕦ㅣ㙤攳㌴改㠵ㄲ㔲㕦㜲㙢㜳㜱㘲㈷愵㉡㘵㍢摥㍤㘳㑦戲㌳敢捣捣㍡㜱〹㌴㠵搲㔲ち㐲つて搰搲㐲㔵㔵ㄵ扣㈰㤵㠷慡㠵昲㔰〹〹〴㈹攲愱㐲攲〱愹㔴〸ㅥ㐰㈸ㄲ㉦㝤愸㔴扥敦捣捣敥散慥㜷散㙣㕡㜰㤰㈷搹㍦㘷捥晤㥣晦㝡晥晦㑣ㄲ㑡㈲㤱昸ㄸて晦攵㤳㘴攲捡㠹㜹搷ㄳ㔶㙥戴㕣㉡㠹㠲㘷㤶㙤㌷㌷散㌸晡晣㍥搳昵㍡㔰㈱㥤㌷㔱敥愶昲慥昹㤸挸攴攷㠴攳愲㔲㉡㤱挸㘴㌴ㄵ攵散㠴扦扥昰㐵㘳慢敥㈴挰攴攸挸挱愹㘳攸㜵挲㉢㍢㘲搳挰㔱扦敤昶愱愱摣㔰㙥敢㕤㐳㜷收㌶㙦ㅡㄸ慤㤴扣㡡㈳戶摢愲攲㌹㝡㘹搳挰㜸㘵慡㘴ㄶㅥ㄰昳㤳攵攳挲摥㉥愶㌶摦㌱愵㙦扤㝢㘸敢戶㙤挶㍤昷摣摤㡤愱ㄳ〷㐶㐷挶ㅤ㘱戸㥦㔰㥦㈹㑥㜹敢㤸㈸㤸㕣㥢㄰㡥㘹㑦攷㐶㐷昰㌷㌲㝦扣摤㤵㥢㤸ㄱ挲攳搰挲ㄱ㜶㐱戸ㅡㅡ㜶㔹挳慥㕢戱㘶戹㜹㥡戵ぢ㑢㉤攸慥㤷戲㐶㐵愹愴㔹㘱慦ㄹ敢㈰昶慥愴捦㜷㕢ㄳ挲㜶㑤捦㥣㌳扤昹戴㌵㠹㡥㡡㍤搶ㄱ㔷ㅣ搶敤㘹㜱㐰户㐴捡摡㕤㌱㡢㐹晦㐹㜴摣ㅣ㜶ㄱ㥤㤸㕣㝥㙥搸戵㐶㘷㜴㐷捥挸攵挶挴搴摤攵ㄴ敡敢㕥摦扡㕦㑥㕤㡥挰㍥㙦㙣㕤て㈵㐷㜵愷㕡㜳戰㜵捤㘰昱昵㌳戸扤㜵晤挸ㅥ搵户戹戵㜵ㅢ戹㤵昵戵㤵慥㠰扥攵㡥㘲㌱㕡㥡愰㤳㈰㐳㐰〴㙡㔹㠲㉥㠲㙥〰㈵昹㙦㜰㐹戴㈱㡢搴扣慥收愷搴㝣㐱捤ㄷ搵扣㔰昳㠶㥡㥦㔶昳㌳㙡摥㔴昳挷搴晣㜱搴〹㥦㑣㘷愷ㅡ㍣慦㥥扤敥搹㙤㔷㍣戲晦昵㜷㝥㜷㙥昵捣㝢㉦㜵慦㐲愵㐳挱愴挶ㅣ晤㈴㐸慤㐶挵㕢㜲㥢昹㘷㜱慥〰㔳ㄸ摢㡣扢㡣愱愱攲戶捤晡ㅤ㝡㡡换㡡㐱㝥ㅤ愱昴愱㙥户昱愰㘹ㄷ换㈷㈵敥慥ㅣ搱㕤㔱摢戸挱愰㙣愴㕣戱㡢敥ㄵぢㄷ㑥㜸扡㈷㌶㌶㤶搵㍡㘹㙡㌶〱戶ㄲ慥ㅣ敦敡挶㘶㐷昵㔲㐵っ㥦㌲晤攲慢ㅡ㡡慤㜱愷㍣搵扡㜴㤷㈳㑥㔴㑢㥢㘶㌴っ愱㌶㈷晢㙥㕡愵㕦攴捦㙢㘰㜴愶散ち㕢㑥㙦搰ㅡ㌷ぢ挷㠵㌳㈱㈸ㄲ㐵㔱㉥㜵㉤㡢〲慥ㅦ㍣㘸㘳愱攰搶攲㜵搱㕣㘳攷㈹て捣㉣㡡㤸敦慣㜰扣昹㐹㝤慡㈴搶搵㔵昱挷㐴挱㠶扡散㕤攵㐲挵ㅤ㉤摢㥥㔳㉥搵㤷っㄷ攷㜴㐸㥡攲晥㜲㔱㈴㤳〹㈹ㄴ㈰㜰㍢㍡ㄴ㈵㜱㕢㙢㕥㤰㠸㠸愰㤸㡣㝣㜹㍤搹攵づ㘳㜵㔸㐵㐹㤰㈶搵ㅢㄶ改㡣昳㤵㌲㈶㠶〳㈳㙢愲晥攰愰户㉣搲㙤ㄵ㜳㥦㙥㘵㔵敤て㔶扦㜳㑥搸摥ㅥ摤㉥㤶㠴ㄳ慢晤ㄴ捥㐸敢〵㐸㥤㠷㐰㘸戹㝢㔴㜵捡㈹㘵㍥㜵搲㉣㝡㌳改ㄹ㘱㑥捦㜸挸㠳㠶捣㘴戸戵㑤㡦㜶ㄹ戲戴搵〴晤〰搹㙣㈲扤㠶㤵搲㔹㍣㠹ㄴ愵㔳っ㉦搷〹㜲戶慢攳攵㙥㘳㤷㔹昲㠴㉦㤴㝢つ㘰挴搷㙡ㄲ㝤㍤㈴㔱㐷㉦昸ち㘳㡤㌱ち㉡搵㑤摢㥢慦昱㙤ㄳ㤷昸㐴戴㈲ぢ㤶㥤㉣愰㈸愸㤷〷㌱扣〶愲㘹㤰〶昱㤵㈳㐴㐴㌶㠸搱散攸戹㥥挸㔸㍦㐶㐶愰㝥㤴〸㔹㝢㜳㙢ㄹ㐱㘲㙦㈶㔲㌶㙡挹㡦㉢搲㙣㈱㕢摥㤷㘶㙢戱㜱摡㍡㠲昵〴㤷ㄳ㙣〰㔰晥〶〹㐷㈹㠷㜴晤愳㕤㠱㜷敤㑡㠲慢〰㈰㥦㌴捡㥣㐰㔴搱㠶㕡㡡ㅤ挹㝡㍤戰㤳愵㔱散㡢㈲㕡挶㔵㍢戳挷㤲㠸づ慣捥攵愱㙢㤳㔲挷摥搴㥡㌶愳换㈱㐵挶㔴㡤慥㜵㤱慡搱㡤㘰搵㌶昵搶㌵㘸慡つ㄰㕣ぢ攰㉢ㄶㅡ扢㑢戳收㘹㑥㕥ㄲ㈶㤱㙦〸戵愹摣〳㈲愶昹ㅦ㈳攰㥡㡥㉥㉢昶㌳㑤挱㐱攳㤲户㥦㌷戵收敤〰改つ㍡㜳㐵攷搰㔷㜴㠱ㄶ昴㜵㘰㉦攵捦㉤昵换つ㈸搶㙥㈴戸〹愰㐱扦昰攴㝤愱㕥〲㘹ㄲ㕢ㄱ捣慤愶挷㐵㕡戸㤳昳戳㐲㙡㥦㙥㘳㔲㜷愶㠵〷敦挵摥㌱搸挱㘵挷ㄱ㈵ㅣ㘸㡢㌲㠳㘷㤷昵昵㤹敥㉥愷㙣㌱㝦挵㍥㜶㉦〹挵㤰㑣慡ㅤ㠹〶晢㌸挶捥㡣昸㥢㈲㤴㐳晤㝢㐷㙢㈱ㄱ㘹㔴㑦㕥㙣ㄷ㝦戶㕣㤱㈴㙤㐸㤲㕢戰慤摡慤〰㤰ㄲ捡ㅦ㕢㑡㤴㐱㔶摢㈴慢搵㕢慢昴敥挵㥣㑣ㅡ晣㠷㑤㜲愴换㜷搶㡥挰㜷攰昶㔸ㄳ愶㔵ㄵㄶ㕤搶戸㜰ち昰㉢㤸㈵㤱昵㕤戲ㄴ㌵㉢戲攲ㄲ㤱ㄵㅤㅤ㑤㘷改ㄸ摦㥡愴㤳〶㈹ㄱ换敤戱㠵㌱攷昰ㅡ㔱搱〵㐹愱ㄲ攳ㄶ慡㑡㈰㔲ㅥ敢慥㠸㤸㌶㐴㑣づㅢ愷摤㑥戰㤹㘰〸㈰昵㝢㐸㥡愵㙥㍣㐳㘱㥤㜳㜴㘷攷昳㠹っ搱㈰摤㠳敦戶ㄴ㔶㕢㌹捣㌶㠲㍢〱ㅡ捣ㅦ㍡ㅦ㘳〸㔱愲㍣㐲㠸戴㤶㌴攳愸㈹㑥㤲〶㔶ㄹ〸㉡㡤㔶㕣慦㙣㌱慡搴㘳㡣㤵て㤴扤㌱搳㥤㐵ㄴ慡摦〸ㄲて捥〸ㅢ搴攵挰昶㘹挸㉢捦捥㡡愲㘶㑣㤴㉢㄰㙤㝢挷㤶挳愱ㅣ敢㠳㉤㈹捦攵慡㠲愷扤戳㌱扡㔰攴㠹ㄸ扥㔶㝡㘲㤷攴昹收愱慦户戶愳㤳愶㔷ㄲ㕤㠶捦㜴㑣㘷っ散㈲愲〶挵㑥㘳㜲挶ㄱ㘲慣挷搸敤㤸挵㤲㘹ぢ㈲〳㌶㈶〳㜵晢挴㌴㈲〴攳㘵挶晦捡㜶㡦㌱改攸戶㍢慢㌳㤸㌸扦扡敥㑤㠶㐴㔲挶㠸㘹扢ㄸ㐶㘲㤱改㕥㘳㘲愶㝣ㄲ搱摡㡡㘵敦搶㘷摤㘵㠱ㄵㄲ扤晦㐸搴㈸慡愲慡㑡㐶捤戴㡢ㅦㅥ挸ㄳ㠹㉤昸㈵〹㈴慥ㄲ㈹晡换㘳戴㌷敤晡㈰㍥㐳㍢㥤㜳敡㐶攴愸㥡搹ㄱ㉢㠵挹愹摡摤㙣㜳て挰晤扢㡦散慤㐵攵㉥㉡㕥㥤愲㠷㍦㐶挶㑢戲愸〶㐱攸㥦㕢攵㤳ち昳㐸㌹攰㐰㘰㥣㙦㡤攴㤷㌵㘴ㅤ㔲摦慡㕡㜲ㄷ愲㐸摤挶㍥㝤㑡㤴㄰㡢戶㜴㙦㤵晦㐲㌳搶搲㑢㙥㔰㌶㕡戶㉣㥤愴㐵戲㥣㈸攸愴攰攱㡡㔷摥㙦摡㥡〱㈰改㉦挸搲㑦㈱㑢㍦㈵戳扡㡤挳っぢ捡㌴晢㉡㑦敢㡥改捤㔸㘶㈱挳ㄷ㠶敥㤶〵㑤㠲挹㈹㜹挳㈷㤴ㄹ〳つ搶晣ㄱ㤸㙣㙥づ攸捥㐱㡥㜲敢㠸㝥㔰慥慡愴昱㐷㘹搳戱〴〱㈳扤愴摡扤攸㉤㈵㙦㐶㐰攴挸攷㝣㜸晦攲晣攳挸昱晤㜲挴㝡っ㠹挰㈳ㄸㄱ昲㜴㙦愷㡤㈳戶改〱㝢挴搸㉥搳ㅢ㜳㠱㜲〰㈴攵昱㜶愳挴㙡愴搱㘰㔵㉢㕣搳㕣㔴愷㈶慥㙥㉥㡦敡㡤ㅢㄶ㈸昶㌵㑡㐴㤱㉣㔶㐹㙡㤶〵收戸㥣㔴㡤㈲ㄵ㜷愸㙤㤴㌸户㘹㙤摦㈹㐵㉥㐲㌱㐹㥡㐹㘸摢㈵愱㈰挸㑢敡㠰㡥愲扦㍥㥥㍣㈲搱ㅡ摡〰㔹敡㈹㍦慦㈷〸〷敥挵㤵㤳愲挸〶㙦攰敦㔵㐱昲㘰挵慢㉢搱㑦昵〷㈵挳愵搲㐱ㅢ㔶㐲㐱㜷㡡换㠴愵戱㌶㕦挳㐸敥㙣㔷晢晢摢ㅢ㘱挴㠰つㄹㄲ㠹昱〳㠳つ挱㕣㤱㘸㉡慤戳ㅥ㙥㜵㌵㍢挳户晤㐲户㈵〶㈶扣攲㤸㤸㤳㘶㔸捤㤲敦㤷つ慡愷㐵㈹㐷㌵㘳㜸捡㠵㑡昷㈸挷㠳㤴㘴㜰捤㌸㑣户ㄴ㉥㌰㐰散〶愹昱㠲㠷戰㙥戵〳㥥っ㤶て㜶戰㈳㝥搸㠴搶ㄹ㈵㘸㍡㠶㜰敢ㄷ㐱摥㘹ㄳ愳㄰愴㠶㝣晥戵㐳㜹攱㜹㍥㍦搹㤱〸ㄳ〱ㄳ㌱搴ㄵ㘳㍤〰戹搱愸㈴戹愸㍦っ㤶晢㤲㑤ち慤敥㌰㡦㈶㐶て㑤㍥挷挳つㅥ挶戱㝡挹㌶㈵摣㜱昳㑣㘸搳搲晣㉡㘳慦㕤㈸㔵㡡㐲慡攲㔰㔶㑢㡤扣㉣昰㈵慦晦昹摣ㄴ戳㉦挱愶散挵㔱㡡㑢㈶㤲摡户扢戵捦愱戹ㄴ㜲攸挳㤷㙤っ㍥挶戸攵㘴㌰慣改㡥〲敤挳搵戵换ぢ昲攲ㅣ㐴㕡㔳ㄶ㘵搹㍥摣挵慢㐶㤰㈵户㐵慡敤㉢敦㉢搳㘶㡦㘴敤㌱晤慣㘵㠱㈳慣搳ㄷ㜸改㌴㡣㤱㌶戹㠳㥤㈴捥〷㤱摤昳㡦换搷挴昹ㅤ㠱昱愱㌰扥换㔳㔰〲扢ち㐶愲挱慤搶慣㙥㠵㤱㕦㕡摥摡㝤〰ち㐳挰㌴㘸㔱搳㌷㜰㐶㤰㕥摣挰㘱㌰㌲㈶㍡ㅡつ愴㌲㐶搹て㠷㍤㤰〶㙥攲㐱㝡戲っ㈵攴慤㤱㤷挲挲㝢㠹㠳ㄶ㡥㐰㘵㘷㕤㐳收戸敥攱敡㡢扤愱㈱㝢戸㔸愴戹ぢ晦摣戲挰㉡慥㙤昸收攸㥡㠶ぢ㔹㜲㑤戴敦慥㙦㈸〸㉥ち㙥ㄹ换敤搱扤挲捣㠴㌷敦㕦摡㙡㤷㈴㔲扦㠴㍦㘲挱搱㘹㌳㈷㙤㕥㐲㥤攳摥㘷㡦摢攵㤳戶㥣㔷捡攵㡤㍦㕡戱㕡㘷㈷㈷㤹㑤㝣㡣㍦昲㔱ㄳ愹户搱攳㔲愶捤づ㙡づㄲ昶㈳ㅦ㕦ㅡっ㈰ㅤ㐳㈷戰摤慢㌷〶㐸㈷㙢ㅡ攸㐴ち㠲ㄵ㐲戱愷㍦㌱㐲㔱㝥〱戴㤲㔸晣㈳㌹昶晣㌵戰扥昲㜳攴㄰攱㜸て挴㐸敡㕡愴㘲㔰㈷〵㜹㜰扤㠳㤷㐱晥㝦戰ㄴ㜲昳㠲散昴㕦㘰㘶攵慤㐶ㄴ㕤㑤ㄴ扤搹㡣㈲〶㘲㉦㈸攴捤搹慦ㅣ㌵㍦昵㙢扤晦挳愳收晤挰㌰ㅦ㘹㡤㈱愸挶㘰㝣搵ㄸ攸㘸㌲〶㙥㐴戱㌴〶ㅥ㘰ㅢ挶敢㝤㘳㈰昰㜶散㐷挶攲挶〰愳㜸㌱㈶㕦㈴愸ㅡ㜱㘰昰慣戵捥愲㈷㙣て慥搷ちㄷ㤱㝢愸㈷㜷ㄴ扥愷昵捤搹攳扡愳㕢ㅢ㘴晥㙥㐷㐰㙤㌹㤳戸慦㉤㥢戰挵挶〵㑢㘴愳〵扣ㄲ愱㍦㝤挵㜳戲戴㕢敡挰㤴晦昸㡥㝡㈵愳愴㉦挲㈷愲昰㠴㤰昸搲㥡㥦敥晥换㘳㑦敥攰扤戴㠰㔶㔳っ〴户ㄳ㥣愷攵㠰昰㙤攴㑡挸㕡㝥㝥戳ㅦㅦ㈲㤹戳㈵㌱愲㍢搲摥㜱㌵㉢㑣晡㠴ㄷ㈱㑣㥦昸㤶㠳㌱㠹ㅢづ扥㌱㤹㙢㜰㙣捡捦㤷愴㌳㌰ㄷ㤹戸昴摥㠵〱㐲愵愵捡㙡搳慥㑣晤っ㑡攷〲㈷㔲㙦て昲㝣挹㐷㔱㕥㙦搴㙡摢愸搵愴㤹愸っ愲㐶㈸愵㄰㘹㈰㠵㐴㡦㉣っ晤㑢㈹㌵㡥㐴㉡〷㄰ㄳ㐳㙢っ收昲攴扦㈲〴㐴昵㝡㕦㥢㥦慡㘰ㄷ㠱挵搰敢摥敥搹㤵㔶㘷愸㥡ㄸ㤴㤵愷㡦㐳㐸挸㘳ち㌳ㄸ愵㤵戹㠷㤱〸㥦搴㄰㔲㑢㜶㍣㜱㤰ㅥ换て戱昹㡣㥤戲攸㔵换㕡㍢敤ち敥㜸㐰捦愴愵挲戰㔷㌳ㅢ㐷㑦ㄹ㡤昳慢㘶晤㉣挲㕥㍦㔹㙤搴ㄵㄴ㐱㘷搹ㅢ㜰晥㐴㤸㡦摦〳戱㝣戰搶昵摡挶ㄲ敡㌸扢ㄳぢ攴て昶搷搵㌱㡣㡤㔱挹㌱㤰戰㑢慡㤵昱㉦㠱㑦愰㠹戴攷ㄵ慤㤶攴㔸㡡挲㘸㜴挸㔹ㅤ㙡㤳晥㘷㥣㕡㜲搶㈴㙢㌳㘰㕤愷晦㡦㈲㘳㔱晤慦㌰捡㈶㔱昶㘰㤰攰㑢㡡㤱㤲㐵㠳㌳摣ㄱ昸戰ㄱ愶㤱㐷㘰㑤㈶ㄹ摣昶㔳ㄳ昸㐴搵㉦㤶ㄲㅣㅥ慥㘴攳㈵㠸㙡㕢摡戶㕤㉤〵㈰愳㐰愹ㅦ㐳〴戵㙣捦㐹㌷㥦㘳搳て㈱㝢捤㝥戳攰㤴摤戲攱つ㑣㈰扣㍢挰㉦捣っ搸㍣挳捡㙢㡤㐲敤㝡散㐴昷挳㘸㜳攰㈰〴昶〱攱㝤㔲㔱㐷挶㄰㤶ㄶ戳攰搷㐶㝤㤱㐰ㄲ戵㠳㝢㤹㜱愸愲㤷昰㠱敡㐱㜸㌵㍤㘶㉤ぢ㘵攷晢㤶ㅢ敦㘲㜰敢㜰ㅢ敢〱㜸㝥㐴㈹㠷㌰㤸㕣挲挳㡦㜰㕦ㅢ昷愰扥㙥戰㌶㤷㌵摢昳慥㘵㔳慦〲愷㑢ㅢ愵㥥㘴㌸㈶扦㍢捥㙡㡦㄰㈲捥㐳敦攸搲㕤戱散慤ㅦ㜴ㅥ㝣戶㑤㤷搷㘰〹㡥戲㈵挴戹扦㠸愶捡㝤〴昸㘹昹㈰挱ㄷ㠵晥扣㝢㤹㜸ㄹ换㈲〳㈰㥤㐸敢〰慤愹晡㠷ぢ㔱戵挲愳〵愹㌰慢扣㠴㜲敥㤲扦摡㈲昳㜰搴㤰㐷〸愴戵愸攴㔶㜸㠴㤰攳扦㠰〶搵昱愷㤱摢㝡晣敦㉦㌸㍥㤵扦㕣㕦戴晦扥㔰㜹㘸挷㌸昴㜱㠲ㄲ㠱〵搰ㄷ搶散愵㔸愴慣㐹晢㐱㠴户㜶㈰㡤攷て挱扦敦敦㜸昷ㅣ㥦㝦敥㔰愴㈰㐴㔱晤㉡㈸〸攵㉡㥥㡢慥㘲ㄶ戹慤㔷昱㥤㠵㔶搱㐷ㄹ挹㤹㘸づ㐰㑦㠷㐲㕡㤱慢㜲㤱攰㠶昲愷㐸㠴㈲㔱㌷㡢㍥㈲㔶戶慤㈰㠱戶摣㜹搹㜶づ㠹戰㙤㡡ㅢㄱ昳〹㡦戴㡦㜸攵㤱㕥㥢戴敦㜶㑤晢㕡㌱㘳〵晥搶㘵㈱ㅢ戰㈴㝥ㄳ摢㔲愴愷摢㡣攵㉢捦㠴㠸搹戳㈷晣㍥㑡つ愲㑢㈰っ摦㈲㈵㈱㜱㈳㤵㙦㠴㤵㕦㝦愳收ㅣ㐵〱ㅥ㔰㡦㕦㤹〴㈷㉢㍦ㅤ㔶摥㠲㙦慦㘴㥤〴敦ち昰㜹㍦慣㑣挲㤴㤵㥦ち㉢晦㘳换㠶㙡攵㤰づ晤㥥㔳㈴㤲ㄸ㕢㔷㕡晦㤱敦戰㜹愸㑥ㄹ搴㥦㕤㠶㥦㑤挹㈹㠳挴㈵愹㐱扢㜱敤挳挱㤷搰晢㜰㡢〹㤷㍤㈰㘴晤晦㄰㘱㉦㙥㌷㡤改㥥㡥て㥤攷㄰㔶㜶㌴昹挶挶㘹攳愰㠳㡣㑥㘳慦㡢㌳㔵㜱㔹㤱〸捣㠱愴扦扦㡢戸摦㘳㑣挷摡㝥㠴攱㌰㤵户㐵摡㔳ㅥ㌲㠴㤲㔴㥥っ㌱㥢㌸㔳愳ㄹ敤换㐰づ挴㈴㈰ㄳ摡㔷〰晤㤰换ㅡ㘶昴㤱晦㈵㜳㥦㐱㐲㝢㠲攰慢〰㔹㠵捣㑥㍡㐸㝦つ愰㌷晣敦㈸〶收愴扦㐴㔵㑥㠷㠳㐵挹㐸晢㍡ㅢ㍣〵搰〱㐷慤ㄲ㄰㘱㔶㝢ㅡ㌹搱㐱㈹㌸攴愰捦戰攰㥢〴捦〲㘴㔳㥣散㤲㜷㡤㙢㙡㔳㜳㝤ぢ㑤ㄵ㙥㠵㤴㘳摦づㄲ㝣㐹㥤〱戸户戵慤捣愳㜰昸昹㍥㠲㥡㜵摦改敦挴㜷昷昳㕣㜴〷晥摢㤱㤴㌴散㤳敡㘷摡敢㡢㑣㐰㥢㕣晥ㅣ㙣昶㐵昴挳㜵搵㙣㑣昶昸㔹晣㌲㙡㕡㜹〲晦㥥挱㑦㌹㠱ㄱ㌸ち㌵㙤〶㙥ㄶ搲㠰㉣㤸つち愸戲戴攷〰ㄴ攲㤸㜸搲捥昲㡤愸㘵晦摡㜷㠳〴㕦ㄴ攲昵っㄳ愵愰㜹㌸㈰㜱㉤ぢ㡥㌷っ㐸晣换㠲㘳搱〱扦㠷㕣㐵㈲ぢ㠹㝡慤㐴愴㈵㤹晢㍣㐰㑦㐷㉦攷㐶㉤愷㥥㔲ち㡦ㄶㅦ㝤昴挳摥攴挰挶攴攷敦敢㝥晥晤摦㝥㜰昶扤㉦㙣晦晢㐷㉦扥昸摥㕦捦㥥晢攸敤愹敤扦㝥攵㤵㕦摤晦愳㜳ㅦ慣㌶㕥㔶摦昸㜰摦换愷㠷㡥㥦㍥㘱ㅣ戹㙤昷改㠷㡥ㅤㅡㅡ扦㙣戰愳愳戳昳收晥摦㕣㝥㑢摦㤹ㄳ㙦㉡敦晣㘹扤慤挸攵㜲挰挳〰攱搳挷㘵换㘹晣〰〹㑣㠳㌳晥㔴愷挱攵㥥挱㑦㈹〶ㅢ㌵㠲㤷っ㝣ㅡ㥣㠰㉣㈸搴ㄷ㜴晤〷搰改戲㉣</t>
  </si>
  <si>
    <t>Decisioneering:7.0.0.0</t>
  </si>
  <si>
    <t>b478ab94-9d7a-4644-9f97-77d3286ccceb</t>
  </si>
  <si>
    <t>CB_Block_7.0.0.0:1</t>
  </si>
  <si>
    <t>㜸〱敤㕣㕢㙣ㅣ搵ㄹ摥㤹扤㜸㘷㙤挷㈶㑥〸攱㙡敥ㄷ㐷㑢ㅣㄲ㉥愵㘹昰〵㈷㠶㕣㑣散㠴㈲㑡㤷昱敥ㄹ㝢㤲㥤㔹㘷㘶搶㠹㈹㙤㐳㑢愱㤴㔶ㄵ昰搰㐲㈹㐵愸㐲敤㑢㈵晡㐰愱㠵㠷㔶㤵㕡㔵㔰昵〱㔵敡㐳㈵㡡㝡㜹㘸㔵愵敡ぢて㐸昴晢捥捣散捥敥㝡挷捥〲慤愹㍣挹晥㌹㜳敥攷晣搷昳晦㘷㤲㔰ㄲ㠹挴晢㜸昸㉦㥦ㄴㄳㄷ㑥㉦戹㥥戰昲㘳㤵㜲㔹ㄴ㍤戳㘲扢昹ㄱ挷搱㤷昶㥢慥㤷㐴㠵㑣挱㐴戹㥢㉥戸收〳㈲㕢㔸ㄴ㡥㡢㑡改㐴㈲㥢搵㔴㤴戳ㄳ晥晡挳ㄷ㡤慤㝡㔲〰㌳㘳愳㠷㘶㡦愱搷㘹慦攲㠸㙤㠳㐷晤戶扢㠷㠷昳挳昹㥤㌷つ摦㤸摦扥㙤㜰慣㕡昶慡㡥搸㙤㡢慡攷攸攵㙤㠳㔳搵搹戲㔹扣㔳㉣捤㔴㡥ぢ㝢户㤸摤㝥挳慣扥昳收攱㥤扢㜶ㄹ户摣㜲㜳て㠶㑥ㅣㅣㅢ㥤㜲㠴攱㝥㐸㝤愶㌹攵㥤攳愲㘸㜲㙤㐲㌸愶㍤㤷ㅦㅢ挵摦挸晣昱㜶㔳㝥㝡㕥〸㡦㐳ぢ㐷搸㐵攱㙡㘸搸㙤㡤戸㙥搵㕡攰收㘹搶〴㤶㕡搴㕤㉦㙤㡤㠹㜲㔹戳挲㕥戳搶㈱散㕤㔹㕦敡戱愶㠵敤㥡㥥戹㘸㝡㑢ㄹ㙢〶ㅤ㤵㝡慤㈳慥㌸慣摢㜳攲愰㙥㠹戴戵户㙡㤶㔲晥㤳㐸㕥ㅤ㜶ㄱ㥤㤸㕣㝥㝥挴戵挶收㜵㐷捥挸攵挶挴搴㥤㜰㡡㡤㜵㉦㙦摦㉦愷㉥㐷㘰㥦㔷戶慦㠷㤲愳扡㔳慢㌹搴扥㘶戰昸挶ㄹ㕣摦扥㝥㘴㡦ㅡ摢㕣摢扥㡤摣捡挶摡㑡㜷㐰摦㜲㐷戱ㄸ㉤㐳搰㐵㤰㈵㈰〲戵ㅣ㐱㌷㐱て㠰㤲晡㌷戸㈴摡㤰㐵㙡㐱㔷ぢ戳㙡愱愸ㄶ㑡㙡㐱愸〵㐳㉤捣愹㠵㜹戵㘰慡㠵㘳㙡攱㌸敡㠴㑦戶慢㑢つ㥥㝦㍤昷捣攳晤慦晦㘲昲愹㥦扣收㈴慦扦昳㉦㍤ㅢ㔰改慥㘰㔲攳㡥㝥ㄲ愴㔶愷攲ㅤ昹敤晣戳㌲㔷㠰㈹㡣㕤挶㑤挶昰㜰㘹搷㜶晤〶㍤捤㘵挵㈰扦㠱㔰晡㔱户挷戸摢戴㑢㤵㤳ㄲ㜷ㄷ㡥敡慥愸㙦摣㔰㔰㌶㕡愹摡㈵昷㠲攵ぢ愷㍤摤ㄳ攷㌷㤷搵㍢㘹㘹㌶つ戶ㄲ慥ㅣ敦攲收㘶㐷昵㜲㔵㡣㥣㌲晤攲㡢㥡㡡慤㈹愷㌲摢扥㜴挲ㄱ㈷㙡愵㉤㌳ㅡ㠱㔰㕢㤴㝤户慣搲㉦昲攷㌵㌸㌶㕦㜱㠵㉤愷㌷㘴㑤㤹挵攳挲㤹ㄶㄴ㠹愲㈴㤷扡㤹㐵〱搷てㅤ戲戱㔰㜰㙢改戲㘸慥㜱晢㈹て捣㉣㑡㤸敦㠲㜰扣愵ㄹ㝤戶㉣捥㙤愸攲㡦㠹㠲慤つ搹ㄳ㤵㘲搵ㅤ慢搸㥥㔳㈹㌷㤶㡣㤴ㄶ㜵㐸㥡搲㠱㑡㐹愴㔲〹㈹ㄴ㈰㜰㤳㐹㐵㐹㕣搷㥥ㄷ㈴㈲㈲㈸㈶㈳㥦搷㐸㜶昹挳㔸ㅤ㔶㔱ㄶ愴㐹昵㡡ㄵ㍡攳㝣愵㡣㠹攱挰挸㥡愸㍦㌸攸㌵㉢㜴㕢挳摣㐷㕢㔹㔵〷㠲搵摦扥㈸㙣㙦㥦㙥㤷捡挲㠹搵㝥ち㘷愴昵〱愴捦㐰㈰戴摤㍤慡㍡攵㤴戲㤴㍥㘹㤶扣昹捣扣㌰攷收㍤攴㐱㐳㘶戳摣摡㤶㐷㍢〷㔹摡㐶㠲〱㠰㕣㉥㤱搹挴㑡㤹ㅣ㥥㐴㥡搲㈹㠶㤷ㅢ〴㌹摢㌵昰㜲㡦㌱㘱㤶㍤攱ぢ攵㍥〳ㄸ昱戵㥡㐴㕦㉦㐹搴搱㡢扥挲搸㘴㡣㠱㑡㜵搳昶㤶敡㝣摢挲㈵㍥ㄱ慤换㠲㌵㈷ぢ㈸ちㅡ攵㐱っ慦㠱㘸㥡愴㐱㝣攵〸ㄱ㤱つ㘲㌴㍢㝡㙥㈴㌲搶㡦㤱ㄱ愸ㅦ㈵㐲搶摥摥㕥㐶㤰搸㕢㠹㤴㡤摡昲攳扡㌴㕢捥㤶昷愵搹㘶㙣㥣㜶㉥挱ㄶ㠲昳〸戶〲㈸㝦㠵㠴愳㤴㐳扡昱搱㉥挰扢㜶㈱挱㐵〰㤰㑦ㅡ㘵㑥㈰慡㘸㐳慤挶㡥㘴扤㕥搸挹搲㈸昶㐵ㄱ㉤攳㥡㥤搹㙢㐹㐴〷㔶攷摡搰戵㈹愹㘳慦㙡㑦㥢搱攵㤰㈲㘳慡㐶搷扡㐲搵攸㐶戰㙡㠷㝡敢ㄲ㌴搵〶〹㉥〵昰ㄵぢ㡤摤搵㔹昳㌴㈷㍦ㄶ㈶㤱㙦〸㜵愸摣〳㈲愶昹ㅦ㈳攰㕡㡥㉥敢昶㌳㑤挱㈱攳㘳㙦㍦㙦㙢捦摢〱搲㥢㜴收扡捥愱慦攸㉣㉤攸换挰㕥捡ㅦ摢敡㤷㉢㔰慣㕤㐹㜰ㄵ㐰㤳㝥攱挹晢㙣扤〴搲㈴戶㈲㤸摢㐸㡦㡢戴㜰㘷㤶ㄶ㠴搴㍥㍤挶㡣敥捣〹て摥㡢挹㜱搸挱ㄵ挷ㄱ㘵ㅣ㘸㑢㌲㠳㘷㤷㉤㡤㤹敥㠴㔳戱㤸扦㙥ㅦ扢ㅦぢ挵㤰㑡愹挹㐴㤳㝤ㅣ㘳㘷㐶晣㑤ㄱ捡愱晥扤愱扤㤰㠸㌴㙡㈴㉦戶㡢㍦㕢慥㑢㤲づ㈴挹㌵搸㔶敤㕡〰㐸〹攵昷㙤㈵捡㄰慢㙤㤳搵ㅡ慤㔵㝡昷㘲㑥㈶㑤晥挳ㄶ㌹搲敤㍢㙢㐷攱㍢㜰㝢慤㘹搳慡〹㡢㙥㙢㑡㌸㐵昸ㄵ捣戲挸昹㉥㔹㡡㥡㜵㔹昱㌱㤱ㄵ挹㘴换㔹㍡挶户㈶改愴㐹㑡挴㜲㝢㙣㘱捣㌹扣㑥㔴㜴㐱㔲愸挴戸㠵㙡ㄲ㠸㤴挷扡敢㈲愶〳ㄱ㤳挷挶㘹搷ㄳ㙣㈷ㄸ〶㐸晦ㄶ㤲㘶戵ㅢ捦㔰㔸搷㈲摤搹㠵㐲㈲㑢㌴㐸昷攰㥢㙤㠵搵㑥づ戳㡢攰㐶㠰㈶昳㠷捥挷ㄸ㐲㤴㈸㡦㄰㈲慤㈵捤㌸㙡㡡㤳愴㠱つ〶㠲㑡㘳㔵搷慢㔸㡣㉡昵ㅡ攳㤵㠳ㄵ㙦摣㜴ㄷ㄰㠵ㅡ㌰㠲挴摤昳挲〶㜵㌹戰㝤㥡昲㉡ぢぢ愲愴ㄹ搳㤵㉡㐴摢攴昸㕡㌸㤴㘳㝤戰㈵攵戹㕣㔵昰㜴㜶㌶㐶ㄷ㡡㍣ㄱ挳搷㑡㑦散慡㍣摦㍣昴昵搵㜷㜴挶昴捡愲摢昰㤹㡥改慣㠱㕤㐴搴愰搴㘵捣捣㍢㐲㡣昷ㅡ㝢ㅤ戳㔴㌶㙤㐱㘴挰挶㘴愰㙥扦㤸㐳㠴㘰慡挲昸㕦挵敥㌵㘶ㅣ摤㜶ㄷ㜴〶ㄳ㤷㌶㌶扣挹㤰㐸摡ㄸ㌵㙤ㄷ挳㐸㉣㌲摤㘷㑣捦㔷㑥㈲㕡㕢戵散扤晡㠲扢㈶戰㐲愲昷ㅦ㠹ㅡ㐵㔵㔴㔵挹慡搹㑥昱挳〳㜹㈲戱〳扦ㄴ㠱挴㔵㈲㑤㝦㜹㡣昶愶㕤ㅦ挴㘷㘸愷㜳㑥㍤㠸ㅣ搵㌲㤳戱㔲㤸㥣慡摤捣㌶户〰摣戱昷挸㘴㍤㉡昷㠱攲搵㘹㝡昸㘳㘴扣㈴㡢㕡㄰㠴晥戹つ㍥愹㌰㡦㤴〳づ〴挶昹搶㑣㝥㌹㐳搶㈱昵㙤愸㈷㈷㄰㐵敡㌱昶敢戳愲㡣㔸戴愵㝢ㅢ晣ㄷ㥡戱㤶㕥㜶㠳戲戱㡡㘵改㈴㉤㤲攵㜴㔱㈷〵㡦㔴扤捡〱搳搶っ〰㐹㝦㐱㤶㝥ち㔹晡㈹㤹搵㘳ㅣ㘶㔸㔰愶搹㔷㘵㑥㜷㑣㙦摥㌲㡢㔹扥㌰㜴户㈶㘸ㄲ㑣㑥挹ㅢ㍥愱捣ㄸ㙣戲收㡦挰㘴㜳昳㐰㜷ㅥ㜲㤴㕢㐷昴㠳㜲㔵㈵㠳㍦㑡㠷㡥㈵〸ㄸ改㈵搵㙥㐵㙦㘹㜹㌳〲㈲㐷㍥㘷挲晢ㄷ㘷扥㠸ㅣ摦㉦㐷慣挷㤰〸㍣㠲ㄱ㈱㑦昷㜶挶㌸㘲㥢ㅥ戰㐷㡣㑤㤸摥戸ぢ㤴〳㈰㈹㡦户攷㑢慣㐶ㅡつ搵戴挲㈵慤㐵つ㙡攲攲搶昲愸摥戸㘲㤹㘲㕦愳㐴ㄴ挹㑡㤵愴㘶㔹㘶㡥㙢㐹搵㈸㔲㜱㠷摡㐶㠹㜳㥢搶昷㥤㔲攴〳㈸㈶㐹㌳〹㙤户㈴ㄴ〴㜹㐹ㅤ搰㔱昴搷挷㤳㐷㈴㕡㐳ㅢ㈰㐷㍤攵攷昵〶攱挰㐹㕣㌹㈹㠹㕣昰〶晥摥㄰㈴て㔵扤㠶ㄲ晤搴㐰㔰㌲㔲㉥ㅦ戲㘱㈵ㄴ㜵愷戴㐶㔸ㅡ㙢昳㌵㡣攴捥㑥戵扦扦扤ㄱ㐶っ搸㤰㈱㤱ㄸ㍦㌰搸㄰捣ㄵ㠹愶搲㍡敢攵㔶搷戲戳㝣㍢㈰㜴㕢㘲㘰摡㉢㡤㡢㐵㘹㠶搵㉤昹〱搹愰㜶㕡㤴㜲㔴㌳㐶㘶㕤愸㜴㡦㜲㍣㐸㐹〶搷㡣挳㜴㑢攱〲〳挴㙥㤰㥡㉡㝡〸敢搶㍡攰挹㘰敤㘰〷㍢攲㠷㑤㘸㥤㔱㠲㘶㘲〸户㜱ㄱ攴㥤づ㌱ち㐱㙡挸攷㥦㝢㤴㘷㥥收昳挳㍤㠹㌰ㄱ㌰ㄱ㐳㕤㌱搶〳㤰ㅢ㡤㑡㤲㡢〶挲㘰戹㉦搹愴搰敡〹昳㘸㘲昴搲攴㜳㍣摣攰㘱ㅣ慢㡦㙣㔳挶ㅤ㌷捦㠴㌶㉤㉦㙤㌰㈶敤㘲戹㕡ㄲ㔲ㄵ㠷戲㕡㙡攴㌵㠱㉦㜹晤捦攷愶㤸㝤〹㌶㘵ㄲ㐷㈹㉥㤹㐸敡摣敥搶㍥㠵收㔲挸愱て㕦戶㌱昸ㄸ攳㤶㤳挱戰㤶㍢ち戴て㌷搶㉦㉦挸㡢㜳㄰㘹㉤㔹㤴㘵晢㜱ㄷ慦ㄶ㐱㤶摣ㄶ愹戶扦戲扦㐲㥢㍤㤲戵捦昴戳搶〴㡥戰㑥㕦攰㘵㌲㌰㐶㍡攴づ㜶㤲㌸ㄳ㐴㜶捦㝣㔱扥㈶捥散〹㡣て㠵昱㕤㥥㠲ㄲ搸㔵㌰ㄲつ㙥戵㙥㜵㉢㡣晣搲昲搶㙥〳㔰ㄸ〲愶㐱㡢㥡扥㠱㌳㡡昴捡〶づ㠳㤱㌱搱搱㘸㈰㤵㌱捡〱㌸散㠱㌴㜰ㄳて搲㌳ㄵ㈸㈱㙦㤳扣ㄴㄶ摥㑢ㅣ戲㜰〴慡㌸攷㌶㘵㑥改ㅥ慥扥搸㕢㥢戲㐷㑡㈵㥡扢昰捦慤〹慣攲摡㠶㙦㡥㙥㙡扡㤰㈵搷㐴晢敥昲愶㠲攰愲攰㡥昱晣㍥摤㉢捥㑦㝢㑢晥愵慤㑥㐹㈲晤㍡晣ㄱ换㡥㑥㥢㌹㘵昳ㄲ敡㈲昷㍥㜷摣慥㥣戴攵扣搲㉥㙦晣搱㡡搵扡扡㌸挹㕣攲㝤晣㤱㡦㥡㐸扦㠶ㅥ㔷㌳㙤㜶㔰㜷㤰戰ㅦ昹昸搲㘰㄰改ㄸ㍡㠱敤㕥扢㌱㐰㍡搹搴㐴㈷㔲㄰慣ㄳ㡡㍤昷愱ㄱ㡡昲㌳愰㤵挴攲ㅦ挹戱攷㉦㠲昵㤵㥦㈲㠷〸挷㝢㈰㐶搲㤷㈲ㄵ㠳㍡㈹挸㠳敢ㅤ扣っ昲晦㠳愵㤰㥢㤷㘵愷晦〲㌳㉢慦㌶愳攸㘲愲攸㤵㔶ㄴ㌱㄰㝢㔶㈱㙦捥㝥晤愸昹㤱㕦敢晤ㅦㅥ㌵敦〰㠶昹㐸㙢っ㐱㌵〶攳㙢挶㐰戲挵ㄸ戸ㄲ挵搲ㄸ戸㤳㙤ㄸ慦昷㡤㠱挰摢㜱〰ㄹ㉢ㅢ〳㡣攲挵㤸㝣㤱愰㙡挴㠱挱戳搶戹ㄶ㍤㘱晢㜰扤㔶戸㠸摣㐳㍤戹㘳昰㍤㙤㘹捤㥥搲ㅤ摤摡㉡昳昷㍡〲㙡换㤹挱㝤㙤搹㠴㉤捥㕦戶㐴㌶㕡挶㉢ㄱ晡搳搷㍤㈷慢扢愵づ㑣昹㡦敦愸㔷戲㑡收〳昸㐴ㄴ㥥㄰ㄲ㥦摢昴愳扤㝦㝡攰攱㍤扣㤷ㄶ搰㙡㥡㠱攰㑥㠲昳戴ㅣ㄰扥㡤㕣〹搹捣捦㙦づ攰㐳㈴㜳愱㉣㐶㜵㐷摡㍢慥㘶㠵㐹㥦昰㈲㠴改ㄳ摦㕡㌰㈶㜱挳挱㌷㈶昳㑤㡥㑤昹昹㤲㜴〶收㈳ㄳ㤷摥扢㌰㐰愸戴㔵㔹ㅤ摡㤵改ㅦ㐳改㥣攵㐴ㅡ敤㐱㥥㉦昹㈸捡㑢捤㕡㙤ㄷ戵㥡㌴ㄳ㤵㈱搴〸愵ㄴ㈲つ愴㤰攸㤱㠵愱㝦㈹愵愶㤰㐸攷〱㘲㘲㘸捤挱㕣㥥晣搷㠵㠰愸㕤敦敢昰㔳ㄵ散㈲戰ㄸ㝡摤㍢㍤扢搲敡っ㔵ㄳ㠳戲昲昴㜱ㄷㄲ昲㤸挲っ㐶㘹㘵敥㘱㈴挲㈷㍤㡣搴慡ㅤ㑦ㅣ愴搷昲㐳㙣㍥㘳愷㉤㝡搵㜲搶敤㜶ㄵ㜷㍣愰㘷㌲㔲㘱搸ㅢ㤹㡤愳愷㡣挶昹㔵㜳㝥ㄶ㘱㥦㥦慣㌵敡づ㡡愰戳散慤㌸㝦㈲捣挷敦㠱㔸㍥㔴敦㝡㜳㜳〹㜵㥣摤㠵〵昲〷晢敢攲ㄸ挶挶愸攴ㄸ㐸搸㔵搵捡晡㤷挰愷搱㐴摡昳㡡㔶㑦㜲㉣㐵㘱㌴㍡攴慣愴摡愲晦ㄹ愷㤶㥣㌵挳摡っ㔸㌷攸晦愳挸㔸㔱晦㉢㡣戲㐹㤴摤ㅤ㈴昸㤲㘶愴㘴挵攰っ㜷〴㍥㙣㠴㘹攴ㄱ㔸㤳㐹〶户晤搴㌴㍥㔱昵㡢愵〴㠷㠷㉢搵㝣〹愲搶㤶戶㙤㜷㕢〱挸㈸㔰晡〷㄰㐱㙤摢㜳搲慤攷搸捣㍤挸摥㜴挰㉣㍡ㄵ户㘲㜸㠳搳〸敦づ昲ぢ㌳〳㌶捦㠸昲㘲戳㔰扢ㅣ㍢搱㜳㉦摡ㅣ㍣〴㠱㝤㔰㜸ㅦ㔶搴㤱㌱㠴搵挵㉣昸戵㔱㝦㈴㤰㐴敤攰㥥㘳摣㔵搵换昸㐰昵㄰扣㥡ㅥ戳搶㠴戲昳㝤换捤㜷㌱戸㜵戸㡤㜵㈷㍣㍦愲㥣㐷ㄸ㑣㉥攱摥晢戸慦捤㝢搰㔸㌷㔸㥢换㥡㥤㜹搷㜲改敦〳愷慢ㅢ愵㤱㘴㌸㈶扦㍢捥㘹昷ㄱ㈲捥㐳敦攸敡㕤戱散㙤〰㜴ㅥ㝣戶㑤㤷搷㔰ㄹ㡥戲㔵挴戹㍦㡢愶捡㙤〴昸㘹㠵㈰挱ㄷ㠵晥扣㕢㤹㜸ㅥ换㈲〳㈰㥤挸攸〰敤愹晡戹攵愸㕡攱搱㠲㔴㤸㔳扥㡢㜲敥㤲扦摡ㄲ昳㜰搴㤰㐷〸愴戵愸攴㔶㜸㠴㤰攳㍦㠳〶戵昱攷㤰摢㝥晣㙦㉦㍢㍥㤵扦㕣㕦戴晦晥㔰㜹㘸挷㌸昴㜱㠲㌲㠱〵搰ㅦ搶散愳㔸愴慣挹昸㐱㠴㔷昷㈰㡤攷㜷挱扦㙦敦㜹昳つ㍥晦搸愳㐸㐱㠸愲挶㔵㔰㄰捡㔵㍣ㄱ㕤挵〲㜲摢慦攲㥢换慤愲㥦㌲㤲㌳搱ㅣ㠰摥愴㐲㕡㤱慢㜲㤱攰㠶昲愷㐸㠴㈲搱㌰㡢㝥㈲㔶戶慤㈲㠱戶摣㜹搹㜶ㄱ㠹戰㙤㥡ㅢㄱ昳〹㡦戴㡦㜸攵㤱㕥㥢㡣敦㜶捤昸㕡㌱㙢〵晥搶㌵㈱ㅢ戰㈴㝥ㄳ摢㔶愴㘷㍡㡣攵㉢㡦㠵㠸搹户㉦晣㍥㑡つ愲㑢㈰っ摦㈲㈵㈱㜱㈳㤵慦㠶㤵㕦㝡戹敥ㅣ㐵〱ㅥ㔰㡦㕦㤹〴㈷㉢㍦ㅡ㔶摥㠱㙦慦㘴㥤〴敦ち昰㜹㍢慣㑣挲㤴㤵ㅦ〹㉢晦㝤挷搶㕡攵㤰づ晤㥥搳㈴㤲ㄸ㕢㔷㕡晦㤱敦戰㜹愸㑥ㅢ搴㥦摤㠶㥦㑤挹㈹㠳挴㘵愹㐱㝢㜰敤挳挱㤷搰晢㜱㡢〹㤷㍤㈰㘴晤晦㄰㘱ㄲ户㥢挶㜵㑦挷㠷捥㡢〸㉢㍢㥡㝣㘳攳㡣㜱挸㐱㐶㤷㌱改攲㑣㔵㕡㔳㈴〲㜳㈰攵敦敦ち敥昷ㄸ搳戱扥ㅦ㘱㌸㑣攵㙤㤱捥㤴㠷っ愱愴㤴㠷㐳捣㈶㑥搷㘹㐶晢㍣㤰〳㌱〹挸㠴昶〵㐰㍦攴戲㠹ㄹ晤攴㝦挹摣愷㤱搰ㅥ㈲昸ㄲ㐰㑥㈱戳㤳づ㌲㕦〶攸ぢ晦㍢㡡挱㐵改㉦㔱㤵〷挳挱愲㘴愴㝤㠵つㅥ〱㐸挲㔱慢〴㐴㤸搳ㅥ㐵㑥㜴㔰ちづ㌹攸㘳㉣昸ㅡ挱攳〰戹㌴㈷扢敡㕤攳㥡㍡搴㕣㕦㐷㔳㠵㕢㈱攵搸㌷㠲〴㕦搲愷〱㙥㙤㙦㉢昳㈸ㅣ㝥扥㡦愰㘶挳㜷晡户攳扢晢㈵㉥㍡㠹晦㜶㈴㉤つ晢㤴晡㠹捥晡㈲ㄳ搰㈶㤷㍦〷㥢晤〱晡攱扡敡㌶㈶㝢晣㈴㝥㔹㌵愳㍣㠴㝦㑦攳愷㥣挰〸ㅣ㠵㥡㌶ぢ㌷ぢ㘹㐰ㄶ㉣〴〵㔴㔹摡ㄳ〰ち㜱㑣㍣㘹㑦昲㡤愸㘵晦摡㔳㐱㠲㉦ち昱㝡㥡㠹㜲搰㍣ㅣ㤰戸㤶〵挷㥢〶㈴晥㘵挱戱攸㠰摦㐲慥㈲㤱㠵㐴愳㔶㈲搲㔲捣㝤ㅡ愰㌷搹挷戹㔱换愹愷㤴攲晤愵晢敦㝦户㉦㌵㜸㝥敡搳户昵㍣晤昶㙦摥㜹昲慤捦散晥摢㝢捦㍥晢搶㥦㥦㝣攳扤搷㘶㜷晦敡㠵ㄷ㝥㜹挷昷摥㜸㘷愳昱扣晡昲扢晢㥦㝦㜰昸昸㠳㈷㡣㈳搷敤㝤昰㥥㘳㜷つ㑦㥤㌳㤴㑣㜶㜵㕤㍤昰敢昳慥改㍦㝤攲ㄵ攵攷㝦搸㘲㉢㜲戹ㅣ昰㌰㐰昸昴㜳搹㜲ㅡ摦㐱〲搳攰㡣㍦搲㘹㜰戹愷昱㔳㑡挱㐶㡤攲㈵ぢ㥦〶㈷㈰ぢ㡡㡤〵摤晦〱㤰昶戲挱</t>
  </si>
  <si>
    <t>StartOptEquations</t>
  </si>
  <si>
    <t>CB_Block_7.4.0.0:1</t>
  </si>
  <si>
    <t>Decisioneering:7.4.0.0</t>
  </si>
  <si>
    <t>Minimum</t>
  </si>
  <si>
    <t>CF Production Cap (tons)</t>
  </si>
  <si>
    <t>Target Inventory (tons)</t>
  </si>
  <si>
    <t>Actual Inventory (tons)</t>
  </si>
  <si>
    <t>CF Production (tons)</t>
  </si>
  <si>
    <t>CF Sold (tons)</t>
  </si>
  <si>
    <t>Change in Demand</t>
  </si>
  <si>
    <t>Demand-Related Price Adjustment</t>
  </si>
  <si>
    <t>Revenue</t>
  </si>
  <si>
    <t>Cost Model</t>
  </si>
  <si>
    <t>Pitch Plant CapEx</t>
  </si>
  <si>
    <t>CapEx for building pitch plant</t>
  </si>
  <si>
    <t>CapEx for acquring pitch plant tech</t>
  </si>
  <si>
    <t>Pitch Supplier Cost</t>
  </si>
  <si>
    <t>CF Labor Costs (RMB)</t>
  </si>
  <si>
    <t>CF Fixed Costs (RMB)</t>
  </si>
  <si>
    <t>CF Labor Costs (USD)</t>
  </si>
  <si>
    <t>CF Fixed Costs (USD)</t>
  </si>
  <si>
    <t>Pitch Labor Costs (USD)</t>
  </si>
  <si>
    <t>Pitch Fixed Costs (USD)</t>
  </si>
  <si>
    <t>Pitch for CF Sales (tons)</t>
  </si>
  <si>
    <t>Catyl65SO for CF Sales (tons)</t>
  </si>
  <si>
    <t>Catyl65SO Price</t>
  </si>
  <si>
    <t>Catyl65SO Cost</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</si>
  <si>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</si>
  <si>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</si>
  <si>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</si>
  <si>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</si>
  <si>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</si>
  <si>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</si>
  <si>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</si>
  <si>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</si>
  <si>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</si>
  <si>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</si>
  <si>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</si>
  <si>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</si>
  <si>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</si>
  <si>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</si>
  <si>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</si>
  <si>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</si>
  <si>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</si>
  <si>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</si>
  <si>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</si>
  <si>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</si>
  <si>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</si>
  <si>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</si>
  <si>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</si>
  <si>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</si>
  <si>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Pitch Plant Fixed Costs</t>
  </si>
  <si>
    <t>Total Pitch Cost (Minus fixed costs)</t>
  </si>
  <si>
    <t>Pitch Production Tech</t>
  </si>
  <si>
    <t>Incurred</t>
  </si>
  <si>
    <t>Existing Fixed Assets</t>
  </si>
  <si>
    <t>Salvage Value</t>
  </si>
  <si>
    <t>Total Depreciation</t>
  </si>
  <si>
    <t>Catyl165SO Inventory</t>
  </si>
  <si>
    <t>Balance Check</t>
  </si>
  <si>
    <t>Change in Required Cash</t>
  </si>
  <si>
    <t>Check</t>
  </si>
  <si>
    <t>Free Cash Flows</t>
  </si>
  <si>
    <t>Unlevered Net Income</t>
  </si>
  <si>
    <t>-Change in Working Capital</t>
  </si>
  <si>
    <t>-CapEx</t>
  </si>
  <si>
    <t>+Depreciation</t>
  </si>
  <si>
    <t>+Sale of Project Assets</t>
  </si>
  <si>
    <t>Unlevered Free Cash Flow</t>
  </si>
  <si>
    <t>Base Case Free Cash Flows</t>
  </si>
  <si>
    <t>Pitch Plant Cash Flows</t>
  </si>
  <si>
    <t>NPV</t>
  </si>
  <si>
    <t>Unlevered Free Cash Flows</t>
  </si>
  <si>
    <t>Total Unlevered Free Cash Flows</t>
  </si>
  <si>
    <t>Incremental Free Cash Flows</t>
  </si>
  <si>
    <t>Yahoo Beta</t>
  </si>
  <si>
    <t>Thomson One Beta</t>
  </si>
  <si>
    <t>Date</t>
  </si>
  <si>
    <t>Adj Close</t>
  </si>
  <si>
    <t>Adj Close (HXL)</t>
  </si>
  <si>
    <t>HXL Return</t>
  </si>
  <si>
    <t>S&amp;P Return</t>
  </si>
  <si>
    <t>Regression Beta</t>
  </si>
  <si>
    <t>461b1264-6e36-4f76-b100-5428c0d22a32</t>
  </si>
  <si>
    <t>㜸〱敤㕣㕢㙣ㅣ搵ㄹ摥ㄹ敦慥㜷搶㜶㙣攲〴㐸㠰㘰敥ㄷ㐷㑢ㅣㄲ㉥愵㘹昰㠵㈴〶㈷㜶㘲㈷ㄴ㔱扡㡣㜷捦搸㤳散捣㍡㌳戳㑥㑣㈹㠴㐲愱昴愲ち晡搰㐲㘹㡢㔰㠵捡㑢㈵㉡ㄵ㐱㑢ㅦ㉡㔵㙡㔵㐱搵〷㔴愹て㤵㈸慡摡㠷㔶㔵愴㑡ㄵて㐸昴晢捥捣散捥敥㝡挷捥〶㕡㔳㜹㤲晤㜳收摣捦昹慦攷晦捦㈴愱㈴ㄲ㠹て昱昰㕦㍥㐹㈶㉥㥤㕥㜲㍤㘱攵㐶换愵㤲㈸㜸㘶搹㜶㜳挳㡥愳㉦㑤㤸慥搷㠱ち改扣㠹㜲㌷㤵㜷捤㠷㐴㈶扦㈸ㅣㄷ㤵㔲㠹㐴㈶愳愹㈸㘷㈷晣昵㠵㉦ㅡ㕢㜵㈷〱㘶㐶㐷㈶㘷㡦愳搷㘹慦散㠸敤〳挷晣戶㝢㠶㠶㜲㐳戹㕤户づ摤㤲摢戱㝤㘰戴㔲昲㉡㡥搸㘳㡢㡡攷攸愵敤〳㔳㤵搹㤲㔹戸㐷㉣捤㤴㑦〸㝢㡦㤸摤㜱昳慣扥敢戶愱㕤扢㜷ㅢ户摦㝥㕢㌷㠶㑥ㅣㅡㅤ㤹㜲㠴攱㝥㐴㝤愶㌸攵㕤㘳愲㘰㜲㙤㐲㌸愶㍤㤷ㅢㅤ挱摦挸晣昱㜶㙢㙥㝡㕥〸㡦㐳ぢ㐷搸〵攱㙡㘸搸㘵つ扢㙥挵㕡攰收㘹搶㍥㉣戵愰扢㕥捡ㅡㄵ愵㤲㘶㠵扤㘶慣㐹散㕤㐹㕦敡戶愶㠵敤㥡㥥戹㘸㝡㑢㘹㙢〶ㅤㄵ㝢慣愳慥㌸愲摢㜳攲㤰㙥㠹㤴戵扦㘲ㄶ㤳晥㤳攸戸㉥散㈲㍡㌱戹晣摣戰㙢㡤捥敢㡥㥣㤱换㡤㠹愹扢捦㈹搴搷扤慡㜵扦㥣扡ㅣ㠱㝤㕥搳扡ㅥ㑡㡥改㑥戵收㘰敢㥡挱攲敢㘷㜰㔳敢晡㤱㍤慡㙦㜳㐳敢㌶㜲㉢敢㙢㉢㕤〱㝤换ㅤ挵㘲戴㌴㐱㈷㐱㠶㠰〸搴戲〴㕤〴摤〰㑡昲㕦攰㤲㘸㐳ㄶ愹㜹㕤捤捦慡昹㠲㥡㉦慡㜹愱收つ㌵㍦愷收攷搵扣愹收㡦慢昹ㄳ愸ㄳ㍥㤹捥㑥㌵㜸ㅥ㝦攴昰扦㝦晡捡戶㠹㤷ㄲ㜳㥢攷㉦ㄸ戸戹㝢〳㉡ㅤづ㈶㌵收攸愷㐰㙡㌵㉡摥㤹摢挱㍦㉢㜳〵㤸挲搸㙤摣㙡っつㄵ㜷敦搰㙦搶㔳㕣㔶っ昲敢〸愵て㜵扢㡤㝢㑤扢㔸㍥㈵㜱㜷改㠸敥㡡摡挶つ〶㘵㈳攵㡡㕤㜴㉦㔹扥㜰摡搳㍤戱戵戱慣搶㐹㔳戳㘹戰㤵㜰攵㜸摢ㅡ㥢ㅤ搳㑢ㄵ㌱㝣摡昴㡢㉦㙢㈸戶愶㥣昲㙣敢搲㝤㡥㌸㔹㉤㙤㥡搱㌰㠴摡愲散扢㘹㤵㝥㤱㍦慦㠱搱昹戲㉢㙣㌹扤㐱㙢捡㉣㥣㄰捥戴愰㐸ㄴ㐵戹搴捤㉣ち戸㝥㜰搲挶㐲挱慤挵㉢愳戹挶㕤愷㍤㌰戳㈸㘲扥ぢ挲昱㤶㘶昴搹㤲戸戰慥㡡㍦㈶ち戶搴㘵敦㉢ㄷ㉡敥㘸搹昶㥣㜲愹扥㘴戸戸愸㐳搲ㄴて㤶㡢㈲㤹㑣㐸愱〰㠱摢搱愱㈸㠹ㅢ㕢昳㠲㐴㐴〴挵㘴攴㡢敢挹㉥㜷〴慢挳㉡㑡㠲㌴愹㕥扤㐲㘷㥣慦㤴㌱㌱ㅣㄸ㔹ㄳ昵〷〷扤㝥㠵㙥慢㤸晢㜸㉢慢㙡㝦戰晡扢ㄶ㠵敤ㅤ搰敤㘲㐹㌸戱摡㑦攱㡣戴㕥㠰搴㔹〸㠴㤶扢㐷㔵愷㥣㔶㤶㔲愷捣愲㌷㥦㥥ㄷ收摣扣㠷㍣㘸挸㑣㠶㕢摢昴㘸ㄷ㈰㑢摢㐸搰て㤰捤㈶搲㥢㔸㈹㥤挵㤳㐸㔱㍡挵昰㜲㥤㈰㘷扢㍡㕥敥㌶昶㤹㈵㑦昸㐲戹搷〰㐶㝣慤㈶搱搷㐳ㄲ㜵昴㠲慦㌰㌶ㄹ愳愰㔲摤戴扤愵ㅡ摦㌶㜱㠹㑦㐴敢戲㘰捤挹〲㡡㠲㝡㜹㄰挳㙢㈰㥡〶㘹㄰㕦㌹㐲㐴㘴㠳ㄸ捤㡥㥥敢㠹㡣昵㘳㘴〴敡㐷㠹㤰戵㜷戴㤶ㄱ㈴昶㘶㈲㘵愳㤶晣戸㉥捤㤶戳攵㝤㘹戶ㄹㅢ愷㕤㐸㜰ㄱ挱挵〴㕢〰㤴扦㐲挲㔱捡㈱㕤晦㘸㤷攰㕤扢㤴攰㌲〰挸㈷㡤㌲㈷㄰㔵戴愱㔶㘳㐷戲㕥て散㘴㘹ㄴ晢愲㠸㤶㜱搵捥散戱㈴愲〳慢㜳㙤攸摡愴搴戱搷戶愶捤攸㜲㐸㤱㌱㔵愳㙢㕤愱㙡㜴㈳㔸戵㑤扤㜵㌹㥡㙡〳〴㔷〰昸㡡㠵挶敥敡慣㜹㥡㤳㥦〸㤳挸㌷㠴摡㔴敥〱ㄱ搳晣㡦ㄱ㜰㑤㐷㤷㜵晢㤹愶攰愰昱㠹户㥦户户收敤〰改つ㍡㜳㕤攷搰㔷㜴㡥ㄶ昴㤵㘰㉦攵㑦㉤昵换搵㈸搶慥㈱戸ㄶ愰㐱扦昰攴㝤慥㕥〲㘹ㄲ㕢ㄱ捣㙤愴挷㐵㕡戸㌳㑢ぢ㐲㙡㥦㙥㘳㐶㜷收㠴〷敦挵昸ㄸ散攰戲攳㠸ㄲづ戴㐵㤹挱戳换㐵昵㤹敥㍥愷㙣㌱㝦摤㍥㜶㍦ㄱ㡡㈱㤹㔴㍢ㄲつ昶㜱㡣㥤ㄹ昱㌷㐵㈸㠷晡昷收搶㐲㈲搲愸㥥扣搸㉥晥㙣戹㉥㐹摡㤰㈴搷㘳㕢戵ㅢ〰㈰㈵㤴㍦戴㤴㈸㠳慣戶㕤㔶慢户㔶改摤㡢㌹㤹㌴昸て㥢攴㐸㤷敦慣ㅤ㠱敦挰敤戱愶㑤慢㉡㉣扡慣㈹攱ㄴ攰㔷㌰㑢㈲敢扢㘴㈹㙡搶㘵挵㈷㐴㔶㜴㜴㌴㥤愵㘳㝣㙢㤲㑥ㅡ愴㐴㉣户挷ㄶ挶㥣挳㙢㐴㐵ㄷ㈴㠵㑡㡣㕢愸㉡㠱㐸㜹慣扢㉥㘲摡㄰㌱㌹㙣㥣㜶ㄳ挱づ㠲㈱㠰搴敦㈰㘹㔶扢昱っ㠵㜵㉥搲㥤㥤捦㈷㌲㐴㠳㜴て扥摤㔲㔸敤攲㌰扢〹㙥〱㘸㌰㝦攸㝣㡣㈱㐴㠹昲〸㈱搲㕡搲㡣㘳愶㌸㐵ㅡ搸㘰㈰愸㌴㕡㜱扤戲挵愸㔲㡦㌱㔶㍥㔴昶挶㑣㜷〱㔱愸㝥㈳㐸摣㍢㉦㙣㔰㤷〳摢愷㈱慦扣戰㈰㡡㥡㌱㕤慥㐰戴㡤㡦慤㠵㐳㌹搶〷㕢㔲㥥换㔵〵㑦㝢㘷㘳㜴愱挸ㄳ㌱㝣慤昴挴慥捡昳捤㐳㕦㙦㙤㐷㘷㑣慦㈴扡っ㥦改㤸捥ㄸ搸㐵㐴つ㡡㥤挶捣扣㈳挴㔸㡦戱摦㌱㡢㈵搳ㄶ㐴〶㙣㑣〶敡㈶挴ㅣ㈲〴㔳㘵挶晦捡㜶㡦㌱攳攸戶扢愰㌳㤸戸戴戱敥㑤㠶㐴㔲挶㠸㘹扢ㄸ㐶㘲㤱改㕥㘳㝡扥㝣ち搱摡㡡㘵敦搷ㄷ摣㌵㠱ㄵㄲ扤晦㐸搴㈸慡愲慡㑡㐶捤戴㡢ㅦㅥ挸ㄳ㠹㥤昸㈵〹㈴慥ㄲ㈹晡换㘳戴㌷敤晡㈰㍥㐳㍢㥤㜳敡㐶攴愸㥡搹ㄱ㉢㠵挹愹摡㙤㙣㜳㍢挰摤晢㡦㡥搷愲㜲攷ㄵ慦㑥搱挳ㅦ㈳攳㈵㔹㔴㠳㈰昴捦㙤昰㐹㠵㜹愴ㅣ㜰㈰㌰捥户㐶昲换ㅡ戲づ愹㙦㐳㉤戹て㔱愴㙥㘳㐲㥦ㄵ㈵挴愲㉤摤摢攰扦搰㡣戵昴㤲ㅢ㤴㡤㤶㉤㑢㈷㘹㤱㉣愷ぢ㍡㈹㜸戸攲㤵て㥡戶㘶〰㐸晡ぢ戲昴搳挸搲㑦换慣㙥攳〸挳㠲㌲捤扥捡㜳扡㘳㝡昳㤶㔹挸昰㠵愱扢㌵㐱㤳㘰㜲㑡摥昰〹㘵挶㐰㠳㌵㝦ㄴ㈶㥢㥢〳扡㜳㤰愳摣㍡愲ㅦ㤴慢㉡㘹晣㔱摡㜴㉣㐱挰㐸㉦愹㜶〷㝡㑢挹㥢ㄱ㄰㌹昲㌹ㅢ摥扦㌸晢㈸㜲㝣扦ㅣ戱ㅥ㐳㈲昰〸㐶㠴㍣摤摢㘹攳愸㙤㝡挰ㅥ㌱戶捦昴挶㕣愰ㅣ〰㐹㜹扣摤㉡戱ㅡ㘹㌴㔸搵ち㤷㌷ㄷ搵愹㠹㙤捤攵㔱扤㜱昵㌲挵扥㐶㠹㈸㤲㤵㉡㐹捤戲捣ㅣ搷㤲慡㔱愴攲づ戵㡤ㄲ攷㌶慤敤㍢愵挸㜹㈸㈶㐹㌳〹㙤㡦㈴ㄴ〴㜹㐹ㅤ搰㔱昴搷挷㤳㐷㈴㕡㐳ㅢ㈰㑢㍤攵攷昵〴攱挰㜱㕣㌹㈹㡡㙣昰〶晥摥㄰㈴㈷㉢㕥㕤㠹㝥扡㍦㈸ㄹ㉥㤵㈶㙤㔸〹〵摤㈹慥ㄱ㤶挶摡㝣つ㈳戹戳㕤敤敦㙦㙦㠴ㄱ〳㌶㘴㐸㈴挶てっ㌶〴㜳㐵愲愹戴捥㝡戸搵搵散っ摦づち摤㤶ㄸ㤸昶㡡㘳㘲㔱㥡㘱㌵㑢扥㕦㌶愸㥥ㄶ愵ㅣ搵㡣攱㔹ㄷ㉡摤愳ㅣて㔲㤲挱㌵攳〸摤㔲戸挰〰戱ㅢ愴愶ちㅥ挲扡搵づ㜸㌲㔸㍢搸挱㡥昸㘱ㄳ㕡㘷㤴愰改ㄸ挲慤㕦〴㜹愷㑤㡣㐲㤰ㅡ昲昹攷㕥攵昹攷昸扣戲㌷ㄱ㈶〲㈶㘲愸㉢挶㝡〰㜲愳㔱㐹㜲㔱㝦ㄸ㉣昷㈵㥢ㄴ㕡摤㘱ㅥ㑤㡣ㅥ㥡㝣㡥㠷ㅢ㍣㡣㘳昵㤲㙤㑡戸攳收㤹搰愶愵愵つ挶戸㕤㈸㔵㡡㐲慡攲㔰㔶㑢㡤扣㈶昰㈵慦晦昹摣ㄴ戳㉦挱愶㡣攳㈸挵㈵ㄳ㐹敤摢摤摡㘷搰㕣ち㌹昴攱换㌶〶ㅦ㘳摣㜲㌲ㄸ搶㜴㐷㠱昶攱挶摡攵〵㜹㜱づ㈲慤㈹㡢戲㙣〲㜷昱慡ㄱ㘴挹㙤㤱㙡ㄳ攵㠹㌲㙤昶㐸搶〱搳捦㕡ㄳ㌸挲㍡㝤㠱㤷㑥挳ㄸ㘹㤳㍢搸㐹攲㙣㄰搹㍤晢愸㝣㑤㥣摤ㅢㄸㅦち攳扢㍣〵㈵戰慢㘰㈴ㅡ摣㙡捤敡㔶ㄸ昹愵攵慤摤〹愰㌰〴㑣㠳ㄶ㌵㝤〳㘷〴改㤵つㅣ〶㈳㘳愲愳搱㐰㉡㘳㤴晤㜰搸〳㘹攰㈶ㅥ愴㘷捡㔰㐲摥㈶㜹㈹㉣扣㤷㌸㘸攱〸㔴㜶㉥㙣挸㥣搲㍤㕣㝤戱户㌴㘴てㄷ㡢㌴㜷攱㥦㕢ㄳ㔸挵戵つ摦ㅣ摤搴㜰㈱㑢慥㠹昶摤㔵つ〵挱㐵挱㥤㘳戹〳扡㔷㤸㥦昶㤶晣㑢㕢敤㤲㐴敡ㄷ昰㐷㉣㍢㍡㙤收愴捤㑢愸㡢摣晢散〹扢㝣捡㤶昳㑡戹扣昱㐷㉢㔶敢散攴㈴戳㠹て昱㐷㍥㙡㈲昵㈶㝡㕣捤戴搹㐱捤㐱挲㝥攴攳㑢㠳〱愴㘳攸〴戶㝢昵挶〰改㘴㔳〳㥤㐸㐱戰㑥㈸昶摣㐷㐶㈸捡捦㠱㔶ㄲ㡢㝦㈴挷㥥扦っ搶㔷㝥㠶ㅣ㈲ㅣ敦㠱ㄸ㐹㕤㠱㔴っ敡愴㈰て慥㜷昰㌲挸晦て㤶㐲㙥㕥㤶㥤晥ぢ捣慣扣搱㠸愲㙤㐴搱敢捤㈸㘲㈰昶㥣㐲摥㥣晤晡㔱昳㘳扦搶晢㍦㍣㙡摥つっ昳㤱搶ㄸ㠲㙡っ挶㔷㡤㠱㡥㈶㘳攰ㅡㄴ㑢㘳攰ㅥ戶㘱扣摥㌷〶〲㙦挷㐱㘴慣㙣っ㌰㡡ㄷ㘳昲㐵㠲慡ㄱ〷〶捦㕡ㄷ㕡昴㠴ㅤ挰昵㕡攱㈲㜲て昵攴㡥挲昷㜴㔱㜳昶㤴敥攸搶ㄶ㤹扦摦ㄱ㔰㕢捥っ敥㙢换㈶㙣戱㜵搹ㄲ搹㘸ㄹ慦㐴攸㑦㕦昷㥣慣敥㤶㍡㌰攵㍦扥愳㕥挹㈸改昳昰㠹㈸㍣㈱㈴扥戰改挷晢晦晣搰ㄳ㝢㜹㉦㉤愰搵ㄴ〳挱敤〴攷㘹㌹㈰㝣ㅢ戹ㄲ戲㤹㥦摦ㅣ挴㠷㐸收㐲㐹㡣攸㡥戴㜷㕣捤ち㤳㍥攱㐵〸搳㈷扥戵㘰㑣攲㠶㠳㙦㑣收ㅡㅣ㥢昲昳㈵改っ捣㐵㈶㉥扤㜷㘱㠰㔰㘹愹戲摡戴㉢㔳㍦㠱搲㌹挷㠹搴摢㠳㍣㕦昲㔱㤴㔷ㅢ戵摡㙥㙡㌵㘹㈶㉡㠳愸ㄱ㑡㈹㐴ㅡ㐸㈱搱㈳ぢ㐳晦㔲㑡㑤㈱㤱捡〱挴挴搰ㅡ㠳戹㍣昹慦ぢ〱㔱扤摥搷收愷㉡搸㐵㘰㌱昴扡户㝢㜶愵搵ㄹ慡㈶〶㘵攵改攳㌰ㄲ昲㤸挲っ㐶㘹㘵敥ㄱ㈴挲㈷㌵㠴搴慡ㅤ㑦ㅣ愴挷昲㐳㙣㍥㘳愷㉣㝡搵戲搶㕤㜶〵㜷㍣愰㘷搲㔲㘱搸ㅢ㤹㡤愳愷㡣挶昹㔵戳㝥ㄶ㘱慦㥦慣㌶敡ち㡡愰戳散㉤㌸㝦㈲捣挷敦㠱㔸㍥㔸敢㝡㜳㘳〹㜵㥣摤㠹〵昲〷晢㙢㕢っ㘳㘳㔴㜲っ㈴散慡㙡㘵晣㑢攰搳㘸㈲敤㜹㐵慢㈵㌹㤶愲㌰ㅡㅤ㜲㔶㠷摡愴晦ㄹ愷㤶㥣㌵挳摡っ㔸搷改晦㘳挸㔸㔱晦㉢㡣戲㐹㤴摤ㅢ㈴昸㤲㘲愴㘴挵攰っ㜷〴㍥㙣㠴㘹攴ㄱ㔸㤳㐹〶户晤搴㌴㍥㔱昵㡢愵〴㠷㠷㉢搹㜸〹愲摡㤶戶㙤㔷㑢〱挸㈸㔰敡㐷㄰㐱㉤摢㜳搲捤攷搸昴㝤挸摥㜴搰㉣㌸㘵户㙣㜸〳搳〸敦づ昰ぢ㌳〳㌶捦戰昲㜲愳㔰扢ち㍢搱㝤㍦摡ㅣ㥡㠴挰㍥㈴扣㡦㉡敡挸ㄸ挲敡㘲ㄶ晣摡愸㉦ㄲ㐸愲㜶㜰㉦㌰づ㔷昴ㄲ㍥㔰㥤㠴㔷搳㘳搶㥡㔰㜶扥㙦戹昱㉥〶户づ户戱敥㠱攷㐷㤴㜲〸㠳挹㈵摣晦〰昷戵㜱て敡敢〶㙢㜳㔹戳㍤敦㕡㌶昵㐳攰㜴㜵愳搴㤳っ挷攴㜷挷㔹敤〱㐲挴㜹攸ㅤ㕤扤㉢㤶扤昵㠳捥㠳捦戶改昲ㅡ㉣挱㔱戶㡡㌸昷攷搱㔴戹㤳〰㍦㉤ㅦ㈴昸愲搰㥦㜷〷ㄳ㉦㘲㔹㘴〰愴ㄳ㘹ㅤ愰㌵㔵㝦㝦㌹慡㔶㜸戴㈰ㄵ㘶㤵敦愱㥣扢攴慦戶挸㍣ㅣ㌵攴ㄱ〲㘹㉤㉡戹ㄵㅥ㈱攴昸捦愳㐱㜵晣㌹攴戶ㅥ晦㍢换㡥㑦攵㉦搷ㄷ敤扦㉦㔴ㅥ摡㜱づ㝤㠲愰㐴㘰〱昴㠵㌵㝢㈹ㄶ㈹㙢搲㝥㄰攱㡤扤㐸攳昹㝤昰敦扢㝢摦㝥㡢捦㍦昶㉡㔲㄰愲愸㝥ㄵㄴ㠴㜲ㄵ捦㐴㔷戱㠰摣搶慢昸收㜲慢攸愳㡣攴㑣㌴〷愰愷㐳㈱慤挸㔵戹㐸㜰㐳昹㔳㈴㐲㤱愸㥢㐵ㅦㄱ㉢摢㔶㤰㐰㕢敥扣㙣扢㠸㐴搸㌶挵㡤㠸昹㠴㐷摡㐷扣昲㐸慦㑤摡㜷扢愶㝤慤㤸戱〲㝦敢㥡㤰つ㔸ㄲ扦㠹㙤㈹搲搳㙤挶昲㤵愷㐳挴ㅣ㌸㄰㝥ㅦ愵〶搱㈵㄰㠶㙦㤱㤲㤰戸㤱捡㔷挲捡慦扥㔶㜳㡥愲〰て愸挷慦㑣㠲㤳㤵㥦ち㉢敦挴户㔷戲㑥㠲㜷〵昸扣ㅢ㔶㈶㘱捡捡㑦㠶㤵晦扥㜳㑢戵㜲㐸㠷㝥捦㈹ㄲ㐹㡣慤㉢慤晦挸㜷搸㍣㔴愷っ敡捦㉥挳捦愶攴㤴㐱攲㤲搴愰摤戸昶攱攰㑢攸〹摣㘲挲㘵て〸㔹晦㍦㐴ㄸ挷敤愶㌱摤搳昱愱昳㈲挲捡㡥㈶摦搸㌸㙤㑣㍡挸攸㌴挶㕤㥣愹㡡㙢㡡㐴㘰づ㈴晤晤㕤挱晤ㅥ㘳㍡搶昶㈳っ㠷愹扣㉤搲㥥昲㤰㈱㤴愴昲㐴㠸搹挴㤹ㅡ捤㘸㕦〴㜲㈰㈶〱㤹搰ㅥ〱昴㐳㉥㥢㤸搱㐷晥㤷捣㝤〶〹敤㌱㠲㉦〱㘴ㄵ㌲㍢改㈰晤㌸㐰㙦昸摦㔱っ㉣㑡㝦㠹慡㍣ㅣづㄶ㈵㈳敤换㙣昰㈴㐰〷ㅣ戵㑡㐰㠴㔹敤㈹攴㐴〷愵攰㤰㠳㍥捤㠲慦ㄲ㝣つ㈰㥢攲㘴㔷扤㙢㕣㔳㥢㥡敢敢㘸慡㜰㉢愴ㅣ晢㐶㤰攰㑢敡っ挰ㅤ慤㙤㘵ㅥ㠵挳捦昷ㄱ搴慣晢㑥晦㉥㝣㜷扦挴㐵㜷攰扦ㅤ㐹㐹挳㍥愹㝥慡扤扥挸〴戴挹攵捦挱㘶㥦㐷㍦㕣㔷捤挶㘴㡦㥦挶㉦愳愶㤵挷昰敦ㄹ晣㤴㤳ㄸ㠱愳㔰搳㘶攰㘶㈱つ挸㠲㠵愰㠰㉡㑢㝢〶㐰㈱㡥㠹㈷敤㔹扥ㄱ戵散㕦晢㔶㤰攰㡢㐲扣㥥㘱愲ㄴ㌴て〷㈴慥㘵挱㠹㠶〱㠹㝦㔹㜰㍣㍡攰户㤱慢㐸㘴㈱㔱慦㤵㠸戴㈴㜳㥦〳攸改攸攵摣愸攵搴搳㑡攱挱攲㠳て扥摦㥢ㅣ搸㥡晣散㥤摤捦扤晢摢昷㥥㝤攷㜳㝢晥昶挱ぢ㉦扣昳㤷㘷摦晡攰捤搹㍤扦㝥改愵㕦摤晤㠳户摥摢㘸扣愸扥昶晥挴㡢てて㥤㜸昸愴㜱昴挶晤て摦㜷晣昰搰搴〵㠳ㅤㅤ㥤㥤搷昵晦收攲敢晢捥㥣㝣㕤昹攵ㅦ㉦戲ㄵ戹㕣づ㜸〴㈰㝣晡戸㙣㌹㡤敦㈲㠱㘹㜰挶ㅦ敢㌴戸摣㌳昸㈹挵㘰愳㐶昰㤲㠱㑦㠳ㄳ㤰〵㠵晡㠲慥晦〰㕤搹戰㔵</t>
  </si>
  <si>
    <t>Setting inventory to zero since we know we will liquidate at end of year and can deplete inventory</t>
  </si>
  <si>
    <t>beta_se</t>
  </si>
  <si>
    <t>EMRP</t>
  </si>
  <si>
    <t>r_f (10-year treasury)</t>
  </si>
  <si>
    <t>r_e</t>
  </si>
  <si>
    <t>D/(D+E)</t>
  </si>
  <si>
    <t>E/(D+E)</t>
  </si>
  <si>
    <t>Today</t>
  </si>
  <si>
    <t>Settlement Date</t>
  </si>
  <si>
    <t>Coupon Rate</t>
  </si>
  <si>
    <t>Clean Price</t>
  </si>
  <si>
    <t>Face Value</t>
  </si>
  <si>
    <t>Last Coupon</t>
  </si>
  <si>
    <t>Coupon Freq</t>
  </si>
  <si>
    <t>Days Accrued Int</t>
  </si>
  <si>
    <t>Coupon Amt</t>
  </si>
  <si>
    <t>Accrued Interest</t>
  </si>
  <si>
    <t>Dirty Price</t>
  </si>
  <si>
    <t>Promised Yield</t>
  </si>
  <si>
    <t>Cum Prob Def</t>
  </si>
  <si>
    <t>Prob Def</t>
  </si>
  <si>
    <t>Recov Rate</t>
  </si>
  <si>
    <t>Exp CF</t>
  </si>
  <si>
    <t>Settlement</t>
  </si>
  <si>
    <t>Next Coupon Date</t>
  </si>
  <si>
    <t>Maturity Date</t>
  </si>
  <si>
    <t>YTM</t>
  </si>
  <si>
    <t>r_d</t>
  </si>
  <si>
    <t>rating\year</t>
  </si>
  <si>
    <t>Baa3</t>
  </si>
  <si>
    <t>beta_d</t>
  </si>
  <si>
    <t>beta_ua</t>
  </si>
  <si>
    <t>r_ua</t>
  </si>
  <si>
    <t>65d97ace-47b0-4fbe-acb3-6d4d7a0a35c1</t>
  </si>
  <si>
    <t>Liquidation Cash Flow Threshold</t>
  </si>
  <si>
    <t>Cash Flow Below Threshold</t>
  </si>
  <si>
    <t>Adjusted Unlevered Free Cash Flow</t>
  </si>
  <si>
    <t>-Cash from Operations</t>
  </si>
  <si>
    <t>+Sale of Pitch Inventory</t>
  </si>
  <si>
    <t>+Sale of CF Inventory</t>
  </si>
  <si>
    <t>+Receivables</t>
  </si>
  <si>
    <t>-Payment of Liabilities</t>
  </si>
  <si>
    <t>Operational</t>
  </si>
  <si>
    <t>Liquidate</t>
  </si>
  <si>
    <t>CF Price</t>
  </si>
  <si>
    <t>Current Book Value</t>
  </si>
  <si>
    <t>Sellable Fixed Assets Book Value</t>
  </si>
  <si>
    <t>e719b97d-cd68-4151-b038-41935ca36200</t>
  </si>
  <si>
    <t>Implied Cost of Capital for HXL</t>
  </si>
  <si>
    <t>BVE</t>
  </si>
  <si>
    <t>(In millions)</t>
  </si>
  <si>
    <t>Num Analysts</t>
  </si>
  <si>
    <t>LTG Forecast</t>
  </si>
  <si>
    <t>BVA</t>
  </si>
  <si>
    <t>Price</t>
  </si>
  <si>
    <t>Market Cap</t>
  </si>
  <si>
    <t>Actual dollars</t>
  </si>
  <si>
    <t>Shares</t>
  </si>
  <si>
    <t>EPS Entered</t>
  </si>
  <si>
    <t>1 Yr Return</t>
  </si>
  <si>
    <t>BVPS</t>
  </si>
  <si>
    <t>EPS to calculate</t>
  </si>
  <si>
    <t>B/P</t>
  </si>
  <si>
    <t>APS</t>
  </si>
  <si>
    <t>EPS/APS</t>
  </si>
  <si>
    <t>Parameters</t>
  </si>
  <si>
    <t>Inflation</t>
  </si>
  <si>
    <t>Historical</t>
  </si>
  <si>
    <t>Forecast payout ratios</t>
  </si>
  <si>
    <t>Corrected EPS/APS</t>
  </si>
  <si>
    <t>Values</t>
  </si>
  <si>
    <t>1-year Ahead</t>
  </si>
  <si>
    <t>2 years ahead</t>
  </si>
  <si>
    <t>3-5 years ahead</t>
  </si>
  <si>
    <t>Corrected EPS</t>
  </si>
  <si>
    <t>EPS</t>
  </si>
  <si>
    <t>Dividend</t>
  </si>
  <si>
    <t>Average</t>
  </si>
  <si>
    <t>CV</t>
  </si>
  <si>
    <t>D/E</t>
  </si>
  <si>
    <t>Total cf</t>
  </si>
  <si>
    <t>Return</t>
  </si>
  <si>
    <t>R*Size</t>
  </si>
  <si>
    <t>R*B/P</t>
  </si>
  <si>
    <t>Prior Fiscal Year end</t>
  </si>
  <si>
    <t>R*Analysts</t>
  </si>
  <si>
    <t>Today's date</t>
  </si>
  <si>
    <t>Log(Size)</t>
  </si>
  <si>
    <t>Difference in years</t>
  </si>
  <si>
    <t>Log(Analysts)</t>
  </si>
  <si>
    <t>Interest Rate</t>
  </si>
  <si>
    <t>Loan Amount</t>
  </si>
  <si>
    <t>Loan Income</t>
  </si>
  <si>
    <t>Loan payment</t>
  </si>
  <si>
    <t>Tax Shield</t>
  </si>
  <si>
    <t>Payback Principle (remaining if default)</t>
  </si>
  <si>
    <t>best optiquest mean NPV</t>
  </si>
  <si>
    <t>Period</t>
  </si>
  <si>
    <t>Interest Payment</t>
  </si>
  <si>
    <t>Principal Payment</t>
  </si>
  <si>
    <t>Remaining Principle</t>
  </si>
  <si>
    <t>Threshold</t>
  </si>
  <si>
    <t>Rate</t>
  </si>
  <si>
    <t>Up to $1,000,000</t>
  </si>
  <si>
    <t>Above $1,000,000 to $2,000,000</t>
  </si>
  <si>
    <t>Above $2,000,000 to 5,000,000</t>
  </si>
  <si>
    <t>Above %5,000,000 to $6,000,000</t>
  </si>
  <si>
    <t>Above $6,000,000</t>
  </si>
  <si>
    <t>218d0b24-ab66-451c-b869-d62807bcf40b</t>
  </si>
  <si>
    <t>Liquidation Value</t>
  </si>
  <si>
    <t>EDL</t>
  </si>
  <si>
    <t>NPV of Cash Flows</t>
  </si>
  <si>
    <t>NPV of Tax Shield</t>
  </si>
  <si>
    <t>㜸〱捤㕣〹㥣ㅣ㔵㤹敦搷㌳㕤㌳慦㌳㤳㘹㡥㘴戹挴〱ㄲ㡥〴㠷改㥥㥥ぢ〸㈴㌳㐳挲攴㈶㌳㈱㠸㠱㐹㜵㜷㜵愶㤳㍥㐲㜷㑦づ㔰㘱搱㥦㈰㌷㉥㠸换ㄱㄱ㕣㘱㔱㔷づ㔷㐱㐴摣㕤攵㔸〴て搴㜵搵㤵㈸敥㉡㉢㉡ㅥ愸挰慥散晦晦㔵㔵愶扡扢㝡づ㘴㝦㍦㉡搳㕦扦昷㥤慦晥敦㔵搵晢㕥扤㑥㐰〵〲㠱搷㜱昰㥢㐷㈳ぢ㐷㡣散㈹㤵慤㕣挷㘰㈱㥢戵㤲攵㑣㈱㕦敡㔸㔶㉣㥡㝢㔶㘷㑡攵〶㈸ㄸ㘳ㄹ挸㑢愱戱㔲收㐲慢㜹㙣愷㔵㉣㐱㈹ㄴ〸㌴㌷敢㈰攴㘱攷ㄳ㜱㉢㥡㔶扡㤱〴㕡〱㙤㤰㌴㤱㌴㤳㘸ㄲㅡ改㌹㈴㉤㈰㉤慤㈰愳㠳〳敢ㄲ摢搰㠴㤱㜲愱㘸㥤搸㝥戶ㅤ㘸㐹㌴摡ㄱ敤㠸昷㐶㝢㍡㍡㑦㙣ㅦ㥣挸㤶㈷㡡搶㤲扣㌵㔱㉥㥡搹ㄳ摢搷㑦㈴戲㤹攴㉡㙢捦㘸㘱扢㤵㕦㘲㈵㍡扢ㄲ㘶扣㉦ㅡ敦敥㑥昷昷昷戵捣㠵攷戵㠳〳敢㡢㔶扡昴㘶昹㙣愳捦㜵㠳〳ㅤ㙢慤昲㥢攵㌳〲㥦㜰㌹㔴挸㤹㤹晣㥢攴㌴挴㡥攸ㅥ戲㤲ㄹ昶㤸㘵ㄵ㌳昹慤ㅤ㘸㜶〵搰愸昵㜶㉣㉢㤵㈶㜲㍢搸昹㠳㔶㌶扢挱㑡㑢㑦攵㠶㑡攵昵㘶㌱㔷㙡挹ㄱ㍦慢㘸攵㤳㔶㘹㙥敥㡣摤㐹㉢敢㈸㤶㥡㜳㘷㥢挵戵㘶捥㙡㘴愱㉤㘷昷攱㜰捡捡㤷㌳攵㍤慤戹㡤㈵㙢㠳㤹摦㙡㔱㈵㤴㕢㌱㤱㐹愹挶㐶晣〵ㅡ㡥昳㙢㤹㜴ㄴ摡㤳ㅢㅣ㌷㡢㘵愹戱ぢ愳㝥扡㥥攱㈲㘷㔱搱㉥づ愹昶㉡㉢昶搹㐸㈶户捡㉡收慤㉣㠳戰㈷ㄷ㔷㈹〹㐰㜶㍦散㐷捡㍤ㅤ昶㤲㥡攳㕣㌱㍣ㄷ㐶㌱づ〰㌹㙥㙤愱㤸挳㠰㕣㘳㤹昹㈵㥤㈷㡥㤴㔳㐳搶捥㈵戱晥㡥晥晥敥㜸㜷㕦㔷㝦㝦㉦㑡㕤㔱㝤㈰㤴昵㐱㌴㍢ㄸ愴㘱㈸搶慤攷㤱㌵ㅦ㐴㌵扥㠰换搳敢㥦㤷㐸㜰捣っ㡥㈵㠲㘳挹攰㔸㉡㌸㘶〵挷搲挱戱慤挱戱昱攰㔸㈶㌸戶㉤㌸戶ㅤ㍡敥搱摣搴ㄴ㜴づ攳㜷㕦昹昶㤱慦慢㔵昷㉤扡攷ㅢ愳㥦摡昸愴攲ㄵ㈹ㄷ昴㈱㈸捣戸扤㠷㐲㔹ㅦ〶㘲ㅣ㑥晢愱㔸㕣ㅦ㐱搶摢㐰㤴晡〹摡换㌶㥢㜷扣敦ㅦ㥦ㄸ㘹㕢㝥捤挹㤷㕢摦㝦收㡡ㄱ挵㉢㕦㠲扤ㅤ㠵ㄹ〷㙢㠷戲㍥ち挴㌸ㅡ〴挱愲晡ㄸ戲ㄶ㠰㈸昵〳㈷搸㡢愱㕢㌷摤昸愷摦慦昹攲㤶て㥥昹㜸㌲晣摦㡡㜷ㄸ〹㜶㉣ち㌳づ㜶ㅣ㍤ㅦて㘲㥣㐰晢愱㔸慦㕥㐴搶㘲㄰愵扥敤〴摢㘳㉤㕡㜵挱攸搵㐳㜷㍦扡攸㡢摦っ㝦攱ㄱ挵㍢㤹〴㝢〷ち㌳づ搶㐱捦㈷㠱ㄸ㥤戴ㅦ㡡昶改㈸㔹㌱㄰愵㥥㜶㠲㥤昳搲收慥ㄳ㝥㜴昰昲㐷㈳てㄹ㌷㌷捤㥢慦㜸ㅤ㑡戰㌸ち㌳づ搶㑤捦㍤㈰㐶㉦敤㠷㘲㥤扡㡦慣㝥㄰愵ㅥ㜳㠲㙤㜹收㠲㍢㥦㔸㕤㕥㜹摦戶ㅢ㙥㝡昶挹ㄵ㠳㡡㜷㘶〹㜶ちち㌳づ㜶㉡㍤㉦〱㌱㑥愳晤㔰慣㑢㥦㑥搶㔲㄰愵ㅥ㜵㠲㍤昰挰换つ㕦晤改㔵㙢㙥晢搲昷㝥晥昳㉢昷㘵ㄵ㥦〰ㄲ㙣〰㠵ㄹ〷ㅢ㠴戲ㅥ〲㌱捥愰晤㔰慣㐷㉦㈷㙢〵㠸㔲て㍡挱㡡户㉦晢捤㠲敢捥㕦㜳挳㌳㡤㥦晡搹㍦摦㝥㤸攲㘵㈴挱㠶㔱㤸㜱戰㤵昴扣ち挴㔸㑤晢愱㔸㑣慦㈱㙢㉤㠸㔲昷㌹挱晡㝥昷摤捥昶㑢戳〳㥦㜸捦摤㘷敤㍡敦搰ㅦ㉡㍥搱㈴搸㝡ㄴ㘶ㅣ散㉣㝡摥〰㘲㡣搰㝥㈸摡慦㐷挹摡〸愲搴㍤㑥戰扢昶ㅤ㜹搸㥤㑦㡤慤㝣㘰攳㉢捦户㝣㘵改㡢㉤㥢㈰㍥换戹㈱つㄵ捤㕤戸挵㑦㍥㍤㘲ㅤ㥤晣㌷晤㘳ㄳ㑦捤㜴㜷扡㌷ㅤ㡤愶扡㍢捤㉥㌳挴扢搴㑣敦捦扣㈹戶愴㌷㘵昲愹挲㉥戹㘱ㅦ㌱㘰㤶慣挹晢昷㘲㐷㌶㔰㤸挸愷㑡㠷晢ぢ㐷捡㘶搹㍡慣㕡㌶改愴挶㙣〴㡦㌳慢㈴昱㡥慣㌶㍢摢捣㑥㔸换㜶㘷㙣昱摢慡挴㜸㤸ㄵㄲ昵愵换㡢搶〵晢愵㌵㉤㕡㠶㈹搲㑥昱㕤㜳㤶戶挸㙥㔷晢攰㜸愱㘴攵愵㜹㡢㜳敢㌳挹敤㔶㜱挴攲〴换㑡挹愹捥愳挸㜹愲㉥㕥㤷挷㠹攲ㄹ㤹㍡摡换㑤㥦戱扢㙣攵㔳㔶ち敤摤㘱ㄵ换㝢㐶捤㐴搶㥡㕦愱㘲挷㠴攰搰ち昶昲㐲㜲愲㌴㔸挸㤷㡢㠵㙣愵㘴㔹㙡愷㠹愷㜸㙡㑤㈱㘵攱㈱摣挸㈳愰〲つつ㑡〵ㄶ昹㍤〹改户搴㈱ㅤ攱改㘲㍥㤳て愹ㅣ㜶ㅤㅢ㜰㜶㌸㡢慣挵㌱ㄹ㕣㌰㡤㌳昱㑢㌷㈷搴㔷昴㥣ㄳ㘷愳搴㍥扥扥戶戴㜱㝦捦晤晦㉡〷㠳〷㌹㘷㝦挶㑥捣㜴捥㌴昳愹慣㔵㥣㜲㉥慤搸㈲㝤づ㐸攸㉥㕣捤㜵搱攳㘳㕡敤㔶㝢㐲扢㌲愹昲戸㌱㙥㘵戶㡥㤷挱挳㝣扢戹㤹搰搶ㅣ晡㕣戰昴扢㐸㌶㠳㠴挳〱攳㍣㉡ㄹ㘱㝤扥㕤て㜱挲㌱晢㌹ㄴ㘷昴㕡收㙣㤸㘰㤷㐲戹攵㠵㘲愹愱挱敦㉣捦㌴㑢攳㘵づ捦㈹㠵㥣㉤改㌱㤲㉤㈰㈱捥㝢㘶㌴㐵㙢攴㑣戴㌵㌷㘴愵㑤捣晦攵敡㔶㘶㈸㘷㑦㈹㠷慣㔲㔲㜳敥㌹㡣㙢㘵户㠱ㄲ㉥晥㤶ㅣ㐷扦戵扢㍣㘴㤶捤愶ㅣ㘶戱攸㈵つ愵挵㘲㘵㤷㘸搹㉡㍣搷㍡散搴攰㈱㈲㐵㡦㤷㌹挲戰㍤攱挲挱昵ㄲ㘸㜰攸搴㈷㠱戶㜳㥥㘹㔴て昴捡搹㈸㈶挹愹ㄵ㔶㝥㜴捦づ慢㐴昵㘶㘳㑡㈸慢㉦㉦㍡㕢㤷㑣㙣㉣㘷戲愵づ戴㜴㐵戱㌰戱攳捤昴㐳㕦摡〴㜱㡦搰㕥㡣攲㤹㥦ㄳ㜳捤愶㥤散㥢戱戱㐰㌳扤㤱愳㌹〹搶ㅣ慤㜰昶㍡扥攴搰ㄶ扥挲㔳挹㐲㥣㉥捦㘶收捥昹㘸㑢づ〸㡤ㄶ㉤挹㐵㥡愵〲戴㕢㜳㥢ち挵敤㠹㐲㘱㍢挷搳㕣愹㤵挶㉤慢捣昹晤ㅣ㈷㥦㤱扣㐵愹㠶㠶㡡挹戹㈷ㄱ攰㐳搰挸㠰戴㉥换㘶摢㕤㡦㈵㘳ㅢ㔸つ挸㌴㡣敤㈸捣㕦㤶㌵昳挷㤵摡㐷㤲㐵戳㥣ㅣ摦㘱愶㍡㜶㘷㑢扢搵つ㌸㜷捥愲㔳〷ㅥ扥扣㈷扦㜳摤㝤㠱搱攳扦晣慤㐵㌱昵㌷㡥愰㘶㉥捦㔹戹㘴ㄲ㜹ㄴ搴昵㔰攳㍤〵攵捡㐳敦㐰㕤㕦㐰㔲〴挱㥤㐱戰挶㡤㠱㜷ㄴ㔴ㄵ㘷昶扣㌹攸〹㤲㥤㈰㡡搳㝢㕥㥡㝡ㄷ㠸㝢愸换攱㥦㍤㉥扤挶㔴愰戶搷㉥〲㌷慣愷㤰㈹㈶つ散㌹㑤愴㌴戱搱挴㐵扤ㄷ㡥㝤〱㜸㡦㈳愸挹㉦摡㘱㈶〰扣㥦昶ㄷ㐱捤ㅦ㠰て㐰慣㉦㈳戹ㅣ挴〳挰ㄵ㜶㔵ㅤ㠵㙦〱攰㑡㉡㕤〵愲㡥〱ㄱ〰慥㐶挱㍤㔴ㄱ㌱昶〳挰昴愴ㄶ㠰敢挱つ敢㈹㘴㡡㠹㡣ㅦ〰攳昵〰搸敡〸㙡㜲ㅥ㘶㉦〲挰捤㈸㈸慢㉥〰户㐲慣㙦㈳搹ぢ攲〱攰㜶扢慡㤸〱〹〰ㅦ㐳㐱摦〱愲ㄶ㠱〸〰㜷愲攰ㅥ㙡戳ㄷ㠰ㄳ挰慥〵攰㉥㜰挳㝡ち㤹㕡っつ㍦〰㌶搴〳攰㉣㐷㔰㤳㠷㜵挰㤳〰㜰㉦ち㙡㕤㕤〰敥㠷㔸㍦㐰昲㔹㄰て〰㥦戳慢敡㈴㝣ぢ〰㥦愷搲㠳㈰㡡愹㤹〰昰㄰ち敥愱㤶㝢〱攸〴扢ㄶ㠰㐷挰つ敢㈹㘴㉡〶つ㍦〰㑥慤〷挰㈹㡥愰㈶㌷散㠶㈷〱攰㌱ㄴ㔴㝦㕤〰㥥㠰㔸㍦㐹昲慦㈰ㅥ〰扥㘶㔷㔵て扥〵㠰愷愹昴っ㠸㘲扡㈸〰㝣ㅤ〵昷㔰㥤㕥〰㝡挱慥〵攰㔹㜰挳㝡ち㤹㘲ㄲ敡〷挰戱昵〰㔸攸〸㙡昲㔵㘶㥥〲挰て㔱㔰挷搴〵攰㐷㄰敢攷㐸昶㠱㜸〰昸㠹㕤㔵㑢昰㉤〰㍣㡦㠲晥㈹㠸㍡ㅤ㐴〰昸㑦ㄴ摣㐳ㅤ收〵㠰改㙥㉤〰㉦㠰ㅢ搶㔳挸搴㔲㘸昸〱㄰愹〷㐰㥢㈳愸挹愱〷攱㐹〰昸㉤ち慡戵㉥〰扦㠷㔸扦㑣昲〷㄰て〰㝦戲慢㙡〸摦〲挰㉢㔴㝡ㄵ㐴㌱慤ㄶ〰㕥㐳挱㍤㔴愳ㄷ〰愶攰戵〰昰㈹ㄴ搶㔳挸ㄴ㤳㜵㍦〰㕥晤㜳㥤愷挰㉢㡥愰㈶慦㕦〹㑦〲㐰㌳ㅥ㑢敡㡦㔰昳㝦ち㠴㈱搶㜳㐸㕡㐰㍣〰捣戵慢㙡ㄵㅣ〹〰㙤㔴㡡㠰㈸愶晡〲挰〱愸戹㠷晡ㄵ㘲散〵〸攴㘹㉥ぢ搴〲㌰て戲昰㔴㌲戵ㄶ㜶㝥〰晣搴㌹捦㥡㜹挰昳㡥愰㘶慤㠱慢〶〲挰㤱㙣昲㡦愱收て㐰㍢挴晡㈸㤲愳搹扡挹㜹挰〲扢慡㌶挰㤱〰戰㤰㑡挷㠲愸㔱戰〴㠰攳㔰㜳て昵㍤挴搸敢〲㌰〲㜶㉤〰㡢改㔳㑦㈱㔳ㅢ㘱攷〷挰㌳捥㜹搶〰昰戴㈳愸㕥晦〸㌱㥦㥡㐵摥㍡㠷つ㑥㥦㥤戱㜶㜱愲㍤㌷㡤搵改挱㠹㔲戹㈰㔹㐱㙢㝡愸戰戶㔰ㅥ捡㤴㜶㘴捤㍤〷愵㥤挲愶㜱㉢㡦㥣扤㠸搴扤㡡㔷搸戱挳㑡改昴㐸㘱愲㤸戴㠶㠷摥ち㌹㍤捥て㕤㈷改㝣㔰攱㜸㘳㘹㉡㕣㈸㡣ㄲㅣ㠱㄰㤳换敡㙣㐳搶挸㍤㉢〳㔲㡣㐰戱㙤ㄲ搱搱㑣㌹㙢捤㐹㑢㔶㉥攵收㌴㔰挴㐲㐸慡㈹㍤㍡㡥㔹昸㔰㙢㝡㐵㌱㤳捡㘶昲ㄶ㍢攳㘰㕢㜵戵戵ㄵ㡢ㅥ敢ぢ愵っ㕦㐷戴愶㐷㡢㘶扥戴㠳昹㕢㜲捦㠱ㄵ㌵㐹昴㐲改㠱㑣扥㠴㌰搲㡢㉣户愵㐷挶ぢ扢昰㍡㙢㈲㤷㕦㘱敥㈸扤㈵㝡㘵昲ち㤲慥㔱㐱ㄵっ慡收㘰昳ㅢ敤ㅦ㈳づ㡦〷搹敦ㅣ摡㌱㑥换挵㑣㘲㠲㠰戱晢〳㌱㝣ㅡ㐹愴て〳愱㜷愱㔴㥤愹㜹扡戰㙡㤹㠵㙤慤㜸攳攳㥢昱敦㝦㐷㌸ㄷ敡扡ㅢ㐶㉤㍤㈰㉢㔷㙣ㅣ㥥㕣㠰晣㡢摥摤㠵㌶挳昳㡣搷㝢㜸愷㥡㙢て㈱慥〱㜱㐴攱捡挴㐸㘰慤㝡㔸㠶搳愲挳ㄱ㍡㜷戲戸ㅣ㑢〶㉤改搵㘶挲捡㘲愵㈳㘷㤶攷摡ㄵ㉥㌹攱摤㑥挹㤱つㄶ㜲㌹㤳㐳㡥㙦愸㐶㤲㘶搶㙡㑥㉦㥢㈸ㄷ搶㘴昲㍡つ㈲攳搲㘱㤹扢挱㌲㜷摢㙢ㄲ改つ㕣〱㤵㌲㝤ㄵ戶㥡挵㑣㜹㍣㤷㐹㌶戳挲㔵捡户挴㔸挵挵摦〸㌰摤挳扤㤷㔴㉦㜲搸㑢つ攸敥づ慣ぢㄲ㍡㜶㍦㐶㜴㔰ㄹ昸愷摥攰〲ㄹ㙥㍣昲㐰搱㝤昰ㄶち愲ㄱ戸㠹搹㑤㜹挹㝤㜱晤搲挵攰挸捤㐹㥤㑦〵㝣㜴㍦㈸ぢ晣㌴㡥㠱㑣戹㝡搲〴㠵昰敡㠲㤹㕡㙥㈶昱戶戹挹㜹搷摣㡣慥攵慤愶ㄸ攱㝡搶㈰㤶㐸戱昴扡㌳㤳戲㡡捤㘴㡣攰〵㜸㈳㔷挲っ扢て㤱搹㌷〴㐲愱㌹捤㝥戱㠶㕤㕦ぢ㥣㔵〲敦ぢ昶攱ㅡ晦㉦㥥搵㜷㍡摢ㅥづ㌷㠰敡㤳㔱搶愷㠰愸㉤愸昲㝣慡ㄴ㑥愵挲ㄲ㤰㤰〹㘱㜵摦㔴㉥㉤㘱〱㑡㐳愹㔱摥搲㜲搱慢ㄹぢ㐴戲㕡ㄶ㤲ㄳ㤹攳㔹攵㌲散〵慥㘶昷搵慦㌱㠲㔱㙥愵挲昶晤㤵慢㘹散㡥㘰戰ㄱ㕤㙤㔴扦㈱愸〹ぢ㘷戹ㄱ㑢㤶扦ㄴ㤷㝣㡣搳㘰㍣㠷ㄷぢ晣㡦昱摤攷㜹攰㘲㌶挱㐹愳ㅣ攱戰㕥ち㥤㐰㔸㔹愰敥㠹㜳㡡ㄳづ戳搷昴㌲㐸昵〰㠸攲扤㡥㡦㝦ㄴ摤㠷㤵摡㠱ㅡㅦ㔸〱捤ㅢ愴ㅣ㔵㌷㐳挵搵㄰摥㄰昵㄰㥤ㄴ㔱攲㝤㘶晦戸㕢づ敥昴攳㡥换㈷っ愰㔷搰㠹㔳㔱ㄳ㈸戸㑤㈶搳改捣㌳㔱搶挳㔴摣改慦戰㤲ち慢愸挰㈵ㄷㄳㅦ㘳㌵㙡ㅥ愰攲㝥㐰慤㠵づ㠰扡挸攳搴〳搴㍡㐸昵㝡㄰昵㝥㈸㔴〳挵㜵㤱㘹㠰扡っ㉡〲搴〶㍡攱昲㐹〵㔰愳攰㑥てㄴ㤷㔹愰㠸昷㔸㜴攲㔴ㄴ搷㕡㝣㠰㍡ㅢち㝡ㄳㄵ戹づ攳愳㜰づㄵ摥㐹〵㉥捤㤸昸ㄸ攷愲收〱㉡敡〷搴㘶攸〰㈸㉥捦戸㑥㍤㐰㥤〷愹㍥ㅦ㐴摤っ㠵㙡愰㙥〵㙦ㅡ愰戸扡㈲㐰㙤愱㤳扤愸㔵〰㤵〰㜷㝡愰㙥㠷ㄹㄴ〳㍡㐹㈷㑥㐵㝤っ〵户挹㘴㍡㈳㉡㠵戲戶㐰ㄴ搷㙢㝣ㄴ搲㔴搸㑡㠵㍢愱㘰攲㘳㡣愳收〱慡搷て愸㙤搰〱㔰㜷㜹㥣㝡㠰摡づ愹捥㠲愸㝢愱㔰つ搴晤攰〹㔰㐶づ㉡㌳㥤㥢愸〷㘰㈶攰攵改㤸㑢㌴ㄵ攰敤〰㜷㝡昰㍥〷㌳㈸㘲愹㤳㑥㥣㡡攲㝡㡥て㌶㐵㈸攸ㄲㄵㅦ昴㔷㈸㔳㘱㠲ち㕣晥㌱昱㌱㜶愲㌶〹ㅥ㕥摥晢摣户㜶㐳〷攰㍤攲㜱㝡っ㌹攱〳㐰昵ㅥ㐸昵㠵㈰㡡换㌵搵攰㜱㡤㘶㥡㔱挶ㄵㅣ〱敡摤㜴挲愵㥣ち愰摥ぢ敥昴㐰㜱挹〷㡡〱捤㐷㈸ぢ昲攱扡㡦て㔰㤷㐰愸晦㥡㡡捦昸㉢㕣㑡㠵昷㔱㠱换㐴㈶㍥挶晢㔱㥢〴ちㅢて㝣㠰晡〰㜴〰搴戳ㅥ愷㥥㔱㜶ㄹ愴晡㜲㄰昵㐳㈸㔴〳昵㈳昰愶〱敡㌹愸〸㔰㔷搰挹㍥搴㉡㠰扡ち摣改㠱攲搲㄰ㄴ〳晡㙡㍡㜱㉡敡㜹ㄴ㝣㠰扡〶ち晡㕡㉡㜲敤挸㐷攱㍡㉡㕣㑦〵㉥㈷㤹昸ㄸㅦ㐲捤〳㔴㤷ㅦ㔰㌷㐰〷㐰㜱㐹挹㜵敡〱敡㐶㐸昵㠷㐱搴㙦愱㔰つㄴ搷㝣愶〱敡㘵愸〸㔰ㅦ愱㤳㍦愰㔶〱搴捤攰㑥て搴㥦㘰〶挵㠰扥㠵㑥㥣㡡攲㍡㤲摢㘴㌲㥤晢搶慤㈸敢摢愸昸慡扦挲㕥㉡㝣㤴ち慦㐱挱挴挷戸ㅤ㌵て㔰㍤㝥㐰摤〱ㅤ〰昵扡挷㈹昳〱㘷捡㜰㈷愴晡攳㈰㡡换㐴搵㐰㜱㙤㘸ㅡ愰戸㜲㈴㐰㝤㠲㑥戸㠴㔴〱搴摤㘰㑣てㄴ㤷㥡昰ㄷ搰㝦敦ㄴ㔸㔱㕣㙦昲〱敡ㅥ戰昵㈷愹挸戵㈸ㅦ㠵㑦㔱攱搳㔴攰昲㤴〹㔷挶㍦愰攰〱㉡收〷搴扤搰〱㔰昳昰攵㍡㍤㠸ㅣ㝢㙥㜵ㅦ搸晡㝥㄰㜵㈴㐸㌵㔰敤攰㑤〳搴㔱㔰ㄱ愰㍥㑢㈷㐷㠳㔴〰昵㌹㌰愶〷㙡〱㙤搱㈸晤㜹愷挰㡡攲扡㤴摢㘴㌲㥣ㄱ昵㈰捡晡㈱㄰㜵慣扦挲ㄷ愸昰㌰ㄵ戸㡣㘵挲搲昸㈲ち㤳㐰㘱愳㡤捦㍤敡㑢搰〱㔰㡢昱攵㐶昵㕣㝡㡦㠲慤扦っ愲扡㐹愰慡晦挹㈹戰ㄲ敡〳慤㥥㤳搷攴㑢㑣戲挲㘹㘶㑥㈳攵㍤㔹㘴慢㉣㜲㡥㙥㤷㤸㙤搸㘲㘴づ㠵㘲愳ち㌴㔶敦ㄹ搸㙦扢〹慥收ㅣ㕣戵ㅦ㐳捣㈸改㐱㙢㐲愷㘱〵慤慥㍤ㅢ㍤昹㜲㤶㌶㍣㡣㝦〱晦攰㌵㤹㘴戱㔰㉡愴换敤㈳㔸㠹㘹攷晥㤶㜴㈰搰戹㉣㜴㉡㍣晡挶攴㠹㌵收戹摦㜳㈷摦昷㠶户攷ぢ扢昲搲㥡㔰㠹摢㝣ㄸ㑤㌷㌵㌱㑣ㄸㅦ㌹㡥〱㡡ㄱ㈶㜱㌴搶㕦㐵愱戵㈱㜲㌲扥愸㙣㍣〶扡㜰㜰㘰㜰挳㔸捡㡣㥢㝤晤摤搱㘸扡挷㡣㕢戱㘴㕦㑦慡㉦摤㘹㥡㥤昱㝥㉢摥㥤㐸㐷㈴㘹愲㡦挷㘱ㄳ㌹搵昱愰㥦㘰㡤昹ㄲ晥㙣㔹㘸㈹㡡㌳捤㘰搸㉡㤵㔰㐹㤵㔲㔶㘳㔳㤳㕡㔸戵つ愵㈶昳搹晦ㅥ摦㌰㤸昸㠴㝡〰搶捣㡣搸挰挹扥愰戱㘴㠴㑦㠱慦扦〶ㄲ㡥㉣〳㘵㠳㡣愷㔱㤸㍢㌸㌰收㔹挰㌱㥥〱慦〵㍣挹散戰㤳户㘴㝣ㅤ㥣〳挰愹摣㤹㙢㝣〳散〳挱挶换㘹昷㜵㌵〷㕦㘴〰㝣改〴㡥㜷搹愹慡㥦〵换㝥㔱㍢㠴ㄲ晥〲晡㍢㑥㠱ㄵ戵ㅣ㤴㐳㕥㉤挲㔹㜲愰㠱ㄹ搰ㅣ㍤ㅣ㈸敡㜸㜰㌸㔸㉡㍢㝢〵挴ㄲ攷摦㔱㐰㘷㥦㐹〷㌰㌰扥て㙡㜷㜶㍣搵摤㤳㐸愴㝡ㄲ扤㕤改㜸捡散敦敢戶㝡㤳昱慥㐴㝦㍡㤶㡣愷㘳昱㠸㈴㔵㡣昵〳搸㐴㔶㍡ㅥ散捥㕥攵搶㈸㔳㙢㐱搸攱敡㘸㌴㠴㥤㈱愰㍥〷㡥摥〷ㄲ㡥㌰㕤㤲收㄰㔴㑤ㄴ㌵㠱搳㠴㈹戲ㅥ㐴㠴㠷㌲搸㘱㈴㍦愳㜰㍢㑡㑡搲㈳戲㕥〰ぢ㝦昶㠷改㤱㘰㌲ㅦ挱㙡㌱㌹ㄸ摣㕡㑣㌶挲㐸攲晣ㄲ〵㘰㜲㌶扥昰ㄷ㌰㝥〵㙡㘳㤲戴㍡㤳〹散搵㡢挷㘲㘶㍣搱㥤敡㑦挴㔲㍤改㜸㝦㔷㌴ㄱ敢㑦㕢㕤ㄱ挹㥦搸㥣㕦挳㈶㜲㡥攳挱挶攴㥤㙥㡤㌲戵ㄹ㘴㈹ぢ㜳扤㤸晣づㅣ晤㝢㤰㜰㠴㤹㔱㕤㑣捥㜷㠵敤っ㜶ㄴ挹㙢㘰搹㤸㙣㐱〹㝦〱晤扦㑥㠱ㄵ㕣㐰づ㈶㐱㕦㑣〲扥㤸㈴㘱㈴㡤㔰㔸つ〲㈶㈹挷愳ㄱ㐴摤挶愴户㍢摡ㄵ㌵㘳摤戱㘸㈲ㄱ㡦昷昷昴愵攲扤晤㠹敥㘴摣㑣㈵㝡㔳挹㔸㐴㔲㈵㌶愷〱㌶㤱戴攳挱挶㘴慢㕢愳㑣㙤㐳㑤㌰㜹昵㝦㍤攳愴〹㈲摤っㄲ㡥㙣㠷㐲㕤㑣戲慥昰㌸〶攳㥢㜵摤㐶㔳ㄹ㈷㜹㌷搰〱っ㐴㍣昸搹〱㉡攳攴㔷〸㔸㍢㑥㕥〴户㜶㥣㌰捤㤱㐶捣㠳㉢㘰挲㤴㠶摥㡣昹愸摢㤸㈴ㄲ戱㘸㍡㘹愵扢扢晡㍡攳㔶戴户扦㌷搶摦ㄳ户㝡搲愹㥥ㄸ㙥愰㘶㐴㌲㈰戶昰慦㘰ㄳ㈹㍢ㅥ㙣㑣㈶摣ㅡ㘵搸㡣收㘰昲㕦㕥㑣づ㠷㐸ㅦ〱ㄲ㡥散㠱㠲㌴㠷ㄷ㡢㝤敤挸㔵挴ぢ㈸㜲愱㉢㈴〸戲〵㕡㜷戰戴㠰慥摦つ㈱晥〲㝡㈱㙢㈸挸攷扤愰㠲挹昷㝤㌱昹㥥㉦㈶捣㘸愴ㄱ㈷挰ㄵ㌰戹〴㜵㝡㌳ㄶ愱㙥㘳㤲敥㑡㈵扢㤳改摥愸搵搳ㄳ敦㌲㤳㠹㥥㜴户〹㘸ㄲ㈶㥥㈷㥤㔶㑦㐴㤲ㅤ㌶㘷㌱㙣㈲㤷㍡ㅥ㙣㑣摥攷搶㈸㔳ㅦ㐰㙤㈹㌹摦昲㘲㜲ㄲ㐴扡ㄳ㈴ㅣ戹っ挲扡攳攴㜲㔷搸捤㘰㍤㈴扤㌴㤵㜱㜲〵摤㤲搵捦㐰㈸挸攷㉡㔰挱攴㌱㕦㑣扥攲㡢挹搵㌰㤲㐶㉣㠱㉢㘰㜲つ敡昴㘶㥣㠶扡㜳㍦㠹挷㝢扢ㄳ挹ㅥ㌳搹搵ㅦ㡦攳㌲㡡㜶愵扡昱㌰㑤㈵晡捣扥摥㜴㉡㜲慤㘳愳㑦㠷㑤攴㍡户㈶て㔴㐹㘹搸㔴捡搴つ㤰㉤愵晣㑢㕥㑣〶㈱搲㐳㈰攱挸㡤㄰搶挵㠴㤹㡣〸㑦愵挳㈵㈴慢㘸㉡㤸㝣㠴㙥挹㕡挳㐰㈸挸攷㘶㔰挱攴㝥㕦㑣敥昵挵攴ㄶㄸ㐹㥣戳攰ち㤸摣㡡㍡扤ㄹㅢ㔰㜷㌰改㡥愷搲改〴㙦㉡㤸㔷昴攱㈶搲搷ㅢ㡦㈷㘳㠹㉥づㅣ慢㌷㈲㈹っ㥢㌳〲㥢挸㕥挷㠳㍤㑥㈴㝢㜱㘵敡づ挸㤶㔲㝥㡦ㄷ㤳㑤㌰搳攷㠰㠴㈳㜷㐲㔸ㄷ㤳㡦扢挲㐱㍡ㅣ㈲ㄹ愳愹㘰昲〹扡㈵换〴㡢〵昹摣つ㉡㤸散昵挵攴㔶㕦㑣㤸㤲㐸㈳㉣戸〲㈶㑣㍦攸捤㐸愳㙥㘳搲ㄷ㑢挴㍢慤扥㐴㉣㥤㑡挵昱㘵挶㝡㘳㜸〴㐷㍢慤㘸㈲㥡㑣昵㐷㍥改搸攸慤戰㠹㌰㍦愱〷ㅢ㤳㑦扢㌵捡搴扤愸㉤㈵攷挳㕥㑣戶㐳愴戳㈰攱〸昳㤰扡㤸㌰㍦ㄱ攱㑡扡㕦㐵㔲愲愹㘰昲㔹扡㈵㙢㠲㠱㔰㤰て昳づ挱攴ち㕦㑣㉥昷挵㠴搹㠷挴搹〳㔷挰攴㐱搴改捤戸㄰㜵ㅢ㤳㜸㕦扣搷㑡㈷慣摥捥㜸㌴摥搷搳㤵㐸昷愵㔲㌱㤰㘸ㅣ㠸愴慣挸㐳㡥㡤扥〸㌶㤱㉦戸㌵戹㜶ㅥ㜶㙢㤴㈹收ㅢ㑢挹戹搴㡢挹挵㄰改㑢㐰挲ㄱ愶ㅣ㜵㌱昹戲㉢攴㝥〰昹ㄵ㠱扥㡣愶挴㈴挲捣㐴㉣㍦〸㔶㙢㐳㠸㤳敢㔳慡收慦晥㙦〳ㄷ㔷敦㐰㍦〳㍢捡〹㐷愰〱慦㐱散㤷〷㡤挱㤳摦㤸㉦㜹〱て㔷㝣㝦ㄸ摡㠹戳晥ぢ晣攰㡣㍣㜳㘶㝡㝣㍢㍥晡㑡㌴㌵昴㌸㠴㥤㝥㑤㥣敡攷㘳〶捣攷攵㠶㑢㤸㐰攳㘷㠸愳㠵㘵晢㝦挳㜶㠰㍢戱㕥散㙥㡣㕥㌸挹㔹㤶㈸攱扤㜳搹㜲捤搶ㄵ昷摢㘱愳㌱㜲㈱〸ㄶ㜳ㅢ昵扣挹㥡攷攵换攱㤳摣攱㝣〹㕢晥慤㤴敢戱㠴ㄷㄴ㡤挱〶攵晢㍥搴昹戵ㅡ摦戶搰ㅢ㌶晤て愷昸㌶晥㜰㥦㔷㑦〳㤹戲扣扡㙤㠵㕣改挷〰㡥㜱㌵㘱㕡戲㘰㜸㐱㙦愸㠸㝥㤸㜱㠸㑡搴ㄹ㤰㤳敡戰扥ㄶ晥ㄴ挷㌸扤㤱搵挶攴㈵㠴〲㘱昵ㅣ㉦㥤敥㔴㤶摡摦捤捥㜷㘴㘹ㅢ㌳ㅤ戱㌸㑦ㅤ昵愱㘵愱㝤ㄷ㝦昴㌷昷㥣戲昰戶捦扣敥㝣㕦散㔸〶昶摤㜳搳收敦晥㜹挹㔲挵㈴㘵㍥戸搵㝢㑢㜳㘸㠴敦摥搲慣㈳愸摥㕣ㅢ㘱㙥㈳ㄷ捣㡤㌸㤱搶〶挵〴㠵ㄷ㡤摡〶ぢ㡥㔴ㄹ㕣㌷昱㉣㤹㕢㜰㠰㈹捤慣挵昸摢晤㐸慡㌴昴摣昳て敢㕢㈰㘸㘳戶㌱㍢ㄴ昶戹ㄶ㌳㐶攱㘷戰昰㐳挱㜴㑥戶㘶㘷捤ㄶ㐷㔰扤挳㌶挲㙣㐶㔰昸㤸㡤〲㔳ㄲ㐱攱㝣㔸散㐷攱㑥愲挰㙣挲㐶㠱㜹㡡昱㜷㤳㈸㥣㕢㠱挲㕤㐴㠱昹挵散㔰㘰㌲㌲扢戱挰㐴挴て㠵㡤昵㔰ㄸ㜵〴搵摢㙣㈳捣㕦〴㠵㑦摢㈸㌰〹ㄱㄴ㌶㜸㔱昸っ戸㡡昹㠳㡤〲㌳ㄳ攳㍥㄰晢慡㔲㙢㉢㔰㜸〰㠲戶㈶㑡㌱㕡㘷㝥㐵㌰晤㤸ㅤち㑣㍤晣㔰ㄸ慥㠷挲㤹㡥愰㝡慦㙤㠴ㄹ㡢愰昰㄰ち戸㈲㤸㜶〸ち换扤㈸㍣っ慥㘲挶㘰愳挰㕣挴㜸〴挴㐱㘱愰〲㠵㐷㈱㘸㍢㥣搲㔹愱挰㠴㘳㜶㈸㌰捦昰㐳㘱㐹㍤ㄴ㑥㜵〴搵ㅢ㙥㈳捣㔱〴㠵慦愲〰ㄴ㤸㘸〸ち㈷㝢㔱㜸ㅣ㕣挵ㅣ挱㐶㠱搹㠷昱㈴㠸㠳㐲㑦〵ち㑦㐱搰挶慣㘱㜶㈸㌰挵㤸ㅤち㑣㉦晣㔰㠸搶㐳愱搳ㄱ㔴敦扡㡤昴挳㤳愰昰㑤ㄴ㠰〲㔳ぢ㐱愱挳㡢挲戳攰㉡㘶〵㌶ち捣㌷㡣敦㠰㌸㈸㉣慡㐰攱摦㈰㘸㘳㥥㌰㍢ㄴ㤸㔴捣づ㠵㔵戰昰㐳㘱㘱㍤ㄴㄶ㌸㠲敡慤户ㄱ收㈱㠲挲㝦愰〰ㄴ㤸㑣〸ち㐷㝢㔱㜸づ㕣挵ㅣ挱㐶㠱ㄹ㠶昱㘳㄰〷㠵㈳㉢㔰㜸ㅥ㠲戶㑤㤴捥敡㡡㘰ㅡ㌱㍢ㄴ挶㘰攱㠷挲愱昵㔰㌸挴ㄱ㔴敦扦㡤㤸昰㈴㈸扣㠰〲㔰㘰晡㈰㈸捣昷愲昰ぢ㜰搵㔶㄰ㅢ〵收ㄴ挶㉦㐱ㅣㄴづ慣㐰攱搷㄰戴㙤愷㜴㔶㈸㌰㜱㤸ㅤち㑣ㅡ晣㔰㘸慤㠷㐲㡢㈳愸摥㠴ㅢ㘱慥㈱㈸扣㡣〲㔰攰っ㔹㔰〸㝢㔱昸㈳戸㡡㜳㝤ㅢ〵㘶ㄱ挶㉢㈰づち㐶〵ち慦㐱搰㜶㌱愵戳㐲㠱愹挲散㔰戸っㄶ㝥㈸愸㝡㈸〴ㅣ㐱捤㑥㕣㘶ㄷ搳敤挴昵晣㘸㔷㔶挵搳㕣㜱㥥㤳戶搹㑣〸昰挲㈳㤳捤捡扢㠲ㄶ㙣㥣㉢攲㘷戳慢戱㍦ㄴ摢攵昰晦㌶㌸ぢ搸搸㌷捡㝤㐸敥搶㉣㉤㌵ㅡㅢ改㜵㐵散搵㙡㑡て㤷戰慦㌷搵㡣㥦晤㤵换昸扦ㅥ摥ち扢敡昰昶愶ㄱ〰攱戰昷搳昹扥㌸攱ㅢㄱ摦搹户扤搵㜶ㄲて昷搷戰㐱敥户㝢㘳㕢㝣つ㠵㤹戹扢㑢㈳攵搹㐱摡愸晥晣㍦敥㥡攳㈵㠱搷愵捤㠱㈰㤶㑥愱㙦㌴㠲昰攷㙣㤲〹㠳㠴㌵晦㤳ㄱ㜹㠱㈶㈴㄰扡ㄲ㘷㔹㝤㜲㝣㤵戵㥣㘷㕦昵㥢搶㌹㜳摣㔷㑤㡣搲㜸㉤㔴愶㑡㔹㄰㈹搰㤴ㅢ㌳昹扦搳㌴攷挶戲㔶㝥㙢㜹㝣晦晦㐸㠳摤㘱昸㠱慣㙥㠲㤶つ㌴㉥户ㅢ㔱攲戸搴㍣搹㐶昵㐷摦ㄳ攳㡥㍢捤ㄳ㥢㍣愹ㄶ戲昸㔶搰㍥㈹㜵ㄳ㝣昰挴摣㐳摤㠲ち㥢慢攷㐲搳ㄵ㈸捥㤴㍤攱㕥昲つ㜷㐰㙤戸㠳慡挲㜱㔲㕤ㄱ敥㉥㌰㈴摣㍣㙦㌸㑥㐹㍤攱㕥昰つ㜷㐸㙤戸挳慡挲㝤愶㍡ㅣ㘷愸ㄲ敥〸㙦㌸捥晤ㄸ捥㜸ㅢ戸晥㈳攷㈷扥㑤㜸㍢昴㡤㜶㤰捡㤱㜳ㄴ㌸㕥㤰ㅦ慥㙥挶愳㙥㌳㡥㠱㈶捡㜲㈸㑥扥㍣㘷晤〳摦㤰挷搲㜷㘵㥦ㅥ㕦ㄵ㡥昳戴ち㤰㥦㜲挳㉤昲㠶攳㉣挷ㄳ敥摢扥攱摥㔱ㅢ敥愴慡㜰㥣㄰㔵㠴攳愴㐷㐰㡥㝡挳㜱㍡攱〹昷戴㙦戸㜸㙤戸㥥慡㜰㥣㜹㔴㠴攳散㐲挲昵㜹挳扤㔰ㄹ敥㌱摦㜰愷搴㠶㕢㔲ㄵ敥ㄷ搵攱㝥敤㠶㍢摤ㅢ㡥て㐸捦搹㍤敡ㅢ㙥愰㌶摣㔰㔵㌸㍥㑢㉢捥㡥捦㑢㌹扢攵㥥㜰㈱摥戲㘶㝣㍦㐵愲ㄷ㌸〸㑦ㅥ攷㝦挱ㅡ挰㜶散挵㔹晥ㅦ㔸㝥扢㝢㉢㜷扦慦㐰ㅣ挵ㅢ㈱㝤攸㌳㥤〲㉢㙤扣ㅤ戱搰㡣㑦㐰昱㔶挳㐶改㘱戲㜹㤷ㄱ㡢㤵㑥㐱㉣㜸㐷㤹戴攰摤㐲㉣㔶㤱捤ㅢ㠵㔸慣㜶ち㘲挱㥢挲愴〵㉦㜸戱㔸㐳㌶慦㜵戱㔸敢ㄴ挴㠲搷昵愴〵慦㑦戱㔸㐷㌶㉦㑢戱㔸敦ㄴ挴攲ㄸ愷㘲㥦〷㉦㉦戱㌸㡢㙣㕥㔹㘲戱挱㈹㠸〵慦㈲ㄶ㙣ぢ㕥㈱㘲㌱㐲㌶㉦づ戱ㄸ㜵ち㘲挱ぢ㘱搲㠲㠳㕣㉣㌶㤲捤昱㉤ㄶ㘷㍢〵戱攰㔸㥥戴攰㌸ㄵ㡢㑤㘴㜳㠸㡡挵㌹㑥㐱㉣㌸ㅣ㈷㉤㌸搴挴攲㥤㘴㜳㤴㠹挵戹㑥㐱㉣㌸愲㈶㉤愴慢㜱㔶晡㕤㘰扢㐷㠴㕤㉥㌳挰捤㈸㘰〶㈸摤㕢愳挵㙥ㄶ慤昳㙤㉤改搲ㅡ㉤㜶慤㘸㙤戱戵愴ㅢ㙢戴搸㥤愲㤵戰戵愴敢愸㤵㐴摤㍤㈲散㐲搱㑡搹㕡搲㕤搴慡㘸㍤扢㑤戴搲戶㤶㜴㔱㡤ㄶ扢㑡戴挶㙤㉤改㤶ㅡ㉤㜶㡦㘸㙤戳戵愴㉢㙡戴搸㈵愲㤵戵戵〴晥ㅡ㉤㜶㠳㘸攵㐵㉢攲㌶㕡ㄱ㘵㤹㘰㕦㡦ㅢ〸㤷愲〶㘰摢慣〲㡡挰㡡攰扡㉡〱戱ㄴ挱戵㔵〲挲㈷㠲㙢㉡〵ㄱㄷ㐷㐵攸㐴攳敡㑡つ㐵戴㐴㜰㔵㤵㠰〰㠹攰捡㉡〱㌱ㄱ挱ㄵ㔵〲挲㈰㠲て㔶〹㜸收㈲戸扣㔲㌰攷晦〰改敢㍣つ</t>
  </si>
  <si>
    <t>㜸〱捤㕣〹㜸ㅣ挵㤵㥥ㅡ㘹㕡㔳㈳搹ㅥ㜳㝤收㕣㤹ㅢ〴挲〲㥦搸〶㕢ㄲ扥㉦㉣ㄹ戳〹㈰㕡㥡ㅥ㙢昰ㅣ捡捣挸㤶㈱摣〴ㄳㄶㄲ㈰〴㔸ㄶ捣㘱ㄶㄲ戳㐹戸㐲㈰搹㑤挲㈶㠱㕣㤰㉣㠴ㅣぢ〹㠴㐰扥捤㉥攱㈳㠴㐰㌰挹戲晦晦扡摢敡改㐳㘳ㄱ昶晢㈸捦扣㜹㕤敦搵慢㔷㝦㔵㜷㔵扤㉥㌹愶㘲戱搸㝢㐸晣㘵㙡㈴㜳㐰捦㤶㑡搵㉡戴㜷㤵昲㜹㙢愰㥡㉢ㄵ㉢敤ぢ换㘵㜳换㡡㕣愵摡〰〵愳㉦〷㜹㈵搱㔷挹㥤㙢㈵晢㌶㔹攵ち㤴ㄲ戱㔸㌲愹攳㤰愷㥣㙦摡扤搰㉣愵ㅢ㐹愰ㄵ搳〶㐹ㄳ㐹㤲㐴㤳戰㤰㙥㈶㘹〱㘹㤹〰搲摢搵戹扡晦ㅣ戸搰㔳㉤㤵慤㘳㕡㑦戳㉢㥡摦搱搱摥搱㍥㝤㔶挷捣昶㘹挷戴㜶つ攷慢挳㘵㙢㝥搱ㅡ慥㤶捤晣㌱慤㙢㠶晢昳戹㠱攵搶㤶摥搲㐶慢㌸摦敡㥦㜶㐲扦㌹㝤㜶挷昴ㄹ㌳戲㜳收捣㙥㤹〸换慢扡㍡搷㤴慤㙣攵㠳戲㌹㠹㌶㔷㜷㜵戶慦戲慡ㅦ㤴捤㌴㙣挲㘴㜷愹㘰收㡡ㅦ㤰搱〴㍢㘲㐶户㌵㤰㘳㡦㔹㔶㌹㔷摣搰づ户㙢㠰挶搵慣昶㠵㤵捡㜰㘱㠸㥤摦㘵攵昳㙢慤慣昴㔴愱扢㔲㕤㘳㤶ぢ㤵㤶〲昱戳捡㔶㜱挰慡㑣㉣㥣㌲㌲㘰攵ㅤ挵㑡戲㜰㥡㔹㕥㘵ㄶ慣㐶㌲㤳ち㜶ㅦ㉥捤㔸挵㙡慥扡㘵㐲㘱㕤挵㕡㙢ㄶ㌷㔸㔴㐹ㄴㄶて攷㌲慡戱ㄱ㥦㔸挳ㄱ㘱㥥㐹㐷挱㥦㐲搷愰㔹慥捡ㄵ扢戰㈳㑣搷㌳㕣愴ㄵ㌵㝥㜱㐸戵晡㑡戱捦㝡㜲㠵攵㔶戹㘸攵㔹〹㝢戲捤愷㈴〰搹晤戰ぢ㈹户㌹散㈵搵散摣㌱㙣ぢ㙢㌱㈶㠳散戳慡㔴㉥㘰㐰慥戴捣攲晣㘹挷昴㔴㌳摤搶愶昹ㅤ㝡て挸昴㥥搴摡ぢ㘴捡㘲㜳戸㔲挹㤹挵搶㥥挱搲挰挶搶㕥慢㕣㘸晤昷慦戴捥搱㝢㔳㙦ㅦ㄰搵昸㍢摣愲摥㍡㜸㥢挴晢捣㜸㕦㝦扣㙦㈰摥㤷㠹昷㔹昱扥㙣扣㙦㐳扣㙦㌰摥㤷㡢昷㥤ㄳ敦摢〸ㅤ㌷㈵㥢㥡攲㑥㝡昷晣㙢㡥扡昲戰攷ㄶ摦晤愳愷捦慦摣㝤晦愹㡡㜷愵摣搴㔳挰㐴昹扣㉦㘴㝡㍦㄰㘳㝦㤰㈸㥦㘷敢〳愸㜷㈰㠸㔲㉦挱㘷晡摤戰昵搸ㄳ扦昳改户扢慥㍢改搲ㄷㄷ愸挷㜶㈸㍥〱愴挲扦〳ㄳ㔵㘱㉢㘴㝡㉡㠸㜱㌰㐸㔴㠵㌳昴㈱搴㍢ㄴ㐴愹攷㥣ち㉦晢㘲敥愲㙦晦昴戵攵搷㙥㝦愹昳改㠹㜷敦愹昸戴㤱ちて〷ㄳ㔵攱ㄱ㌴㜴㈴㠸㜱ㄴ㐸㔴㠵搳昵搱搴㙢〳㔱敡㈷㑥㠵㍦戸攱慢敢㍥㜱收㉢㕤㜷慤㜸㙢攴昹㥤敦㝣㐱昱挹㈶ㄵㅥぢ㈶慡挲㜶ㅡ㍡づ挴㤸〶ㄲ㔵攱昱扡㠳㝡挷㠳㈸昵愴㔳攱敦攷て晦昶㡣慢收慥扣㙣攷敡改扦摦晢㘷㤳ㄵ敦㑤愹㜰㍡㤸愸ち㘷搰搰㑣㄰㘳ㄶ㐸㔴㠵㈷攸搹搴㥢〳愲搴攳㑥㠵挶㐳㑢ㅥ晢㘵改㠹㠵㍢㜶ㅥ㕢戸攳㠲愷扦愸昸挴㤶ち攷㠲㠹慡㜰ㅥつ捤〷㌱㑥〲㠹慡㜰愶㍥㤹㝡ぢ㐰㤴晡㠶㔳攱愳㙢㑦㍥攰戱捡捦ㄷ㍤晣捡〵㠷㉥慥散扦㑣㜱㜶㤰ち㍢挱㐴㔵搸〵㤹敥〶㌱㑥〱搹㌷攲捥敡㤸愶ㄷ㔱㜱㌱㠸㔲㡦㌸㌵㉥㜸㙤搶搷てㅢ㌹扡晢㥡扤愷ㅣ戳昲昴户㜷㉡摥㘳㔲攳㔲㌰㔱㌵㉥愳愱攵㈰挶ち㤰愸㈶捥搲㉢愹户ち㐴愹晢㥤ち㥦晢㐴摢㉦㉥昹㑢挳搲慦㔷㤶㝤㜵摢ぢ㑦散慢㌸敤㐹㠵㙢挰㐴㔵㜸㉡つ慤〵㌱㝡㐰㈲㥢搸愱㝢愹戸づ㐴愹ㅤ㙥ㄳ㜷㡣㍣昸㤷㙦㝦扥㜳㝢㕢昶挹㈹晢㝤昲扤㤶昵㄰㥦敡㍣扡扡换收㘶㑣〶愳昳捣昱敤搳昸慦晥〴㡢昹㌵㍢㈳㍢㉢摢搱㤱㤹㌱捤㍣挱㑣昰〱户扢㑦㜲㍥㍥㕢戲敢㜳挵㑣㘹戳㍣摡て攸㌴㉢搶攸㤳扥捤㤱㜵㤶㠶㡢㤹捡晥攱挲㥥慡㔹戵昶昳换㐶㡤〴㡡昵㘰攲戳㉡㔲摦㐱晥㘲愷㤹昹㘱㙢攱㐸捥ㄶㅦ攸ㄳ㘳摡㉢昵㐷㑢ㄷ㤵慤㡦敤㤲〶㍣㕡㠸挵搴㈶戱ㅤ㘸愵㉤戲晤㙡敤ㅡ㉣㔵慣愲戸搷㔶㔸㤳ㅢ搸㘸㤵㝢㉣㉥挵慣㡣㌴㜵㙦㡡㥣戹户㙤㜵ㄱつ挵㙣㥡㌹搸㥢㥢㍤㘵愴㙡ㄵ㌳㔶〶晥づ㔹攵敡㤶㕥戳㍦㙦敤㔳愳㘲搷〹挱扥㌵搹㡢㑡〳挳㤵慥㔲戱㕡㉥攵㙢㈵ぢ㌳㥢㑣捣昷㤹㤵愵㡣㠵改扡㤱㈹愶㘲つつ㑡挵㡥づ㥢㌳㘹户搲㉥ㅤ攱改㘲捥摥㔳㙡㠷㕤晢㕡戴づ慤挸㕢ㅣ㤳昱㐳敢ㄸㄳ扢㌴㜳㔴戴愲愷㑤㕣户㔲晢挸㘸㙤昱㜱㔷捦晤晦㉡挷攳㝢㍡慤㍦㘵ㄳ搶㐴㑢捣㘲㈶㙦㤵挷㕣㜵㉢㝡愴㑦〷㐹摣㠳扢㌹ㄲ㍤㑥收㙡㐴㙤㐹㙣捥㘵慡㠳挶愰㤵摢㌰㔸㐵ㅥ㔶收挹㈴愱つ㈴晤ㄱ㘴改㡦㤲㥣〱㤲㑡挵㡣㌳愹㘴愴昴㔹昶㜵㠲㙢㤵昱慦戶戸昶搷戲扡挳㔲扣㤲㈸㉣㉡㤵㉢つつ㘱慤㕣㘲㔶〶慢ㅣ㥥㘳ち戹慥搲㝤㈴㘷㠳㈴戸㍡摡慤挵㕣㈳搷慣ㄳち摤㔶搶挴㑥㐱敥㙥㘵㈶ち昶攲戳摢慡っ㘸慥㔲㤷攲㕥ㄹ㌱挰攱收㙦㈹㜰昴㕢㈳搵㙥戳㙡㌶ㄵ戰摥㐵㉦㘹㈸戵㐹㈹㥢㘳挹〹㤲攷㤶㑥㌹㔷戰㤰ㄶ搶㘳愵㔹㌲㙣㑢戸㜱㜰扦挴ㅡㅣ㍡㜶㈳攰㍢㔷愴㠶㝦愰搷慥㕢戱㥣捥㉣戶㡡扤㕢㠶慣ち搵㤳挶㤸㔰晡㙦㉦ㅡ㕢㍤搰扦慥㥡换㔷摡攱改攲㜲㘹㜸攸㠳戴㐳㕢摡〴㜱㔳㘲ㅢ㐶昱敥户㠹扢搲愶㑤散㥢扥扥㔸㤲搶㤸愳戹㝥搶ㅣ慤㌰昶ㅥ㝥㈴㘹ぢ㍦愹戱㘴〹㉥慡挷戳挶攷㡡戵愵〰㠴㝡换㤶散㕡㤲㜲〱戴㈷ㄴ搶㤷捡ㅢ晢㑢愵㡤ㅣ㑦ㄳ攵慡㌲㘸㔹㔵敥〴㥡㥤㥤㡦散㜰㤴㙡㘸愸㔹挲㝢戶っ㥣〴㡤ㅣ挸㠴㠵昹㝣慢㙢戱㘲㥣㠳慣〶散㐹㡣㡤㘰昶㔹㤸㌷㡢㐷㔴㕡㝢〶捡㘶㜵㘰㜰挸捣戴㡦攴㉢㈳敡㝡戴㥤敢散敢敦ㅤ㜹攸摣㕢扢ㄷ摤㜶攳收㘷㡥捣晦昰㝦搴㘷ㅣ㐱㘰挵捦挵扣㙣㐲㡡㘰搴戵㔰攳㌳〵㝣㙤搲㐳戸搶ㅦ㈳㈹㠳攰挹㈰㔸攳挱挰㈷ち㉥ㄵ㌷〴㝣㌸攸㘱㤲㑤㈰㡡ㅢ〰摥㥡㝡㌳㠸㥢搴ㄵ戰捦ㅥ㤷㕥攳づ㈲搸㙢攷㈱㌷愵挷㤰㈹㙥㉢搸㜳㥡㐸㘹㘲愳㠹㡢扡〰㠶㐳〱㌸摦ㄱ〴㜶㈰慤㈸㈶〰㕣挶昲攷㐱㉤ㅣ㠰换㈱搶㕢㐹慥〰昱〰㜰愵㝤愹愶攲㔷〰昸〷㉡㕤〵愲づ〱ㄱ〰慥〶攳㈶㔵㐶ㅤ扢〰攰㡥㈶〸挰戵挸㑤改㌱㘴㡡摢㥣㌰〰〶愳〰搸攰〸〲㍢㈲㙥㜶〴㠰㥢挱㈸㉢ㄲ㠰㕢㈰搶户㤲㙣〳昱〰㜰扢㝤愹戸㘱ㄲ〰敥〰愳敦〴㔱㐷㠳〸〰摢挱戸㐹㥤攱〵攰㈸㘴〷〱戸〷戹㈹㍤㠶㑣戵㐱㈳っ㠰戵㔱〰㥣敡〸〲㍢戴㜶㔸ㄲ〰敥〳愳㔶㐷〲昰〰挴晡㐱㤲㠷㐰㍣〰㍣㙣㕦慡攳昰㉢〰㝣㠵㑡㡦㠰㈸㙥搸〴㠰㐷挱戸㐹㉤昲〲㌰つ搹㐱〰晥つ戹㈹㍤㠶㑣ㅤて㡤㌰〰收㐵〱㌰搷ㄱ〴㜶㡣㌳㘰㐹〰㜸ㅣ㡣㥡ㄳ〹挰㜷㈱搶摦㈳昹㍥㠸〷㠰ㅦ摡㤷㙡㈶㝥〵㠰㈷愹昴ㄴ㠸攲〶㔲〰昸ㄱㄸ㌷愹㘹㕥〰㘶㈱㍢〸挰㌳挸㑤改㌱㘴㡡摢搲㌰〰づ㡦〲攰㌰㐷㄰搸挱㜲㜳㉡〰㍣て㐶ㅤㄲ〹挰慦㈰搶㉦㤰扣〸攲〱攰㈵晢㔲捤挷慦〰昰ㅢ㌰晡㘵㄰㜵㌲㠸〰昰ちㄸ㌷愹晤扣〰㜰㐷ㅣ〴攰㜷挸㑤改㌱㘴㙡〱㌴挲〰㐸㐷〱㌰挹ㄱ〴㜶搴㕤戰㈴〰扣〱㐶㑤㠸〴攰㑤㠸昵㥦㐸摥〲昱〰昰㘷晢㔲㜵攳㔷〰㜸㠷㑡㍢㐱ㄴ昷搷〲挰扢㘰摣愴ㅡ扤〰㜰㠷ㅥ〴㠰戳㔰㑡㡦㈱㔳摣戵㠷〱戰昳㝦㈳㘶㠱㜷ㅣ㐱㘰㠳扦っ㤶〴㠰㈴愶㈵昵㌶搴挲㘷㠱ㄴ挴扡㤹愴〵挴〳挰㐴晢㔲㉤㠷㈱〱㘰ㄲ㤵搲㈰㡡晢㝤〱㘰㌲慥摣愴㕥㐳ㅤ摢〰〲昳㌴〳〶㐱〰昶㠶㉣㌵㤶㑣慤㐲戹㌰〰㕥㜶摡ㄹ㔸〷晣挶ㄱ〴〲づ㡣㈵〸〰〷搱攵㕦㐳㉤ㅣ㠰㔶㠸昵㔴㤲㠳改摤攸㍡攰㔰晢㔲慤㠵㈱〱攰㌰㉡ㅤづ愲㝡㤱㈵〰ㅣ㠱㉢㌷愹㥦愳㡥㙤㉥〰㍤挸づ〲搰㐶㥢㝡っ㤹㕡㠷㜲㘱〰㍣攵戴㌳〰挰㤳㡥㘰㠱㉦晥㤱攰㝥㙡ㅣ晢搶㘶㍡㥣㍤㉤㘷㙤收㐲㝢㘲ㄶ㜱散慥攱㑡戵㈴扢㠲〹搹敥搲慡㔲戵㍢㔷ㄹ捡㥢㕢昶捣㍡捣晡㐱慢㠸㍤㝢ㄹ㕢㜷㕦㕥㘹㘸挸捡攸㙣㑦㘹戸㍣㘰㉤敤晥㌰散改搱㍥㜴㥤㙣攷攳ち改晤㙤㔳ㄱ㜱㔲ㄸ㈵㐸戱〴㌷㤷晥摤㠶㐴搳㍤㤱〱㘱搳㔰㥣㌴㡡㘸㙦慥㥡户㥡戳戲㉢ㄷ㍥㤹〵㡡〸㠴㘴㥡戲扤㠳㔸㠵㜷㑦挸㉥㉥攷㌲昹㕣搱㘲㘷散㘵慢慥戰㌶㈰攸戱愶㔴挹昱挵挵㠴㙣㙦搹㉣㔶㠶戸㝦ㅢ搸戲㐷捤㤵㙣昴ㄲ搹捥㕣戱㠲㙡愴ㄷ挹㑦捡㈲ち扦ㄹ㉦扥㠶ぢ挵挵收㔰攵㐳搱㉢愳㜷㤰㜴㡤㡡慢㜸㕣㈵攳挹昷摢㍦挶㜴㔸摣搳㝥㍢搱㡡㜱㕡㉤攷晡㠷〹ㄸ扢㍦㜶㍣扥㡤㈴搲㠷戱挴㐷挱昹㜷㙡㥥㉥昴㠵㔹攸㙢捤扢愱搰ㅤ晦慥户㠹ㄳ愱慥㘷愰㔰换㑣㤰㘵㡢搷㉤ㅤつ㐰晥㑤㙦昹ㄲ㘷挰昲㙥挷㝢昸愴㥡㘸て㈱挶㠰㌸愲㜰㘷㘲㈴昰捡㍦㉣㔳㔹搱攱〸㥤㌸捡㉥㐲挸愰㈵扢挲散户昲㠸㜴ㄴ捣敡㐴晢㠲㈱㈷扣〵慡㌸戲慥㔲愱㘰㜲挸昱㕤㔶捦㠰㤹户㤲搹㠵挳搵搲捡㕣㔱㘷㐱㘴㕣㍡㔹收〸戲捣ㄱ㍢㈶㤱㕤换〸愸昰戴㔵摡㘰㤶㜳搵挱㐲㙥㈰挹ぢ㐶㈹㍦ㄴ㘳ㄵ捦㡦㐶㠰改㈶昷㔹攲て㜲搸愱〶㜴㜷㍢攲㠲㠴㡥摤㡦ㄱㅤ㔷〶晥愹昷ㄹ㈰挳㤳㐷㈶ㄴ㍤ㅢ搶ㄲ㜱㌸挱㐷㤱愴搷摤㔷摣慦㕦㠸ㅣ㜹㌸愹戳愸㠰慦㥥攳㈸㔱戳戱て㘴捣攸㐹ㄳㄴ㔲㉢㑡㘶㘶㤱㌹㠰昷搲㑤捥㕢改㈴扡㤶㡦㥡㜲㥡昱慣㉥㠴㐸ㄱ㝡摤㤴换㔸攵㈴㌳㝡昰慡扣㤱㤱㌰挳敥㐳散散ㅢ㘲㠹㐴㜳㌲慣慥愵慥慤㐳㥤㈸㠱昷㔵晣搲㠰晤㔷㑦㥤捤㈵㈷㥡搵〰慡㑦㐴㜳昴㕣㄰㜵㌶㉥搹ㅥ㥦挲㍣㉡捣〷㐹㤸㄰晡晢愶㌶戴㠴〰㤴㠶㔲愳扣捦㘵搰㉢㠹〰㤱㐴换ㄲ搲㤰㘶㑦㤴换戰〳㕣㐹昷㈵戱搱㠳㔱㙥㘵㔲昶昳㤵搱㌴㜶㐷㍣摥㠸慥㌶晣㙦〸〲搵挲㔸愱挷㤲昰㤷㘲挸挷㌸〹㠵㕢㜹戳挰㝥㕦挴换㥤㌹㠱ㄵ㐵㉡愵ㄷ愰㘰㉣愵㉣㔰ㄷ㡤㈹捣㐹戱㉢昵㐲㐸㜵㈷㠸攲〳㤰㙢〲捦っ愶㠶㜰挹㔹㉣愶昹搴㤴攴㝢㐲㉡㠶㐸昸㤴搴摤㌴㔲〶挷㠷捦慥挱戸〸戹昵〷㈳㘳㉡慣愰㘶㌰慡㘱攴戸㉥㠳㜵㝢㜸〹㌴昵㔲搶戶㈹㕣㘱ㄹㄵ㤶㔳㠱㜱ㄸㄳ㕦㘳〵慥敡愱㌷㍢っ扤㔵㈸〸昴捥昳搴攴㐱㙦㌵愴㝡つ㠸扡っち㝥昴ㄸ㐱愹㠳摥㔶愸〸㝡㙢㘹㠴㠱㤶ㅡ昴㝡㤱㕢ㅦ㍤〶㘴愰攸㐳㡦㔱㤹㄰昴㑥㠳愶㕥捦摡ㄸ戱〹㔱㌸㥤ち㝦㑦〵〶㜱㑣㝣㡤㡦攰慡ㅥ㝡㌳挲搰㍢〳〵㠱ㅥ愳㍢㙥㑤ㅥ昴捥㠴㔴㥦〵愲㙥㠶㠲ㅦ扤㕢㤰㔷〷㍤〶㘷〴扤戳㘹㘴ㅢ慥㙡搰敢㐷㙥㝤昴㙥㐷㌱㈸晡搰扢〳㌹慥换㘰摤戱㤷㠱愶戶㐰ㄴ挳㍤㈱ち㔹㉡㙣愰挲㜶㈸㤸昸ㅡ㠳戸慡㠷摥昴㌰昴捥㐱㐱愰㜷㡦愷㈶て㝡ㅢ㈱搵㜹㄰㜵ㅦㄴ晣攸㍤㠰扣㍡攸㍤〸ㄵ㐱慦㐸㈳っ昱搴愰㌷㠴摣晡攸㍤㡣㘲㔰昴愱挷㜸㔰〸㌸㘵㘸敡ち㙢㝢㈴㕣愱㑡㠵㘱㉡㌰㝣㘴攲㙢㙣挲㔵㍤昴㡥て㐳㙦〴〵㠱ㅥ攳㑡慥㉢㔳㤹㤳㥡っ慡户㐰慡捦〵㔱㡣〱昹搱㘳攰愷づ㝡っぢ〹㝡ㅦ愷ㄱ挶㠷㙡搰扢〰戹昵搱㘳ㅣ〹㡡㍥昴ㄸ㑣㜲㕤〶敢㡥扤㡢愰愹㉦㘶㙤㑦㠵㉢㕣㐲㠵㑢愹挰搸㤳㠹慦㜱ㄹ慥敡愱㜷㐲ㄸ㝡㤷愳㈰搰㝢挶㔳搳㝥捣戱㘷㡤慤㤰敡㉢㐰搴昳挸昴愳昷㉢攴搵㐱敦〵愸〸㝡㔷搲挸㡢戸慡㐱敦㉡攴搶㐷㡦㐱㈸㈸晡搰晢つ㜲㐲搰晢ㄴ㌴昵愷㔹ㅢ愳㔴㈱ち搷㔰攱㕡㉡㌰㜰㘵攲㙢㕣㠷慢㝡攸捤っ㐳敦㝡ㄴ〴㝡㡣㘸戹㌵㜹搰晢㉣愴晡〶㄰昵〶ㄴ晣攸㌱攴㔴〷扤㍦㐱㐵搰扢㠹㐶摥挲㔵つ㝡㌷㈳户㍥㝡㝦㐶㌱㈸晡搰㘳ㄸ换㜵ㄹ慣㍢昶㙥㠱愶扥㤵戵敤っ㔷搸㐶㠵摢愸昰㉥ㄴ㑣㝣㡤摢㜱㌵戵捥㡡〵挷㔱捥㠴㉥愲㈲敦攱㐷ㄲ㤶㉣㜷愲㈴攰㘳㤶敢换扥捣戱〷摦㜶㐸昵㕤㈰㡡戱㉢㍦㝣っ㔸搵㠱㡦攱㉣㠱敦㙥ㅡ㘱㕣慢〶扥捦㈱愳㍥㝣㡣㝦攱攳㠳㡦㐱㌰搷㘵〸㕤昸㜶㈰㕢摦换ㄲっ㤰㠵㈸晣ぢㄵ扥㐰〵挶捣㑣㤴㌴扥〸愶摥攰㥢ㄵ㠶摥㝤㈸〸昴ㄸ㑣㜳㙢昲愰㜷㍦戲昵〳㈰敡㈰㄰㍦㝡慤挸慢㠳摥㔴愸〸㝡て搱挸挱㈰㌵攸㍤㡣㡣晡攸ㅤ捡戲㜰戳㜶挱挷〸㥡敢㌲㠴㉥㝡㡦㈰㕢㍦捡ㄲ㠷㠷㉢㝣㤵ち㕦愳〲〳㙥㈶㑡ㅡ晦ち愶敥攰敢〸㠳敦敢㈸〹昸摡昰攳晡㌲㐵㝣㤱昵昲㌷㤰慤扦〹愲戸㜱挷㈷愶ㅦ㜳ㄸ㕥㈴㘶㠳晡昷ㄴ㠱晤ㅥ㌷㠹愹㉣㜷㝥㍤搵㉤㜹散戶挹㜲㡦㘱㜳摣㉤搹㘲散㝣㑡攵㐶ㄵ㙢昴㥦㜹搸㔵㜶㍤㑣㌵敦攵㍢㑦㈲挵㈸㤹〹㙦ㄲ㈷㈱〲ㄸ㔹㥥㑥㡦扥㕣㘶ㄹ㈶攳㕢挸摦㙢㘵㙥愰㕣慡㤴戲搵搶ㅥ㐴㤲㕡㜹㍥㈷ㅢ㡢㑤㕢㤸㤸〷㡢愱㜵戲㘱㡤㐵㥥㙣摤挴昷搵愹㡤挵搲收愲㜸㤳愸昰㤸ㄲ㙢搳㑤㑤慣㈶㠵慦愴㐳㠰㘲摡摤㠴愶㑦愴ち㔲㥡㕢㌸㘱收戹っ昷㙣㑣㠹〵㘰㜶㜷〳㐵㡦㔴扦ㅡ㔰ㄹ㘵㌵㌶㌵愹挳㝣愷㘰〲ㅢ慦㕤挷〸っ㠳晢慥挴㕣戴㜵昷ち搱扤㔱㈸㔹㔸㌶愴㡦㈳㕦㍦〱㤲㑡㜳戳㐵㠷㡣敦㠲㤹搸搵搹攷㠹ㅦㄹ摦㐳㕥ぢ昲㘴㘳㠹㈳挷ㄵ攳晢挸㤹㡣㥣摡㈳挴挶て㤰扤〷戲昱㙥摣㝤㕢捥戱㤳敥㐴㍥慤㡦㥥戱搵㑦㈱换㝥㑦摣つづ㥦㤸晥戱挳昰㐲㉤〲攵㠸㔵挷愱㤵ㅣ㈷挸㡣㘹㜶㍥晢㔹ㅤ㡢ㅣ昶㜵㙤㕦㉤ㄱ㌱扡㠸㝢㌰愶昴㌲㤷㔹敥㌰㙡ㄵㄸ㜶㤳㍡〶挵〹愱㐰昱㉣㜲昴㑦㐱㔲㘹敥㥣挴㔹㐲愱搹㜶捤收㙡㌶㉥扤〶㐴㠴㝣㙥挹挹㕢晤㑢ち㌷攲㔲挹㑥㠹昹㉦㈰ぢㅦ晢换㥤㤲戴愴ㄵ㤵〵㕢㜲㄰㜲㠳㉤㌹㡤挵㤱搲摣て〹㜳扡换㜰〳挴愴捥〰㈳㉤㌹搰摢㤲㤷㤱慢㕦〱㐹愵戹㡢㠹㙣挹㔹慥戰ㄵ戶昴㔴㤲㔷㤱㘵户攴㙣㜰昸挴昴㙢づ挳ぢっ㔶愷㈵㤳㐳㕢㌲㈹戴㈵ㄹㄶ㐵㑡换㉤㐶㈶敢收㜰㌳挲愴捥〱㈳㉤㤹攸㙤挹ㅦ㤱慢摦〴㐹愵㌷㠲㐶戶㈴敦ち㡦㠰㉤㌹㉢慣摦㘵㔱改㤳㈲㌸㝣㘲晡慦づ挳敥㔶㐳戸㤰㍥㠹㠷戶㈴ㄶ摡ㄲ敥ㄱ㤸搲摣㈷〸㔳㜵㤹㘱㠷挱ㄹ㉦愷㈵敦晤搵㌳扡攲㠸㜹改〶㤰㔴㥡慢㝢㘹〹㠷㤳㍤扡㘴㥣㜱㠸愵戹敡ㄷ㈱㕤㤷㐳挸扡㥤㕣㌳㡡慡㡦㐳㠸て㕥㜷昱ち㡣㝣㉦〰㤵㤶晣ㄱㄵ〶㐷搷ㅦ㤰ㅢㅣ㕤ㄷ戱㈸㔲㥡㙢㜶㘱㉥㜱㤹㑢ㅤ㐶㕤づ㘶〱扥敡㜵㙦㑢㈶戳㈵㝢㐸㑢戸搲㡥散㤳㉢㕣攱っ㤸㤷搳捤㝡㕦ㄶ㤵㍥戹㤲㘶㤹扦扦户㈵㔷㈱㑢㕡昲㜲㘸㑢㕥ち㙤挹愷㘸〷㈹捤昵戳㌰搷戸っㄷ捣㑣敡㝡㌰搲㤲㕦㝢㕢搲㑡㜷愶㑡㑢㍥ぢ㠵挸㤶摣攰ち攷挱㤶ㅣ㥢搶㐷敥㙡挹㑤㄰攲ㄳ搳㐷㝢㕢挲㔵慥戴攴搹搰㤶㍣ㄳ摡㤲㕢㘸〷㈹㝤慢换㙣㜳ㄹ㉥㕥㤹搴㥤㘰愴㈵㑦㝢㕢㜲ㅣ摤㤹㈶㉤搹づ㠵挸㤶摣攵ち扢㘰㑢捥㘳敢㔹扢㕡㜲㌷㠴昸㘰搹攳㙤挹攷㤰㈵㉤㜹㍣戴㈵摦づ㙤挹づ摡㐱㑡摦敢㌲㕣㐳㑡づ搷㤱㑣敡㍥㌰搲㤲㙦㜹㕢㜲ㄲ摤㌹㔹㕡挲挵㘰㘴㑢戸㐸ㄴ攱㌲搸㤲㜳摥㝡搱慥㤶㍣〴㈱㍥㌱扤挴摢㤲㠷㤱㈵㉤昹㑡㘸㑢扥ㅣ摡㤲㐷㘸〷㈹捤㈵㥥㌰㕣捦〹挳㌵ㅤ㤳攲愲㑣㕡昲㤰户㈵㉢改捥㉡㘹〹搷㘵㤱㉤昹愶㉢攴㑢㕦㌹㐰慥搷戹㉤㐹㜳昹㈶㈵搷㈳㙢㐲挳愴挷㜱㥤㠰㥥挱㡡㐷搳敢㈷㍢晣〲晢㌷改晣愶ㄷ㑣攲攴㉥㈵捥㔴㔳慦㕢㤸㜸昱挲摢晥戰㘳敥㘱户㝥改㍤攷昷㐲愷愴昳昳晡挹敡㈹㤴〸㝢㡢晢捦㘸㕤攸㘹慥扢ㅣ㠱晦㌸㕢晡挷慥昷㘷摡摥㜳㡡ㅤ㥦昷㥣㡦挷攷㍤攷攲㌰敦㙦㡢昲㝥㥢㈳昰㥦㐵㑢㜳ちㄷ散〷㙣敦㌹慤㡥捦㝢捥挱攳昳㥥昳㙦㤸昷晦ㄸ攵晤㑤㡥挰㝦㤰㉣捤㘹㕢扣捦搹摥㜳㉡ㅤ㥦昷㥣㜷挷攷㍤攷摣㌰敦㍦ㄳ攵晤㜵㡥挰㝦ち㉣捤愹㕡扣㉦搹摥㜳晡ㅣ㥦昷㥣㙢挷攷㍤愷搸㌰敦慦㡥昲晥㉡㐷攰㍦挲㤵收昴㉣摥て㠳挱㕤换㈹㜳㝣摥㜳㝥ㅤ㥦昷㥣㕢挳扣摦ㅡ攵晤攵㡥挰㝦晥㉡捤㈹㔹扣㍦てっ扣攷㌴㌹㍥敦㌹愷㡥捦㝢捥愷㘱摥㕦ㅣ攵晤㐵㡥挰㝦㜸㉡捤㘹㔸扣扦ㄸっ扣攷搴㌸㍥敦㌹㡦㡥捦㝢捥愱㘱摥㥦ㄷ攵晤戹㡥挰㝦昲㈹捤愹㔷扣摦ち〶摥㜳㍡ㅣ㥦昷㥣㍢挷攷㍤攷捤㌰敦㠷愳扣慦㍡〲晦戱愵㌴愷㕢昱晥㙡㌰昰㥥㔳攰昸扣攷㝣㌹㍥敦㌹㔷㠶㜹㕦㡡昲扥攸㘲敦㍦㜳挴㈹戶摥㤹㈳捦㥦㈷挹〶㍣换捤㙤㜳搶捥收敥ㅣ愱㤱㕣㍥㉦㔱㠵ㄶㅣㄱ㈸攳て㠴㔶攰㈴っづ〶攰㙦㔹㥤扤㌲㑥挸昰㡤慢晢ㄲ㕡换ㄵぢㅢ搹搵㘵扣㤵㙥捡㉥慤攰〴㔳㈶㠹㍦㜰愸㔶昱昷慦ㅦ㠶昳〳㠸昳㌴〲㈰㈴晢攴㐰㘸㠸㠵戱㤳㌱㡥㜶㡣攲攱晥摤㑦㥣㈷ぢ摥摦㘱㈶攳㌳㜰挷㍤㉢㤳昱㥣㤵㘹㔴㜹㜴戱扤攵戹㈸㈶㔱〳扣摡㡥改捦㐲摦戸〱㠴〷昷㘵㝤〸㤲搲㌷㈲㐷㐲㙤㐲㘲㡡㙢ㄵづ〵㑤晢㡤㉡ㅢ㙡敢㥦愸㐰㕢愳㜶㙥㘵ㄶ攳挵㡥ㅤ慥ㅡ㍣㜶捥づ戵㜳㐷搰捥㜶㥦ㅤ捥摦ㅥ㍢ㅦ〹戵㜳㑦搰捥攷㝤㜶㌸㤳㝡散昴㠶摡昹㐲搰捥㤷㝣㜶㌸愷㜹散慣ち戵昳㘰搰捥㤷㝤㜶㌸扢㜸散㉣〹戵昳㘸搰捥搷㝣㜶昸㥣昷搸改っ戵昳㡤愰㥤挷㝣㜶昸挴昵搸㤹ㄷ㙡攷㍢㐱㍢㑦昸散昰搹攷戱㌳㌳搴捥て㠲㜶㥥慣戵㤳攰㜰摤敤㝢〹换愵搸㥥㜸敡㌸晦㉢〴てㅤ戵攵昹㝦㐲㠴㥤㘱愹㍤攳昵㈳搴愳㙥㈴攱搸晤戱挳昰㐲㜱㤴搳つ晤ㅦ捣攵〰ㄷ㥤愷ㅤ㐶㜴㌸㠲㐵攷ㄹ收㜲昰㡡捥㑦扣㍡ㅣ㥤愲昳㉣㜳㌹㌰㐵攷愷㕥ㅤ㡥㍣搱昹ㄹ㜳㌹攸㐴攷攷㕥ㅤ㡥㉡搱昹〵㜳扦散敡晣愷㔷㠷㈳㐶㜴㥥㘳㉥〷㡢搸㜹摥慢挳搱㈰㍡扦㘴㉥〷㠲攸晣捡慢挳㥥ㄶ㥤ㄷ㤸换㑥ㄶ㥤ㄷ扤㍡散㐵搱昹㌵㜳搹㠱愲昳㤲㔷㐷攰㈵戲㙥ㄴㄹ㝣㉣㑤㤸㘵愶㝣ㄹ捣㠴〶㈵〰〷戴〸戴㘸晤搶搶ㄲ㠸〳㕡㠴㕡戴晥换搶㝡ㄶ㍦攲㐷㑤㡤〴㕢戴晥摢搶ㄲ㤸〳戶〸户㘸扤㙡㙢〹搰〱㉤〲㉥㕡慦搹㕡〲㜵㐰㡢㤰㡢搶敢戶㤶㠰ㅤ搰㈲攸愲昵㠶慤㈵㜰〷戴〸扢㘸扤㘹㙢〹攰〱㉤〲㉦㕡㙦㠹㔶㠲攰捥昵挵搴挳て㐸戶昹晦㈸昷ㄴ晣㤱敤ㄶㄴ㡦㌵攰㘴㤸㝤㥥慡㌱㝥攲晢戳挵愹㥤挷㈹昹㑤㘸㍣て晥〶㍢散搸搱㌸㍥㉤㜶攲㥢㔴㌱挵㌱挲〶慢㈴㙡㘰㉤慥㠰挳㐲〴㑤㍥〱㐷㠲〸っ㥦㠰㥤㉦㠲㠴㑦挰晥ㄶ㐱愳㑦挰㉥ㄶ㐱㠳㑦挰㕥ㄵ㐱摣㈷㘰㐷㡡㐰昹〴散㍢ㄱ挴㙡〵捤晦〷昲搸〵㍤</t>
  </si>
  <si>
    <t>df980607-cf75-4fd2-b646-11d44da76348</t>
  </si>
  <si>
    <t>㜸〱挵ㄷ㑤㙦ㅢ㔵㜰㜷扤㕥敦慥攳搴ㄵ㙡㈹愴㠰㔱㔳摡戴㘵戱昳搱㌸㤵愲捡㜶㥡㘲愵㠹搳㌸㙤〵㤷愷户敢㤷㘴㥢晤㜰昷慤愳愴〴㜱〱愹ㄷ捥攵〰〷挴〹㠴㄰㔲敦㐸扤㠲㠴㠴〴〲晥㐰㑦㥣㄰㔲㡦㌰戳敢㑤摣搴㜲㈸慡挴㤳㍣晢㘶摥扣㤹㌷昳收捤㡣〵㔱㄰㠴扦㘱攰ㄷ㠷㡣㤳㤳捤ㅤㅥ㌲搷愸昹㡥挳慣搰昶㍤㙥㔴㠲㠰敥㕣戳㜹㤸〲〶㠵搸戰捥搳㠴摢㜷㤹㑡戶㔸挰㠱㈹㉤〸慡慡㐹戰㡥㐲昰㤷㑦㄰つ㜷つ挹〰㔶㙢搵㠶㜹ㅢ愴㌶㐳㍦㘰ㄷち㌷攳扤戳愵㤲㔱㌲㈶愷㑢ㄷ㡤攲㠵㐲慤攳㠴㥤㠰捤㝡慣ㄳ〶搴戹㔰㔸敥㤸㡥㙤㉤戰㥤㔵㝦㤳㜹戳捣㉣㑥㤸㜴戲㕣㥡㥣㥡㕡㥢㤹㈹て㠱㙡㘱愹㔱慢ㅡ㑢㉣㝣㑥㌲搳㜸攴户收㤸㘵愳㙤㡣〵戶户㙥㠰㠶㈷捥㙦㌴摡愱搱㘸挶ㄶ搹㕢㉣㠳㘶㤲攵㠰慤戱㠰㜹ㄶ攳挳攴捡戶挵㥣ㅡ㜳㥣ㄵ戶挶戳攴㙡攰㜷摡㜵慦挵戶㘵㜲㤳〶㉡戹摡戱㕢㡢戴㥤㜳㙦㜰戶㐲扤㜵戶㐴㕤㤶㜶㤱㉣挹㠲㥣ㄲ㔲愵挳づ㔱慢㑥ㅢ㑦愸㐱㐷慢㠵〳摢搰㍤㜰摣〵ㄶ㜸捣㌱攰挸攸戴㝥㔷晤㌶攵ㅢ㈱㌵ㅤ㈶㘶扢㠱㠰㠷㐱㤹扡愶〰挴愱愱愵㥡ち㐰㤴ㅦ㐳晣昴㜲㘶㠱㉡ㄱ㉡ㄱ㔳㈲㤶㐴㕡ㄲ㘱ㄲ㔹㤳挸扡㐴㌶㈴㘲㑢攴戶㐴㌶㠱㈷ㄹ㙡㈶㈳㜵挷攳敢摦㍣戴㝦㌵ㅢ㥦搵㉦㥦攰户晣㍦搳愸敦搹敤挷戰搳㈲ㄷ㐲挸昰戴㍢敦〷㍣㤵ㅡ㘸敢挰㐵戴㕤搳ㄱ愰㙤㘹戴晤㔰敦ㅥ〷㈶㤱㡡㘶挶〵愷㉦慥〷㘹㌷扥搸㌹挶㉤捤㠵慢㡦㠲㐰㠱㤹搳㘱㐳㙥捤昷㐲戶ㅤ捥搱㤰㘶摣㘵ち搱ㄳづ挳㐶攰㍢摦ㄵ㌰㤴愰㈸㘷て㐱㜱昹㘴㈵㤱㥡摢㈷㠰昰ㄷㄲ慣㐷挷㥥散㔸㤵ㄶ改㐱挱昱っ愵收㈲㕡㈲㔲敦㘲㈰㉦ㅦ㑤㝢㠴㘵㈳㐲㉣㐹㤶㘵ㄱ㥥㝥㉡昹挴挸搸㘱戱㠸㘹㘶㡢捤㜷㌰㠹〸攷晦ㅤ昷敡㑥㥢㜱攴㍦㌵㤸㍦㜶㍦昰愹捡挰㕢ㅥ敤㈷挶㌲㙦㠴戶挳つ㌰㌱㝡扡晦㠷扥攷㜵㙥㍣扢㥥晥ぢ㥥敢戳㜸ㄸㄳ㜹㘶ぢ愳㤴㄰㐱㐵ㄹ昸扣㜴㈵〷㜰戸㈷昷㕤ㅡ扦愴っ〳㉤慡㈷昸挵愱ㅤ〱愰敢ㅡ㌲㙢戸㡡挵〶㍥搱㠸ㄷ〷慤挹㤸㘱〶㕥ㅡ扥㐵晤㥡㑦㕢昳搴㠲㡡㤲改搶ㄳ戵收扢㙤㜸㐵㐱ㅥ戳㔹捤㙦戱攵挰摦戲㕢㉣㔰㤱搰㠴扡㈵㘳㙥㔰愲攷挷㈱㘰㔳㐲㍡㥤㔵晢改慡㈷戲㐶晢搴挵晡㔳昲晦戸㕥扥㡣收敡㍡㔶㄰つ昳㠰昶㈲〰ㄱㄳ〸摡㠳っ攸搴㉥挳〹㤸㙡㉦〱㄰㌱戹昴㘱㜸ㄹㄹ㐶㤰〱㥤㤹㌰扣ぢ㜳㕤㍦㡡㙢㈷ㄱ扣〲㈰ㅦ㈵ㅤ㤸愸挸㈵攴㈳戵㌰搱㕥㐵っㄵ愱㕥攵㌵〰愷㙢搵摡ち㈹捤ㄴ换ㄷ捤戵㘹㍡㙥㤵㈷㉦㑥㤷捡搴㥣ㄹ㘷慤㠹㌵㤳㥡搳攵〹㉢ㅦ㥤ぢ搸戵〲㠰㍣㥥〴㈵㘸慦㈳ㄶㅤ〹戱〲㘲㜸〸っづ攵ㄴ㠰㕣慤㑡㈰敢㔴㕡㕢捤㤰㠶捡㈸㤰㌲攴捡ㅤ戸㠳戶㜲ㅡ㤰攱㜸扤挹敥㜴戰㑣㉡㙦散敦㠱㐲收㜴㕡㑣㌹〳愴愳挸ㄶ㜵ぢ昵ㄶ㈴㐴㍢摣挹愳㤹㤱㥡戳㌰㤱ㄷㄹ昵㤴㌱㤸㕤慥㔴㥢㘷摦摢㕤昱晤㜰ㄷ戲㍤戳㈸て昹㙥挵愱摥ㄹ㕥㘸㕡〱つ慤㡤㌶㙤ㄹ摢づ摦摥㕤㕡扥㠹㍦㘳昱㑡㘵改晤挲㥢㠵㘲㘱㉣㜶㤸㉡ち摡㌹㤰㤶㐱㝦㐵㤶㘲愸愷㝡㡢㥢昸ぢ〴㌰㔶扣㑦㐶㑦摣㤷㍥㑥㌵㍥晡㜲攱㠳㜳㑢㥦㔶挵㥦扢ぢ㍦摥晤㥤㝤㝢昵扢挶搷て摣挵扢晡搴挳㜴〱㘴ㄴて攴㤶愷ㅡ㠹㠳㌵ㅣぢ摦㌱户捥愱㙢㠰づ㘹搵慦散昵〶㐷愳㤰〵晡昹愴挲㥤摥愷㔴㑣敥㍢㥤㤰㈵摢ㅡ挱摥㍥挸攷昰㠶愳㝤攰愱㘳晢㔸㑦㈶ㅦ搹愷搶㍤捥㠲㤰戵ㄲ㠹㕣㄰㐵㔹㑡㠹㔳㠷㔹〲昷㡥㉤㔱㕣扢㤲挶〷㉢攸㐸㥦攷㔳戵挳愸戳挴㜵㔱挳挰㔴っ〰摡散㘸㘵戴㔴㉣ㄶ挷搳㍦㠱㕢晦㥢㑥㡣搴晤挴㠵ㅡ㜰攸㕡ㄱ愰㠸ㄱ㡣愲㤱㌴㔴〲〰敤搱㥣敦㔲摢㝢㕥晤㈳〶搲挱㍣ㅢ㕤㝢慣㘶慦㤱㑣㐲ㅢ愳㝡挸㙤㔸收㙡挰愲㈶㔰㡤㄰㈸㜲㌹昷㤶ㅦ㙣㥡扥扦㠹ㄵ㝡㌸挲昸〶㘳㈱昶㘵㔹㌷㝥㈱㌸ㄷ㐵㌱昵㐴戴昶㐶㉥ㅡ愹㡣〳挸㔵ㅣ愷㤰㐸攴捡〴㤰㔲㈰㐳㤹㠴挹昱晥㑦㐶晣愱ㅢ摣㕦扣㜳敦昳㐷扦挹昳ㅦ㍥扡㌷戲昲搵晤㠶昸㝤㜷攱㘰攷㈶愳㤷〷摤㌸㈶挷㡣㑢㈸晥慦㔰㕤攲㌰㙦㍤摣搸晢㉦〱㘹㕤㠵㍦ㄳ搳挰㠴㑦㄰挷ㄱ㐴昰㑥愳摣㤶晤〷㄰挲戲㔱</t>
  </si>
  <si>
    <t>1)</t>
  </si>
  <si>
    <t>2)</t>
  </si>
  <si>
    <t>3)</t>
  </si>
  <si>
    <t>4)</t>
  </si>
  <si>
    <t>5)</t>
  </si>
  <si>
    <t>IncrementalCashFlows</t>
  </si>
  <si>
    <t>㜸〱敤㕣㕢㙣ㅣ㔷ㄹ摥ㄹ敦慥㜷搶㜶散挶戹㌴改捤扤愷㜵戴㡤搳愴ㄷ㑡㐸㝤挹挵慤㤳㌸戱㤳㔲㤵戲ㅤ敦㥥戱㈷搹㤹㜵㘷㘶㥤戸ㄴ㥡㐲㘹㈹㔰愱戶ㄲ搰㔲愰慡㔰〵㉦㐸㐵愲㙡㘹㜹㐰㐲〲愱ㄶ昱㔰㈱昱㠰㔴ち㠲〷㄰㐴攲愵て㤵捡昷㥤㤹搹㥤摤昵㡥摤㑤ぢ㉥昲㈴晢攷捣戹㥦昳㕦捦晦㥦㐹㐲㐹㈴ㄲ敦攳攱扦㝣㤲㑣㕣㍣戵攸㝡挲捡㡤㤶㑢㈵㔱昰捣戲敤收㠶ㅤ㐷㕦㥣㌰㕤慦〳ㄵ搲㜹ㄳ攵㙥㉡敦㥡て㠸㑣㝥㐱㌸㉥㉡愵ㄲ㠹㑣㐶㔳㔱捥㑥昸敢ぢ㕦㌴戶敡㑥〲㑣㡦㡥ㅣ㤹㌹㠹㕥愷扣戲㈳戶て㥣昰摢敥ㄹㅡ捡つ攵㜶摤㍣㜴㔳㙥挷昶㠱搱㑡挹慢㌸㘲㡦㉤㉡㥥愳㤷戶て㑣㔶㘶㑡㘶攱㑥戱㌸㕤㍥㈵散㍤㘲㘶挷㡤㌳晡慥㕢㠶㜶敤摥㙤摣㝡敢㉤摤ㄸ㍡㜱㜸㜴㘴搲ㄱ㠶晢㈱昵㤹攲㤴㜷㡤㠹㠲挹戵〹攱㤸昶㙣㙥㜴〴㝦㈳昳挷摢捤戹愹㌹㈱㍣づ㉤ㅣ㘱ㄷ㠴慢愱㘱㤷㌵散扡ㄵ㙢㥥㥢愷㔹晢戱搴㠲敥㝡㈹㙢㔴㤴㑡㥡ㄵ昶㥡戱㡥㘰敦㑡晡㘲户㌵㈵㙣搷昴捣〵搳㕢㑣㕢搳攸愸搸㘳ㅤ㜷挵㌱摤㥥ㄵ㠷㜵㑢愴慣〳ㄵ戳㤸昴㥦㐴挷戵㘱ㄷ搱㠹挹攵攷㠶㕤㙢㜴㑥㜷攴㡣㕣㙥㑣㑣摤晤㑥愱扥敥㤵慤晢攵搴攵〸散昳敡搶昵㔰㜲㐲㜷慡㌵〷㕢搷っㄶ㕦㍦㠳ㅢ㕡搷㡦散㔱㝤㥢敢㕡户㤱㕢㔹㕦㕢改ち攸㕢敥㈸ㄶ愳愵〹㍡〹㌲〴㐴愰㤶㈵攸㈲攸〶㔰㤲晦〶㤷㐴ㅢ戲㐸捤敢㙡㝥㐶捤ㄷ搴㝣㔱捤ぢ㌵㙦愸昹㔹㌵㍦愷收㑤㌵㝦㔲捤㥦㐲㥤昰挹㜴㜶慡挱㌳搱晦慦㙦摥昶攷愳攳㍦搵㥥㝥攲㤶搷㙥摥搶扤づ㤵㡥〶㤳ㅡ㜳昴搳㈰戵ㅡㄵ敦捣敤攰㥦攵戹〲㑣㘱散㌶㙥㌶㠶㠶㡡扢㜷攸㌷敡㈹㉥㉢〶昹㜵㠴搲㠷扡摤挶㕤愶㕤㉣㥦㤶戸扢㜸㐴㜷㐵㙤攳〶㠳戲㤱㜲挵㉥扡ㄷ㉤㕤㌸攵改㥥搸摡㔸㔶敢愴愹搹ㄴ搸㑡戸㜲扣㑢ㅢ㥢㥤搰㑢ㄵ㌱㝣挶昴㡢㉦㘹㈸戶㈶㥤昲㑣敢搲晤㡥戸扦㕡摡㌴愳㘱〸戵〵搹㜷搳㉡晤㈲㝦㕥〳愳㜳㘵㔷搸㜲㝡㠳搶愴㔹㌸㈵㥣㈹㐱㤱㈸㡡㜲愹ㅢ㔹ㄴ㜰晤攰ㄱㅢぢ〵户ㄶ慦㠸收ㅡ晢捥㜸㘰㘶㔱挴㝣攷㠵攳㉤㑥敢㌳㈵戱愹慥㡡㍦㈶ち戶搴㘵敦㉦ㄷ㉡敥㘸搹昶㥣㜲愹扥㘴戸戸愰㐳搲ㄴて㤵㡢㈲㤹㑣㐸愱〰㠱摢搱愱㈸㠹敢㕢昳㠲㐴㐴〴挵㘴攴ぢ敢挹㉥㜷っ慢挳㉡㑡㠲㌴愹㕥戵㑣㘷㥣慦㤴㌱㌱ㅣㄸ㔹ㄳ昵〷〷摤戶㑣户㔵捣㝤戴㤵㔵戵㍦㔸晤扥〵㘱㝢〷㜵扢㔸ㄲ㑥慣昶㔳㌸㈳慤ㄷ㈰㜵づ〲愱攵敥㔱搵㈹㘷㤴挵搴㘹戳攸捤愵攷㠴㌹㍢攷㈱てㅡ㌲㤳攱搶㌶㍤摡〵挸搲搶ㄳ昴〳㘴戳㠹昴〶㔶㑡㘷昱㈴㔲㤴㑥㌱扣㕣㈷挸搹慥㡥㤷扢㡤晤㘶挹ㄳ扥㔰敥㌵㠰ㄱ㕦慢㐹昴昵㤰㐴ㅤ扤攰㉢㡣つ挶㈸愸㔴㌷㙤㙦戱挶户㑤㕣攲ㄳ搱㥡㉣㔸㜵戲㠰愲愰㕥ㅥ挴昰ㅡ㠸愶㐱ㅡ挴㔷㡥㄰ㄱ搹㈰㐶戳愳攷㝡㈲㘳晤ㄸㄹ㠱晡㔱㈲㘴敤ㅤ慤㘵〴㠹扤㤹㐸搹愸㈵㍦慥㐹戳愵㙣㜹㕦㥡㙤挴挶㘹㥢〸㌶ㄳ㕣㐸戰〵㐰昹㉢㈴ㅣ愵ㅣ搲昵㡦㜶ㄱ摥戵㡢〹㉥〱㠰㝣搲㈸㜳〲㔱㐵ㅢ㙡㈵㜶㈴敢昵挰㑥㤶㐶戱㉦㡡㘸ㄹ㔷敤捣ㅥ㑢㈲㍡戰㍡㔷㠷慥㑤㑡ㅤ㝢㑤㙢摡㡣㉥㠷ㄴㄹ㔳㌵扡搶㘵慡㐶㌷㠲㔵摢搴㕢㤷愱愹㌶㐰㜰㌹㠰慦㔸㘸散慥捣㥡愷㌹昹戱㌰㠹㝣㐳愸㑤攵ㅥ㄰㌱捤晦ㄸ〱搷㜴㜴㔹戳㥦㘹ちづㅡㅦ㝢晢㜹㝢㙢摥づ㤰摥愰㌳搷㜴づ㝤㐵ㅦ搰㠲扥〲散愵晣戱愵㝥戹ち挵摡搵〴搷〰㌴攸ㄷ㥥扣㍦愸㤷㐰㥡挴㔶〴㜳敢改㜱㤱ㄶ敥昴攲扣㤰摡愷摢㤸搶㥤㔹攱挱㝢㌱㍥〶㍢戸散㌸愲㠴〳㙤㔱㘶昰散戲戹㍥搳摤敦㤴㉤收慦搹挷敥挷㐲㌱㈴㤳㙡㐷愲挱㍥㡥戱㌳㈳晥愶〸攵㔰晦摥搸㕡㐸㐴ㅡ搵㤳ㄷ摢挵㥦㉤搷㈴㐹ㅢ㤲㘴ㅢ戶㔵扢づ〰㔲㐲昹㝤㑢㠹㌲挸㙡摢㘵戵㝡㙢㤵摥扤㤸㤳㐹㠳晦戰㐹㡥㜴昹捥摡ㄱ昸づ摣ㅥ㙢捡戴慡挲愲换㥡ㄴ㑥〱㝥〵戳㈴戲扥㑢㤶愲㘶㑤㔶㝣㑣㘴㐵㐷㐷搳㔹㍡挶户㈶改愴㐱㑡挴㜲㝢㙣㘱捣㌹扣㐶㔴㜴㐱㔲愸挴戸㠵慡ㄲ㠸㤴挷扡㙢㈲愶つㄱ㤳挳挶㘹㌷㄰散㈰ㄸ〲㐸晤ㄶ㤲㘶愵ㅢ捦㔰㔸攷〲摤搹昹㝣㈲㐳㌴㐸昷攰㥢㉤㠵搵㉥づ戳㥢攰㈶㠰〶昳㠷捥挷ㄸ㐲㤴㈸㡦㄰㈲慤㈵捤㌸㘱㡡搳愴㠱㜵〶㠲㑡愳ㄵ搷㉢㕢㡣㉡昵ㄸ㘳攵挳㘵㙦捣㜴攷ㄱ㠵敡㌷㠲挴㕤㜳挲〶㜵㌹戰㝤ㅡ昲捡昳昳愲愸ㄹ㔳攵ち㐴摢昸搸㙡㌸㤴㘳㝤戰㈵攵戹㕣㔵昰戴㜷㌶㐶ㄷ㡡㍣ㄱ挳搷㑡㑦散㡡㍣摦㍣昴昵搶㜶㜴摡昴㑡愲换昰㤹㡥改㡣㠱㕤㐴搴愰搸㘹㑣捦㌹㐲㡣昵ㄸ〷ㅣ戳㔸㌲㙤㐱㘴挰挶㘴愰㙥㐲捣㈲㐲㌰㔹㘶晣慦㙣昷ㄸ搳㡥㙥扢昳㍡㠳㠹㡢敢敢摥㘴㐸㈴㘵㡣㤸戶㡢㘱㈴ㄶ㤹敥㌵愶收捡愷ㄱ慤慤㔸昶〱㝤摥㕤ㄵ㔸㈱搱晢㡦㐴㡤愲㉡慡慡㘴搴㑣扢昸攱㠱㍣㤱搸㠹㕦㤲㐰攲㉡㤱愲扦㍣㐶㝢搳慥て攲㌳戴搳㌹愷㙥㐴㡥慡㤹ㅤ戱㔲㤸㥣慡摤挲㌶户〲摣㜱攰昸㜸㉤㉡㜷㕥昱敡ㄴ㍤晣㌱㌲㕥㤲㐵㌵〸㐲晦摣㍡㥦㔴㤸㐷捡〱〷〲攳㝣㙢㈴扦慣㈱敢㤰晡搶搵㤲晢ㄱ㐵敡㌶㈶昴ㄹ㔱㐲㉣摡搲扤㜵晥ぢ捤㔸㑢㉦戹㐱搹㘸搹戲㜴㤲ㄶ挹㜲慡愰㤳㠲㠷㉢㕥昹㤰㘹㙢〶㠰愴扦㈰㑢㍦㠳㉣晤㡣捣敡㌶㡥㌱㉣㈸搳散慢㍣慢㍢愶㌷㘷㤹㠵っ㕦ㄸ扡㕢ㄵ㌴〹㈶愷攴つ㥦㔰㘶っ㌴㔸昳挷㘱戲戹㌹愰㍢〷㌹捡慤㈳晡㐱戹慡㤲挶ㅦ愵㑤挷ㄲ〴㡣昴㤲㙡户愱户㤴扣ㄹ〱㤱㈳㥦㜳攱晤㡢㜳て㈱挷昷换ㄱ敢㌱㈴〲㡦㘰㐴挸搳扤㥤㌶㡥摢愶〷散ㄱ㘳晢㑤㙦捣〵捡〱㤰㤴挷摢慤ㄲ慢㤱㐶㠳㔵慤㜰㔹㜳㔱㥤㥡戸戴戹㍣慡㌷慥㕡愲搸搷㈸ㄱ㐵戲㕣㈵愹㔹㤶㤸攳㙡㔲㌵㡡㔴摣愱戶㔱攲摣愶戵㝤愷ㄴ㌹て挵㈴㘹㈶愱敤㤱㠴㠲㈰㉦愹〳㍡㡡晥晡㜸昲㠸㐴㙢㘸〳㘴愹愷晣扣㥥㈰ㅣ㌸㡥㉢㈷㐵㤱つ摥挰摦敢㠲攴㤱㡡㔷㔷愲㥦改て㑡㠶㑢愵㈳㌶慣㠴㠲敥ㄴ㔷〹㑢㘳㙤扥㠶㤱摣搹慥昶昷户㌷挲㠸〱ㅢ㌲㈴ㄲ攳〷〶ㅢ㠲戹㈲搱㔴㕡㘷㍤摣敡㙡㜶㠶㙦㠷㠴㙥㑢っ㑣㜹挵㌱戱㈰捤戰㥡㈵摦㉦ㅢ㔴㑦㡢㔲㡥㙡挶昰㡣ぢ㤵敥㔱㡥〷㈹挹攰㥡㜱㡣㙥㈹㕣㘰㠰搸つ㔲㤳〵て㘱摤㙡〷㍣ㄹ慣ㅥ散㘰㐷晣戰〹慤㌳㑡搰㜴っ攱搶㉦㠲扣搳㈶㐶㈱㐸つ昹晣㜳慦昲散㌳㝣㝥戴㌷ㄱ㈶〲㈶㘲愸㉢挶㝡〰㜲愳㔱㐹㜲㔱㝦ㄸ㉣昷㈵㥢ㄴ㕡摤㘱ㅥ㑤㡣ㅥ㥡㝣㡥㠷ㅢ㍣㡣㘳昵㤲㙤㑡戸攳收㤹搰愶愵挵㜵挶戸㕤㈸㔵㡡㐲慡攲㔰㔶㑢㡤扣㉡昰㈵慦晦昹摣ㄴ戳㉦挱愶㡣攳㈸挵㈵ㄳ㐹敤摢摤摡愷搰㕣ち㌹昴攱换㌶〶ㅦ㘳摣㜲㌲ㄸ搶㜴㐷㠱昶攱晡摡攵〵㜹㜱づ㈲慤㈹㡢戲㙣〲㜷昱慡ㄱ㘴挹㙤㤱㙡ㄳ攵㠹㌲㙤昶㐸搶㐱搳捦㕡ㄵ㌸挲㍡㝤㠱㤷㑥挳ㄸ㘹㤳㍢搸㐹攲㕣㄰搹㍤昷㤰㝣㑤㥣摢ㅢㄸㅦち攳扢㍣〵㈵戰慢㘰㈴ㅡ摣㙡捤敡㔶ㄸ昹愵攵慤摤づ愰㌰〴㑣㠳ㄶ㌵㝤〳㘷〴改攵つㅣ〶㈳㘳愲愳搱㐰㉡㘳㤴晤㜰搸〳㘹攰㈶ㅥ愴愷换㔰㐲摥〶㜹㈹㉣扣㤷㌸㘸攱〸㔴㜶㌶㌵㘴㑥敡ㅥ慥扥搸㕢ㅡ戲㠷㡢㐵㥡扢昰捦慤ち慣攲摡㠶㙦㡥㙥㘸戸㤰㈵搷㐴晢敥捡㠶㠲攰愲攰捥戱摣㐱摤㉢捣㑤㜹㡢晥愵慤㜶㐹㈲昵㜳昸㈳㤶ㅣ㥤㌶㜳搲收㈵搴〵敥㝤昶㤴㕤㍥㙤换㜹愵㕣摥昸愳ㄵ慢㜵㜶㜲㤲搹挴晢昸㈳ㅦ㌵㤱㝡ㅤ㍤慥㘴摡散愰收㈰㘱㍦昲昱愵挱〰搲㌱㜴〲摢扤㝡㘳㠰㜴戲愱㠱㑥愴㈰㔸㈳ㄴ㝢昶㐳㈳ㄴ攵㌵愰㤵挴攲ㅦ挹戱攷㉦㠲昵㤵㥦㈱㠷〸挷㝢㈰㐶㔲㤷㈳ㄵ㠳㍡㈹挸㠳敢ㅤ扣っ昲晦㠳愵㤰㥢㤷㘴愷晦〲㌳㉢慦㌶愲攸㔲愲攸㤵㘶ㄴ㌱㄰晢㠱㐲摥㥣晤摡㔱昳㈳扦搶晢㍦㍣㙡摥〱っ昳㤱搶ㄸ㠲㙡っ挶㔷㡤㠱㡥㈶㘳攰㙡ㄴ㑢㘳攰㑥戶㘱扣摥㌷〶〲㙦挷㈱㘴㉣㙦っ㌰㡡ㄷ㘳昲㐵㠲慡ㄱ〷〶捦㕡㥢㉣㝡挲づ攲㝡慤㜰ㄱ戹㠷㝡㜲㐷攱㝢摡摣㥣㍤愹㍢扡戵㐵收ㅦ㜰〴搴㤶㌳㡤晢摡戲〹㕢㙣㕤戲㐴㌶㕡挲㉢ㄱ晡搳搷㍣㈷㉢扢愵づ㑣昹㡦敦愸㔷㌲㑡晡㍣㝣㈲ち㑦〸㠹捦㙤昸昱㠱㍦㍤昰挸㕥摥㑢ぢ㘸㌵挵㐰㜰㍢挱㜹㕡づ〸摦㐶慥㠴㙣攴攷㌷㠷昰㈱㤲㌹㕦ㄲ㈳扡㈳敤ㅤ㔷戳挲愴㑦㜸ㄱ挲昴㠹㙦㌵ㄸ㤳戸攱攰ㅢ㤳戹〶挷愶晣㝣㐹㍡〳㜳㤱㠹㑢敦㕤ㄸ㈰㔴㕡慡慣㌶敤捡搴㑦愰㜴㍥攰㐴敡敤㐱㥥㉦昹㈸捡㑢㡤㕡㙤㌷戵㥡㌴ㄳ㤵㐱搴〸愵ㄴ㈲つ愴㤰攸㤱㠵愱㝦㈹愵㈶㤱㐸攵〰㘲㘲㘸㡤挱㕣㥥晣搷㠴㠰愸㕥敦㙢昳㔳ㄵ散㈲戰ㄸ㝡摤摢㍤扢搲敡っ㔵ㄳ㠳戲昲昴㜱ㄴ〹㜹㑣㘱〶愳戴㌲昷ㄸㄲ攱㤳ㅡ㐲㙡挵㡥㈷づ搲㘳昹㈱㌶㥦戱㔳ㄶ扤㙡㔹㙢㥦㕤挱ㅤて攸㤹戴㔴ㄸ昶㝡㘶攳攸㈹愳㜱㝥搵慣㥦㐵搸敢㈷慢㡤扡㠲㈲攸㉣㝢ぢ捥㥦〸昳昱㝢㈰㤶て搶扡摥搸㔸㐲ㅤ㘷㜷㘲㠱晣挱晥扡㌴㠶戱㌱㉡㌹〶ㄲ㜶㐵戵㌲晥㈵昰㈹㌴㤱昶扣愲搵㤲ㅣ㑢㔱ㄸ㡤づ㌹慢㐳㙤搲晦㡣㔳㑢捥㥡㘶㙤〶慣敢昴晦〹㘴㉣慢晦ㄵ㐶搹㈴捡敥ちㄲ㝣㐹㌱㔲戲㙣㜰㠶㍢〲ㅦ㌶挲㌴昲〸慣挹㈴㠳摢㝥㙡ち㥦愸晡挵㔲㠲挳挳㤵㙣扣〴㔱㙤㑢摢戶慢愵〰㘴ㄴ㈸昵㐳㠸愰㤶敤㌹改收㜳㙣晡㙥㘴㙦㌸㘴ㄶ㥣戲㕢㌶扣㠱㈹㠴㜷〷昸㠵㤹〱㥢㘷㔸㜹戱㔱愸㕤㠹㥤攸扥〷㙤づㅦ㠱挰㍥㉣扣て㉢敡挸ㄸ挲捡㘲ㄶ晣摡愸㉦ㄲ㐸愲㜶㜰㉦㌰㡥㔶昴ㄲ㍥㔰㍤〲慦愶挷慣㔵愱散㝣摦㜲攳㕤っ㙥ㅤ㙥㘳摤〹捦㡦㈸攵㄰〶㤳㑢戸攷㕥敥㙢攳ㅥ搴搷つ搶收戲㘶㝢摥戵㙣敡〷挰改捡㐶愹㈷ㄹ㡥挹敦㡥戳摡扤㠴㠸昳搰㍢扡㜲㔷㉣㝢敢〷㥤〷㥦㙤搳攵㌵㔸㠲愳㙣〵㜱敥捦愲愹㜲㍢〱㝥㕡㍥㐸昰㐵愱㍦敦㌶㈶㥥挷戲挸〰㐸㈷搲㍡㐰㙢慡晥摥㔲㔴慤昰㘸㐱㉡捣㉡摦㐵㌹㜷挹㕦㙤㤱㜹㌸㙡挸㈳〴搲㕡㔴㜲㉢㍣㐲挸昱㥦㐵㠳敡昸戳挸㙤㍤晥户㤷ㅣ㥦捡㕦慥㉦摡㝦㕦愸㍣戴㤳ㅣ晡ㄴ㐱㠹挰〲攸ぢ㙢昶㔲㉣㔲搶愴晤㈰挲慢㝢㤱挶昳扢攰摦户昷扥昹〶㥦㝦散㔵愴㈰㐴㔱晤㉡㈸〸攵㉡㥥㡣慥㘲ㅥ戹慤㔷昱㡤愵㔶搱㐷ㄹ挹㤹㘸づ㐰㑦㠷㐲㕡㤱慢㜲㤱攰㠶昲愷㐸㠴㈲㔱㌷㡢㍥㈲㔶戶慤㈰㠱戶摣㜹搹㜶〱㠹戰㙤㡡ㅢㄱ昳〹㡦戴㡦㜸攵㤱㕥㥢戴敦㜶㑤晢㕡㌱㘳〵晥搶㔵㈱ㅢ戰㈴㝥ㄳ摢㔲愴愷摢㡣攵㉢㡦㠷㠸㌹㜸㌰晣㍥㑡つ愲㑢㈰っ摦㈲㈵㈱㜱㈳㤵慦㠴㤵㕦㝡戹收ㅣ㐵〱ㅥ㔰㡦㕦㤹〴㈷㉢㍦ㄶ㔶摥㠹㙦慦㘴㥤〴敦ち昰㜹㍢慣㑣挲㤴㤵ㅦつ㉢晦㝤攷㤶㙡攵㤰づ晤㥥㔳㈴㤲ㄸ㕢㔷㕡晦㤱敦戰㜹愸㑥ㄹ搴㥦㕤㠶㥦㑤挹㈹㠳挴㈵愹㐱扢㜱敤挳挱㤷搰ㄳ戸挵㠴换ㅥ㄰戲晥㝦㠸㌰㡥摢㑤㘳扡愷攳㐳攷〵㠴㤵ㅤ㑤扥戱㜱摡㌸攲㈰愳搳ㄸ㜷㜱愶㉡慥㉡ㄲ㠱㌹㤰昴昷㜷ㄹ昷㝢㡣改㔸摢㡦㌰ㅣ愶昲戶㐸㝢捡㐳㠶㔰㤲捡㈳㈱㘶ㄳ㘷㙢㌴愳㝤ㅥ挸㠱㤸〴㘴㐲晢〲愰ㅦ㜲搹挰㡣㍥昲扦㘴敥戳㐸㘸てㄳ㝣ㄱ㈰慢㤰搹㐹〷改㉦〱昴㠶晦ㅤ挵挰㠲昴㤷愸捡㠳攱㘰㔱㌲搲扥捣〶㡦〲㜴挰㔱慢〴㐴㤸搵ㅥ㐳㑥㜴㔰ちづ㌹攸攳㉣昸㉡挱搷〰戲㈹㑥㜶挵扢挶㌵戵愹戹扥㡥愶ち户㐲捡戱㈷㠲〴㕦㔲㘷〱㙥㙢㙤㉢昳㈸ㅣ㝥扥㡦愰㘶摤㜷晡晢昰摤晤㈲ㄷ摤㠱晦㜶㈴㈵つ晢愴晡㠹昶晡㈲ㄳ搰㈶㤷㍦〷㥢㝤ㅥ晤㜰㕤㌵ㅢ㤳㍤㝥ㄲ扦㡣㥡㔶ㅥ挶扦㘷昱㔳敥挷〸ㅣ㠵㥡㌶〳㌷ぢ㘹㐰ㄶ捣〷〵㔴㔹摡㤳〰ち㜱㑣㍣㘹㑦昱㡤愸㘵晦摡搳㐱㠲㉦ち昱㝡㤶㠹㔲搰㍣ㅣ㤰戸㤶〵愷ㅡ〶㈴晥㘵挱挹攸㠰摦㐲慥㈲㤱㠵㐴扤㔶㈲搲㤲捣㝤〶愰愷愳㤷㜳愳㤶㔳捦㈸㠵晢㡡昷摤昷㙥㙦㜲㘰㙢昲搳户㜷㍦昳昶㙦摥㜹敡慤捦散昹摢㝢捦㍤昷搶㕦㥥㝡攳扤搷㘷昶晣敡㠵ㄷ㝥㜹挷昷摦㜸㘷扤昱扣晡昲扢ㄳ捦㍦㌸㜴敡挱晢㡤攳搷ㅦ㜸昰敥㤳㐷㠷㈶㉦ㄸ散攸攸散扣戶晦搷ㄷ㙥敢㍢㝢晦㉢捡㉦晥戰搹㔶攴㜲㌹攰㌱㠰昰改攳戲攵㌴扥㠳〴愶挱ㄹ㝦愴搳攰㜲捦攲愷ㄴ㠳㡤ㅡ挱㑢〶㍥つ㑥㐰ㄶㄴ敡ぢ扡晥〳㑢㠹戱㈷</t>
  </si>
  <si>
    <t>Crystal Ball Report - Forecasts</t>
  </si>
  <si>
    <t>Simulation started on 4/30/2018 at 9:46 PM</t>
  </si>
  <si>
    <t>Simulation stopped on 4/30/2018 at 9:46 PM</t>
  </si>
  <si>
    <t>Run preferences:</t>
  </si>
  <si>
    <t>Number of trials run</t>
  </si>
  <si>
    <t>Monte Carlo</t>
  </si>
  <si>
    <t>Random seed</t>
  </si>
  <si>
    <t>Precision control on</t>
  </si>
  <si>
    <t xml:space="preserve">   Confidence level</t>
  </si>
  <si>
    <t>Run statistics:</t>
  </si>
  <si>
    <t>Total running time (sec)</t>
  </si>
  <si>
    <t>Trials/second (average)</t>
  </si>
  <si>
    <t>Random numbers per sec</t>
  </si>
  <si>
    <t>Crystal Ball data:</t>
  </si>
  <si>
    <t>Assumptions</t>
  </si>
  <si>
    <t xml:space="preserve">   Correlations</t>
  </si>
  <si>
    <t xml:space="preserve">   Correlation matrices</t>
  </si>
  <si>
    <t>Decision variables</t>
  </si>
  <si>
    <t>Forecasts</t>
  </si>
  <si>
    <t>Worksheet: [Alan''s Scratchpad.xlsx]NPV</t>
  </si>
  <si>
    <t>Forecast: NPV 1</t>
  </si>
  <si>
    <t>Cell: C22</t>
  </si>
  <si>
    <t>Summary:</t>
  </si>
  <si>
    <t>Entire range is from  $(7,051,096.21) to $3,424,533.75</t>
  </si>
  <si>
    <t>Base case is  $(1,907,394.08)</t>
  </si>
  <si>
    <t>After 1,000 trials, the std. error of the mean is $52,536.02</t>
  </si>
  <si>
    <t>Statistics:</t>
  </si>
  <si>
    <t>Forecast values</t>
  </si>
  <si>
    <t>Trials</t>
  </si>
  <si>
    <t>Base Case</t>
  </si>
  <si>
    <t>Mean</t>
  </si>
  <si>
    <t>Median</t>
  </si>
  <si>
    <t>Mode</t>
  </si>
  <si>
    <t>---</t>
  </si>
  <si>
    <t>Standard Deviation</t>
  </si>
  <si>
    <t>Variance</t>
  </si>
  <si>
    <t>Skewness</t>
  </si>
  <si>
    <t>Kurtosis</t>
  </si>
  <si>
    <t>Coeff. of Variation</t>
  </si>
  <si>
    <t>Maximum</t>
  </si>
  <si>
    <t>Range Width</t>
  </si>
  <si>
    <t>Mean Std. Error</t>
  </si>
  <si>
    <t>Forecast: NPV 1 (cont'd)</t>
  </si>
  <si>
    <t>Percentiles:</t>
  </si>
  <si>
    <t>0%</t>
  </si>
  <si>
    <t>10%</t>
  </si>
  <si>
    <t>20%</t>
  </si>
  <si>
    <t>30%</t>
  </si>
  <si>
    <t>40%</t>
  </si>
  <si>
    <t>50%</t>
  </si>
  <si>
    <t>60%</t>
  </si>
  <si>
    <t>70%</t>
  </si>
  <si>
    <t>80%</t>
  </si>
  <si>
    <t>90%</t>
  </si>
  <si>
    <t>100%</t>
  </si>
  <si>
    <t>End of Forecasts</t>
  </si>
  <si>
    <t>NPV_1</t>
  </si>
  <si>
    <t>㜸〱敤㕣㕢㙣ㅣ搵ㄹ摥ㄹ敦慥㜷搶㜶㙣㘲〷㐸戸㤹晢挵搱ㄲ㠷〴㐲㘹ㅡ㝣挹つ㥣挴挴㑥㈸愲戰㡣㜷捦搸㤳散捣㍡㌳戳㑥㑣搳ㄲち㠵搲慢愰て㉤㤴戶〸㈱搴扥㔴愲㤵㄰戴戴㔲愵㑡慤㉡愸晡㠰㉡昵〱㠹愲慡㝤㘸㔵㐵敡ぢて㐸昴晢捥捣散捥敥㝡挷捥〶㕡㔳㜹㤲晤㜳收摣捦昹慦攷晦捦㈴愱㈴ㄲ㠹て昱昰㕦㍥㐹㈶㉥㥤㕡㜴㍤㘱攵挶捡愵㤲㈸㜸㘶搹㜶㜳㈳㡥愳㉦㑥㤸慥搷㠱ち改扣㠹㜲㌷㤵㜷捤㠷㐵㈶扦㈰ㅣㄷ㤵㔲㠹㐴㈶愳愹㈸㘷㈷晣昵㠵㉦ㅡ㕢㜵㈷〱愶挷㐶て捤ㅣ㐳慦㔳㕥搹ㄱ㥢〷㡦晡㙤㜷づて攷㠶㜳摢㙥ㅢ扥㌵户㘵昳攰㔸愵攴㔵ㅣ戱搳ㄶㄵ捦搱㑢㥢〷㈷㉢㌳㈵戳㜰户㔸㥣㉥ㅦㄷ昶㑥㌱戳攵㤶ㄹ㝤摢㡥攱㙤摢户ㅢ户摦扥愳ㅢ㐳㈷づ㡥㡤㑥㍡挲㜰㍦愲㍥㔳㥣昲戶㜱㔱㌰戹㌶㈱ㅣ搳㥥捤㡤㡤攲㙦㘴晥㜸扢㉤㌷㌵㈷㠴挷愱㠵㈳散㠲㜰㌵㌴散戲㐶㕣户㘲捤㜳昳㌴㙢て㤶㕡搰㕤㉦㘵㡤㠹㔲㐹戳挲㕥㌳搶㈱散㕤㐹㕦散戶愶㠴敤㥡㥥戹㘰㝡㡢㘹㙢ㅡㅤㄵ㝢慣㈳慥㌸慣摢戳攲愰㙥㠹㤴戵户㘲ㄶ㤳晥㤳攸戸㍥散㈲㍡㌱戹晣摣㠸㙢㡤捤改㡥㥣㤱换㡤㠹愹扢挷㈹搴搷扤扡㜵扦㥣扡ㅣ㠱㝤㕥摢扡ㅥ㑡㡥敡㑥戵收㔰敢㥡挱攲敢㘷㜰㜳敢晡㤱㍤慡㙦㜳㘳敢㌶㜲㉢敢㙢㉢㕤〱㝤换ㅤ挵㘲戴㌴㐱㈷㐱㠶㠰〸搴戲〴㕤〴摤〰㑡昲摦攰㤲㘸㐳ㄶ愹㜹㕤捤捦愸昹㠲㥡㉦慡㜹愱收つ㌵㍦慢收攷搴扣愹收㡦愹昹攳愸ㄳ㍥㤹捥㑥㌵㜸㉡ぢ愷㕦晡收㤱㕦摤晤攴㡥㈳敦㥣晡搹㘳て㜶慦㐳愵㝢㠲㐹㡤㍢晡㐹㤰㕡㡤㡡户收戶昰捦昲㕣〱愶㌰戶ㅢ户ㄹ挳挳挵敤㕢昴㕢昴ㄴ㤷ㄵ㠳晣㍡㐲改㐳摤㙥攳㕥搳㉥㤶㑦㑡摣㕤㍡慡扢愲戶㜱㐳㐱搹㘸戹㘲ㄷ摤㑢㤶㉥㥣昲㜴㑦㙣㙡㉣慢㜵搲搴㙣ち㙣㈵㕣㌹摥攵㡤捤㡥敡愵㡡ㄸ㌹㘵晡挵㤷㌵ㄴ㕢㤳㑥㜹愶㜵改ㅥ㐷㥣愸㤶㌶捤㘸〴㐲㙤㐱昶摤戴㑡扦挸㥦搷攰搸㕣搹ㄵ戶㥣摥㤰㌵㘹ㄶ㡥ぢ㘷㑡㔰㈴㡡愲㕣敡〶ㄶ〵㕣㍦㜴挸挶㐲挱慤挵慢愲戹挶敥㔳ㅥ㤸㔹ㄴ㌱摦㜹攱㜸㡢搳晡㑣㐹㕣㔸㔷挵ㅦㄳ〵ㅢ敢戲昷㤴ぢㄵ㜷慣㙣㝢㑥戹㔴㕦㌲㔲㕣搰㈱㘹㡡〷捡㐵㤱㑣㈶愴㔰㠰挰敤攸㔰㤴挴㑤慤㜹㐱㈲㈲㠲㘲㌲昲挵昵㘴㤷㍢㡣搵㘱ㄵ㈵㐱㥡㔴慦㔹愶㌳捥㔷捡㤸ㄸづ㡣慣㠹晡㠳㠳摥戰㑣户㔵捣㝤扣㤵㔵戵㍦㔸晤敥〵㘱㝢晢㜴扢㔸ㄲ㑥慣昶㔳㌸㈳慤ㄷ㈰㜵ㄶ〲愱攵敥㔱搵㈹愷㤴挵搴㐹戳攸捤愵攷㠴㌹㍢攷㈱てㅡ㌲㤳攱搶㌶㍤摡〵挸搲搶ㄳ昴〳㘴戳㠹昴〰㉢愵戳㜸ㄲ㈹㑡愷ㄸ㕥慥ㄳ攴㙣㔷挷换摤挶ㅥ戳攴〹㕦㈸昷ㅡ挰㠸慦搵㈴晡㝡㐸愲㡥㕥昰ㄵ挶㠰㌱〶㉡搵㑤摢㕢慣昱㙤ㄳ㤷昸㐴戴㈶ぢ㔶㥤㉣愰㈸愸㤷〷㌱扣〶愲㘹㤰〶昱㤵㈳㐴㐴㌶㠸搱散攸戹㥥挸㔸㍦㐶㐶愰㝥㤴〸㔹㝢㑢㙢ㄹ㐱㘲㙦㈶㔲㌶㙡挹㡦㙢搲㙣㈹㕢摥㤷㘶ㅢ戰㜱摡㠵〴ㄷㄱ㕣㑣戰ㄱ㐰昹ㅢ㈴ㅣ愵ㅣ搲昵㡦㜶〹摥戵㑢〹㉥〳㠰㝣搲㈸㜳〲㔱㐵ㅢ㙡㈵㜶㈴敢昵挰㑥㤶㐶戱㉦㡡㘸ㄹ㔷敤捣ㅥ㑢㈲㍡戰㍡㔷㠷慥㑤㑡ㅤ㝢㕤㙢摡㡣㉥㠷ㄴㄹ㔳㌵扡搶㘵慡㐶㌷㠲㔵摢搴㕢㔷愰愹㌶㐸㜰㈵㠰慦㔸㘸散慥捣㥡愷㌹昹㠹㌰㠹㝣㐳愸㑤攵ㅥ㄰㌱捤晦ㄸ〱搷㜴㜴㔹戳㥦㘹ちづㄹ㥦㜸晢㜹㜳㙢摥づ㤰摥愰㌳搷㜴づ㝤㐵攷㘸㐱㕦〵昶㔲摥㘹愹㕦慥㐱戱㜶㉤挱㜵〰つ晡㠵㈷敦㜳昵ㄲ㐸㤳搸㡡㘰㙥㍤㍤㉥搲挲㥤㕥㥣ㄷ㔲晢㜴ㅢ搳扡㌳㉢㍣㜸㉦昶㡦挳づ㉥㍢㡥㈸攱㐰㕢㤴ㄹ㍣扢㕣㔴㥦改敥㜱捡ㄶ昳搷散㘳昷ㄳ愱ㄸ㤲㐹戵㈳搱㘰ㅦ挷搸㤹ㄱ㝦㔳㠴㜲愸㝦㙦㘹㉤㈴㈲㡤敡挹㡢敤攲捦㤶㙢㤲愴つ㐹㜲〳戶㔵扢ㄱ〰㔲㐲昹㔳㑢㠹㌲挴㙡㥢㘵戵㝡㙢㤵摥扤㤸㤳㐹㠳晦戰㐹㡥㜴昹捥摡㔱昸づ摣ㅥ㙢捡戴慡挲愲换㥡ㄴ㑥〱㝥〵戳㈴戲扥㑢㤶愲㘶㑤㔶㝣㐲㘴㐵㐷㐷搳㔹㍡挶户㈶改愴㐱㑡挴㜲㝢㙣㘱捣㌹扣㐶㔴㜴㐱㔲愸挴戸㠵慡ㄲ㠸㤴挷扡㙢㈲愶つㄱ㤳挳挶㘹㌷ㄳ㙣㈱ㄸ〶㐸晤〱㤲㘶愵ㅢ捦㔰㔸攷〲摤搹昹㝣㈲㐳㌴㐸昷攰㕢㉤㠵搵㌶づ戳㥤攰㔶㠰〶昳㠷捥挷ㄸ㐲㤴㈸㡦㄰㈲慤㈵捤㌸㙡㡡㤳愴㠱㜵〶㠲㑡㘳ㄵ搷㉢㕢㡣㉡昵ㄸ攳攵㠳㘵㙦摣㜴攷ㄱ㠵敡㌷㠲挴扤㜳挲〶㜵㌹戰㝤ㅡ昲捡昳昳愲愸ㄹ㔳攵ち㐴摢晥昱搵㜰㈸挷晡㘰㑢捡㜳戹慡攰㘹敦㙣㡣㉥ㄴ㜹㈲㠶慦㤵㥥搸ㄵ㜹扥㜹攸敢慤敤攸戴改㤵㐴㤷攱㌳ㅤ搳ㄹ〳扢㠸愸㐱戱搳㤸㥥㜳㠴ㄸ敦㌱昶㍡㘶戱㘴摡㠲挸㠰㡤挹㐰摤㠴㤸㐵㠴㘰戲捣昸㕦搹敥㌱愶ㅤ摤㜶攷㜵〶ㄳㄷ搷搷扤挹㤰㐸捡ㄸ㌵㙤ㄷ挳㐸㉣㌲摤㙢㑣捤㤵㑦㈲㕡㕢戱散扤晡扣扢㉡戰㐲愲昷ㅦ㠹ㅡ㐵㔵㔴㔵挹愸㤹㜶昱挳〳㜹㈲戱ㄵ扦㈴㠱挴㔵㈲㐵㝦㜹㡣昶愶㕤ㅦ挴㘷㘸愷㜳㑥摤㠸ㅣ㔵㌳㍢㘲愵㌰㌹㔵摢挱㌶户〳摣戵昷挸晥㕡㔴敥扣攲搵㈹㝡昸㘳㘴扣㈴㡢㙡㄰㠴晥戹㜵㍥愹㌰㡦㤴〳づ〴挶昹搶㐸㝥㔹㐳搶㈱昵慤慢㈵昷㈰㡡搴㙤㑣攸㌳愲㠴㔸戴愵㝢敢晣ㄷ㥡戱㤶㕥㜲㠳戲戱戲㘵改㈴㉤㤲攵㔴㐱㈷〵㡦㔴扣昲〱搳搶っ〰㐹㝦㐱㤶㝥ち㔹晡㈹㤹搵㙤ㅣ㘶㔸㔰愶搹㔷㜹㔶㜷㑣㙦捥㌲ぢㄹ扥㌰㜴户㉡㘸ㄲ㑣㑥挹ㅢ㍥愱捣ㄸ㙣戰收㡦挰㘴㜳㜳㐰㜷づ㜲㤴㕢㐷昴㠳㜲㔵㈵㡤㍦㑡㥢㡥㈵〸ㄸ改㈵搵敥㐰㙦㈹㜹㌳〲㈲㐷㍥㘷挳晢ㄷ㘷ㅦ㐱㡥敦㤷㈳搶㘳㐸〴ㅥ挱㠸㤰愷㝢㍢㙤ㅣ戱㑤て搸㈳挶昶㤸摥戸ぢ㤴〳㈰㈹㡦户㥢㈴㔶㈳㡤㠶慡㕡攱㡡收愲㍡㌵㜱㜹㜳㜹㔴㙦㕣戳㐴戱慦㔱㈲㡡㘴戹㑡㔲戳㉣㌱挷搵愴㙡ㄴ愹戸㐳㙤愳挴戹㑤㙢晢㑥㈹㜲ㅥ㡡㐹搲㑣㐲摢㈹〹〵㐱㕥㔲〷㜴ㄴ晤昵昱攴ㄱ㠹搶搰〶挸㔲㑦昹㜹㍤㐱㌸㜰㍦慥㥣ㄴ㐵㌶㜸〳㝦慦ぢ㤲㠷㉡㕥㕤㠹㝥慡㍦㈸ㄹ㈹㤵づ搹戰ㄲち扡㔳㕣㈵㉣㡤戵昹ㅡ㐶㜲㘷扢摡摦摦摥〸㈳〶㙣挸㤰㐸㡣ㅦㄸ㙣〸收㡡㐴㔳㘹㥤昵㜰慢慢搹ㄹ扥ㅤ㄰扡㉤㌱㌰攵ㄵ挷挵㠲㌴挳㙡㤶㝣扦㙣㔰㍤㉤㑡㌹慡ㄹ㈳㌳㉥㔴扡㐷㌹ㅥ愴㈴㠳㙢挶㘱扡愵㜰㠱〱㘲㌷㐸㑤ㄶ㍣㠴㜵慢ㅤ昰㘴戰㝡戰㠳ㅤ昱挳㈶戴捥㈸㐱搳㌱㠴㕢扦〸昲㑥㥢ㄸ㠵㈰㌵攴昳慦㕤捡㜳捦昲昹昱慥㐴㤸〸㤸㠸愱慥ㄸ敢〱挸㡤㐶㈵挹㐵晤㘱戰摣㤷㙣㔲㘸㜵㠷㜹㌴㌱㝡㘸昲㌹ㅥ㙥昰㌰㡥搵㑢戶㈹攱㡥㥢㘷㐲㥢㤶ㄶ搷ㄹ晢敤㐲愹㔲ㄴ㔲ㄵ㠷戲㕡㙡攴㔵㠱㉦㜹晤捦攷愶㤸㝤〹㌶㘵㍦㡥㔲㕣㌲㤱搴扥摤慤㝤〶捤愵㤰㐳ㅦ扥㙣㘳昰㌱挶㉤㈷㠳㘱㑤㜷ㄴ㘸ㅦ慥慦㕤㕥㤰ㄷ攷㈰搲㥡戲㈸换㈶㜰ㄷ慦ㅡ㐱㤶摣ㄶ愹㌶㔱㥥㈸搳㘶㡦㘴敤㌳晤慣㔵㠱㈳慣搳ㄷ㜸改㌴㡣㤱㌶戹㠳㥤㈴捥〶㤱摤戳㡦挸搷挴搹㕤㠱昱愱㌰扥换㔳㔰〲扢ち㐶愲挱慤搶慣㙥㠵㤱㕦㕡摥摡㥤〰ち㐳挰㌴㘸㔱搳㌷㜰㐶㤱㕥摥挰㘱㌰㌲㈶㍡ㅡつ愴㌲㐶搹て㠷㍤㤰〶㙥攲㐱㝡扡っ㈵攴つ挸㑢㘱攱扤挴㈱ぢ㐷愰戲㜳㘱㐳收愴敥攱敡㡢扤戱㈱㝢愴㔸愴戹ぢ晦摣慡挰㉡慥㙤昸收攸㐰挳㠵㉣戹㈶摡㜷㔷㌷ㄴ〴ㄷ〵户㡥攷昶改㕥㘱㙥捡㕢昴㉦㙤戵㑢ㄲ愹㕦挲ㅦ戱攴攸戴㤹㤳㌶㉦愱㉥㜰敦戳挷敤昲㐹㕢捥㉢攵昲挶ㅦ慤㔸慤戳㤳㤳捣㈶㍥挴ㅦ昹愸㠹搴ㅢ攸㜱㈵搳㘶〷㌵〷〹晢㤱㡦㉦つ〶㤱㡥愱ㄳ搸敥搵ㅢ〳愴㤳㠱〶㍡㤱㠲㘰㡤㔰散搹㡦㡣㔰㤴㕦〰慤㈴ㄶ晦㐸㡥㍤㝦ㄹ慣慦晣ㅣ㌹㐴㌸摥〳㌱㤲扡ㄲ愹ㄸ搴㐹㐱ㅥ㕣敦攰㘵㤰晦ㅦ㉣㠵摣扣㈴㍢晤ㄷ㤸㔹㜹扤ㄱ㐵㤷ㄳ㐵慦㌵愳㠸㠱搸㜳ち㜹㜳昶㙢㐷捤㡦晤㕡敦晦昰愸㜹ㄷ㌰捣㐷㕡㘳〸慡㌱ㄸ㕦㌵〶㍡㥡㡣㠱㙢㔱㉣㡤㠱扢搹㠶昱㝡摦ㄸ〸扣ㅤ〷㤰戱扣㌱挰㈸㕥㡣挹ㄷ〹慡㐶ㅣㄸ㍣㙢㕤㘸搱ㄳ戶て搷㙢㠵㡢挸㍤搴㤳㍢〶摦搳㐵捤搹㤳扡愳㕢ㅢ㘵晥㕥㐷㐰㙤㌹搳戸慦㉤㥢戰挵愶㈵㑢㘴愳㈵扣ㄲ愱㍦㝤捤㜳戲戲㕢敡挰㤴晦昸㡥㝡㈵愳愴捦挳㈷愲昰㠴㤰昸晣挰㑦昶晥攵攱挷㜷昱㕥㕡㐰慢㈹〶㠲摢〹捥搳㜲㐰昸㌶㜲㈵㘴〳㍦扦㌹㠰て㤱捣昹㤲ㄸ搵ㅤ㘹敦戸㥡ㄵ㈶㝤挲㡢㄰愶㑦㝣慢挱㤸挴つ〷摦㤸捣㌵㌸㌶攵攷㑢搲ㄹ㤸㡢㑣㕣㝡敦挲〰愱搲㔲㘵戵㘹㔷愶㝥ち愵㜳㡥ㄳ愹户〷㜹扥攴愳㈸慦㌴㙡戵敤搴㙡搲㑣㔴㠶㔰㈳㤴㔲㠸㌴㤰㐲愲㐷ㄶ㠶晥愵㤴㥡㐴㈲㤵〳㠸㠹愱㌵〶㜳㜹昲㕦ㄳ〲愲㝡扤慦捤㑦㔵戰㡢挰㘲攸㜵㙦昷散㑡慢㌳㔴㑤っ捡捡搳挷㍤㐸挸㘳ち㌳ㄸ愵㤵戹㠷㤱〸㥦搴㌰㔲㉢㜶㍣㜱㤰ㅥ换て戱昹㡣㥤戲攸㔵换㕡扢敤ち敥㜸㐰捦愴愵挲戰搷㌳ㅢ㐷㑦ㄹ㡤昳慢㘶晤㉣挲㕥㍦㔹㙤搴ㄵㄴ㐱㘷搹ㅢ㜱晥㐴㤸㡦摦〳戱㝣愸搶昵㠶挶ㄲ敡㌸扢ㄳぢ攴て昶搷攵㌱㡣㡤㔱挹㌱㤰戰㉢慡㤵昱㉦㠱㑦愱㠹戴攷ㄵ慤㤶攴㔸㡡挲㘸㜴挸㔹ㅤ㙡㤳晥㘷㥣㕡㜲搶㌴㙢㌳㘰㕤愷晦㡦㈲㘳㔹晤慦㌰捡㈶㔱㜶㙦㤰攰㑢㡡㤱㤲㘵㠳㌳摣ㄱ昸戰ㄱ愶㤱㐷㘰㑤㈶ㄹ摣昶㔳㔳昸㐴搵㉦㤶ㄲㅣㅥ慥㘴攳㈵㠸㙡㕢摡戶㕤㉤〵㈰愳㐰愹ㅦ㐱〴戵㙣捦㐹㌷㥦㘳搳昷㈱㝢攰㠰㔹㜰捡㙥搹昰〶愷㄰摥ㅤ攴ㄷ㘶〶㙣㥥ㄱ攵攵㐶愱㜶㌵㜶愲晢㝥戴㌹㜸〸〲晢愰昰㍥慡愸㈳㘳〸㉢㡢㔹昰㙢愳扥㐸㈰㠹摡挱扤挰戸愷愲㤷昰㠱敡㈱㜸㌵㍤㘶慤ち㘵攷晢㤶ㅢ敦㘲㜰敢㜰ㅢ敢㙥㜸㝥㐴㈹㠷㌰㤸㕣挲晤て㜰㕦ㅢ昷愰扥㙥戰㌶㤷㌵摢昳慥㘵㔳㉦〱愷㉢ㅢ愵㥥㘴㌸㈶扦㍢捥㙡て㄰㈲捥㐳敦攸捡㕤戱散慤ㅦ㜴ㅥ㝣戶㑤㤷搷㔰〹㡥戲ㄵ挴戹ㅦ㐴㔳攵㑥〲晣戴㝣㤰攰㡢㐲㝦摥ㅤ㑣扣㠰㘵㤱〱㤰㑥愴㜵㠰搶㔴晤㠳愵愸㕡攱搱㠲㔴㤸㔵扥㡦㜲敥㤲扦摡㈲昳㜰搴㤰㐷〸愴戵愸攴㔶㜸㠴㤰攳㍦㠷〶搵昱㘷㤱摢㝡晣敦㉥㌹㍥㤵扦㕣㕦戴晦扥㔰㜹㘸挷㌸昴㜱㠲ㄲ㠱〵搰ㄷ搶散愵㔸愴慣㐹晢㐱㠴搷㜷㈱㡤攷㡦挱扦敦敥㝡敢㑤㍥晦摣愵㐸㐱㠸愲晡㔵㔰㄰捡㔵㍣ㅤ㕤挵㍣㜲㕢慦攲㕢㑢慤愲㡦㌲㤲㌳搱ㅣ㠰㥥づ㠵戴㈲㔷攵㈲挱つ攵㑦㤱〸㐵愲㙥ㄶ㝤㐴慣㙣㕢㐱〲㙤戹昳戲敤〲ㄲ㘱摢ㄴ㌷㈲收ㄳㅥ㘹ㅦ昱捡㈳扤㌶㘹摦敤㥡昶戵㘲挶ち晣慤慢㐲㌶㘰㐹晣㈶戶愵㐸㑦户ㄹ换㔷㥥ちㄱ戳㙦㕦昸㝤㤴ㅡ㐴㤷㐰ㄸ扥㐵㑡㐲攲㐶㉡㕦〹㉢扦昲㙡捤㌹㡡〲㍣愰ㅥ扦㌲〹㑥㔶㝥㌲慣扣ㄵ摦㕥挹㍡〹摥ㄵ攰昳㙥㔸㤹㠴㈹㉢㍦ㄱ㔶晥挷搶㡤搵捡㈱ㅤ晡㍤愷㐸㈴㌱戶慥戴晥㈳摦㘱昳㔰㥤㌲愸㍦扢っ㍦㥢㤲㔳〶㠹㑢㔲㠳㜶攳摡㠷㠳㉦愱㈷㜰㡢〹㤷㍤㈰㘴晤晦㄰㘱㍦㙥㌷㡤敢㥥㡥て㥤ㄷ㄰㔶㜶㌴昹挶挶㘹攳㤰㠳㡣㑥㘳扦㡢㌳㔵㜱㔵㤱〸捣㠱愴扦扦换戸摦㘳㑣挷摡㝥㠴攱㌰㤵户㐵摡㔳ㅥ㌲㠴㤲㔴ㅥて㌱㥢㌸㔳愳ㄹ敤ぢ㐰づ挴㈴㈰ㄳ摡ㄷ〱晤㤰换〰㌳晡挸晦㤲戹捦㈰愱㍤㑡昰㈵㠰慣㐲㘶㈷ㅤ愴ㅦ〳攸つ晦㍢㡡挱〵改㉦㔱㤵搳攱㘰㔱㌲搲扥捣〶㑦〰㜴挰㔱慢〴㐴㤸搵㥥㐴㑥㜴㔰ちづ㌹攸㔳㉣昸㉡挱搷〰戲㈹㑥㜶挵扢挶㌵戵愹戹扥㡥愶ち户㐲捡戱㙦〴〹扥愴捥〰摣搱摡㔶收㔱㌸晣㝣ㅦ㐱捤扡敦昴㜷攳扢晢㐵㉥扡〳晦敤㐸㑡ㅡ昶㐹昵㔳敤昵㐵㈶愰㑤㉥㝦づ㌶晢㍣晡攱扡㙡㌶㈶㝢晣㌴㝥ㄹ㌵慤㍣㡡㝦捦攰愷㥣挰〸ㅣ㠵㥡㌶〳㌷ぢ㘹㐰ㄶ捣〷〵㔴㔹摡搳〰ち㜱㑣㍣㘹捦昰㡤愸㘵晦摡户㠳〴㕦ㄴ攲昵っㄳ愵愰㜹㌸㈰㜱㉤ぢ㡥㌷っ㐸晣换㠲㘳搱〱扦㠳㕣㐵㈲ぢ㠹㝡慤㐴愴㈵㤹晢㉣㐰㑦㐷㉦攷㐶㉤愷㥥㔲ちてㄵㅦ㝡攸晤摥攴攰愶攴㘷敦散㝥昶摤摦扦昷捣摢㥦摢昹昷て㥥㝦晥敤扦㍥昳收〷㙦捣散晣敤㡢㉦晥收慥ㅦ扥昹摥㝡攳〵昵搵昷㈷㕥㌸㍤㝣晣昴〹攳挸㑤㝢㑦摦㜷散㥥攱挹ぢ㠶㍡㍡㍡㍢慦敦晦摤挵㌷昴㥤㌹昱㥡昲敢㍦㕦㘴㉢㜲戹ㅣ昰㌰㐰昸昴㜱搹㜲ㅡ摦㐳〲搳攰㡣㍦搶㘹㜰戹㘷昰㔳㡡挱㐶㡤攲㈵〳㥦〶㈷㈰ぢち昵〵㕤晦〱㈹㥣戲㑦</t>
  </si>
  <si>
    <t>After 1,000 trials, the std. error of the mean is $52,937.46</t>
  </si>
  <si>
    <t>Entire range is from  $(6,539,569.88) to $3,506,574.30</t>
  </si>
  <si>
    <t>Cell: B16</t>
  </si>
  <si>
    <t>Forecast: NPV 2 (cont'd)</t>
  </si>
  <si>
    <t>Forecast: NPV 2</t>
  </si>
  <si>
    <t>Worksheet: [Alan''s Scratchpad.xlsx]Early Liquidation</t>
  </si>
  <si>
    <t>Simulation stopped on 4/30/2018 at 9:51 PM</t>
  </si>
  <si>
    <t>Simulation started on 4/30/2018 at 9:51 PM</t>
  </si>
  <si>
    <t>Early_Liquidation_NPV</t>
  </si>
  <si>
    <t>Questions</t>
  </si>
  <si>
    <t>Best Optiquest NPV</t>
  </si>
  <si>
    <t>㜸〱敤㕣㕢㙣ㅣ搵ㄹ摥ㄹ敦慥㜷搶㜶㙣攲〴〸㔷㜳扦㌸㕡攲㤰㜰㈹㑤㠳㉦㌸〹攴攲挴㑥㈸愲㜴ㄹ敦㥥戱㈷搹㤹㜱㘶㘶㥤㤸搲ㄲ㕡ち愵ㄷ戵挰㐳ぢ愵㉤㐲ㄵ㉡㉦㐸昴〱㐱㑢ㅦ㉡㔵㙡㔵㐱搵〷㔴愹て㤵㈸慡摡㠷㔶㈸㔲㕦㜸㐰愲摦㜷㘶㘶㜷㜶搷㍢㌶ぢ戴愶昲㈴晢攷捣戹㥦昳㕦捦晦㥦㐹㑡㐹愵㔲ㅦ攰攱扦㝣搲㑣㕣㌴扤攴昹挲㉡㡣㍢㤵㡡㈸昹愶㘳㝢㠵㔱搷搵㤷昶㥢㥥摦㠵ち搹愲㠹㜲㉦㔳昴捣〷㐴慥戸㈸㕣て㤵㌲愹㔴㉥愷愹㈸㘷㈷晣つ㐴㉦ㅡ㕢昵愶〱㘶挶挷づ捤ㅥ㐷慦搳扥攳㡡慤㐳挷㠲戶扢㐶㐶ち㈳㠵ㅤ㌷㡦摣㔴搸戶㜵㘸扣㕡昱慢慥搸㘵㡢慡敦敡㤵慤㐳㔳搵搹㡡㔹扡㑢㉣捤㌸㈷㠴扤㑢捣㙥扢㜱㔶摦㜱换挸㡥㥤㍢㡤㕢㙦扤愵ㄷ㐳愷づ㡥㡦㑤戹挲昰㍥愶㍥㌳㥣昲㡥〹㔱㌲戹㌶㈱㕣搳㥥㉢㡣㡦攱㙦㙣晥㜸扢戹㌰㍤㉦㠴捦愱㠵㉢散㤲昰㌴㌴散戱㐶㍤慦㙡㉤㜰昳㌴㙢ㄲ㑢㉤改㥥㥦戱挶㐵愵愲㔹㔱慦㌹敢㄰昶慥愲㉦昵㕡搳挲昶㑣摦㕣㌴晤愵慣㌵㠳㡥捡㝤搶㔱㑦ㅣ搱敤㌹㜱㔰户㐴挶摡㔳㌵换改攰㐹㜵㕤ㄳ㜵ㄱ㥦㤸㕣㝥㘱搴戳挶攷㜵㔷捥挸攳挶㈴搴㥤㜴㑢㡤㜵慦㘸摦㉦愷㉥㐷㘰㥦㔷戵慦㠷㤲㘳扡㕢慢㌹摣扥㘶戸昸挶ㄹ摣搰扥㝥㙣㡦ㅡ摢㕣搷扥㡤摣捡挶摡㑡㑦㐸摦㜲㐷戱ㄸ㉤㑢搰㑤㤰㈳㈰〲戵㍣㐱て㐱㉦㠰㤲晥㌷戸㈴摥㤰㐵㙡㔱㔷㡢戳㙡戱愴ㄶ换㙡㔱愸㐵㐳㉤捥愹挵㜹戵㘸慡挵攳㙡昱〴敡㐴㑦慥扢㕢つ㥦㥤㑦㕤㜳昹搸昷摥㥤㝣改戹ㄷ敦ㅦ㍥改㍡扤ㅢ㔰改㜰㌸愹〹㔷㍦〵㔲慢㔳昱昶挲㌶晥㔹㤹㉢挰ㄴ挶㑥攳㘶㘳㘴愴扣㜳㥢㝥愳㥥攱戲ㄲ㤰摦㐰㈸〳愸摢㙢摣㙤摡㘵攷㤴挴摤㐵㘳扡㈷敡ㅢ㌷ㅣ㤶㡤㌹㔵扢散㕤戸㝣攱戴慦晢攲㠲收戲㝡㈷㉤捤愶挱㔶挲㤳攳㕤搲摣散㤸㕥愹㡡搱搳㘶㔰㝣㜱㔳戱㌵攵㍡戳敤㑢㈷㕤㜱戲㔶摡㌲愳㔱〸戵㐵搹㜷换㉡㠳愲㘰㕥㐳攳昳㡥㈷㙣㌹扤㘱㙢捡㉣㥤㄰敥戴愰㐸ㄴ㘵戹搴捤㉣ち戹㝥昸㤰㡤㠵㠲㕢换㤷挷㜳㡤㍢㑥晢㘰㘶㔱挶㝣ㄷ㠴敢㉦捤攸戳ㄵ㜱㙥㐳㤵㘰㑣ㄴ㙣㘹挸㥥㜴㑡㔵㙦摣戱㝤搷愹㌴㤶㡣㤶ㄷ㜵㐸㥡昲〱愷㉣搲改㤴ㄴち㄰戸㕤㕤㡡㤲扡扥㍤㉦㐸㐴挴㔰㑣㐶㍥扦㤱散ち㐷戰㍡慣愲㈲㐸㤳敡㤵㉢㜴挶昹㑡ㄹ㤳挰㠱戱㌵㔱㝦㜰搰㙢㔷攸戶㠶戹㑦戶戲慡づ㠶慢扦㘳㔱搸晥㕥摤㉥㔷㠴㥢愸晤ㄴ捥㐸敢〷挸㥣㠵㐰㘸扢㝢㔴㜵捡㘹㘵㈹㜳捡㉣晢昳搹㜹㘱捥捤晢挸㠳㠶捣攵戸戵㉤㡦㜶づ戲戴㡤〴㠳〰昹㝣㉡扢㠹㤵戲㜹㍣愹っ愵㔳〲㉦㌷〸㜲戶㙢攰攵㕥㘳搲慣昸㈲㄰捡晤〶㌰ㄲ㘸㌵㠹扥㍥㤲愸慢㤷〲㠵戱挹ㄸ〷㤵敡愶敤㉦搵昹戶㠵㑢〲㈲㕡㤷〵㙢㑥ㄶ㔰ㄴ㌴捡㠳〴㕥〳搱㌴㐹㠳攴捡㌱㈲㈲ㅢ㈴㘸㜶昴摣㐸㘴慣㥦㈰㈳㔰㍦㑥㠴慣扤慤扤㡣㈰戱户ㄲ㈹ㅢ戵攵挷㜵㘹戶㥣㉤ㅦ㐸戳捤搸㌸敤㕣㠲昳〸捥㈷搸〲愰晣ㅤㄲ㡥㔲づ改挶㐷扢㄰敦摡㐵〴ㄷ〳㐰㍥㘹㤴㌹愱愸愲つ戵ㅡ㍢㤲昵晡㘰㈷㑢愳㌸㄰㐵戴㡣㙢㜶㘶㥦㈵ㄱㅤ㕡㥤㙢㐳搷愶愵㡥扤扡㍤㙤挶㤷㐳㡡㑣愸ㅡ㕦敢ち㔵攳ㅢ挱慡ㅤ敡慤㑢搱㔴ㅢ㈲戸っ㈰㔰㉣㌴㜶㔷㘷捤搳㥣晣㔴㤸㐴㠱㈱搴愱㜲て㠹㤸收㝦㠲㠰㙢㌹扡慣摢捦㌴〵㠷㡤㑦扤晤扣戵㍤㙦㠷㐸㙦搲㤹敢㍡㠷扥愲て㘹㐱㕦づ昶㔲晥搲㔶扦㕣㠹㘲敤㉡㠲慢〱㥡昴ぢ㑦摥ㅦ搶㑢㈰㑤㘲㉢㠶戹㡤昴戸㐸ぢ㜷㘶㘹㐱㐸敤搳㙢捣攸敥㥣昰攱扤搸㌷〱㍢搸㜱㕤㔱挱㠱戶㉣㌳㜸㜶㌹慦㌱搳㥢㜴ㅤ㡢昹敢昶戱昷愹㔰っ改戴摡㤵㙡戲㡦ㄳ散捣㤸扦㈹㐶㌹搴扦㌷戶ㄷㄲ戱㐶㡤攴挵㜶挹㘷换㜵㐹搲㠱㈴戹ㄶ摢慡㕤〷〰㈹愱晣愹慤㐴ㄹ㘶戵慤戲㕡愳戵㑡敦㕥挲挹愴挹㝦搸㈲㐷㝡〲㘷敤ㄸ㝣〷㕥㥦㌵㙤㕡㌵㘱搱㘳㑤〹户〴扦㠲㔹ㄱ昹挰㈵㑢㔱戳㉥㉢㍥㈵戲愲慢慢攵㉣㥤攰㕢㤳㜴搲㈴㈵ㄲ戹㍤戱㌰攱ㅣ㕥㈷㉡扡㈰㈹㔴ㄲ摣㐲㌵〹㐴捡㘳摤㜵ㄱ搳㠱㠸㈹㘰攳戴ㅢ〸戶ㄱ㡣〰㘴晥〰㐹戳摡㡤㘷㈸慣㝢㤱敥散㘲㌱㤵㈳ㅡ愴㝢昰捤戶挲㙡〷㠷搹㐹㜰ㄳ㐰㤳昹㐳攷㘳〲㈱㑡㤴挷〸㤱搶㤲㘶ㅣ㌳挵㈹搲挰〶〳㐱愵昱慡攷㍢ㄶ愳㑡㝤挶㠴㜳搰昱㈷㑣㙦〱㔱愸㐱㈳㑣摣㍤㉦㙣㔰㤷ぢ摢愷㈹捦㔹㔸㄰㘵捤㤸㜶慡㄰㙤晢㈶搶挲愱ㅣ敢㠳㉤㈹捦攵慡㠲愷戳戳㌱扡㔰攴㠹ㄸ扥㔶㝡㘲㔷攵昹收愱慦扦扥愳㌳愶㕦ㄱ㍤㐶挰㜴㑣攷っ散㈲愲〶攵㙥㘳㘶摥ㄵ㘲愲捦搸攳㥡攵㡡㘹ぢ㈲〳㌶㈶〳㜵晢挵ㅣ㈲〴㔳づ攳㝦㡥摤㘷捣戸扡敤㉤攸っ㈶㉥㙤㙣㜸㤳㈱㤱㡣㌱㘶摡ㅥ㠶㤱㔸㘴扡摦㤸㥥㜷㑥㈱㕡㕢戵散㍤晡㠲户㈶戰㐲愲てㅥ㠹ㅡ㐵㔵㔴㔵挹愹戹㑥昱挳〳㜹㉡戵ㅤ扦㌴㠱挴㔵㉡㐳㝦㜹㠲昶愶㕤ㅦ挶㘷㘸愷㜳㑥扤㠸ㅣ搵㌲扢ㄲ愵㌰㌹㔵扢㠵㙤㙥〵戸㜳捦搱㝤昵愸摣㐷㡡㔷㘷攸攱㑦㤰昱㤲㉣㙡㐱㄰晡攷㌶〴愴挲㍣㔲づ㌸㄰ㄸ攷㕢㌳昹攵つ㔹㠷搴户愱㥥㥣㐴ㄴ愹搷搸慦捦㡡ち㘲搱㤶敥㙦〸㕥㘸挶㕡㝡挵ぢ换挶ㅤ换搲㐹㕡㈴换改㤲㑥ちㅥ慤晡捥〱搳搶っ〰㐹㝦㘱㤶㝥ㅡ㔹晡㘹㤹搵㙢ㅣ㘱㔸㔰愶搹㤷㌳愷扢愶㍦㙦㤹愵ㅣ㕦ㄸ扡㕢ㄳ㌴〹㈶愷攴㡤㥥㐸㘶っ㌵㔹昳㐷㘱戲㜹〵愰扢〰㌹捡慤㈳晡㐱戹慡㤲挵ㅦ愵㐳挷ㄲ〴㡣昴㤲㙡户愱户㡣扣ㄹ〱㤱㈳㥦戳搱晤㡢戳て㈱㈷昰换ㄱ敢〹㈴〲㡦㘰㑣挸搳扤㥤㌵㡥摡愶て散ㄱ㘳㤳愶㍦攱〱攵〰㐸捡攳敤〵ㄲ慢戱㐶挳㌵慤㜰㘹㙢㔱㠳㥡戸愴戵㍣慥㌷慥㕣愶㌸搰㈸㌱㐵戲㔲㈵愹㔹㤶㤹攳㕡㔲㌵㡡㔴摣㤱戶㔱㤲摣愶昵㝤愷ㄴ昹〸㡡㐹搲㑣㑡摢㈵〹〵㐱㕥㔲〷㜴ㄴ晤昵挹攴ㄱ㡢搶搰〶挸㔳㑦〵㜹㝤㘱㌸㜰ㅦ慥㥣㤴㐵㍥㝣〳㝦㙦〸㤳㠷慡㝥㐳㠹㝥㝡㌰㉣ㄹ慤㔴づ搹戰ㄲ㑡扡㕢㕥㈳㉣㡤戵〵ㅡ㐶㜲㘷愷摡㍦搸摥ㄸ㈳㠶㙣挸㤰㐸㠲ㅦㄸ㙣〸收㡡㐵㔳㘹㥤昵㜱慢㙢搹㌹扥ㅤ㄰扡㉤㌱㌰敤㤷㈷挴愲㌴挳敡㤶晣愰㙣㔰㍢㉤㑡㌹慡ㄹ愳戳ㅥ㔴扡㑦㌹ㅥ愶㈴㠳㙢挶ㄱ扡愵㜰㠱〱㘲㌷㑣㑤㤵㝣㠴㜵㙢ㅤ昰㘴戰㜶戰㠳ㅤ〹挲㈶戴捥㈸㐱戳〹㠴摢戸〸昲㑥㠷ㄸ㠵㈰㌵攴昳敥㙥攵㤹愷昹扣戸㍢ㄵ㈵㐲㈶㘲愸㉢挱㝡〰㜲攳㔱㐹㜲搱㘰ㄴ㉣て㈴㥢ㄴ㕡扤㔱ㅥ㑤㡣㍥㥡㝣慥㡦ㅢ㍣㡣㘳昵㤳㙤㉡戸攳收㥢搰愶㤵愵つ挶㍥扢㔴愹㤶㠵㔴挵㤱慣㤶ㅡ㜹㑤攰㑢㕥晦ぢ戸㈹㘱㕦挲㑤搹㠷愳ㄴ㤷㑣㈴㜵㙥㜷㙢㥦㐳㜳㈹攴搰㐷㈰摢ㄸ㝣㑣㜰换挹㘰㔸换ㅤ〵摡㠷ㅢ敢㤷ㄷ攴挵㌹㠸戴㤶㉣捡戲晤戸㡢㔷㡢㈰㑢㙥㡢㔵摢敦散㜷㘸戳挷戲昶㥡㐱搶㥡挰ㄱ搶ㄹ〸扣㙣ㄶ挶㐸㠷摣挱㑥㔲㘷挳挸敥搹㠷攴㙢敡散敥搰昸㔰ㄸ摦攵㈹㈸㠵㕤〵㈳搱攰㔶敢㔶户挲挸㉦㉤㙦敤㜶〰㠵㈱㘰ㅡ戴愸ㄹㄸ㌸㘳㐸慦㙣攰㌰ㄸ㤹㄰ㅤ㡤〷㔲ㄹ愳ㅣ㠴挳ㅥ㐸〳㌷昱㈰㍤攳㐰〹昹㥢攴愵戰攸㕥攲戰㠵㈳㤰攳㥥摢㤴㌹愵晢戸晡㘲㙦㘹捡ㅥ㉤㤷㘹敥挲㍦户㈶戰㡡㙢ㅢ㠱㌹扡愹改㐲㤶㕣ㄳ敤扢㉢㥡ち挲㡢㠲摢㈷ち㝢㜵扦㌴㍦敤㉦〵㤷戶㍡㈵㠹捣慦攰㡦㔸㜶㜴摡捣㘹㥢㤷㔰ㄷ戹昷昹ㄳ戶㜳捡㤶昳捡㜸扣昱㐷㉢㔶敢敥收㈴昳愹て昰㐷㍥㙡㉡昳㍡㝡㕣捤戴搹㐱摤㐱挲㝥攴ㄳ㐸㠳㈱愴ㄳ攸〴戶㝢敤挶〰改㘴㔳ㄳ㥤㐸㐱戰㑥㈸昶摣挷㐶㈸捡㉦㠱㔶ㄲ㑢㜰㈴挷㥥扦〰搶㔷㝥㠱ㅣ㈲ㅣ敦愱ㄸ挹㕣㠶㔴〲敡愴㈰て慦㜷昰㌲挸晦て㤶㈲㙥㕥㤶㥤晥ぢ捣慣扣搶㡣愲㑢㠸愲㔷㕢㔱挴㐰散㠷ち㜹㜳昶敢㐷捤㑦晣㕡敦晦昰愸㜹㈷㌰捣㐷㕡㘳〸慡㌱ㄸ㕦㌳〶扡㕡㡣㠱慢㔰㉣㡤㠱扢搸㠶昱晡挰ㄸ〸扤ㅤ〷㤰戱戲㌱挰㈸㕥㠲挹ㄷぢ慡挶ㅣㄸ㍣㙢㥤㙢搱ㄳ戶ㄷ搷㙢㠵㠷挸㍤搴㤳㌷づ摦搳㜹慤搹㔳扡慢㕢㕢㘴晥ㅥ㔷㐰㙤戹㌳戸慦㉤㥢戰挵〵换㤶挸㐶换㜸㈵㈲㝦晡扡攷㘴㜵户搴㠱愹攰〹ㅣ昵㑡㑥挹㝥〴㥦㠸挲ㄳ㐲敡㑢㥢㕥摡昳搷〷ㅥ搹捤㝢㘹㈱慤㘶ㄸ〸敥㈴㌸㑦换〱攱摢搸㤵㤰捤晣晣收〰㍥㐴㌲ㄷ㉡㘲㑣㜷愵扤攳㘹㔶㤴っ〸㉦㐶㤸〱昱慤〵㘳ㄲ㌷ㅣ〲㘳戲搰攴搸㤴㥦㉦㐹㘷㘰㈱㌶㜱改扤㡢〲㠴㑡㕢㤵搵愱㕤㤹昹㌹㤴捥㠷㥣㐸愳㍤挸昳㈵ㅦ㐵㜹戹㔹慢敤愴㔶㤳㘶愲㌲㡣ㅡ㤱㤴㐲愴㠱ㄴㄲ㍦戲㌰昴㉦愵搴ㄴㄲ㤹〲㐰㐲っ慤㌹㤸换㤳晦扡㄰㄰戵敢㝤ㅤ㝥慡㠲㕤〴ㄶ㈳慦㝢愷㘷㔷㕡㥤㤱㙡㘲㔰㔶㥥㍥づ㈳㈱㡦㈹捣㘰㤴㔶收ㅥ㐱㈲㝡㌲㈳㐸慤摡昱挴㐱晡慣㈰挴ㄶ㌰㜶挶愲㔷㉤㙦摤㘱㔷㜱挷〳㝡㈶㉢ㄵ㠶扤㤱搹㌸㝡捡㘸㕣㔰㌵ㅦ㘴ㄱ昶〷挹㕡愳㥥戰〸㍡换摥㠲昳㈷挲㝣晣ㅥ㠸攵挳昵慥㌷㌷㤷㔰挷搹摤㔸㈰㝦戰扦㉥㐹㘰㙣㡣㑡㡥㠱㠴㕤㔵慤㕣㜰〹㝣ㅡ㑤愴㍤慦㘸昵㈴挷㔲ㄴ㐶愳㈳捥敡㔲㕢昴㍦攳搴㤲戳㘶㔸㥢〱敢〶晤㝦っㄹ㉢敡㝦㠵㔱㌶㠹戲扢挳〴㕦㌲㡣㤴慣ㄸ㥣攱㡥挰㠷㡤㌰㡤㍣〲㙢㌲挹攰㜶㤰㥡挶㈷慡㐱戱㤴攰昰㜰愵㥢㉦㐱搴摡搲戶敤㘹㉢〰ㄹ〵捡晣っ㈲愸㙤㝢㑥扡昵ㅣ㥢扤〷搹㥢づ㤸㈵搷昱ㅣ挳ㅦ㥡㐶㜸㜷㠸㕦㤸ㄹ戰㜹㐶㤵ㄷ㥡㠵摡ㄵ搸㠹摥㝢搱收攰㈱〸散㠳挲晦戸愲㡥㡣㈱慣㉥㘶挱慦㡤〶㘲㠱㈴㙡〷敦ㅣ攳㜰㔵慦攰〳搵㐳昰㙡晡捣㕡ㄳ捡㉥昰㉤㌷摦挵攰搶攱㌶搶㕤昰晣㠸㑡〱㘱㌰戹㠴㝢敦攳扥㌶敦㐱㘳摤㜰㙤ㅥ㙢㜶收㕤换㘷㝥ち㥣慥㙥㤴㐶㤲攱㤸晣敥㌸慦摤㐷㠸㌸て扤愳慢㜷挵戲户㐱搰㜹昸搹㌶㕤㕥挳ㄵ㌸捡㔶ㄱ攷晥㈲㥡㉡户ㄳ攰愷ㄵ挳〴㕦ㄴ晡昳㙥㘳攲㌹㉣㡢っ㠰㜴㉡慢〳戴愷敡ㅦ㉦㐷搵ち㡦ㄶ愴挲扣昲㈳㤴㜳㤷㠲搵㤶㤹㠷愳㠶㍣㐲㈰慤挵㈵户挲㈳㠴ㅣ晦ㄹ㌴愸㡤㍦㠷摣昶攳晦㘰搹昱愹晣攵晡攲晤て㐴捡㐳㍢捥愱㑦㄰㔴〸㉣㠰㠱愸㘶㍦挵㈲㘵㑤㌶〸㈲扣戶ㅢ㘹㍣㝦っ晦㝤㝢昷㥢㙦昰昹搷㙥㐵ち㐲ㄴ㌵慥㠲㠲㔰慥攲㠹昸㉡ㄶ㤰摢㝥ㄵ摦㕤㙥ㄵ〳㤴㤱㥣㠹收〲昴㜵㈹愴ㄵ戹㉡て〹㙥㈸㝦㡡㐴㈸ㄲつ戳ㄸ㈰㘲㘵摢㉡ㄲ㘸换㥤㤷㙤ㄷ㤱㠸摡㘶戸ㄱ〹㥦昰㐸晢㠸㔷ㅥ改戵挹〶㙥搷㙣愰ㄵ㜳㔶攸㙦㕤ㄳ戲〱㑢攲㌷戱㙤㐵㝡戶挳㔸扥昲㜸㠴㤸扤㝢愳敦愳搴㌰扡〴挲〸㉣㔲ㄲㄲ㌷㔲昹㐶㔴昹攵㔷敡捥㔱ㄴ攰〱昵〴㤵㐹㜰戲昲㘳㔱攵敤昸昶㑡搶㐹昱慥〰㥦户愳捡㈴㑣㔹昹搱愸昲㍦户㙦愹㔵㡥攸㌰攸㌹㐳㈲㐹戰㜵愵昵ㅦ晢づ㥢㠷敡㡣㐱晤搹㘳〴搹㤴㥣㌲㐸㕣㤱ㅡ戴ㄷ搷㍥㕣㝣〹扤ㅦ户㤸㜰搹〳㐲㌶昸てㄱ昶攱㜶搳㠴敥敢昸搰㜹ㄱ㘱㘵㔷㤳㙦㙣㥣㌵づ戹挸攸㌶昶㜹㌸㔳㤵搷ㄴ㠹挰ㅣ㐸〷晢扢㠲晢㍤挱㜴慣敦㐷ㄴづ㔳㜹㕢愴㌳攵㈱㐳㈸㘹攵㤱〸戳愹㌳㜵㥡搱扥っ攴㐰㑣〲㌲愱㝤〵㌰〸戹㙣㘲挶〰昹㕦㌲昷ㄹ㈴戴㠷〹扥ち㤰㔷挸散愴㠳散搷〰晡愳晦㡥㘲㘸㔱晡㑢㔴攵挱㘸戰㌸ㄹ㘹㕦㘷㠳㐷〱扡攰愸㔵㐲㈲捣㙢㡦㈱㈷㍥㈸〵㠷ㅣ昴㜱ㄶ㝣㤳攰㕢〰昹っ㈷扢敡㕤攳㥡㍡搴㕣摦㐶㔳㠵㕢㈱攵搸㜷挲〴㕦㌲㘷〰㙥㙢㙦㉢昳㈸ㅣ㝤扥㡦愰㘶挳㜷晡㜷攰扢晢㈵㉥扡ぢ晦敤㐸㐶ㅡ昶㘹昵㌳㥤昵㐵㈶愰㑤㉥㝦㉥㌶晢㈳昴挳㜵搵㙤㑣昶昸㔹晣㜲㙡㔶㜹ㄸ晦㥥挱㑦㌹㠹ㄱ㌸ち㌵㙤づ㙥ㄶ搲㠰㉣㔸〸ぢ愸戲戴㈷〰ㄴ攲㤸㜸搲㥥攴ㅢ㔱换晥戵愷挲〴㕦ㄴ攲昵っㄳ㤵戰㜹㌴㈰㜱㉤ぢ㑥㌴つ㐸晣换㠲攳昱〱扦㡦㕣㐵㈲ぢ㠹㐶慤㐴愴愵㤹晢㌴㐰㕦㔷㍦攷㐶㉤愷㥥㔶㑡昷㤷敦扦晦扤晥昴搰〵改捦摦摥晢昴摢扦㝦攷挹户扥戰敢ㅦ敦㍦晢散㕢㝦㝢昲㡤昷㕦㥦摤昵摢攷㥦晦捤㥤㍦㜹攳㥤㡤挶㜳敡㉢敦敤㝦敥挱㤱ㄳて㥥㌴㡥㕥扦攷挱㝢㡥ㅦㅥ㤹㍡㘷戸慢慢扢晢㥡挱摦㥤㝦敤挰㤹㤳慦㉡扦晥昳㜹戶㈲㤷换〱㡦〰㐴捦〰㤷㉤愷昱㐳㈴㌰つ捥昸ㄳ㥤〶㤷㝢〶㍦愵ㅣ㙥搴ㄸ㕥㜲昰㘹㜰〲戲愰搴㔸搰昳ㅦ㠸㤲戱㐶</t>
  </si>
  <si>
    <t>Cell: B26</t>
  </si>
  <si>
    <t>Forecast: NPV 3 (cont'd)</t>
  </si>
  <si>
    <t>After 1,000 trials, the std. error of the mean is $55,807.74</t>
  </si>
  <si>
    <t>Base case is  $(1,215,214.10)</t>
  </si>
  <si>
    <t>Entire range is from  $(9,132,923.21) to $3,697,106.52</t>
  </si>
  <si>
    <t>Forecast: NPV 3</t>
  </si>
  <si>
    <t>Worksheet: [Alan''s Scratchpad.xlsx]With Loan</t>
  </si>
  <si>
    <t>After 1,000 trials, the std. error of the mean is $52,661.53</t>
  </si>
  <si>
    <t>Entire range is from  $(7,005,342.09) to $3,004,926.54</t>
  </si>
  <si>
    <t>After 1,000 trials, the std. error of the mean is $52,659.50</t>
  </si>
  <si>
    <t>Simulation stopped on 4/30/2018 at 9:53 PM</t>
  </si>
  <si>
    <t>Simulation started on 4/30/2018 at 9:53 PM</t>
  </si>
  <si>
    <t>With_Loan_NPV</t>
  </si>
  <si>
    <t>㜸〱捤㔹㕢㙣ㅣ㔷ㄹ摥㤹摤ㄹ敦慣搷昶收搲戴㑤㙦㉥㌴㑤愹换㉡㙥㥡㈶㙤㠹ㄲ㝢ㅤ㈷㙥㥤搸挹㍡〹搰挲㘶扣㝢㈶㍢昱㕣摣㤹搹挴慥㉡攰㤹ㄷ愴昲搴㔲搴㔲ㅥ愰〸〴〸〹㠱㐰㐸㐵愰㈲ㄴ㉡ㅥ㉡愰㙦愸㐲㐲㠸ちㄵ昱㔲㠹㑡攱晢捥捣慥㜷搷敢㑤敡〶挹挷昲扦攷晡捦㌹晦晤晣㈷愵愴㔲愹㙢㈸晣㘵挹戰㜲㘷㜹㌵㡣㠴㕢㉣昹㡥㈳慡㤱敤㝢㘱㜱㈲〸捣搵㔹㍢㡣搲㤸愰㔷㙣㡣㠷㕡㈵戴㥦ㄳ搹捡㘵ㄱ㠴㤸愴愵㔲搹慣愱㘲㥣㐸昸㕦㘸㌶っ慥捡㘷〰ㄶ㑡㤳㜳㡢㤷㠰戵ㅣ昹㠱㜸㘸昴㕣扣昶昰昸㜸㜱扣昸挸挱昱㐷㡢晢ㅥㅡ㉤㌵㥣愸ㄱ㠸挳㥥㘸㐴㠱改㍣㌴㍡摦㔸㜴散敡㔳㘲㜵挱㕦ㄲ摥㘱戱戸㙦晦愲昹挸愱昱㐷づㅣ戰ㅥ㝢散㔰ㅥ㥦㑥㥤㉡㑤捥〷挲ち㙦ㄶ㑥㥤㌸攷㑡㤳挵㔳㈲扡㔹㌸〷㠰ㄳ㈸愷㝣搷戴扤㥢㠴㔴㈳㙤昷㑦㠹慡㑤㈶〸ㄱ搸摥挵㈲戶摤㐱㘸戴づㄶ愷㐱昱慡ㄹ㐶㈵攱㌸㘷㠴挵捤攴㕤搲㑣〴挲慢㡡㜰搸㍤戶㔲ㄵ㑥㌲ㅣ㘶摤㜳㘶㜰捡㜴㐵㠶㤵ㄱ㌷收摢㑣㑤㜸㤱ㅤ慤づ戹㘷㐳㜱挶昴㉥ち㑥搱摣攳つ扢㤶挹㈸㤹㑣㉡扤户搷㘶㈴㙦㡡搳㐱戵㔴㌷㠳㐸戶挸戵昱㕥㜳摢㈴㐴㙥扣㘳㕢㤴愲搱慥㔵㘴㔳搹㜶㥦ㄲ㠱㈷ㅣ㝥㠴捣ㅢ敢㥡㈴㘹ㄲ㤳扥㐵㥣收㘹㐸ぢ㘵㌰㤱㝢㜹ㄴ㜴ㄸ㔹〲〳㐰捦〱㘸愷收捦㡤㡥ㅢ㠳散捣〳㈸㤹晦㐰㜳摡ㄷ㜱㐸慤㤸㙡㘵㔱慤㔴搵㑡㑤慤〸戵㘲愹㤵㡢㙡愵慥㔶㙣戵㜲㐹慤㉣㘱㑥戳㘴〷〶搴愴扣昹挷㘷㡥扣㜵昸户愵ㄷ㝦晣摦慦搵㙥扤昶愷晣㌰㈶㥤㑥㌶㌴ㄵ㤸㔷挰搵㌵㠱㜹戸戸㡦㝦搷搷ㄴ㈸㡡㜵挰㍡㘸㡤㡦搷づ散㌳昷㥢ㅡ㡦㜴愳晣搹㠹戹㜹敢扣敤搵晣㉢㤲㘱㜹㙢摡㜶㈲ㄱ挸挶㠸㠵㥦㔸攸㘴㝢挸㍡戶〲㙤慤挶扣摤㘹㤵㐴㄰㐱捡愳搵㌵㠶摦㌹㘹㠶㘲慤㌹㤶攰㥥昴ㅢ㕥㉤扣愳昷㘰㌹㌲㈳戱扢㝢㙣つ挹扡㘵㘵㘸㠰〸攵㤶敥敥㕥㜶捥㜴ㅡ㘲㘲挵㡥㠷敦敡ㅡ㠶㉥昸㡢ㅢ㡦㑥〷攲搹搶攸扡ㅤ㑤挰㔰㕥㤶戸搷㥤㌲ㅥ㡡昷㌵㕡慡晢愱昰攴昶挶摣㜹扢扡㈴㠲戲愰㤹ㄵ㌵㜹搴㕢㌸㤴㈸攴搸㥣㠷㠳㐲挵㙡㥦㘸敦㈵愱㠵㔷ㄳ㌵散㜷ㄹ㔴㕥㕤㌰ㄷㅤ戱慢㘳㑡晣㑤っ摣摥搱㍤敤㔷ㅢ㘱挹昷愲挰㜷㍡㐷㈶㙡㤷㑤ㄸ㠱摡㐹扦㈶㌲戲愴㘲愸愴搲㘹㐵㐹㍤搰㑢㥢㠸㍢愴扥戵〹〹戵扡晦攴㌶㈱攲攴㥥㝡摡挲㡣㑡㥢㤰㜱晥愷晡敥愴㕤〸㌹㝢㕦摦搹㍤㠴㤴㡢㙥敢㔴扣攲ㄹ昰〷㝣㜰〴戵㔲扤㙦㘳㤴㙢㜲㜹㥤㥤戶㜱㠵㕥㤵戳晢㄰㑤愲㙤挹摥晦㜷戲慡敥㐸㑥㝦散㌲㑣晤〹搳慢㌹㈲攸ㅢㄳ㈸摣㤱㌱㐲㔰㈰搸㐶戰㥤㘰〷㠰昶ㅥ捣攴㠶ㄴ愵㌹㔷㔶㤴㔵敤㡡㕤㡢敡㝡㕤搸ㄷ敢ㄱ晡㄰㑢㘴戳㈴昷搱攴㝦㍢㘶㌶ㄸ㔰ㄸ户㄰散㈲戸ㄵ㈰㤷㑢改户攱ㄷ㐶摡戸㥤㍦扢〱㐶㥡扥㙥㌴㤶捣㕣㑡愳ㅤ晦攸摥㐶㝥㔰㍡㌷㐴ㅦ愱收〲㙦㤸㑥昷愲挶〹㌳慣㐷㔴挴扥㠳㍣慥㜱〷挱㥤〰昹扢〰㑥㥤㄰づ搴昸㘶〵㉥ㅡ扤搰㜵ㅤ㈴戹戳换㉤慦㝡搵㝡攰㝢〸攳愶捣挸㥣愸㈲ち〸ㄵ㔳㜷㘷晤㔲㈳搲摤ㄳ㌶㝥昲敥ㄹ戱㉣捣愸〴㌳ㅤつ戹戳㠸㈰愴ㅤ㥤愹慤㘸㙥散晣愷㐴㔸㌵ㄸ㈵捣挰㉣慤攸愸挱捥收㕤ㅡㅡ戱ㄲㄱ昵㠰㍢㙦㈲捡㠸っ㑣ㅡ㤳慢攲ㅡ㔷づ挹扥收敡㕣搲〲㠶㠲慣戶㘱ㄹ㤴ㅤ㌱愶ㄴ㐹㤹㠲㘵㑡愵㌳〹散搶愰戳㤱敤㠴挵㠴扣挵㈹ㅦ㔱愴㤰㠱㉣挹慥敢㄰㌰扤㉦戳扡ㄵ㥤㘱挶㕣㜵㌱㐶㡢慤ㅣて晣挶㌲㐳㡤㥢㠵㠷戸㔲挶摤〰慦晣晢㝢㑦散昹收て慦㈵扦㕦㠶ち挹㘲㌰ㄲ㌱㈸敦㙣攲㐷ㄶ攳㕥晣攴晡㡤㘹㡣㔸㝡㕡摡つ㈲㈲慡㜴摥挵㘹ㄷ〲㈱㐳扣慣㙣慣㉥㡢㈱昷扣ㅦ㉣㉤晡晥ㄲ㤹㍦㉣㕢㘱㕤㠸㠸㜱搳㘰ㄲ㈶戲慥㈸㑡㍡摤ㄱㅦ戵〵㔸㡣戸昴㍤〰㐳ㄳ㡥㌳摡挴ㄸ敡昷愳㉢捤〸㙥㉦㉡扢㈶ㅣ搳摢ㅢ㡥㤶慢㠱ㄹ㔵敢换㘶慤戸攲㠴㉢捡㕦㜰㜶〶㕦㙦㍤昷㡥昸搱昱㕦捤㝤晦㈷敥挹攷㜲〷摥㔰晥㥣っ㜴㠷㔳ㅡ㡤㔳户㜸挸㠰戰攵㘸摡㕣ㄸ捤㡥㙥㥤昵散㈸ㅣ戴㈶ㅡ㤱㍦㙤㐷㔳㘱㤴户〰㔰㤵㑢㜶㑢㥢摣戶㘸捣㍡㘷㡢㉢ぢ㈰搰㍤敢㠷㄰㉢㤷ㅡ㘱攴㑢挹扦㝢晤昸㤴㝦捡㡦愶散㜰搹㌱㔷敦敢㌱ㅣ㡦㥣慦ぢて㐱㐲㠰㔸攱㝡㤳晣攵㘵㔱敢戱挷戲摦〸慡㘲㘶㙡㉢㠴ㄹ㑡慣挲㈹㐸〹ㄴ㔸搹戳戱㕢㙤愳㍢攵㔲㠵㘴㈹㥢昴㔲搲㔵ㄸ㘳挰㤲挶㌷攱㍤㡣㠷㔰㠷ㄳ搱攸扡晡㡢㐸㕢攰㐲㈳㥢戳挰搶戸㙦㈸㠹㡣㘷扣搰慥㠹㕣搲㍡㘹㝢挳㐹㜵慥ㄱ㜵㡣㤸㉢㍢㤲ㄱ㠸晦㥣〷搶㔷捤愰戶ㄵ戸㠲㠳愱挴㉣㔱㜴晣㙤㡥搰㌱㥡㔴敡晤㘶㙥攱晤㉦挳㐲㝤ㅡ摤愴㌵㈳㠴㥥搶愸愵㡥愸戴挵㝤㔴摦㈱㤲扢搵㥤㘵敢愴㌰㍤挹㠵㜲㔴㥢ㄲ㤷㠷攵っ〱〱挷ㄵ搵ㄱ㍢㍡㥢搲㈹ㄹ搶挴㘲攸㍢㡤㐸っ户㙡㔲搱つ敢㡣㜰㑣挶昰昹㔶㙤扥ㅡ攱㤶搳挲挷昸㝣敢㜰〸ㄴ挹㈴㕣㔲㈴㥦昴㍥挲摢㜹〸敡搰㈶戹ち㜷㙢挹昲慦㈳捡㑢㉦戲扣㝥㈴搵慣攴㔸㔲ㅡ㘳㡢ㅢて搲愹㐹㍢㥡㜷挷搸挲㐹攳㤵㙦昶㌱㍥ㅥ戲愴摤挳㈵㤸搹㠹ㄱ慡㡥㠳搴㔱㘴㔷㑤挷㔹ㅤ戶㘶扣慡搳愸㠹㔹㜳㔱㌸㑤㥢敤〷敥ㄶ攱㤷捣慡挵扣敡㐳㤷攴收㌲㠳搴㕡昳㑡戰㘹㌳㤷㌲㡡㈰慢㡣ㄳ㠰㈳㘷散㐳㡢慣㘱㍣晥㤱㙦㐴っ㌹戶慦摤攷㘵搲〷愶㙤㕤ㄷ㙤ㅡ愳挳搶愵㑡㙡㕣摢戴㔹㝦搶挷㠵户搶搶㜵挲㡥扢戶㡣㕥㐹㌶改扡扥㔹〷〳㕡愱扣㥦㠴㘶㌰㝡㜱晢〸改㑦づ昰昲搲ㅤ㔷戶〵㈲搲昷㑢㈳㐸㜷㌴㐲ぢㄶ〷づぢ㜶攴㠸㐱㑢㡥换㝡㤶㉡㐱㙡づ㔸ぢ㜵挴㘸㔳㐳搶昱挰慥㌹戶㈷ㄸ㠴㈰〱挳㐴摢慣戸㠸㔴挱扣ㅦ摡捣攳づ㔹ぢ㠱改㠵换っ挵慢慢摢㍢㕡㤲㔹㥡㌵㘹㝢㔰愰昸㥢慣㡦㔸攵扡㝦〵愹攰㠶敢ㅤ㌷㤷挳㉤挱㈸㈶㤷攳ㄲ㙢㤵慡愸慡㤲㔵戳㥢昵㔵晡㌸戰改挸捤㠰㘲戸㔳愴㔲て愳慤ㄲ㈴㕣攳㙤戳㡦敡㤲㘱㐹捥㠶慡换敤㜵㘴㔶㝢㕥ㄸ㕢㈹㜵㥡㘳㠳ㅦ换敦〷㜸昲昸搹㤹戵㑣摦挷捡㡢㙢扣ㅦ昷昱ち昲扣慤戴〲㈵㜳㌸㤶ㅡ昶㔱㠸っ挹㝣戶扡㈵㌱㘷挹㌹ㄴ㑡㌸㔲㑥㘷㜵ㅡㄷ扥㍣㙣〰慣㌰㉥捡㌰扦挳㜱㠳㤱㥤㙢㍡㘱㌲㔶昲㕤搷愴㤴㤱摥㘵㤸㜰㤱㤵㘱㌶㡣㡡㘱〱㐸㔱㑣扡捣ㄵ㜴㤹㉢戲ぢ㥥㤹愹㐲㔹㈷㉥晦愲ㄹ搸㔱摤戵慢㔹㌶㤸捥摢ㄲ攲挹摣㌰㠸搹㉣㔲㐶ㄱ戳㜶㕦捡攳㝢㈴搸㕤挴㌵㠲愴㈳晢㈱挴慡㜴攷捡㈶昳㌰㄰㕦㘹昷㡤〳挰愶挹ㄷㄸ㕥㡦㔹摡㘲㌱昴㐸㝢愴㌰㘵挲㘱攳搱愴挲㐶㠶ㄹ㡡扥㔷㘳㕥摦㜲戳扥㔹㥢㐶挶搷て〶㤲㜷㥣㉣㔸㑢敢ㄲㄴ㤸づ㈹㈱㤷㠸ㅣ攵㘵㠴挴㐱㤶ㅤ㘵㈴ㅡ㌲㑣愴攸㌱てㄹ㘷愶㌴㙤㌰摢敢㕢㌳㑤㕣昷㈵搷挶昶昷愸㤹㜵昸摦㍢㝤〸㐶㤶挷攲㠳㠸㜱㤰攰㄰㠰挲㐴ぢ捦搳㌵攱㌱㑥㜸ㅣ㐰攳㝤扢㕢㑢㌶㑣ㅤ㄰戹收㌲愵㤱㜵㜹ㅣ㐴ㅥ㍡ㄲㅤ㐸㡤㠰㈴晡㘰㤶愹〵攳〹㠰㍦㕣扤㝡ㄸ㍦㈹攵㕥㠰收昷愹敡戹ㅣ㠹㘷㝣㠶㠰㌳㌴㕥㐶㙥散昲挳㠵㠵戶ㅢ㈹㜵㌴摣㘶㥤㙥㤸づ㥥㘴收㄰ㄶ㐵散摡ち㑡㤰㠹㠳搳敥户㠶捥㤷ㅡ摣敢攴ㄱ㥥晥〲㌳ㅦ摤㌴攸㥣㥢㥣㉤攴捣捤〵慦㌹敤搷㐸て摣搸㔷愸〵〳㤷㤹挶慡㔴㤰摥㐱㡢㡣捦ㄹㄴ㌱戸㜱㠵㤷㐶愹㌶㐷㤳ちㅢち慦㌷戲㜷〲㤵㘶搱ㄸ㡡昵㜱ㅥ㕤㜱ㅦ搷敦㔸ㄳ㜵ㅡ戵㌱㠷て慦扤㜴愴搳㠷㑣㘲愹挲㔰㙦摤ㅥㄴ扡ㄷ搹㍢㤵㔴愴ㅣ搳㐴㕣搷㉡搱㤴攱㐶ぢ晢㔴㡥㔶ㅤ昸〴㔶㤹晡㠹㙢㔴㠲㜸ㄸ㥢昶〳挴扡㤹敥㘴㙦㙢㉤ㄳ㉢㠳㍢扢㤲敢㜲ㄹ㐷㘸晥戴㕦㠰㐵ㅢ慥攷〹搶戸挲㌵㉣晡㌴挰捥㤳㜶㌵昰㐳摦㡡㐶换〸㜱㐶昹摣㘲㈱搸㥤搰㝥づ㡣㍤扦挹㠳㘵㍣扥㕥㑡㐶攷㤶㍣晦㡡㈷㜷愳㠵㝣㜵㤲昴ㅡㄸ攰㘷ㄸ〲换昲㐹㔰戱㐰㔳挹挵挶〹㠰愱㜴㠱戶㠶愵㐰㝢挳㔲愰㜱㘱㈹搰挰戰㡣搰㈴㄰ぢ㐵改愶㤶〲つ〹戹愹捦〰っ㤷㈶㉢㙤搱㠸晥㈴晡昲攸㤳昶昶っ㕥㙢昴愷搰戳つ㍤㥤捦戹〵㕡㈲㘲㔹㝢昴㌴㑥愱愹㔰攰㈵㈱收㤲〹㥣㔴㌸ち㈰㈹㌰㡦ち㈸㌰㠱ㅦㄶ㐵㡡㈰㉡㐶慢〷㡤挲ㄴ㠰㥣㝥〶㤵愱戴㐶扡㍤戱㜱扡愷敤〰㘳搰㡥㡥户慥㘳㜸扢㕡愵㔷㑢挳㡦㘸昲㔸ㄹ昵昱捤攱愲敤愱㐵㤶晦㍦㠰㤸㝣っ㍣愴搱㥡㘸ㄲ攳㍤昸㌷ㄶ〰ㄴㄲ㤲昹㔷㘳て挱晤〴㝢〱㤴敦攲㤳㍤搳㤸摦㐹〶扡搳㤸〵㌲㐱ㄲ昲昳㐴昲㌴挱㌳〰㌹㠵㝣㈰㔵㤵㙦㘳㈹㡦挲っ㑢㔶㑤㙢愴昸㠳ㅢ㤳㈷づ挱搶㥥㑣㤹㘸搱㉣㙡昷愰ㄵ扦㔸㤲㐸㌲愱攵㐸搵挸㈳ㅡぢ昰㘸㌹㡢㝢〶㘲㌰扣扡㈷㠲㠴晢〷扤㘲搳摦ㅢ戲挵挵扡㌵ㄷ㈰〰ㄸ戰㘶㐲摣㘶㙡㔹扣〴㐴㜸㐴昶戶㠲㤷㠲戱捡㔰㤸㈰㑥捣㐱慡㍤敤〴つ㐰㜷㝣搰㜶㘵㕢愳㐷昳摡慥㌲㠸摢㥣㡦搲扦㠸㡦慤扤㕥㐹挳ㄴ慡捡户挰㔱摡戱摣㍦ㅦ扥晤ㅡ户㡢㐰㌱㘵㕣挰㡦ㄴ㈷㐵㥥〱搹㑣㘳㤱㕤捣㜱㑡㤰搲㈸㝦摤㠷愲挵㥥收㡡慥㌷户挱㐱㥥昴昵㈳晦㌸晡愵愳㕦㥤㔰㈸㘲㔲愴㕥㑥㐴㡡㠶㈶慢敡ち挵㑥づ㝣㈳ㄹ愰敤挸㈲挰愵㈸捡㠱㤷㤲〱ㅡて攳㈲㠰㜶〱攰㠶㘹㐸㕤摡愴ぢ慣㘳愹㐲㈲㄰㠷㘱〳昰愰晣ㅦ攱㍥捥戳戱愲㔴㉦搴㉥㕣昸㘰㈴㌳扡㍢昳搹愳昹ㄷ晦晡晢㜷㕦㜸晢㤹挳㝦晦昰攵㤷摦晥摢ぢ㔷㍦晣攵攲攱㌷㕦㝢敤㌷㑦扥㜲昵摤敤搶慢敡㑦㍦㤸㝤昵昹昱愵攷㥦戵捥㍥㜸晣昹捦㕤㍡㍤㍥扦㙤㉣㥤ㅥㄸ搸扢攳㜷户㍤㔰昸捡戳㍦㔳摥㜸攷㔶㑦㤱摦挶〷㡣㑢〰㉣搴昹〲昷㈰㔵㜶〹ㄵ挳〱ㄸ㔲ぢ㥣挱捥愱㡣挲㙥㐹戴慦㈷㐴㥢㐴㐷ㄶ戹㘹㑥㤵〳㉦㈴〳捣〸ㄸ㍥㠰㐲㜰㠱慤㘵戶㈴㘰慢㘹㜳㔱㑦つ晥て晢〵㠴㙦</t>
  </si>
  <si>
    <t>Optimal_Loan_Amount</t>
  </si>
  <si>
    <t xml:space="preserve">The ability to liquidate early does not greatly impact the incremental NPV because the cash flows are largely positive and the threshold for liquidation is rarely met. The continued cash flows are necessary to overcome the large investment in pitch technology that has no salvage value. </t>
  </si>
  <si>
    <t>Optimal_Threshold</t>
  </si>
  <si>
    <t>㜸〱搵㕡㕢㙣ㅣ搵ㄹ㥥㔹敦㡣㜷搶扢昶收㐲㈰㈹ㄷㄷ㠲戸㌸慣攲㐰㈰㤴愶㠹扤㡥ㅤ㠳ㄳ㍢戱㤳㐰ㅢ扡ㄹ敦㥥㠹㈷㤹㥤㌱㌳戳㠹㕤㔱愸〴慤㈸㉦ㄴ愸㐴㘹㐱㐴昴㈲搱㤷搲㤷慡㤵㤰㕡愴㑡慤慡㈰戵ㄲ㝤攸ㅢ愲慤㔰㔵㕡愵㝤捡〳ㄲ晤扥㌳戳敢摤昵㝡ㄳ㡣㕢戹挷昲扦攷㌶㘷捥昹㉦摦昹捦㝦㐶㔱ㄵ㐵昹ㄸ㠹扦㑣㐹㘶慥㥦㕥っ㐲㔱挹ㄷ㍣挷ㄱ愵搰昶摣㈰㍦攴晢收攲㠴ㅤ㠴㕤攸愰ㄷ㙤戴〷㕡㌱戰扦㈲㔲挵㜳挲て搰㐹㔳㤴㔴捡㐸愰扤昶㥦慢㘵っ㍥㘵㈴㐱㌲攸愵捣ㄴ㠶㈷㘷捦㘰攸改搰昳挵㡥晥攳搱〰㝢〷〷昳㠳昹㝢敥ㅢ扣㌷扦㜳㐷㝦愱敡㠴㔵㕦散㜵㐵㌵昴㑤㘷㐷晦㔴㜵搶戱㑢て㠹挵ㄹ敦慣㜰昷㡡搹㥤㜷捦㥡昷散ㄹ扣㘷昷㙥敢晥晢昷㘴㜴㡣㝣戸㌰㍣攵ぢ㉢㔸慢㌱扢㌹收㘴㘱㌸㝦㔸㠴㙢㌵㘶ち㘳㘲挸ㄱ慦㘲摡敥ㅡつ慡㤱挱㜷㡦㠸㤲㑤㐹〸攱摢敥改㍣愶摤挴㘸㤴敥换㡦㠲攳㈵㌳〸ぢ挲㜱㡥ち㡢ぢ捣㔴挸㌳攱ぢ户㈴㠲摥捡㠱㠵㤲㜰攲收㈰㔵㌹㙥晡㠷捤㡡㐸㌲搳㔷㠹攴㌶㕥ㄶ㙥㘸㠷㡢搹捡戱㐰ㅣ㌵摤搳㠲㕤戴捡㔸搵㉥㈷㤳㙡㌲愹㜴摤搶㙥㌲㔲㌶昹㔱扦㔴㤸㌳晤㔰㤶㈸戵挱㜶㝤ㅢ㌴㐴㑥扣㘹㕡搴愲晥㤶愷㈸愶㘹扢昲㤰昰㕤攱昰㈵㕣摢㐰㑢㈷挹㤳㠸昵㜵收搴㔶㐳挱愸㍤戱昲㜳㈹㝣㡢㘱㤰愴㐱昴ㅥ㄰敤昰搴昱晥㕤㐶㠶㤵㔹㄰㌵昹㙦㤸㑦攳㐳散㤵㈸㥡㠹攲㙣愲㔸㑡ㄴ换㠹愲㐸ㄴ慤㐴昱㜴愲㌸㤷㈸摡㠹攲㤹㐴昱㉣晡搴㔲慡扢㍢ㄱ愷挳㍦ㄸ㝦昳昱攷㥥ㄹ㝢敢攴㌵摥愵ぢ㕦昸㠷㐶㡢戹㉡收㘰㤵㄰㑦㉣㌴慥愳㤷㤲㈹㔴㠳搰慢㔰㌴㙢㉢㘲㈵㤶戱㝡㙢㍢敥㐶㐲㡥㘶昴㈹㐵㝣㑢换昸ㄴ昱攴㝣ㄸ㡢㌸㝡挵㥡㐸㔹㌵晡挰㌴㈳〷愲㙦〰搹㠰户搸ㄵ搳㈹捥捣昹㈲㤸昳㥣戲戱㤱ㅤ㌶㠱愸敡㠷㄰㌹挵㍥昵愳昹て敥ㄸ㝤晥攰昷昶㍦㝡昴愵㍦晥㔴捦㕣㠳收㈳戱〲㡤昸收㜹㔸攱㤲㠱敦捡敦攴摦㤵㤱つ挰㘶敤戶敥戳〶〷换扢㜷㥡㜷㥢ㅡ㔵昰㙡敤㘹㌳晡㘶慣ㄳ戶㕢昶捥㑢敥㘷慣㔱摢〹㠵㉦ぢ㝤ㄶ㝥㈲㤰㤰攵慣㜵㘰〱攸㕡㡡㙣㜱戳㔵㄰㝥〸㔴ちㄷ㤷っ昴晡㘱ㄳ㥡㔴户搷㠱㜸散㘱慦敡㤶㠳捦戴㙦㥣づ捤㔰㙣㙢㙤㕢ㅡ㘴搹㘳搳㐰㉣ㄱ挸㈹摤搸晡搸㜱搳愹㡡愱〵㍢㙡扥愱愵ㄹ搸攵捤慥摣㍡敡㡢挷敡慤换㘶㌴㠴摤敤㥣ㅣ㝢搹㉡愳愶㘸㕥晤㠵㌹㉦㄰慥㥣摥㐰㘵捡㉥㥤ㄵ晥戴攰摥㈸捡㜲愹搷戰㈹〶搰㠱㐹ㄷぢ〵㈴㤶㙦㙥慣㈵愳㠵㕢ㄶ㘵捣㜷ㅥ㕣㕥㥣㌱㘷ㅤ戱愵愹㑢昴㑥㌴㙣㙤慡ㅥ昵㑡搵愰攰戹愱敦㌹捤㉤㐳攵㜳㈶㐰扢㝣挸㉢㡢愴㑣㌰㑤㈴㐵㔵扡扡㔴㔵戹扤挵㝥㈴晡㜱散㠰昸搸愰㈴㐴攱捥㥤ㅢ㤴㠸㥤摢攲㙡㝤㘴㘴ㅡ㤴㡣晤敦攸㌸㤳㐶㈵㘴敦㥤ㅤ㝢户㔱㔲㍥㜴㕤戳攱攵㡦㐲㍥㤰㠳㈳㘸㤵㠹敤㉢て戹愴㤷㔷㤸㘹㠳㔴攸ち戱㜷〷愶挹㘱敢扡昷摦敤㥣㐸㙣㡡㔷㝦攰ㅣ戶收㠳愶㕢㜶㠴摦搱㤱㔳㌹㈳㘳ぢ挹戵㈴搷㤱㙣㈵搹〶愲晤ㄵ昸戶㈲㐷戹㉦愹ぢ敡愲㜶摥㉥㠷㜳晡㥣戰㑦捦㠵愸㠳〳㤸㑡㤱摤ㄷ攲晦㡤攸㔹愵ㄷ㘸㕣㑦㜲〳挹㡤㈰改戴愲摦㠴㕦㐵㑦ㅢ晤晣昹㉣㐸㕦捤㌷改㡦㌴㌳慤㘸摣㜷慦㙡〳㙣昲づ攴ぢ愵㌳〲㙦㌱搰㉡ㄸ㌷攸敡㙡挷㡤㠳㘶㌰ㄷ搲㄰㍢㌶㑡㍦攰㘶㑣挵戸〵㈴戳ㅤ攴昰㐱攱挰㡣搷捡搱搴攸㔰㕣搱愱攱ㄶ戴愵㌲扤攸㤶收㝣捦㠵敦㍤㘲㠶收㔰〹㕥㕢愰㥡㝡㘵挲㉢㔴㐳扤㜲搰挶㑦愶㜲㔴捣ぢ㌳㉣〰愶挳㙣㘵〲ㅥ㥦挴搱昱昲㠲㈶㍤〲慤㌲㈲㠲㤲㐱慦㙥ㅣ戰戴愰㈳〷㥣捤㔴〸㌴㘲㈱攴搰摤㤵㈹ㄳ㕥㘱㘸愰搳㠰㝣㉡捡昱挹慣慣慢㍤㥤㡥㑢ㄸ㈱㈷戳つ愳昴挸㡡㘸㈴㠵㥡㠳ㅤ㔴㔱扡㤲㌱㙤戵愰㘳愱敤〴昹㤸扤昹ㄱて㕥扦㤰愷て戲㕤搷愱㘰㝡㐷㘱戵ㅡ扡昴ㄹ㑡戳搱戰㤸捡㤸敦㔵攷改㌴慣搵㌸ㅣ㑢㌱㙥〵㜹敤㕦㍦㝥攰搶㔷㝦昲㜱晣晢㈴㑣㐸㈶㠳㍥愱㐱㝤㘷ㄱ㍦㌲ㄹ户攳㈷摤愹㑤愳㠷搹ㄶ㘹㔷昰㘰愹愸㤹捡㘴㘹㜶挶ㄷ搲㈵㑦挹挲攲扣挸㔶㑥㜸晥搹㔹捦㍢㑢㜷戰㔷㤶㠲㌹㈱㐲晡戹㍤戱㕢捦扣慡慡㕤㕤㑤晥㙣㠳㐳㑣捦㔲摦〱㤲ㅤ㜲㥣晥摡㠸㠱㝥ㄷ慡扡戰愳攸㜹㘴戶っ㌹愶㝢㕢搰㍦㕤昲捤戰㌴㌷㙦㤶昳ぢ㑥戰愰晥〱㙢愷搷昴搵㕦㙣晤㘰敥㥤㈳㐳㙦敥ㄹ㝡昱攴昷㘷ㄵ昵昷㜱挳㌲昷㤷㍥搹搵扢㤸晦ㄷ扢㜴戴㉦慦ㄲ慤昵㌴㤲愲搲㑢㈵㌰ㅡ㠳㈴扢㐰㌴㈲挳搵㌸换挴㜷搵㔴㘷搵㤲㕡㔶㐵㜷〵㙥敥愱搳晥㈷㐷㠴㕥㍣㈸捤㍡ㅡ㈰㔳㉢捡戳㐶慤㐰㤸挸搵ち攸㉤㜱㈶扢㔴〱戰搸㔴㉢㌵攰㐵㝤散㌵〷ㅦ㉣ㅥㄱづ〹㍥㌵昴㤱〵㥤愹㌳晢㌰㑦㌰㙡㉤㘱攳㝦晤扥㌵㠵㍢㜲戲㥥㉥㑢㐸㍢昵攷㝢㠷㘴搵㤹换晢愳愶昷㝥㤹㌶㜸㤸㕡㡥㝣扢㔱㥢敥搸搸改㐱㤵愷㌰㐲愳㐱㈸搲昷㤲挰扢㠳㠶ㄹ挴ㅦ昵敤㤵㠰收㔷㜱㐳敢戹㑤愳ㄷ搴扡て慤攸㉢昷昲㝤搶㌱搷づ㠳ㅥ㙢愸ㅡ㝡愳㜶㌸ㄲ㠴ㄹぢ〴㔹改〴㙦㤳捥㕦㠳㠳㍤㘰ㅤ户挵昹ㄹ㈰昱㑤换㥢㥡㡥敡㌷㉥㙦ㅦ昱づ㝢攱㠸ㅤ捣㍢收攲昶㌶捤㔱换㠹㌹攱攲㌴攲攳㔰㜲愵㑥摥晣扣㈸户㤹攳戴㔷昵㑢㘲㝣㘴㍤㥣㘷搴挸㔷㔰戰ㅤ挱㘴㍢㠶ㅡ㤶昸㑥㥦㌶㠱㉤㑣㕤愵㍢㉣㝤㔲㘳ㄸ愳攰〸愵㔲㐷ぢ挸〲㜴㌵晡挸㥤㔵愴攱㠴挴晤㍥㙤㐱慣㔱㕤㌶㍥㠲㡦扢㠱㕤ㄶ改戸㜴挸㜶㝢攳散㘴㌵㙣㙡㌱ㄷ㌶挵㉤搸㘷㈷㕤㠸扥㘴晡攵昵㈰ㄵ㉣っ㈹ㄲ㠹慡攳㙦㜵㡣㡥㠶㔱㤴㑢戵挸昳愵㈷攱ち㡤愰㥡扣收㔱愴慤摢戳挲〱㤳㝥㐲㤶散慥㥦㍢㔳㉣ㅤㄲ愶㉢愵㌰ㅤ㤶㐷挴戹㕥搹㐳㐰挱ㄱ扢㜴挴愶收愲昴㝥つ㙢㘸㌶昰㥣㙡㈸㝡敢㌹㘹攸㠶㜵㔴㌸㈶㠳〵㤹㝡㙥慡ㄴ㈲㥣㔲ㅦ㡦㠱㠰昵㈳㈱㜰㈴ㄹ㑢㐹㤵㜲搲㍢㈸㙦昳㈲㘸㐳慢㤴㉡㜶㔳㑢愶㝦敥㔳扦晢㌲搳ㅢ晢㤴㕡㠶捥ぢ㠴㑢ㄷ攴敡愳〱戴愴㑤戵㈰㔵㠴㜰ㄲ扣㌲戵㍡ㅥ挴戳㤶挴㍤㐴摢ㄸ〱敤愳改㌸戸㔳〸敤㤲改㌸㡢扤搶戸㕢㜲慡㘵㌱㘱捥ち愷㠶搹㥥㕦㔹㈷昲㤲㜷㉥㤱慣㍡昰㈵づ㤱㡣攳攲愵ㄶ㝢㔸㌵捣㈹挶〱戰㔵㙥换ㄸ㈳㙤㡣愱㐴搱昰攰晦㠹㐳㉦昴㐴㌷㉥〵づ攵㙤〰愰㙤㔹ㄵ㌱㡤挷搰㝡昴㐶㕡㕣㐳户〹㙦挲㐳㘴慤摣㔰㜵搰㡥慡搶㡤㕤㐹㌱挱㔹㕣敤〶〳㕥㈱㕤㡡捦㠰〰扤愸扣㡦晣愷〴ㄸ㈵㘹㍤挰㌶㌸㈲㜲敦㤷㈰挸㌳㐰ㅦㄱ㉣㡡昱捦搸愱㈳㝡㉣搹㉥昳㈹㥡〴戹搹㙤㌱㠴㉤㐶戲搶㤸㙦㤷ㅤ摢ㄵ㜴㐲㄰改㘵㐴㜷㐲㥣㐶㑣㜲捡ぢ㙣摥昲㘵慤ㄹ摦㜴㠳㜹㥥昹㑢㡢ㅢ㥢㑡㔲㔸㥡㌵㙣扢㌰愰攸㥤捣昷㔹搳㜳摥㜹㕣ㄴ㔶㉢敥㤸㌹ㅦ慣ぢ㐱〱㠵攲ㄴ㔹㔵㐲㑤㈴搴㔴㈲戵摡扤㑡ㅥ搱改㄰㈸㍣㙢㈵㐸㘲㜱㌱㥥搵挱㘶㈹愹㌸㉡㑣㥢攵扣㥡㉥㘲摡㠶愴敡㌷慤㌲㍥㌷捥㘷ㅥ〴㜹㜰散搸昸搲㕤挲愷扡㈹搵ㄸ㠱敢戰ㅤ㐸搵愸〷㉥ㄹ捥敢㡤搴㠵㜵搴ㅥ㐳㑡㥤愵㔶ㄵ㑣㕢戲て戵ㄱ㍢㈸扢㌳㍢㡡㤰㔲〶挶て昸㐵㈸づ戸摢ㅢㄵㄸ㤲挵㈵㑢㄰户ㄵ扣㑡挵愴㝡㔱㌵愷㠱摤㈲㈵晤㙢愰㠹㘱㠱㐸ㅤ㡣慢捣〵㔴㤹ぢ戲ち㕢㌲㉦㈳㘴㥥㘳㜹愷㑤摦づ攷㉡㜶㈹挵〲㉦っ搶㠵㕥㐲㠵㘴昸ぢっ㘵㤲捡〹㘷戵㌵散ㄷ㐵慡㈰敥㍣捥て㘴ㅤ挵て敤㑤挸㝤㕣㕤㘵散〰敡㉢〱摦㤸挰㘸ㅡ㈳愴㠰㝥㔰愴〶㈷っ㌵ㄲ㠸搴㝥搴戳搹㌸ㄴ㘷㔸㐸㌲〶摡㌱昸挶〳㜲㝡挲㌳换愳戸㔳昲晣敥昸㘶㍦〵搱ㄲ㔶晣ㅣ〳慥〵摣㔶攰ㄶ攴ㅣ㝣㘱㍦挵㡡㘹㠴㌲㤳っ搵敡㤱っ挹ㅢ㐵搳㝡㔲敤摥㌵㕥ㅢ㙢㝢ㅣ㤸㙡晣㑣㘱㝣搹昸ㅦㅥ搹〳㜴攵戲攴㌷〸㠷㤱㌵㈶㐱㔴㠶㜲戹㥥㤶づ㔳散㜰〴㐴㘳㐴慦搵㑡㔶っ㑥㜲㜰㠴㔴ㄱ㌴㑤㔵戸ㅣ戸ㅣ㍡㐲愹〸扥㠲㈵㝡㑦㡡挱㑢攳㈸挸㍢ㄷ㉦昲挰慡愸㡣晥搵摥捦戸㕤㍡㑤收ㄹ搳㈴㌳㈰㉡愳㍢戵づ挸搶㔶㜰っ㔹攳㌸㠸㑡㈰㙡搳攱〴㍢㍣捣づ㍣㘶搷㍡昰搴㥡㑥换攳昸㈳散昰㐵㄰㙤ㄸ愴㔳㠰㙤改㘰挵戹攵ㅡ㑥扢㠴㠱㘰㠳㜵愴㙡㍡昸づ㘰ㄲ㉥㔷挸慡昵㘰㘷挹挸昱㙤扤㌰㙤晥㍣〰㘷㜵戹㠴㉦㍤捡㤵戵昲愰戹㙦扣戶㠰㍤㔷攷ㄸ愷戵ㅦ㈲昴㜰㜵㙦愱愱㜵㥦㘳㉣扥㔸㔴㔲㝣㈷㜵㉢㙤㥣㈴㐵昴慦㠰㕦㘹㤹㡦㈲㔳㑢㉡㡦㑥换㙡㌵扡㜹ㅤ昶愷ㄶ㥦㤲捦㙦㕡戲㈶攲收㠰挳㑦㝥摡㤹㘱昳㌶昵㘵扥㝥慣摤ㅣ㔴敥㘰㜲㘶愷攲㡣㌴ㄵ愲搰ㄵ㠱㡦㘸㠹搳㌲㈰㜰㍡㕣㜴戰敤㌰换㄰㘳㤴愳㥤㐵捤㤸戴攷挳㡦㑥戶摥㔸搵㥦攵㉥搶戳戹攵㠶㔰㍥挶ㄶ㈲慣昶ㅡ㐴戴攲昳㕣挱㤲㔴昸っ㤳㍥ぢ戲昹㤰㕤昲扤挰戳挲晥㘹戸㑦晤扣㌳戶攰㐸て㘹慦㘲挴戶敦攴挲㤲㉥㍦㤹㤱㠲㑥㥦㜵扤昳慥㥣㡤ㄶ昰敡㕣昲慢扢㥢慦愱㝢㉤搳㉤攰㘲㡥㘸捣㠷㡤㌲㐸戶㉢㐷㌸㘳捡ㄱ搲㤸㜲挴㉦愶ㅣ㌱㡣愹㡦愸挳㔱攸㑦慣㘹捡ㄱ慢㈸㑤㕤㠰昴ㄶ㠶㡢つづ㡦づㄶ㈸ㄹ搴㐹㐸㍦㡡㉢㘷晤㌴㙡㌶愰愶昹ㅢ愲ㅣ挱㡥愳㉣㝤㘹㘳㥣㐱㌱㜷っ㠴㈹㐷戰㘳捡ㄱ搹㤸㜲㐴㌷愶ㅣ愱㡣敢搲昹㐵㑤づ㘳搷㍤㘲慡㠹敥愰戶愷ㄸ挵〶㘹敥㝡〵ㄵ搹㘲攴扦㐶㝢㡤挱㜹ㅡ㕣㠰挱昹攵㠸㡢ㅣ㌱愵慡愹ㄴ攵㤰㤶㕦㠵㐴摦㠷〴㈸慢㌴㐴㈹㈰摥㜸㜲攲晣捦搵慣㔱㤵愶㠰ㅡ愳㕥挳收㔳㈰㔲㜰攷㤰挹㜶㘹㤴摦〳㉢㕦㐹㌷㌰㜲〰㔶摡昴攱挰〱㝣〸戰㤸挰昳㕤搸㌲㌵戹㡡㘴攲㜳慢ㅢ㑢㌲〵㐳㜱挵摡㌷愱慥㥦㘲㥣㘶ㄳ攱㠸㌷攱摦㔸〰㔱㈹搰㝡挴搶戸㡢昵㜹搶㍦㡤㔷戶扤ㄳ㝡㉡㙥㘸扤ㄳ㔲㈹㠲愵㤱戸㤵㐶㈳㍤戹搲㐸㑦挴つ慤㐱摦ㅣ挵㈷㐵昲ㄴ〷㜹㥡攴敢㈰㘹㡤㈲扡㜳㘵㝥㐶敥改搲〷㉢㡣㍥㘹ㄶ昵慤挷㡡扥ㄷ㈱㔷㘵㤴捦㤱㌶㥤㠱愷敡攳㤳㤱〹ㅣ扥攰㥦攲ㅢ戵搸〲㜰㈸愳挷㔰昳㠵っ㔹㤲㈲戱㈶㝤㌸㐷摤搶㜸〰㠵㉥愷㜰てㅢ攲ㄳㅥ㜷㍤㙣慦㐰搹㈴戵て晡挷挰㙣愲㉤挰ㄱ戹㕡㝤愷㠶㜳散ㄲ㍦㙡戱㡣〴ㅤ摣搵㙤慥晡㌷昰戲愵㙦〷㈴愲〶〹㜵ㄱ㜲㈷〰愷晦扥㙢敢挷㥣㉥㥣㘸挵㜸〶㍦㔲晦㔴戹〶㠴㜸㡤㘷㔹㈵㔵㤵㐴搱愸戰慤㡢攲㔶㌳捡㈷㕡扥㜸攸改攱㑡摦搸昷户晤㑦散㝦㜶㐸愵㈶搱戲搵㄰㉦愶㌹㝤ㅥ㠵㔴㐲㔷愹㕤戲㈱㠸ㅢ愸戸㈹㌸晦搴㌸搹攰挷つ晢㔰㘱㍣〷愲㜱慡㔷捤㐳ㅡ摦㉡昷敥㙦攱㔱㤵㑣㤰愰昶㍣㌲㕣㈸晦晢㌸て㠲㙥㘲㐱㉤㥤㉡㥦㍡㜵戹㉦搹扦㉤昹昰晥捣换敦晤敥晤ㄷ摥㍤戹昷㠳㡦㕥㜹攵摤扦扣㜰昱愳户㘶昷晥收昵搷㝦晤攰㙢ㄷ摦摦㘸㕤㐸晣散昲挴㠵挷〷捦㍥晥㤸㜵散捥戱挷ㅦ㌹㜳㘴㜰㙡挳㐰㔷㔷㜷昷㙤㥢㝥㝢摤敤戹慦㍤昶㜳昵敤㍦㕤敢慡昲摤㜸㠱昱〲〸ㄳ㙦㤸㜳㥣㐳ㄲ晦挶㡢㈴摦〶挹㈶㜲散挱捡㙣㔲㘵戵㘴摡搹㤸㘹挳愸〰㔸慢散㉡ㅢ捥挴つ㌹㔴ㄸ㉦㠱愸㈴㔲昸摦㘱㐹ㄲ戶搵㐰ㅡ㜹愵攷㍦昲㘵愳㈱</t>
  </si>
  <si>
    <t>㜸〱搵㕡㕢㙣ㅣ㔷ㄹ摥㔹敦㡣㜷搶扢昶㈶㑥㐳㕡㑡敢戶〹㐹敢㘰搹㑤㐲搳㤶㈸戱搷㜱攲搶㠹ㅤ摢㐹㕡摡戲ㄹ敦㥥戱㈷㥥㥤㜱㘷㘶ㄳㅢ㑡㡢㐴㐱愵〸〱愱〲㕡戵㙡搵㈷ちて扣愱㍥㔴愲㤵㤰㐰㄰㈴ㅥち㔲㈵㤰慡ち〹㈱㉡㔴㉥て㜹㈸㠴敦㍢㌳敢扤㜸扤㜱㕣㠳捣戱晣敦戹捤㤹㜳晥晢晦㥦㠹㈹戱㔸散㉡ち㝦㔹ㄲ慣摣㍣戵攴〷愲搴㤷㜳㙤㕢ㄴ〲换㜵晣扥㐱捦㌳㤶挶㉣㍦㘸挳〴㉤㙦㘱摣㔷昳扥昵㜹㤱捣㕦㄰㥥㡦㐹㙡㉣㤶㑣敡㜱㡣㔷晥戳㤵㡡捥愷昴〴㐰ㅡ戳㘲搳戹愱昱㤹昳㔸㝡㉡㜰㍤戱户攷㑣戸挰愱㠱㠱扥㠱扥晤昷っ㝣扡慦㝦㙦㑦慥㙣〷㘵㑦ㅣ㜲㐴㌹昰っ㝢㙦捦㐴㜹挶戶ちて㡡愵㘹㜷㕥㌸㠷挴㑣晦扥ㄹ㘳晦挱㠱晤〷づ㤸昷摥㝢㌰慤㘱攵㤳戹愱〹㑦㤸晥㐶慤搹捥㌵挷㜳㐳㝤㈷㐵戰㔱㙢㈶戱㈶㤶ㅣ㜶㑢㠶攵㙣搰愲㉡ㄱ㍣㌰㉣ちㄶ㈹㈱㠴㘷㌹戳㝤搸㜶ㅤ愲搱扡愷て㜳捥ㄸ㕥㑥搸昶愴㌰戹㤵捥搲㘹㕦攴捡㝥攰㤶㑥ㅡ㈵㤱㉥ㄱ㠱挲ㄳ㑥㐱昸㥤愵愳㡢〵㘱㐷戳晤㘴〹㡦㜲㔲㠲㤵慥㔲㐸挴搱愲㜰〲㉢㔸捡㜰愱㐹挳㤹ㄵ㥣愲㤶㡥㤵慤㘲㉣㤱㔰ㄲ㠹㔸㥢戲慢搹摥㈴愹愲ㅤ挹㍡㐹戸愶㔳搴㙤㡢㉣㜵㐷挳晡愴搹昸㐲昰愰昰ㅣ㘱㐷慦㈰㌱㝢ㅢ收㐹ㅣ㠵愴㔸㐶㔶攵㐰挴㡥搲ㄱ〹〳㑦挳ㄷ㈹扡づ愸愷〰戴づ㠰㙥扣挵㉡ㄹ㜶㝥捣㌵㥣晣㘰挹㉤㍢㠱㥥收㤴っ㠰㤲昸㍢愴慢㜶つ㍥ㄳ捦ㅢ昱晣㑣㍣㕦㠸攷㡢昱扣㠸攷捤㜸㝥㌶㥥㥦㡢攷慤㜸晥㝣㍣㍦㡦㌹㤵㤲㙣㙦㡦㐷攵捥戹搹㠳晥昹晢㡥㝣扤㘷晢㘴晢昸㍦㥥㔵㈹㔰晢㥡ㅤ愸㐶扡㈴搱㐷㈰㘶〵挳て㈲㐲ㄲㄱㅢ㑢攷㠸捣扢㥢㙤㈶愴昲㠸㔷挸捤ㄹ㕥昰ㄱ改摣搳昰〶搲㜹捡㉡㐵㜴挶㑢㌶㠴挸㝡ㄷ㌰愴㘷〱戴㉤〰敡挹㠹㌳㍤晢昴慤散散〶㔰㤴昷㐱㔵㔲昶㥤换晡㉢愹ㄷ摥㍣㝡改愵㝦ㅤ㈹晣晢晤摦愸㘴㡥戵昳㝡㑦㙥捥昵㠵㈳㜱搲㕢㥡戰ち昳挲㥢ㄲ㔴扡愲㌸ㄵㄸ㠱戸㠱㐳㤱㌰昶㡥㍢挰㈰挴慢㜸㝢㙤慦㜹㜴㌱㄰㑥㔱ㄴ㈷㍣㜷㐱㜸挱搲戴㌱㘳㡢敤㜵㔳〶愱挵㉦〸っ摣㔸搷㍤攲ㄶ捡㝥捥㜵〲捦戵敢㐷〶㡢ㄷっ㈸㠰攲〹户㈸㘲㙤㙤㡡ㄲ㡢㜷㐷㠲㜰昴〲挴晤戸攱ㄴ㙤攱戵戴ㄴち愵㔹㑢愱挴㔴㡡换昵ぢ㌶捤㠷㉥昵〸戴扥慦㤶挰挶㝥㕢㕢戳㤷ㅥ㌷晣戹㠰攷㙥㌹㐸昹搵㙦㈰搸づ愰㔲㑡搷愲㌷㙥挴㍣挵㔰㘶㤴㠲㔲㔴㐴㝢〹ㄲ㝦㘲搶㔳愵扡㔴㑢挳挲㉦攸搴㠷愳㈰挲愲㠶㥡㕤㠶ㄶ㈵㕡挵㘲㌰㙣〴㐶㝢㘹挲㠰㍥つ㍡昱㈰收昵㐶ぢ愴㉢㑤愹㜶㉢つ㉥㤷慤㌴㉡慢㘶慡ㅤ㔸㥣㉡㐷慥㔳昳㡥攵戵挳㔷改㜲㥣ぢ㠷㌵慥㥡㤱㝤㤵㈵㔳㔱ぢ敢㘵㘵戵㘶戱づ搹ㄱ慥㠴戳搳㉤㠰㕦搰〶㈱㤷㍦㈱搴㔸㕡愳て晢〴愲㈸㤱㐹慤㈵㘱㜶㌶㤱敡昱挲捣改挰戲晤㍥㙣收㤸攷㤶ㄷ戸捥晦晡㝤ㅢ戵㙦敥扤扥㕣戹捡昶て㝥昵搰愰散㍦㝦攵㠸晣㡤扤晢搳㤴㑥ㅢ愱敤㘰ㅢ㉡㐶捥㘳㕤㈷ㅦ愶挲㔱㥤愳㉢〷攵㤳慢㡣愹戴㐷搷㘳晥㈸㉤改ㄲ挸㌰敤〹㘹搲㤳戲戱戴㈰㌲愵戳慥㌷㍦攳扡昳攴戰㑥搹昲攷㠴〸㘸㈴㍢㈲户㠰㜵㐵㔱摡摡敡慣㕦㡤㌵愵㜹搵㝡〰㌲㠳戶摤㔳㔹搱搷㙥㘳㍦ㄸ〲㜴搷㙥㐷㝤晢愰㙤㌸扢晤㥥愹㠲㘷〴㠵戹〵愳搸户㘸晢㡢捡ㅦ㜰㝥敡攰㥤ㅤ摦戸捤晣搱捤㐷㕦户㝥户愷晤㡤㝦㜶㈸扦㡦〶ㅡ敤㘵㝡ㄷ㔶㍢ㄵ敤㘰搸㌳㉥挲㐹慡晡㕦㜷昷昵昳敦摡㡥㈷晣㑥昳㠰㜹㡦㌹㌰㔰㍣搰㙦散㌳㔴ㅡ㡢戵㕡扥㙤㤸㥢㌶捦㕡㑥搱扤㐸㕤散愷捤ㄱ换づ㠴㈷ㅢ㕤㈶㝥㐲ㅦ㑥戶㌳㔴敥㥥㔱〸慤收㌶㌳〷晤づ愷㌱㔸慡㥡搲㥢㠷っ戸㙦换㤶戵㌷㕡㝢〸㝥㐸搱晦㜸昳㐱㘹㕡㙥㙡ㅣ慢㉥戲攲戱㈹㌸㤴挲㤷㕢扡愵昱㌱愹敦〶ㄷ慤㜰昸ㄳつ挳昰㈶摤㤹搵㐷㐷㍣昱昸昲攸㡡ㅤ㠵㘶㡢攳㉢㑥ㄹづ㠵晢晡扦戰愲〹㔹攰て愳挴㤴搰愶敥㘹㔰㝢搲ㄹ㤵㔸敥㠳㈷㔳挳㈴戴愴慤㈷搷㌰ㄱ㈷㌷㤵昳攵㤵㔱愹㘱㌲捥扦戳攵㑥㙡㤹㤰戳晢㕢捥㙥挲愴㝣㘸㐷扤攰昵㑤挲换㠱㌷㘳ぢ㑡㘵扣搱〲搴愰愲捡㤷搷搸㈹捦ㄷ昹㑡㡣㔴㌹扢〵搲攴戲换扣昷摦㥤ㅣ㕦愷昷愴㝦ㄲ㘷搰㜷ㄳ散㈱戸㤳攰㉥〰昵户搰㜱慢㘲㤴㜱㠱戲愸㉣愹ㄷ慤㘲㌰愷捤〹㙢㜶㉥㐰ㅦ攲昳㘴㤲攸㍥ㄲ晤㙦挵捣戲昴戲昶愲㐷晦ㄴ㐱ㅦ〰㕣㌶㘹㐵戴㤴摥㡦愶㌶〰搰㔵〹㈲㝡㐲挶㑣挵ㄴ㍡挸昴散昴扢〹昶〱愴昷〳㥣㍣㉥㙣㜸愲ㅢㄵ㠴慢昴扢慦改昷㜳搲昶搲搴㤲㔳㤸昳㕣〷㜹〹㝡㕥㠳〵〴戱扥㘲㘸愵㌱㌷㔷づ戴搲㜱ぢ㍦改搲愴㔸㄰㐶㤰㘳慣㤶㈹㡤㈱㌰㤲㑡㙣戴戸㜸晤㑥摤〶㝡㕡㈴ㅢ㘲ぢ㝡㕡ㄱ㙣㘴摦搰㈱㡡搰摢㌷散㈲㈳㈲㘴㘶㠶㘸搷㌴㔰㜷㠳晣慣㡤㕡㐷晡㍤晡〱散敥攵扦晤昰晥㕤㉦晤昸㙡昴晢ㄴ昸㔷ㄶ㥤〱搶㑡㤷攵㈰㝡㔳慤挶ㄴ〶㘲㜴㘹昴ㅥ〰敤㄰㐰ㅢ㤴愶㑥㡦㐱㜹ぢ㑢㌷㜵つ摥㡣〶ㅡ攳戶〴愳㠲㤶㉥㉡㑦㤲㐲㡣㕦ㅣ㠱㌹㜶扤昶㈸㘷㤵捣戹愵〵㜸昷㕥㤶㈱㐸づ攱ㄲっ摥〵慢㈸扣㈴㍢愶挰㠸〹〶㉦㥡攴㌰ㅦ㥢㙣㡢愹㙡㐷戲搹扢㐶㉢㙢敤㡣㔴㘵㙤〲㙥㜴挵晡敦㥦㍡㜸ㄸ㥢㠲戰捡散ㅡ晤㐸㝤〸㐰㘱㜰挳昳㌴㑣挸㜱挲㌰㈷搰㤱慣㑣攸㐴㍤㤵㤲㐴㌸捡〹㈳〰㉡搵㑥㈳敦搵㘸攴㝡攳挴ㄵ㌴昳戴㘳〵㝥㠷㌹㔸づ摣ㄱ㉢ㄸ昶㠳戴〹㠰慡戴㍡㌷㐹㙤㕢㘳搱㝡捤㌳㤶戸㌸つ㘷昲搶㤵㐳㜵〹愹㕢㔶㡥て扢㈷摤㘰搸昲ㄷ㙣㘳㘹㘷㤳攱㜰攴散㥣㜰攰改㜸㠸愵慦㌵挹㕤㔸㄰挵㈶㝢㥣㜲换㕥㐱㡣づ㙦㠶㌰㕣㠹㐹晤㄰㠳㐷つ敤搰㌲愱㔶挵㍢捤㕡ㅣ㕥戸戲扥攸㕤捡㘵㑣㍦㡥㔵攰戳㈸㡣㍥㐶㔱㘵㐴㑦愳搴㥡㐵㙡㕣ㄲ〶㌴㈹ㄳ㘴つ晢㌲㤱捦㍢敡昸㤰㤴㔴搴㍡㘱㌹㥤㔱㜵扣ㅣ搴㡤ㄸ㡢摤搱〸㐲㠵㜱〷愴㉦ㄸ㕥㜱㌳㔰〵〷㐳〹㐹愲㘸昸㕢ㅦ愲挳㘵㘲戱て㉡㤹昸て㥥㠲晡㝢〰摤挴㌵㙤晦昵㜸㜴っ㐸㌲㐴昷戲愳㤷㘴敢㠴㌰ㅣ㐹㠵愹愰㌸㉣㉥㜴捡ㄹ〲っ㡥昴慤㉤扡敢㥢㔲㕦改收攰㡣敦摡攵㐰㜴㉥搷愴愰敢收愴戰つ㈶㤵搲换戵㠹㐲㠰昸㘵㜹㍤〶ㄹ㥢㠷㐲挰㐸㈲愲㤲㈲改愴戵㘰摥晡㐳㔰㠶搶㐹㔵搸㜲㔳㤶扦ㅥ㔶㕥㜸㥥攵戵挳戱㑡㠵㤹㌱㄰㤷㍥摤摡摤㙦㑡㔲㜷㈵㉡っ㌵㥣㔴㕥改㑡ㅦ㍤摦㡣㈹昵ㅥ挲㕢㈶㝣扢㈸㍡㌶散㔵㘰ㄵっ摢㕥敡㌴㐷㥤㠲㕤㉥㡡㌱㘳㐶搸ㄵ㥤敤㝡愵㑤㐲㉦㜹〷ㄵ搲慡〵㕥愲㤸㘴ㄴㄷ㔱ㄵ㘷㝦摤㙡㉥愶㍦〸戴㑡㘵㠷㌵㔲晡〹戴㐸ㅡ㝡摡搷ㅤ敢搰㈱摥㕡㡤搴攵㠵〸㔴摢㡡㉥敡㌴扡㥥换攱㤲㤴戸㥡㘹㘳敥㤸㡢㠴㜰戱愶敢戸ㄵ㜶㙤ㅡ戹㤲㘴㐲ㅥ㜰扤〶〶戸㐲昹㈰捡㜱㐱改㠵㙤昸㌵愱㜰㌰㉣㔹㔳㘸挸㔰愴㡢ㅡ㉣扣挹㥡戶〲㕢㜴㤸搲㌷㤰昵㈴㐵㠲搸㙣㌷愷攷㤰捦ㅡ捥㤸挷㍣慢㘸㕢㡥愰ㄳ㠲搴ち㔳㈸㘳㘲ㄶ愹昴〹搷户㜸敢㤹㌱愷㍤挳昱改摥㌹㠵愵慤㜵㉤㐹㉣搵ㅣ戲ㅣ〸㔰昸㑥搶扢捣愹㌹昷㈲晣戶㜲挹㌹㘶㉣昸㥢㠲㔰搰㐲㔱〹愵㉡慥挴攳㑡㌲㥥㕣慦慤㤲㙥㌹ㅤ㠲ㄸ攳扥㌸㐱㐴㉥〶㤰㉤㘴戶㈱㐰攷扥敡慥愱㥡愶昶㤷㙦㥥愹㠷昵㜱㍥㌳〱昰挰戱搳愳搵攴摤㐷扡㌹㔶ㄹ昲戶㌰〷㤲㌵㤶㌳〵㜴㥣㍢㐳㜶㘱ㅦ戹㐷㤷㔴㘷慢㤱〵㔳愶㥣㐳㙥㠴〵攵㜴㔶㐷㜰㌷㤰㠶昰㐳晤㈲愸㠶摥敤っㅢ㑣慢攰㉡ㄱ㌹㐱㌹㠶㜰愰㘴㤰扤挸㥡㔳搰摤㈲㈹晤㙢㘸ㄳ摤〴㤰㍣ㄸ㜵ㄹ㡢攸㌲ㄶ㘵ㄷ㑣㌲戳㝦戲捥戵摣㔹挳戳㠲戹㤲㔵㐸戲挱っ摤愶攰㑢戰㔰攸搲〲愳㈸㤲㌹攱慣㌶㠶晡㘱搰ぢ㜲昷㈱㝥㈰敡㐸㝥㜰㙦㕣摡㜱㘵㥤愹ㄵ戰慦㔴昸晡㈴㔶㔳㤹〳㠱敡〷㐴愹㜱挲搰㈳ㄵ㤱搲㡦㝥づ敢㔳㔱㠵つ㠵慣㕦〹愴㔰挵㕣ㄹ㡡㑤愳慡㥦〶㔰㤸ㄳ㘹㌲攱っ㈷㥣〵㔰て〰㌴戲摥慡㔱㍥ㄷ挷㠵ㄳㄲㅢ挹ㄲ㈳㑢搸㜱つㄷ㑤挸㘲㈰㍡搵㍡㤲捣〲攸て〱晣晡昲㘵〶挴㌱㠵㘱㜴攵晤㉡敡愹ㄴ攳㔸晤㘱㠲捦〲㘴〷〱㔸戲㡣ㅣ㔹戲っㄳ㔹戲っㄵ㔹戲㡣ぢ㈹㝣摡㈳㙣攵㠶昲换㙡㤶改㝦敤㔱昴㜶攴挱扢㐸搸㔳ㅡ戴挷搰㤱挹㠷㑡㌱㘴㐲敤㜳攸㑡攳㐹搹㥣㐴摡㕢换愳愷ㄳ㍤㌵㍡㐱㍢㠷扥㉤攸慢晦慥㈰㍢㠲㙥扥㍦愹㈸挹㈴昱㥥㤲搷敦攱㐵㝣〱㙤㤵〱㑡慢㕢搷㙡㐰挴攳㘷㙢愲㔴㙥搸摦㘲㥥㉡ㅢ㌶㍥㘱ㄸ㠷慢ㄴ戰㙢㌳挸㐷㈲㜴㔸ㅢ㙦ㄶ敡㙦扣ㄱ㘳换㈳㍣昲ㄸ㑦搶㠸㠳晡戹搱搹㝣捥㕣㥦㐳㥢㔲㕦㐴〲㘵㙤㙦㈱愱摡㉦昰㌲㌴㥦㡦㈵昹㑥戲㙦㑡ㄷ㠴㐸ㅥ㌲㤰攴ㅣ摤〴愸ㄴ㠵㈱捦㡡㕥㤵敥㔹ぢ扢搲攰ぢ昲昹敥㙡敥㠴晡慥搷收愷㑢捤㤲㉥昵收㘵㤶慦愷晢户㘲てち㉤㡦散戵愲㡡㤴㐶㙡㡦㙢㉡㉣㙡㌹㐴戹㔰㕤㔳挱㤲つ㜳挱慡扣㥣つ㍢㈱捡攱㌰㌶敤㝡昰㝦ㄳ㡤愹摤攵㘷㜷㘱愹㡥㙤つ愹㜴昹ㄸ㐷愸ㄹ搵敦㠲㐴慢㍥捦ㄳ㔴愹挲㘷㔸戴㜹㠰㙤㈷慣㠲攷晡慥ㄹ昴㑣挱敤改攱攵ち㘸搳㍦愸㍥㠷ㄵ㥢扥㤳〷㑢㌸晣摡㐷ㄲ㍡㌵敦戸ㄷㅤ戹ㅢ搵攷攷ぢㄲ㕦敤敤㝣つ摤㘲㔹敥〰ㄶ戳搴愲㝣㔸㉦〱㘴摡戲搴㤸㉣㔹㙡㑤㤶㉣㔵㈴㑢㤶㙡㤲愵㡢㡡㡤慢㔰ㄵ㙣㘸挹㔲ㅤ㤲㥡㍡㤵㤲㑥㕤愵㥦〳挸㔲㐳捡㝥〶搴昲㜳㄰ㅤㄹ扣㤸㔲〰挸戰慢㠷攰㌶〲㤹㜶晣㕡㤴㕤㕣㜱㈳昹㑣㌴搰㜸㈳愹〸㍣㉢㤱戴㠴ち㕦挵晦㙣㐵㈲ㄴ挹㡥攸㔹㤶ㄱ捥捤㤲〱㈵昲扥㠰㑡愶㑤㈵づ敦㕦晤㑡愶㐶挳昶㐲㔲敡扥ㄵ㌹㡡㙦㍦㤶㘸晣摡㤰愴㔴愵㜶㑥挴敦㕢摦㕡㔲昷㘳㈹搲㐷㝤ㅡ㈷晥〸敢昰㥣㔵㌶攵㡡户攲㕦晦㈲㠰㐲ㄲ㔴戱㑦㍢ㄷ㘲晦愹搵戰晦㘴㌴搰㤸昴捤ㄲ改ㄲ㤱㕦收㈲㑦ㄳ㝣〵㈰愵ㄲ戱㜷慤㡥㠵搰㈱慢摥㠹㤲㍤㔴㤳〲摤㘱㠶㔷㤲挴㠵捣㙢搹㔲ㅡ搲昰捤㍣㝣摢㌳㠶㜰〳ㅥㄹ㍥㔸㡡㑣ㅣ挲㄰㥡昳㑡捥㔸㤷㉤㠹㐸㜳摣㐳ㄲ戹摤ㅣ昵㘱㙤㡢㐹㝣㐲ㄲ攰㤶搸搹っ㠶〹晡㈹㐱㥥〱搷挸㉦㠳㥡慡〶捡㝣愳㘳㔳㤳㐲慥攲愳ㄲ扤挷改搲慤捦㉣㘹㕦挵换慡昷㔳㔲ㄷ昹㜱㘵〹㜴愷敡㑡晤攵敥ㅢ慦㜲扢㜰ㅢ㘳晡㌳昸搱挹㌵㡡㍣〳㤲㥡晡戳散摡㔱〱㌱㤵㙣搶㜸㈸晡㕢㈳㝣愲攱㔲慤愳㠳㈷㝤敤昰㥦㡦㍣㜹攴搹㐱㠵㥣㐴㜹㔴〲扣㤸㐲昰ㄹ㌴㤲㜱㑤㈱㜷挹〱㍦ㅡ攰ㄶ㤲㜰㜷挹㜱㜲挰㡢〶づ愳㐳晦㈶㠰捡慤慥ㄹ㠷ㄴ㤹㜵㕡扤㙦攱㔱㠵㐸㤰慡攸摢愸昰愰晣敦攲㍥愸㠱攳㡢㑡攱㕣昱摣戹㉢㕤㠹㥥㥢ㄲてㅤ㐹㍦晦敥㉦摦扢昴昶愳㠷晥昴攱㡢㉦扥晤挷㑢㤷㍦㝣㘳收搰捦㕦㝤昵㘷て扣㝣昹扤慤收㉢昱㥦㕣ㄹ㝢攵㠹㠱昹㈷ㅥ㌷㑦摦㜵散㠹㠷捦㥦ㅡ㤸搸搲摢搶搶摥扥扢晢ㄷ㍢昶㘴扦昴昸敢捡㕢敦㝣捣㔱攴扢昱〲晤ㄲ〰ぢ〵㌲换㍤㐸挹晣づ㉡晡㜳〰㤹㜸㤶㌳搸㤹㐹㈸散㤶㐸㥢㡦㤰㌶㠴づ昸㠶ち愷捡㠱昳搱㐰ㄶㅤ晡昷〰ㄴ〲㐹晣敦戳㈵〱挷㉡捡ㄶ昵㔸挷㝦〰㈶摢㥦㈱</t>
  </si>
  <si>
    <t>Even after levering, the incremental NPV of buying the pitch plant over liquidating in 2011 does not become positive. Levering does improve the NPV, but does not do enough to justify making the decision to continue operations. Our recommendation would be to liquidate at the end of 2011.</t>
  </si>
  <si>
    <t>Group Members</t>
  </si>
  <si>
    <t>Alan Reese</t>
  </si>
  <si>
    <t>Bryan Guzman</t>
  </si>
  <si>
    <t>Ivan Berry</t>
  </si>
  <si>
    <t>Michael Cannady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</si>
</sst>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0.0000"/>
    <numFmt numFmtId="165" formatCode="_(* #,##0_);_(* \(#,##0\);_(* &quot;-&quot;??_);_(@_)"/>
    <numFmt numFmtId="166" formatCode="_(&quot;$&quot;* #,##0_);_(&quot;$&quot;* \(#,##0\);_(&quot;$&quot;* &quot;-&quot;??_);_(@_)"/>
    <numFmt numFmtId="167" formatCode="0.000%"/>
    <numFmt numFmtId="168" formatCode="_ * #,##0.00_ ;_ * \-#,##0.00_ ;_ * &quot;-&quot;??_ ;_ @_ "/>
    <numFmt numFmtId="169" formatCode="_(* #,##0.0_);_(* \(#,##0.0\);_(* &quot;-&quot;??_);_(@_)"/>
    <numFmt numFmtId="170" formatCode="0.0000%"/>
    <numFmt numFmtId="171" formatCode="0.0000000000000000%"/>
    <numFmt numFmtId="172" formatCode="&quot;$&quot;#,##0.00;\ &quot;$&quot;\(#,##0.00\)"/>
  </numFmts>
  <fonts count="23" x14ac:knownFonts="1">
    <font>
      <sz val="11"/>
      <color theme="1"/>
      <name val="Calibri"/>
      <family val="2"/>
      <scheme val="minor"/>
    </font>
    <font>
      <sz val="11"/>
      <color theme="1"/>
      <name val="Calibri"/>
      <family val="2"/>
      <scheme val="minor"/>
    </font>
    <font>
      <b/>
      <sz val="11"/>
      <color theme="3"/>
      <name val="Calibri"/>
      <family val="2"/>
      <scheme val="minor"/>
    </font>
    <font>
      <b/>
      <sz val="11"/>
      <color rgb="FFFA7D00"/>
      <name val="Calibri"/>
      <family val="2"/>
      <scheme val="minor"/>
    </font>
    <font>
      <b/>
      <sz val="11"/>
      <color theme="1"/>
      <name val="Calibri"/>
      <family val="2"/>
      <scheme val="minor"/>
    </font>
    <font>
      <i/>
      <sz val="11"/>
      <color theme="4" tint="-0.499984740745262"/>
      <name val="Calibri"/>
      <family val="2"/>
      <scheme val="minor"/>
    </font>
    <font>
      <sz val="12"/>
      <color theme="1"/>
      <name val="Times New Roman"/>
      <family val="1"/>
    </font>
    <font>
      <sz val="12"/>
      <color theme="1"/>
      <name val="Calibri"/>
      <family val="2"/>
      <scheme val="minor"/>
    </font>
    <font>
      <b/>
      <sz val="12"/>
      <color theme="1"/>
      <name val="Times New Roman"/>
      <family val="1"/>
    </font>
    <font>
      <sz val="12"/>
      <color theme="1"/>
      <name val="Calibri"/>
      <family val="2"/>
    </font>
    <font>
      <i/>
      <sz val="11"/>
      <color theme="1"/>
      <name val="Calibri"/>
      <family val="2"/>
      <scheme val="minor"/>
    </font>
    <font>
      <u val="singleAccounting"/>
      <sz val="11"/>
      <color theme="1"/>
      <name val="Calibri"/>
      <family val="2"/>
      <scheme val="minor"/>
    </font>
    <font>
      <sz val="11"/>
      <color rgb="FF3F3F76"/>
      <name val="Calibri"/>
      <family val="2"/>
      <scheme val="minor"/>
    </font>
    <font>
      <b/>
      <sz val="11"/>
      <color theme="0"/>
      <name val="Calibri"/>
      <family val="2"/>
      <scheme val="minor"/>
    </font>
    <font>
      <sz val="9"/>
      <color indexed="81"/>
      <name val="Tahoma"/>
      <family val="2"/>
    </font>
    <font>
      <b/>
      <sz val="9"/>
      <color indexed="81"/>
      <name val="Tahoma"/>
      <family val="2"/>
    </font>
    <font>
      <sz val="10"/>
      <name val="Arial"/>
      <family val="2"/>
    </font>
    <font>
      <sz val="11"/>
      <name val="Calibri"/>
      <family val="2"/>
    </font>
    <font>
      <sz val="11"/>
      <color theme="4" tint="-0.249977111117893"/>
      <name val="Calibri"/>
      <family val="2"/>
      <scheme val="minor"/>
    </font>
    <font>
      <sz val="11"/>
      <color theme="4"/>
      <name val="Calibri"/>
      <family val="2"/>
      <scheme val="minor"/>
    </font>
    <font>
      <u/>
      <sz val="11"/>
      <color theme="10"/>
      <name val="Calibri"/>
      <family val="2"/>
      <scheme val="minor"/>
    </font>
    <font>
      <b/>
      <sz val="10"/>
      <name val="MS Sans Serif"/>
    </font>
    <font>
      <sz val="10"/>
      <name val="MS Sans Serif"/>
    </font>
  </fonts>
  <fills count="10">
    <fill>
      <patternFill patternType="none"/>
    </fill>
    <fill>
      <patternFill patternType="gray125"/>
    </fill>
    <fill>
      <patternFill patternType="solid">
        <fgColor rgb="FFF2F2F2"/>
      </patternFill>
    </fill>
    <fill>
      <patternFill patternType="solid">
        <fgColor theme="4" tint="0.59996337778862885"/>
        <bgColor indexed="64"/>
      </patternFill>
    </fill>
    <fill>
      <patternFill patternType="solid">
        <fgColor rgb="FFFFFF00"/>
        <bgColor indexed="64"/>
      </patternFill>
    </fill>
    <fill>
      <patternFill patternType="solid">
        <fgColor theme="7" tint="0.79998168889431442"/>
        <bgColor indexed="65"/>
      </patternFill>
    </fill>
    <fill>
      <patternFill patternType="solid">
        <fgColor rgb="FF00FF00"/>
        <bgColor indexed="64"/>
      </patternFill>
    </fill>
    <fill>
      <patternFill patternType="solid">
        <fgColor rgb="FF00FFFF"/>
        <bgColor indexed="64"/>
      </patternFill>
    </fill>
    <fill>
      <patternFill patternType="solid">
        <fgColor rgb="FFFFCC99"/>
      </patternFill>
    </fill>
    <fill>
      <patternFill patternType="solid">
        <fgColor rgb="FFA5A5A5"/>
      </patternFill>
    </fill>
  </fills>
  <borders count="12">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Protection="0">
      <alignment vertical="center"/>
    </xf>
    <xf numFmtId="0" fontId="3" fillId="2" borderId="2" applyNumberFormat="0" applyAlignment="0" applyProtection="0"/>
    <xf numFmtId="7" fontId="5" fillId="3" borderId="0" applyNumberFormat="0"/>
    <xf numFmtId="0" fontId="4" fillId="0" borderId="4" applyNumberFormat="0" applyFill="0" applyAlignment="0" applyProtection="0"/>
    <xf numFmtId="0" fontId="1" fillId="5" borderId="0" applyNumberFormat="0" applyBorder="0" applyAlignment="0" applyProtection="0"/>
    <xf numFmtId="0" fontId="2" fillId="0" borderId="0" applyNumberFormat="0" applyFill="0" applyBorder="0" applyAlignment="0" applyProtection="0"/>
    <xf numFmtId="0" fontId="12" fillId="8" borderId="2" applyNumberFormat="0" applyAlignment="0" applyProtection="0"/>
    <xf numFmtId="0" fontId="13" fillId="9" borderId="5" applyNumberFormat="0" applyAlignment="0" applyProtection="0"/>
    <xf numFmtId="168" fontId="16" fillId="0" borderId="0" applyFont="0" applyFill="0" applyBorder="0" applyAlignment="0" applyProtection="0"/>
    <xf numFmtId="0" fontId="20" fillId="0" borderId="0" applyNumberFormat="0" applyFill="0" applyBorder="0" applyAlignment="0" applyProtection="0"/>
    <xf numFmtId="0" fontId="22" fillId="0" borderId="0"/>
  </cellStyleXfs>
  <cellXfs count="133">
    <xf numFmtId="0" fontId="0" fillId="0" borderId="0" xfId="0"/>
    <xf numFmtId="44" fontId="0" fillId="0" borderId="0" xfId="0" applyNumberFormat="1"/>
    <xf numFmtId="43" fontId="0" fillId="0" borderId="0" xfId="1" applyFont="1"/>
    <xf numFmtId="0" fontId="0" fillId="4" borderId="0" xfId="0" applyFill="1"/>
    <xf numFmtId="43" fontId="3" fillId="2" borderId="2" xfId="5" applyNumberFormat="1"/>
    <xf numFmtId="0" fontId="7" fillId="0" borderId="0" xfId="0" applyFont="1"/>
    <xf numFmtId="0" fontId="6" fillId="0" borderId="0" xfId="0" applyFont="1" applyAlignment="1">
      <alignment horizontal="center" vertical="center"/>
    </xf>
    <xf numFmtId="0" fontId="8" fillId="0" borderId="3"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9" fillId="0" borderId="0" xfId="0" applyFont="1" applyAlignment="1">
      <alignment horizontal="right" vertical="top" wrapText="1"/>
    </xf>
    <xf numFmtId="14" fontId="9" fillId="0" borderId="0" xfId="0" applyNumberFormat="1" applyFont="1" applyAlignment="1">
      <alignment vertical="top" wrapText="1"/>
    </xf>
    <xf numFmtId="0" fontId="10" fillId="0" borderId="0" xfId="0" applyFont="1"/>
    <xf numFmtId="165" fontId="0" fillId="0" borderId="0" xfId="1" applyNumberFormat="1" applyFont="1"/>
    <xf numFmtId="9" fontId="0" fillId="0" borderId="0" xfId="3" applyFont="1"/>
    <xf numFmtId="10" fontId="0" fillId="0" borderId="0" xfId="3" applyNumberFormat="1" applyFont="1"/>
    <xf numFmtId="0" fontId="4" fillId="0" borderId="0" xfId="0" applyFont="1"/>
    <xf numFmtId="0" fontId="4" fillId="0" borderId="0" xfId="0" applyFont="1" applyAlignment="1">
      <alignment horizontal="center"/>
    </xf>
    <xf numFmtId="0" fontId="0" fillId="0" borderId="0" xfId="0" quotePrefix="1" applyFont="1" applyAlignment="1">
      <alignment horizontal="center"/>
    </xf>
    <xf numFmtId="0" fontId="0" fillId="0" borderId="0" xfId="0" applyFont="1" applyAlignment="1">
      <alignment horizontal="center"/>
    </xf>
    <xf numFmtId="166" fontId="0" fillId="0" borderId="0" xfId="2" applyNumberFormat="1" applyFont="1"/>
    <xf numFmtId="165" fontId="1" fillId="0" borderId="0" xfId="1" applyNumberFormat="1" applyFont="1"/>
    <xf numFmtId="165" fontId="11" fillId="0" borderId="0" xfId="1" applyNumberFormat="1" applyFont="1"/>
    <xf numFmtId="165" fontId="0" fillId="0" borderId="0" xfId="0" applyNumberFormat="1"/>
    <xf numFmtId="0" fontId="0" fillId="0" borderId="0" xfId="0" applyAlignment="1">
      <alignment horizontal="left"/>
    </xf>
    <xf numFmtId="41" fontId="11" fillId="0" borderId="0" xfId="0" applyNumberFormat="1" applyFont="1"/>
    <xf numFmtId="165" fontId="11" fillId="0" borderId="0" xfId="0" applyNumberFormat="1" applyFont="1"/>
    <xf numFmtId="43" fontId="11" fillId="0" borderId="0" xfId="1" applyFont="1"/>
    <xf numFmtId="43" fontId="0" fillId="0" borderId="0" xfId="0" applyNumberFormat="1"/>
    <xf numFmtId="43" fontId="5" fillId="3" borderId="0" xfId="6" applyNumberFormat="1"/>
    <xf numFmtId="44" fontId="5" fillId="3" borderId="0" xfId="6" applyNumberFormat="1"/>
    <xf numFmtId="9" fontId="5" fillId="3" borderId="0" xfId="6" applyNumberFormat="1"/>
    <xf numFmtId="0" fontId="5" fillId="3" borderId="0" xfId="6" applyNumberFormat="1"/>
    <xf numFmtId="0" fontId="1" fillId="5" borderId="0" xfId="8"/>
    <xf numFmtId="0" fontId="0" fillId="0" borderId="0" xfId="0" applyAlignment="1">
      <alignment wrapText="1"/>
    </xf>
    <xf numFmtId="44" fontId="0" fillId="0" borderId="0" xfId="2" applyFont="1"/>
    <xf numFmtId="10" fontId="5" fillId="3" borderId="0" xfId="6" applyNumberFormat="1"/>
    <xf numFmtId="43" fontId="0" fillId="0" borderId="0" xfId="1" applyNumberFormat="1" applyFont="1"/>
    <xf numFmtId="41" fontId="5" fillId="3" borderId="0" xfId="6" applyNumberFormat="1"/>
    <xf numFmtId="0" fontId="1" fillId="0" borderId="0" xfId="8" applyFill="1"/>
    <xf numFmtId="0" fontId="4" fillId="0" borderId="4" xfId="7"/>
    <xf numFmtId="44" fontId="4" fillId="0" borderId="4" xfId="7" applyNumberFormat="1"/>
    <xf numFmtId="0" fontId="0" fillId="0" borderId="0" xfId="0" quotePrefix="1"/>
    <xf numFmtId="2" fontId="0" fillId="0" borderId="0" xfId="0" applyNumberFormat="1"/>
    <xf numFmtId="2" fontId="0" fillId="6" borderId="0" xfId="0" applyNumberFormat="1" applyFill="1"/>
    <xf numFmtId="0" fontId="2" fillId="0" borderId="0" xfId="9"/>
    <xf numFmtId="0" fontId="0" fillId="0" borderId="0" xfId="0" applyFill="1" applyBorder="1" applyAlignment="1"/>
    <xf numFmtId="0" fontId="0" fillId="0" borderId="6" xfId="0" applyFill="1" applyBorder="1" applyAlignment="1"/>
    <xf numFmtId="0" fontId="10" fillId="0" borderId="7" xfId="0" applyFont="1" applyFill="1" applyBorder="1" applyAlignment="1">
      <alignment horizontal="center"/>
    </xf>
    <xf numFmtId="0" fontId="10" fillId="0" borderId="7" xfId="0" applyFont="1" applyFill="1" applyBorder="1" applyAlignment="1">
      <alignment horizontal="centerContinuous"/>
    </xf>
    <xf numFmtId="10" fontId="5" fillId="3" borderId="0" xfId="3" applyNumberFormat="1" applyFont="1" applyFill="1"/>
    <xf numFmtId="0" fontId="13" fillId="9" borderId="5" xfId="11"/>
    <xf numFmtId="44" fontId="13" fillId="9" borderId="5" xfId="11" applyNumberFormat="1"/>
    <xf numFmtId="44" fontId="4" fillId="0" borderId="4" xfId="2" applyFont="1" applyBorder="1"/>
    <xf numFmtId="49" fontId="0" fillId="0" borderId="0" xfId="0" applyNumberFormat="1"/>
    <xf numFmtId="49" fontId="4" fillId="0" borderId="4" xfId="7" applyNumberFormat="1"/>
    <xf numFmtId="1" fontId="0" fillId="0" borderId="0" xfId="2" applyNumberFormat="1" applyFont="1"/>
    <xf numFmtId="1" fontId="2" fillId="0" borderId="0" xfId="9" applyNumberFormat="1"/>
    <xf numFmtId="14" fontId="0" fillId="0" borderId="0" xfId="0" applyNumberFormat="1"/>
    <xf numFmtId="44" fontId="6" fillId="0" borderId="0" xfId="2" applyFont="1" applyBorder="1" applyAlignment="1">
      <alignment horizontal="center" vertical="top" wrapText="1"/>
    </xf>
    <xf numFmtId="44" fontId="6" fillId="0" borderId="0" xfId="2" applyFont="1" applyBorder="1" applyAlignment="1">
      <alignment horizontal="center"/>
    </xf>
    <xf numFmtId="44" fontId="9" fillId="0" borderId="0" xfId="2" applyFont="1" applyAlignment="1">
      <alignment horizontal="right" vertical="top" wrapText="1"/>
    </xf>
    <xf numFmtId="44" fontId="0" fillId="0" borderId="0" xfId="2" applyFont="1" applyFill="1" applyBorder="1" applyAlignment="1" applyProtection="1"/>
    <xf numFmtId="44" fontId="7" fillId="0" borderId="0" xfId="2" applyFont="1"/>
    <xf numFmtId="44" fontId="0" fillId="6" borderId="0" xfId="2" applyFont="1" applyFill="1" applyBorder="1" applyAlignment="1" applyProtection="1"/>
    <xf numFmtId="10" fontId="0" fillId="0" borderId="0" xfId="0" applyNumberFormat="1"/>
    <xf numFmtId="167" fontId="12" fillId="8" borderId="2" xfId="10" applyNumberFormat="1"/>
    <xf numFmtId="44" fontId="12" fillId="8" borderId="2" xfId="10" applyNumberFormat="1"/>
    <xf numFmtId="14" fontId="12" fillId="8" borderId="2" xfId="10" applyNumberFormat="1"/>
    <xf numFmtId="0" fontId="12" fillId="8" borderId="2" xfId="10"/>
    <xf numFmtId="0" fontId="0" fillId="0" borderId="3" xfId="0" applyFont="1" applyBorder="1"/>
    <xf numFmtId="0" fontId="0" fillId="0" borderId="3" xfId="0" applyFont="1" applyBorder="1" applyAlignment="1"/>
    <xf numFmtId="168" fontId="17" fillId="0" borderId="0" xfId="12" quotePrefix="1" applyFont="1" applyFill="1" applyBorder="1" applyAlignment="1">
      <alignment horizontal="left"/>
    </xf>
    <xf numFmtId="10" fontId="0" fillId="0" borderId="0" xfId="3" applyNumberFormat="1" applyFont="1" applyAlignment="1"/>
    <xf numFmtId="164" fontId="0" fillId="0" borderId="0" xfId="0" applyNumberFormat="1"/>
    <xf numFmtId="10" fontId="0" fillId="0" borderId="0" xfId="2" applyNumberFormat="1" applyFont="1"/>
    <xf numFmtId="2" fontId="0" fillId="0" borderId="0" xfId="0" applyNumberFormat="1" applyFill="1"/>
    <xf numFmtId="0" fontId="0" fillId="0" borderId="0" xfId="0" applyFill="1"/>
    <xf numFmtId="44" fontId="0" fillId="0" borderId="0" xfId="2" applyFont="1" applyFill="1"/>
    <xf numFmtId="44" fontId="0" fillId="7" borderId="0" xfId="0" applyNumberFormat="1" applyFill="1"/>
    <xf numFmtId="8" fontId="0" fillId="0" borderId="0" xfId="0" applyNumberFormat="1"/>
    <xf numFmtId="8" fontId="0" fillId="0" borderId="0" xfId="2" applyNumberFormat="1" applyFont="1"/>
    <xf numFmtId="169" fontId="18" fillId="0" borderId="0" xfId="1" applyNumberFormat="1" applyFont="1"/>
    <xf numFmtId="0" fontId="18" fillId="0" borderId="0" xfId="0" applyFont="1" applyFill="1"/>
    <xf numFmtId="10" fontId="18" fillId="0" borderId="0" xfId="3" applyNumberFormat="1" applyFont="1" applyFill="1"/>
    <xf numFmtId="0" fontId="18" fillId="0" borderId="0" xfId="0" applyFont="1"/>
    <xf numFmtId="165" fontId="18" fillId="0" borderId="0" xfId="1" applyNumberFormat="1" applyFont="1"/>
    <xf numFmtId="164" fontId="18" fillId="0" borderId="0" xfId="0" applyNumberFormat="1" applyFont="1"/>
    <xf numFmtId="2" fontId="18" fillId="0" borderId="0" xfId="0" applyNumberFormat="1" applyFont="1"/>
    <xf numFmtId="10" fontId="18" fillId="0" borderId="0" xfId="0" applyNumberFormat="1" applyFont="1"/>
    <xf numFmtId="164" fontId="0" fillId="0" borderId="0" xfId="0" applyNumberFormat="1" applyFont="1"/>
    <xf numFmtId="0" fontId="0" fillId="0" borderId="0" xfId="0" applyFont="1"/>
    <xf numFmtId="0" fontId="19" fillId="0" borderId="0" xfId="0" applyFont="1"/>
    <xf numFmtId="170" fontId="0" fillId="0" borderId="0" xfId="3" applyNumberFormat="1" applyFont="1"/>
    <xf numFmtId="9" fontId="0" fillId="0" borderId="0" xfId="0" applyNumberFormat="1"/>
    <xf numFmtId="10" fontId="0" fillId="0" borderId="0" xfId="0" applyNumberFormat="1" applyFill="1"/>
    <xf numFmtId="167" fontId="0" fillId="0" borderId="0" xfId="3" applyNumberFormat="1" applyFont="1" applyFill="1"/>
    <xf numFmtId="167" fontId="0" fillId="0" borderId="0" xfId="3" quotePrefix="1" applyNumberFormat="1" applyFont="1" applyFill="1"/>
    <xf numFmtId="171" fontId="0" fillId="0" borderId="0" xfId="0" applyNumberFormat="1" applyFill="1"/>
    <xf numFmtId="44" fontId="10" fillId="0" borderId="0" xfId="0" applyNumberFormat="1" applyFont="1"/>
    <xf numFmtId="166" fontId="0" fillId="4" borderId="0" xfId="2" applyNumberFormat="1" applyFont="1" applyFill="1"/>
    <xf numFmtId="166" fontId="0" fillId="0" borderId="0" xfId="0" applyNumberFormat="1"/>
    <xf numFmtId="0" fontId="0" fillId="0" borderId="0" xfId="0" applyNumberFormat="1"/>
    <xf numFmtId="0" fontId="0" fillId="0" borderId="8" xfId="0" applyBorder="1" applyAlignment="1">
      <alignment vertical="center" wrapText="1"/>
    </xf>
    <xf numFmtId="3" fontId="0" fillId="0" borderId="0" xfId="0" applyNumberFormat="1"/>
    <xf numFmtId="10" fontId="0" fillId="0" borderId="9" xfId="0" applyNumberFormat="1" applyBorder="1" applyAlignment="1">
      <alignment vertical="center" wrapText="1"/>
    </xf>
    <xf numFmtId="0" fontId="0" fillId="0" borderId="10" xfId="0" applyBorder="1" applyAlignment="1">
      <alignment vertical="center" wrapText="1"/>
    </xf>
    <xf numFmtId="10" fontId="0" fillId="0" borderId="11" xfId="0" applyNumberFormat="1" applyBorder="1" applyAlignment="1">
      <alignment vertical="center" wrapText="1"/>
    </xf>
    <xf numFmtId="44" fontId="0" fillId="4" borderId="0" xfId="2" applyFont="1" applyFill="1"/>
    <xf numFmtId="44" fontId="0" fillId="7" borderId="0" xfId="2" applyFont="1" applyFill="1"/>
    <xf numFmtId="0" fontId="22" fillId="0" borderId="0" xfId="14"/>
    <xf numFmtId="0" fontId="22" fillId="0" borderId="0" xfId="14" applyAlignment="1">
      <alignment horizontal="right" vertical="top"/>
    </xf>
    <xf numFmtId="0" fontId="22" fillId="0" borderId="0" xfId="14" applyAlignment="1">
      <alignment horizontal="center"/>
    </xf>
    <xf numFmtId="172" fontId="22" fillId="0" borderId="0" xfId="14" applyNumberFormat="1"/>
    <xf numFmtId="0" fontId="22" fillId="0" borderId="0" xfId="14" applyAlignment="1">
      <alignment horizontal="right"/>
    </xf>
    <xf numFmtId="0" fontId="21" fillId="0" borderId="0" xfId="14" applyFont="1" applyAlignment="1">
      <alignment horizontal="right" vertical="top"/>
    </xf>
    <xf numFmtId="0" fontId="21" fillId="0" borderId="0" xfId="14" applyFont="1"/>
    <xf numFmtId="0" fontId="21" fillId="0" borderId="0" xfId="14" applyFont="1" applyAlignment="1">
      <alignment horizontal="center"/>
    </xf>
    <xf numFmtId="164" fontId="22" fillId="0" borderId="0" xfId="14" applyNumberFormat="1"/>
    <xf numFmtId="4" fontId="22" fillId="0" borderId="0" xfId="14" applyNumberFormat="1"/>
    <xf numFmtId="172" fontId="22" fillId="0" borderId="0" xfId="14" applyNumberFormat="1" applyAlignment="1">
      <alignment horizontal="right"/>
    </xf>
    <xf numFmtId="3" fontId="22" fillId="0" borderId="0" xfId="14" applyNumberFormat="1"/>
    <xf numFmtId="2" fontId="22" fillId="0" borderId="0" xfId="14" applyNumberFormat="1"/>
    <xf numFmtId="10" fontId="22" fillId="0" borderId="0" xfId="14" applyNumberFormat="1"/>
    <xf numFmtId="7" fontId="22" fillId="0" borderId="0" xfId="14" applyNumberFormat="1"/>
    <xf numFmtId="0" fontId="0" fillId="0" borderId="0" xfId="0" applyAlignment="1">
      <alignment vertical="top"/>
    </xf>
    <xf numFmtId="0" fontId="20" fillId="0" borderId="0" xfId="13" applyAlignment="1">
      <alignment vertical="top"/>
    </xf>
    <xf numFmtId="0" fontId="0" fillId="0" borderId="0" xfId="0" applyAlignment="1">
      <alignment vertical="top" wrapText="1"/>
    </xf>
    <xf numFmtId="0" fontId="2" fillId="0" borderId="1" xfId="4" applyAlignment="1">
      <alignment horizontal="center" vertical="center"/>
    </xf>
    <xf numFmtId="0" fontId="6" fillId="0" borderId="0" xfId="0" applyFont="1" applyAlignment="1">
      <alignment horizontal="center"/>
    </xf>
    <xf numFmtId="0" fontId="8"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xf>
  </cellXfs>
  <cellStyles count="15">
    <cellStyle name="20% - Accent4" xfId="8" builtinId="42"/>
    <cellStyle name="Assumptions" xfId="6"/>
    <cellStyle name="Calculation" xfId="5" builtinId="22"/>
    <cellStyle name="Check Cell" xfId="11" builtinId="23"/>
    <cellStyle name="Comma" xfId="1" builtinId="3"/>
    <cellStyle name="Comma 3" xfId="12"/>
    <cellStyle name="Currency" xfId="2" builtinId="4"/>
    <cellStyle name="Heading 3" xfId="4" builtinId="18" customBuiltin="1"/>
    <cellStyle name="Heading 4" xfId="9" builtinId="19"/>
    <cellStyle name="Hyperlink" xfId="13" builtinId="8"/>
    <cellStyle name="Input" xfId="10" builtinId="20"/>
    <cellStyle name="Normal" xfId="0" builtinId="0"/>
    <cellStyle name="Normal 2" xfId="14"/>
    <cellStyle name="Percent" xfId="3" builtinId="5"/>
    <cellStyle name="Total" xfId="7"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190501</xdr:colOff>
      <xdr:row>36</xdr:row>
      <xdr:rowOff>5080</xdr:rowOff>
    </xdr:from>
    <xdr:ext cx="4785775" cy="2286198"/>
    <xdr:pic>
      <xdr:nvPicPr>
        <xdr:cNvPr id="2" name="Picture 1">
          <a:extLst>
            <a:ext uri="{FF2B5EF4-FFF2-40B4-BE49-F238E27FC236}">
              <a16:creationId xmlns:a16="http://schemas.microsoft.com/office/drawing/2014/main" id="{1EDCA67C-8403-45CF-8D41-D71BC3842CD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9701" y="5765800"/>
          <a:ext cx="4785775" cy="228619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190501</xdr:colOff>
      <xdr:row>36</xdr:row>
      <xdr:rowOff>5080</xdr:rowOff>
    </xdr:from>
    <xdr:ext cx="4785775" cy="2286198"/>
    <xdr:pic>
      <xdr:nvPicPr>
        <xdr:cNvPr id="2" name="Picture 1">
          <a:extLst>
            <a:ext uri="{FF2B5EF4-FFF2-40B4-BE49-F238E27FC236}">
              <a16:creationId xmlns:a16="http://schemas.microsoft.com/office/drawing/2014/main" id="{0AA641A6-5925-4BCB-A64B-3B0DF5BC00A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9701" y="5765800"/>
          <a:ext cx="4785775" cy="2286198"/>
        </a:xfrm>
        <a:prstGeom prst="rect">
          <a:avLst/>
        </a:prstGeom>
      </xdr:spPr>
    </xdr:pic>
    <xdr:clientData/>
  </xdr:oneCellAnchor>
  <xdr:oneCellAnchor>
    <xdr:from>
      <xdr:col>2</xdr:col>
      <xdr:colOff>190501</xdr:colOff>
      <xdr:row>93</xdr:row>
      <xdr:rowOff>2540</xdr:rowOff>
    </xdr:from>
    <xdr:ext cx="4785775" cy="2286198"/>
    <xdr:pic>
      <xdr:nvPicPr>
        <xdr:cNvPr id="3" name="Picture 2">
          <a:extLst>
            <a:ext uri="{FF2B5EF4-FFF2-40B4-BE49-F238E27FC236}">
              <a16:creationId xmlns:a16="http://schemas.microsoft.com/office/drawing/2014/main" id="{4863F824-66FC-4BFE-9483-6E505E5D0752}"/>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9701" y="14884400"/>
          <a:ext cx="4785775" cy="228619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190501</xdr:colOff>
      <xdr:row>36</xdr:row>
      <xdr:rowOff>5080</xdr:rowOff>
    </xdr:from>
    <xdr:ext cx="4785775" cy="2286198"/>
    <xdr:pic>
      <xdr:nvPicPr>
        <xdr:cNvPr id="2" name="Picture 1">
          <a:extLst>
            <a:ext uri="{FF2B5EF4-FFF2-40B4-BE49-F238E27FC236}">
              <a16:creationId xmlns:a16="http://schemas.microsoft.com/office/drawing/2014/main" id="{927BEA01-7CF1-41D2-82B0-7AAEC299B2F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9701" y="5765800"/>
          <a:ext cx="4785775" cy="2286198"/>
        </a:xfrm>
        <a:prstGeom prst="rect">
          <a:avLst/>
        </a:prstGeom>
      </xdr:spPr>
    </xdr:pic>
    <xdr:clientData/>
  </xdr:oneCellAnchor>
  <xdr:oneCellAnchor>
    <xdr:from>
      <xdr:col>2</xdr:col>
      <xdr:colOff>190501</xdr:colOff>
      <xdr:row>93</xdr:row>
      <xdr:rowOff>2540</xdr:rowOff>
    </xdr:from>
    <xdr:ext cx="4785775" cy="2286198"/>
    <xdr:pic>
      <xdr:nvPicPr>
        <xdr:cNvPr id="3" name="Picture 2">
          <a:extLst>
            <a:ext uri="{FF2B5EF4-FFF2-40B4-BE49-F238E27FC236}">
              <a16:creationId xmlns:a16="http://schemas.microsoft.com/office/drawing/2014/main" id="{3B00C1B3-C0F0-4875-B798-761C8E62608F}"/>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9701" y="14884400"/>
          <a:ext cx="4785775" cy="2286198"/>
        </a:xfrm>
        <a:prstGeom prst="rect">
          <a:avLst/>
        </a:prstGeom>
      </xdr:spPr>
    </xdr:pic>
    <xdr:clientData/>
  </xdr:oneCellAnchor>
  <xdr:oneCellAnchor>
    <xdr:from>
      <xdr:col>2</xdr:col>
      <xdr:colOff>190501</xdr:colOff>
      <xdr:row>150</xdr:row>
      <xdr:rowOff>0</xdr:rowOff>
    </xdr:from>
    <xdr:ext cx="4785775" cy="2286198"/>
    <xdr:pic>
      <xdr:nvPicPr>
        <xdr:cNvPr id="4" name="Picture 3">
          <a:extLst>
            <a:ext uri="{FF2B5EF4-FFF2-40B4-BE49-F238E27FC236}">
              <a16:creationId xmlns:a16="http://schemas.microsoft.com/office/drawing/2014/main" id="{84AB6248-A318-4A78-BB67-1991020E1A89}"/>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9701" y="24003000"/>
          <a:ext cx="4785775" cy="228619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abSelected="1" workbookViewId="0">
      <selection activeCell="B6" sqref="B6"/>
    </sheetView>
  </sheetViews>
  <sheetFormatPr defaultRowHeight="14.4" x14ac:dyDescent="0.3"/>
  <cols>
    <col min="1" max="1" width="14.21875" style="125" bestFit="1" customWidth="1"/>
    <col min="2" max="2" width="26.77734375" style="125" customWidth="1"/>
    <col min="3" max="3" width="71" style="125" customWidth="1"/>
    <col min="4" max="16384" width="8.88671875" style="125"/>
  </cols>
  <sheetData>
    <row r="1" spans="1:3" x14ac:dyDescent="0.3">
      <c r="A1" s="125" t="s">
        <v>482</v>
      </c>
    </row>
    <row r="2" spans="1:3" x14ac:dyDescent="0.3">
      <c r="B2" s="125" t="s">
        <v>483</v>
      </c>
    </row>
    <row r="3" spans="1:3" x14ac:dyDescent="0.3">
      <c r="B3" s="125" t="s">
        <v>484</v>
      </c>
    </row>
    <row r="4" spans="1:3" x14ac:dyDescent="0.3">
      <c r="B4" s="125" t="s">
        <v>485</v>
      </c>
    </row>
    <row r="5" spans="1:3" x14ac:dyDescent="0.3">
      <c r="B5" s="125" t="s">
        <v>486</v>
      </c>
    </row>
    <row r="7" spans="1:3" x14ac:dyDescent="0.3">
      <c r="A7" s="125" t="s">
        <v>459</v>
      </c>
    </row>
    <row r="8" spans="1:3" x14ac:dyDescent="0.3">
      <c r="A8" s="125" t="s">
        <v>385</v>
      </c>
      <c r="B8" s="126" t="s">
        <v>390</v>
      </c>
    </row>
    <row r="10" spans="1:3" x14ac:dyDescent="0.3">
      <c r="A10" s="125" t="s">
        <v>386</v>
      </c>
      <c r="B10" s="126" t="s">
        <v>300</v>
      </c>
    </row>
    <row r="12" spans="1:3" x14ac:dyDescent="0.3">
      <c r="A12" s="125" t="s">
        <v>387</v>
      </c>
      <c r="B12" s="126" t="s">
        <v>448</v>
      </c>
    </row>
    <row r="13" spans="1:3" x14ac:dyDescent="0.3">
      <c r="B13" s="126"/>
    </row>
    <row r="14" spans="1:3" ht="117" customHeight="1" x14ac:dyDescent="0.3">
      <c r="A14" s="125" t="s">
        <v>388</v>
      </c>
      <c r="B14" s="126" t="s">
        <v>478</v>
      </c>
      <c r="C14" s="127" t="s">
        <v>477</v>
      </c>
    </row>
    <row r="15" spans="1:3" x14ac:dyDescent="0.3">
      <c r="B15" s="126" t="s">
        <v>458</v>
      </c>
    </row>
    <row r="16" spans="1:3" x14ac:dyDescent="0.3">
      <c r="B16" s="126"/>
    </row>
    <row r="17" spans="1:3" ht="57.6" x14ac:dyDescent="0.3">
      <c r="A17" s="125" t="s">
        <v>389</v>
      </c>
      <c r="B17" s="126" t="s">
        <v>476</v>
      </c>
      <c r="C17" s="127" t="s">
        <v>481</v>
      </c>
    </row>
    <row r="18" spans="1:3" x14ac:dyDescent="0.3">
      <c r="B18" s="126" t="s">
        <v>474</v>
      </c>
    </row>
  </sheetData>
  <hyperlinks>
    <hyperlink ref="B8" location="IncrementalCashFlows" display="IncrementalCashFlows"/>
    <hyperlink ref="B10" location="r_ua" display="r_ua"/>
    <hyperlink ref="B12" location="NPV_1" display="NPV_1"/>
    <hyperlink ref="B15" location="Early_Liquidation_NPV" display="Early_Liquidation_NPV"/>
    <hyperlink ref="B18" location="With_Loan_NPV" display="With_Loan_NPV"/>
    <hyperlink ref="B17" location="Optimal_Loan_Amount" display="Optimal_Loan_Amount"/>
    <hyperlink ref="B14" location="Optimal_Threshold" display="Optimal_Threshol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showGridLines="0" showRowColHeaders="0" topLeftCell="A39" workbookViewId="0">
      <selection activeCell="E56" sqref="E56"/>
    </sheetView>
  </sheetViews>
  <sheetFormatPr defaultRowHeight="12.6" x14ac:dyDescent="0.25"/>
  <cols>
    <col min="1" max="1" width="2" style="110" customWidth="1"/>
    <col min="2" max="2" width="1.88671875" style="110" customWidth="1"/>
    <col min="3" max="3" width="12.109375" style="110" customWidth="1"/>
    <col min="4" max="4" width="12.33203125" style="110" customWidth="1"/>
    <col min="5" max="5" width="18.33203125" style="110" customWidth="1"/>
    <col min="6" max="6" width="1.6640625" style="112" customWidth="1"/>
    <col min="7" max="7" width="5.33203125" style="110" customWidth="1"/>
    <col min="8" max="8" width="15.6640625" style="110" customWidth="1"/>
    <col min="9" max="9" width="11.109375" style="110" customWidth="1"/>
    <col min="10" max="10" width="2.6640625" style="111" customWidth="1"/>
    <col min="11" max="11" width="80.6640625" style="110" customWidth="1"/>
    <col min="12" max="16384" width="8.88671875" style="110"/>
  </cols>
  <sheetData>
    <row r="1" spans="2:6" x14ac:dyDescent="0.25">
      <c r="E1" s="124"/>
      <c r="F1" s="117" t="s">
        <v>392</v>
      </c>
    </row>
    <row r="2" spans="2:6" x14ac:dyDescent="0.25">
      <c r="F2" s="112" t="s">
        <v>457</v>
      </c>
    </row>
    <row r="3" spans="2:6" x14ac:dyDescent="0.25">
      <c r="F3" s="112" t="s">
        <v>456</v>
      </c>
    </row>
    <row r="5" spans="2:6" x14ac:dyDescent="0.25">
      <c r="B5" s="110" t="s">
        <v>395</v>
      </c>
    </row>
    <row r="6" spans="2:6" x14ac:dyDescent="0.25">
      <c r="C6" s="110" t="s">
        <v>396</v>
      </c>
      <c r="E6" s="121">
        <v>1000</v>
      </c>
    </row>
    <row r="7" spans="2:6" x14ac:dyDescent="0.25">
      <c r="C7" s="110" t="s">
        <v>397</v>
      </c>
    </row>
    <row r="8" spans="2:6" x14ac:dyDescent="0.25">
      <c r="C8" s="110" t="s">
        <v>398</v>
      </c>
    </row>
    <row r="9" spans="2:6" x14ac:dyDescent="0.25">
      <c r="C9" s="110" t="s">
        <v>399</v>
      </c>
    </row>
    <row r="10" spans="2:6" x14ac:dyDescent="0.25">
      <c r="C10" s="110" t="s">
        <v>400</v>
      </c>
      <c r="E10" s="123">
        <v>0.95</v>
      </c>
    </row>
    <row r="12" spans="2:6" x14ac:dyDescent="0.25">
      <c r="B12" s="110" t="s">
        <v>401</v>
      </c>
    </row>
    <row r="13" spans="2:6" x14ac:dyDescent="0.25">
      <c r="C13" s="110" t="s">
        <v>402</v>
      </c>
      <c r="E13" s="122">
        <v>4.3651100168770505</v>
      </c>
    </row>
    <row r="14" spans="2:6" x14ac:dyDescent="0.25">
      <c r="C14" s="110" t="s">
        <v>403</v>
      </c>
      <c r="E14" s="121">
        <v>229.08930041480016</v>
      </c>
    </row>
    <row r="15" spans="2:6" x14ac:dyDescent="0.25">
      <c r="C15" s="110" t="s">
        <v>404</v>
      </c>
      <c r="E15" s="121">
        <v>4581.7860082960033</v>
      </c>
    </row>
    <row r="17" spans="1:10" x14ac:dyDescent="0.25">
      <c r="B17" s="110" t="s">
        <v>405</v>
      </c>
    </row>
    <row r="18" spans="1:10" x14ac:dyDescent="0.25">
      <c r="C18" s="110" t="s">
        <v>406</v>
      </c>
      <c r="E18" s="110">
        <v>20</v>
      </c>
    </row>
    <row r="19" spans="1:10" x14ac:dyDescent="0.25">
      <c r="C19" s="110" t="s">
        <v>407</v>
      </c>
      <c r="E19" s="110">
        <v>0</v>
      </c>
    </row>
    <row r="20" spans="1:10" x14ac:dyDescent="0.25">
      <c r="C20" s="110" t="s">
        <v>408</v>
      </c>
      <c r="E20" s="110">
        <v>0</v>
      </c>
    </row>
    <row r="21" spans="1:10" x14ac:dyDescent="0.25">
      <c r="C21" s="110" t="s">
        <v>409</v>
      </c>
      <c r="E21" s="110">
        <v>0</v>
      </c>
    </row>
    <row r="22" spans="1:10" x14ac:dyDescent="0.25">
      <c r="C22" s="110" t="s">
        <v>410</v>
      </c>
      <c r="E22" s="110">
        <v>2</v>
      </c>
    </row>
    <row r="24" spans="1:10" x14ac:dyDescent="0.25">
      <c r="F24" s="117" t="s">
        <v>410</v>
      </c>
    </row>
    <row r="27" spans="1:10" x14ac:dyDescent="0.25">
      <c r="A27" s="116" t="s">
        <v>455</v>
      </c>
    </row>
    <row r="29" spans="1:10" x14ac:dyDescent="0.25">
      <c r="A29" s="116" t="s">
        <v>454</v>
      </c>
      <c r="B29" s="116"/>
      <c r="C29" s="116"/>
      <c r="D29" s="116"/>
      <c r="E29" s="116"/>
      <c r="F29" s="117"/>
      <c r="G29" s="116"/>
      <c r="H29" s="116"/>
      <c r="I29" s="116"/>
      <c r="J29" s="115" t="s">
        <v>452</v>
      </c>
    </row>
    <row r="31" spans="1:10" x14ac:dyDescent="0.25">
      <c r="B31" s="110" t="s">
        <v>414</v>
      </c>
    </row>
    <row r="32" spans="1:10" x14ac:dyDescent="0.25">
      <c r="C32" s="110" t="s">
        <v>451</v>
      </c>
    </row>
    <row r="33" spans="3:3" x14ac:dyDescent="0.25">
      <c r="C33" s="110" t="s">
        <v>416</v>
      </c>
    </row>
    <row r="34" spans="3:3" x14ac:dyDescent="0.25">
      <c r="C34" s="110" t="s">
        <v>450</v>
      </c>
    </row>
    <row r="53" spans="2:5" x14ac:dyDescent="0.25">
      <c r="B53" s="110" t="s">
        <v>418</v>
      </c>
      <c r="E53" s="114" t="s">
        <v>419</v>
      </c>
    </row>
    <row r="54" spans="2:5" x14ac:dyDescent="0.25">
      <c r="C54" s="110" t="s">
        <v>420</v>
      </c>
      <c r="E54" s="121">
        <v>1000</v>
      </c>
    </row>
    <row r="55" spans="2:5" x14ac:dyDescent="0.25">
      <c r="C55" s="110" t="s">
        <v>421</v>
      </c>
      <c r="E55" s="113">
        <v>-1907394.0841275193</v>
      </c>
    </row>
    <row r="56" spans="2:5" x14ac:dyDescent="0.25">
      <c r="C56" s="110" t="s">
        <v>422</v>
      </c>
      <c r="E56" s="113">
        <v>-1912006.1924999796</v>
      </c>
    </row>
    <row r="57" spans="2:5" x14ac:dyDescent="0.25">
      <c r="C57" s="110" t="s">
        <v>423</v>
      </c>
      <c r="E57" s="113">
        <v>-1985608.0579053918</v>
      </c>
    </row>
    <row r="58" spans="2:5" x14ac:dyDescent="0.25">
      <c r="C58" s="110" t="s">
        <v>424</v>
      </c>
      <c r="E58" s="120" t="s">
        <v>425</v>
      </c>
    </row>
    <row r="59" spans="2:5" x14ac:dyDescent="0.25">
      <c r="C59" s="110" t="s">
        <v>426</v>
      </c>
      <c r="E59" s="113">
        <v>1674029.5171132179</v>
      </c>
    </row>
    <row r="60" spans="2:5" x14ac:dyDescent="0.25">
      <c r="C60" s="110" t="s">
        <v>427</v>
      </c>
      <c r="E60" s="113">
        <v>2802374824166.313</v>
      </c>
    </row>
    <row r="61" spans="2:5" x14ac:dyDescent="0.25">
      <c r="C61" s="110" t="s">
        <v>428</v>
      </c>
      <c r="E61" s="118">
        <v>0.14114782174848967</v>
      </c>
    </row>
    <row r="62" spans="2:5" x14ac:dyDescent="0.25">
      <c r="C62" s="110" t="s">
        <v>429</v>
      </c>
      <c r="E62" s="119">
        <v>2.8429600912674204</v>
      </c>
    </row>
    <row r="63" spans="2:5" x14ac:dyDescent="0.25">
      <c r="C63" s="110" t="s">
        <v>430</v>
      </c>
      <c r="E63" s="118">
        <v>-0.87553561472747987</v>
      </c>
    </row>
    <row r="64" spans="2:5" x14ac:dyDescent="0.25">
      <c r="C64" s="110" t="s">
        <v>186</v>
      </c>
      <c r="E64" s="113">
        <v>-6539569.8807227379</v>
      </c>
    </row>
    <row r="65" spans="1:10" x14ac:dyDescent="0.25">
      <c r="C65" s="110" t="s">
        <v>431</v>
      </c>
      <c r="E65" s="113">
        <v>3506574.3033963423</v>
      </c>
    </row>
    <row r="66" spans="1:10" x14ac:dyDescent="0.25">
      <c r="C66" s="110" t="s">
        <v>432</v>
      </c>
      <c r="E66" s="113">
        <v>10046144.184119079</v>
      </c>
    </row>
    <row r="67" spans="1:10" x14ac:dyDescent="0.25">
      <c r="C67" s="110" t="s">
        <v>433</v>
      </c>
      <c r="E67" s="113">
        <v>52937.461444295885</v>
      </c>
    </row>
    <row r="69" spans="1:10" x14ac:dyDescent="0.25">
      <c r="A69" s="116" t="s">
        <v>453</v>
      </c>
      <c r="B69" s="116"/>
      <c r="C69" s="116"/>
      <c r="D69" s="116"/>
      <c r="E69" s="116"/>
      <c r="F69" s="117"/>
      <c r="G69" s="116"/>
      <c r="H69" s="116"/>
      <c r="I69" s="116"/>
      <c r="J69" s="115" t="s">
        <v>452</v>
      </c>
    </row>
    <row r="71" spans="1:10" x14ac:dyDescent="0.25">
      <c r="B71" s="110" t="s">
        <v>435</v>
      </c>
      <c r="E71" s="114" t="s">
        <v>419</v>
      </c>
    </row>
    <row r="72" spans="1:10" x14ac:dyDescent="0.25">
      <c r="C72" s="110" t="s">
        <v>436</v>
      </c>
      <c r="E72" s="113">
        <v>-6539569.8807227379</v>
      </c>
    </row>
    <row r="73" spans="1:10" x14ac:dyDescent="0.25">
      <c r="C73" s="110" t="s">
        <v>437</v>
      </c>
      <c r="E73" s="113">
        <v>-3996934.6605812814</v>
      </c>
    </row>
    <row r="74" spans="1:10" x14ac:dyDescent="0.25">
      <c r="C74" s="110" t="s">
        <v>438</v>
      </c>
      <c r="E74" s="113">
        <v>-3361474.5287249535</v>
      </c>
    </row>
    <row r="75" spans="1:10" x14ac:dyDescent="0.25">
      <c r="C75" s="110" t="s">
        <v>439</v>
      </c>
      <c r="E75" s="113">
        <v>-2873723.5155073795</v>
      </c>
    </row>
    <row r="76" spans="1:10" x14ac:dyDescent="0.25">
      <c r="C76" s="110" t="s">
        <v>440</v>
      </c>
      <c r="E76" s="113">
        <v>-2383294.4582497049</v>
      </c>
    </row>
    <row r="77" spans="1:10" x14ac:dyDescent="0.25">
      <c r="C77" s="110" t="s">
        <v>441</v>
      </c>
      <c r="E77" s="113">
        <v>-1987163.8350486197</v>
      </c>
    </row>
    <row r="78" spans="1:10" x14ac:dyDescent="0.25">
      <c r="C78" s="110" t="s">
        <v>442</v>
      </c>
      <c r="E78" s="113">
        <v>-1514712.7750967536</v>
      </c>
    </row>
    <row r="79" spans="1:10" x14ac:dyDescent="0.25">
      <c r="C79" s="110" t="s">
        <v>443</v>
      </c>
      <c r="E79" s="113">
        <v>-1029678.885311095</v>
      </c>
    </row>
    <row r="80" spans="1:10" x14ac:dyDescent="0.25">
      <c r="C80" s="110" t="s">
        <v>444</v>
      </c>
      <c r="E80" s="113">
        <v>-476141.62145689316</v>
      </c>
    </row>
    <row r="81" spans="1:10" x14ac:dyDescent="0.25">
      <c r="C81" s="110" t="s">
        <v>445</v>
      </c>
      <c r="E81" s="113">
        <v>293875.05239982344</v>
      </c>
    </row>
    <row r="82" spans="1:10" x14ac:dyDescent="0.25">
      <c r="C82" s="110" t="s">
        <v>446</v>
      </c>
      <c r="E82" s="113">
        <v>3506574.3033963423</v>
      </c>
    </row>
    <row r="84" spans="1:10" x14ac:dyDescent="0.25">
      <c r="A84" s="116" t="s">
        <v>411</v>
      </c>
    </row>
    <row r="86" spans="1:10" x14ac:dyDescent="0.25">
      <c r="A86" s="116" t="s">
        <v>412</v>
      </c>
      <c r="B86" s="116"/>
      <c r="C86" s="116"/>
      <c r="D86" s="116"/>
      <c r="E86" s="116"/>
      <c r="F86" s="117"/>
      <c r="G86" s="116"/>
      <c r="H86" s="116"/>
      <c r="I86" s="116"/>
      <c r="J86" s="115" t="s">
        <v>413</v>
      </c>
    </row>
    <row r="88" spans="1:10" x14ac:dyDescent="0.25">
      <c r="B88" s="110" t="s">
        <v>414</v>
      </c>
    </row>
    <row r="89" spans="1:10" x14ac:dyDescent="0.25">
      <c r="C89" s="110" t="s">
        <v>451</v>
      </c>
    </row>
    <row r="90" spans="1:10" x14ac:dyDescent="0.25">
      <c r="C90" s="110" t="s">
        <v>416</v>
      </c>
    </row>
    <row r="91" spans="1:10" x14ac:dyDescent="0.25">
      <c r="C91" s="110" t="s">
        <v>450</v>
      </c>
    </row>
    <row r="110" spans="2:5" x14ac:dyDescent="0.25">
      <c r="B110" s="110" t="s">
        <v>418</v>
      </c>
      <c r="E110" s="114" t="s">
        <v>419</v>
      </c>
    </row>
    <row r="111" spans="2:5" x14ac:dyDescent="0.25">
      <c r="C111" s="110" t="s">
        <v>420</v>
      </c>
      <c r="E111" s="121">
        <v>1000</v>
      </c>
    </row>
    <row r="112" spans="2:5" x14ac:dyDescent="0.25">
      <c r="C112" s="110" t="s">
        <v>421</v>
      </c>
      <c r="E112" s="113">
        <v>-1907394.0841275193</v>
      </c>
    </row>
    <row r="113" spans="1:10" x14ac:dyDescent="0.25">
      <c r="C113" s="110" t="s">
        <v>422</v>
      </c>
      <c r="E113" s="113">
        <v>-1912006.1924999796</v>
      </c>
    </row>
    <row r="114" spans="1:10" x14ac:dyDescent="0.25">
      <c r="C114" s="110" t="s">
        <v>423</v>
      </c>
      <c r="E114" s="113">
        <v>-1985608.0579053918</v>
      </c>
    </row>
    <row r="115" spans="1:10" x14ac:dyDescent="0.25">
      <c r="C115" s="110" t="s">
        <v>424</v>
      </c>
      <c r="E115" s="120" t="s">
        <v>425</v>
      </c>
    </row>
    <row r="116" spans="1:10" x14ac:dyDescent="0.25">
      <c r="C116" s="110" t="s">
        <v>426</v>
      </c>
      <c r="E116" s="113">
        <v>1674029.5171132179</v>
      </c>
    </row>
    <row r="117" spans="1:10" x14ac:dyDescent="0.25">
      <c r="C117" s="110" t="s">
        <v>427</v>
      </c>
      <c r="E117" s="113">
        <v>2802374824166.313</v>
      </c>
    </row>
    <row r="118" spans="1:10" x14ac:dyDescent="0.25">
      <c r="C118" s="110" t="s">
        <v>428</v>
      </c>
      <c r="E118" s="118">
        <v>0.14114782174848967</v>
      </c>
    </row>
    <row r="119" spans="1:10" x14ac:dyDescent="0.25">
      <c r="C119" s="110" t="s">
        <v>429</v>
      </c>
      <c r="E119" s="119">
        <v>2.8429600912674204</v>
      </c>
    </row>
    <row r="120" spans="1:10" x14ac:dyDescent="0.25">
      <c r="C120" s="110" t="s">
        <v>430</v>
      </c>
      <c r="E120" s="118">
        <v>-0.87553561472747987</v>
      </c>
    </row>
    <row r="121" spans="1:10" x14ac:dyDescent="0.25">
      <c r="C121" s="110" t="s">
        <v>186</v>
      </c>
      <c r="E121" s="113">
        <v>-6539569.8807227379</v>
      </c>
    </row>
    <row r="122" spans="1:10" x14ac:dyDescent="0.25">
      <c r="C122" s="110" t="s">
        <v>431</v>
      </c>
      <c r="E122" s="113">
        <v>3506574.3033963423</v>
      </c>
    </row>
    <row r="123" spans="1:10" x14ac:dyDescent="0.25">
      <c r="C123" s="110" t="s">
        <v>432</v>
      </c>
      <c r="E123" s="113">
        <v>10046144.184119079</v>
      </c>
    </row>
    <row r="124" spans="1:10" x14ac:dyDescent="0.25">
      <c r="C124" s="110" t="s">
        <v>433</v>
      </c>
      <c r="E124" s="113">
        <v>52937.461444295885</v>
      </c>
    </row>
    <row r="126" spans="1:10" x14ac:dyDescent="0.25">
      <c r="A126" s="116" t="s">
        <v>434</v>
      </c>
      <c r="B126" s="116"/>
      <c r="C126" s="116"/>
      <c r="D126" s="116"/>
      <c r="E126" s="116"/>
      <c r="F126" s="117"/>
      <c r="G126" s="116"/>
      <c r="H126" s="116"/>
      <c r="I126" s="116"/>
      <c r="J126" s="115" t="s">
        <v>413</v>
      </c>
    </row>
    <row r="128" spans="1:10" x14ac:dyDescent="0.25">
      <c r="B128" s="110" t="s">
        <v>435</v>
      </c>
      <c r="E128" s="114" t="s">
        <v>419</v>
      </c>
    </row>
    <row r="129" spans="1:5" x14ac:dyDescent="0.25">
      <c r="C129" s="110" t="s">
        <v>436</v>
      </c>
      <c r="E129" s="113">
        <v>-6539569.8807227379</v>
      </c>
    </row>
    <row r="130" spans="1:5" x14ac:dyDescent="0.25">
      <c r="C130" s="110" t="s">
        <v>437</v>
      </c>
      <c r="E130" s="113">
        <v>-3996934.6605812814</v>
      </c>
    </row>
    <row r="131" spans="1:5" x14ac:dyDescent="0.25">
      <c r="C131" s="110" t="s">
        <v>438</v>
      </c>
      <c r="E131" s="113">
        <v>-3361474.5287249535</v>
      </c>
    </row>
    <row r="132" spans="1:5" x14ac:dyDescent="0.25">
      <c r="C132" s="110" t="s">
        <v>439</v>
      </c>
      <c r="E132" s="113">
        <v>-2873723.5155073795</v>
      </c>
    </row>
    <row r="133" spans="1:5" x14ac:dyDescent="0.25">
      <c r="C133" s="110" t="s">
        <v>440</v>
      </c>
      <c r="E133" s="113">
        <v>-2383294.4582497049</v>
      </c>
    </row>
    <row r="134" spans="1:5" x14ac:dyDescent="0.25">
      <c r="C134" s="110" t="s">
        <v>441</v>
      </c>
      <c r="E134" s="113">
        <v>-1987163.8350486197</v>
      </c>
    </row>
    <row r="135" spans="1:5" x14ac:dyDescent="0.25">
      <c r="C135" s="110" t="s">
        <v>442</v>
      </c>
      <c r="E135" s="113">
        <v>-1514712.7750967536</v>
      </c>
    </row>
    <row r="136" spans="1:5" x14ac:dyDescent="0.25">
      <c r="C136" s="110" t="s">
        <v>443</v>
      </c>
      <c r="E136" s="113">
        <v>-1029678.885311095</v>
      </c>
    </row>
    <row r="137" spans="1:5" x14ac:dyDescent="0.25">
      <c r="C137" s="110" t="s">
        <v>444</v>
      </c>
      <c r="E137" s="113">
        <v>-476141.62145689316</v>
      </c>
    </row>
    <row r="138" spans="1:5" x14ac:dyDescent="0.25">
      <c r="C138" s="110" t="s">
        <v>445</v>
      </c>
      <c r="E138" s="113">
        <v>293875.05239982344</v>
      </c>
    </row>
    <row r="139" spans="1:5" x14ac:dyDescent="0.25">
      <c r="C139" s="110" t="s">
        <v>446</v>
      </c>
      <c r="E139" s="113">
        <v>3506574.3033963423</v>
      </c>
    </row>
    <row r="141" spans="1:5" x14ac:dyDescent="0.25">
      <c r="A141" s="110" t="s">
        <v>447</v>
      </c>
    </row>
  </sheetData>
  <printOptions gridLinesSet="0"/>
  <pageMargins left="0.75" right="0.75" top="1" bottom="1" header="0.5" footer="0.5"/>
  <pageSetup orientation="portrait" r:id="rId1"/>
  <headerFooter alignWithMargins="0">
    <oddHeader>&amp;f</oddHeader>
    <oddFooter>Page &amp;p</oddFooter>
  </headerFooter>
  <rowBreaks count="4" manualBreakCount="4">
    <brk id="23" max="16383" man="1"/>
    <brk id="68" max="16383" man="1"/>
    <brk id="83" max="16383" man="1"/>
    <brk id="125" max="16383" man="1"/>
  </rowBreaks>
  <colBreaks count="1" manualBreakCount="1">
    <brk id="10" max="1048575" man="1"/>
  </colBreaks>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1"/>
  <sheetViews>
    <sheetView workbookViewId="0">
      <selection activeCell="B2" sqref="B2"/>
    </sheetView>
  </sheetViews>
  <sheetFormatPr defaultRowHeight="14.4" x14ac:dyDescent="0.3"/>
  <cols>
    <col min="1" max="1" width="30" bestFit="1" customWidth="1"/>
    <col min="2" max="2" width="18" customWidth="1"/>
    <col min="3" max="3" width="21.77734375" bestFit="1" customWidth="1"/>
    <col min="4" max="4" width="14.6640625" bestFit="1" customWidth="1"/>
    <col min="5" max="6" width="13.6640625" bestFit="1" customWidth="1"/>
    <col min="7" max="11" width="14.21875" bestFit="1" customWidth="1"/>
  </cols>
  <sheetData>
    <row r="1" spans="1:11" x14ac:dyDescent="0.3">
      <c r="B1" s="78"/>
      <c r="D1" s="99" t="s">
        <v>358</v>
      </c>
      <c r="E1" s="65">
        <f>VLOOKUP(B2,B47:C51,2,TRUE)</f>
        <v>4.4999999999999998E-2</v>
      </c>
    </row>
    <row r="2" spans="1:11" x14ac:dyDescent="0.3">
      <c r="A2" t="s">
        <v>359</v>
      </c>
      <c r="B2" s="100">
        <v>5999999</v>
      </c>
    </row>
    <row r="3" spans="1:11" x14ac:dyDescent="0.3">
      <c r="B3" s="20"/>
    </row>
    <row r="4" spans="1:11" x14ac:dyDescent="0.3">
      <c r="B4" s="45">
        <v>2011</v>
      </c>
      <c r="C4" s="45">
        <v>2012</v>
      </c>
      <c r="D4" s="45">
        <v>2013</v>
      </c>
      <c r="E4" s="45">
        <v>2014</v>
      </c>
      <c r="F4" s="45">
        <v>2015</v>
      </c>
      <c r="G4" s="45">
        <v>2016</v>
      </c>
      <c r="H4" s="45">
        <v>2017</v>
      </c>
      <c r="I4" s="45">
        <v>2018</v>
      </c>
      <c r="J4" s="45">
        <v>2019</v>
      </c>
      <c r="K4" s="45">
        <v>2020</v>
      </c>
    </row>
    <row r="5" spans="1:11" x14ac:dyDescent="0.3">
      <c r="A5" t="s">
        <v>251</v>
      </c>
      <c r="B5" s="35">
        <f>NPV!C20</f>
        <v>-13020372.192279808</v>
      </c>
      <c r="C5" s="35">
        <f>NPV!D20</f>
        <v>1469206.7663956864</v>
      </c>
      <c r="D5" s="35">
        <f>NPV!E20</f>
        <v>1532801.8399178935</v>
      </c>
      <c r="E5" s="35">
        <f>NPV!F20</f>
        <v>1553018.7390622194</v>
      </c>
      <c r="F5" s="35">
        <f>NPV!G20</f>
        <v>1572989.8308576462</v>
      </c>
      <c r="G5" s="35">
        <f>NPV!H20</f>
        <v>1592790.9242159943</v>
      </c>
      <c r="H5" s="35">
        <f>NPV!I20</f>
        <v>1612484.9165091647</v>
      </c>
      <c r="I5" s="35">
        <f>NPV!J20</f>
        <v>1632124.0160507157</v>
      </c>
      <c r="J5" s="35">
        <f>NPV!K20</f>
        <v>1651751.5809796844</v>
      </c>
      <c r="K5" s="35">
        <f>NPV!L20</f>
        <v>2095193.8756827849</v>
      </c>
    </row>
    <row r="6" spans="1:11" x14ac:dyDescent="0.3">
      <c r="A6" t="s">
        <v>303</v>
      </c>
      <c r="C6" t="b">
        <f>(C5+C17)&lt;0</f>
        <v>0</v>
      </c>
      <c r="D6" t="b">
        <f t="shared" ref="D6:K6" si="0">(D5+D17)&lt;0</f>
        <v>0</v>
      </c>
      <c r="E6" t="b">
        <f t="shared" si="0"/>
        <v>0</v>
      </c>
      <c r="F6" t="b">
        <f t="shared" si="0"/>
        <v>0</v>
      </c>
      <c r="G6" t="b">
        <f t="shared" si="0"/>
        <v>0</v>
      </c>
      <c r="H6" t="b">
        <f t="shared" si="0"/>
        <v>0</v>
      </c>
      <c r="I6" t="b">
        <f t="shared" si="0"/>
        <v>0</v>
      </c>
      <c r="J6" t="b">
        <f t="shared" si="0"/>
        <v>0</v>
      </c>
      <c r="K6" t="b">
        <f t="shared" si="0"/>
        <v>0</v>
      </c>
    </row>
    <row r="7" spans="1:11" x14ac:dyDescent="0.3">
      <c r="A7" t="s">
        <v>310</v>
      </c>
      <c r="B7" t="b">
        <f>TRUE</f>
        <v>1</v>
      </c>
      <c r="C7" t="b">
        <f>TRUE</f>
        <v>1</v>
      </c>
      <c r="D7" t="b">
        <f>NOT(OR($C$6:C6))</f>
        <v>1</v>
      </c>
      <c r="E7" t="b">
        <f>NOT(OR($C$6:D6))</f>
        <v>1</v>
      </c>
      <c r="F7" t="b">
        <f>NOT(OR($C$6:E6))</f>
        <v>1</v>
      </c>
      <c r="G7" t="b">
        <f>NOT(OR($C$6:F6))</f>
        <v>1</v>
      </c>
      <c r="H7" t="b">
        <f>NOT(OR($C$6:G6))</f>
        <v>1</v>
      </c>
      <c r="I7" t="b">
        <f>NOT(OR($C$6:H6))</f>
        <v>1</v>
      </c>
      <c r="J7" t="b">
        <f>NOT(OR($C$6:I6))</f>
        <v>1</v>
      </c>
      <c r="K7" t="b">
        <f>NOT(OR($C$6:J6))</f>
        <v>1</v>
      </c>
    </row>
    <row r="8" spans="1:11" x14ac:dyDescent="0.3">
      <c r="A8" t="s">
        <v>311</v>
      </c>
      <c r="C8" t="b">
        <f t="shared" ref="C8:E8" si="1">AND(NOT(B6),C6)</f>
        <v>0</v>
      </c>
      <c r="D8" t="b">
        <f t="shared" si="1"/>
        <v>0</v>
      </c>
      <c r="E8" t="b">
        <f t="shared" si="1"/>
        <v>0</v>
      </c>
      <c r="F8" t="b">
        <f>AND(NOT(E6),F6)</f>
        <v>0</v>
      </c>
      <c r="G8" t="b">
        <f t="shared" ref="G8:K8" si="2">AND(NOT(F6),G6)</f>
        <v>0</v>
      </c>
      <c r="H8" t="b">
        <f t="shared" si="2"/>
        <v>0</v>
      </c>
      <c r="I8" t="b">
        <f t="shared" si="2"/>
        <v>0</v>
      </c>
      <c r="J8" t="b">
        <f t="shared" si="2"/>
        <v>0</v>
      </c>
      <c r="K8" t="b">
        <f t="shared" si="2"/>
        <v>0</v>
      </c>
    </row>
    <row r="9" spans="1:11" x14ac:dyDescent="0.3">
      <c r="A9" s="54" t="s">
        <v>305</v>
      </c>
      <c r="B9" s="1">
        <f>IF(NOT(B7),-B5,0)</f>
        <v>0</v>
      </c>
      <c r="C9" s="1">
        <f t="shared" ref="C9:K9" si="3">IF(NOT(C7),-C5,0)</f>
        <v>0</v>
      </c>
      <c r="D9" s="1">
        <f t="shared" si="3"/>
        <v>0</v>
      </c>
      <c r="E9" s="1">
        <f t="shared" si="3"/>
        <v>0</v>
      </c>
      <c r="F9" s="1">
        <f t="shared" si="3"/>
        <v>0</v>
      </c>
      <c r="G9" s="1">
        <f t="shared" si="3"/>
        <v>0</v>
      </c>
      <c r="H9" s="1">
        <f t="shared" si="3"/>
        <v>0</v>
      </c>
      <c r="I9" s="1">
        <f t="shared" si="3"/>
        <v>0</v>
      </c>
      <c r="J9" s="1">
        <f t="shared" si="3"/>
        <v>0</v>
      </c>
      <c r="K9" s="1">
        <f t="shared" si="3"/>
        <v>0</v>
      </c>
    </row>
    <row r="10" spans="1:11" x14ac:dyDescent="0.3">
      <c r="A10" s="54" t="s">
        <v>306</v>
      </c>
      <c r="B10" s="35">
        <v>0</v>
      </c>
      <c r="C10" s="35">
        <v>0</v>
      </c>
      <c r="D10" s="35">
        <v>0</v>
      </c>
      <c r="E10" s="35">
        <v>0</v>
      </c>
      <c r="F10" s="35">
        <v>0</v>
      </c>
      <c r="G10" s="35">
        <v>0</v>
      </c>
      <c r="H10" s="35">
        <v>0</v>
      </c>
      <c r="I10" s="35">
        <v>0</v>
      </c>
      <c r="J10" s="35">
        <v>0</v>
      </c>
      <c r="K10" s="35">
        <v>0</v>
      </c>
    </row>
    <row r="11" spans="1:11" x14ac:dyDescent="0.3">
      <c r="A11" s="54" t="s">
        <v>307</v>
      </c>
      <c r="B11" s="1">
        <f>IF(B8,Assumptions!$B$28/365*'Early Liquidation'!B21*B26*0.5,0)</f>
        <v>0</v>
      </c>
      <c r="C11" s="1">
        <f>IF(C8,Assumptions!$B$28/365*'Early Liquidation'!C21*C26*0.5,0)</f>
        <v>0</v>
      </c>
      <c r="D11" s="1">
        <f>IF(D8,Assumptions!$B$28/365*'Early Liquidation'!D21*D26*0.5,0)</f>
        <v>0</v>
      </c>
      <c r="E11" s="1">
        <f>IF(E8,Assumptions!$B$28/365*'Early Liquidation'!E21*E26*0.5,0)</f>
        <v>0</v>
      </c>
      <c r="F11" s="1">
        <f>IF(F8,Assumptions!$B$28/365*'Early Liquidation'!F21*F26*0.5,0)</f>
        <v>0</v>
      </c>
      <c r="G11" s="1">
        <f>IF(G8,Assumptions!$B$28/365*'Early Liquidation'!G21*G26*0.5,0)</f>
        <v>0</v>
      </c>
      <c r="H11" s="1">
        <f>IF(H8,Assumptions!$B$28/365*'Early Liquidation'!H21*H26*0.5,0)</f>
        <v>0</v>
      </c>
      <c r="I11" s="1">
        <f>IF(I8,Assumptions!$B$28/365*'Early Liquidation'!I21*I26*0.5,0)</f>
        <v>0</v>
      </c>
      <c r="J11" s="1">
        <f>IF(J8,Assumptions!$B$28/365*'Early Liquidation'!J21*J26*0.5,0)</f>
        <v>0</v>
      </c>
      <c r="K11" s="1">
        <f>IF(K8,Assumptions!$B$28/365*'Early Liquidation'!K21*K26*0.5,0)</f>
        <v>0</v>
      </c>
    </row>
    <row r="12" spans="1:11" x14ac:dyDescent="0.3">
      <c r="A12" s="54" t="s">
        <v>308</v>
      </c>
      <c r="B12" s="35">
        <f t="shared" ref="B12:K12" si="4">IF(B8,B27,0)</f>
        <v>0</v>
      </c>
      <c r="C12" s="35">
        <f t="shared" si="4"/>
        <v>0</v>
      </c>
      <c r="D12" s="35">
        <f t="shared" si="4"/>
        <v>0</v>
      </c>
      <c r="E12" s="35">
        <f t="shared" si="4"/>
        <v>0</v>
      </c>
      <c r="F12" s="35">
        <f t="shared" si="4"/>
        <v>0</v>
      </c>
      <c r="G12" s="35">
        <f t="shared" si="4"/>
        <v>0</v>
      </c>
      <c r="H12" s="35">
        <f t="shared" si="4"/>
        <v>0</v>
      </c>
      <c r="I12" s="35">
        <f t="shared" si="4"/>
        <v>0</v>
      </c>
      <c r="J12" s="35">
        <f t="shared" si="4"/>
        <v>0</v>
      </c>
      <c r="K12" s="35">
        <f t="shared" si="4"/>
        <v>0</v>
      </c>
    </row>
    <row r="13" spans="1:11" x14ac:dyDescent="0.3">
      <c r="A13" s="54" t="s">
        <v>250</v>
      </c>
      <c r="B13" s="35">
        <f t="shared" ref="B13:K13" si="5">IF(B8,B28,0)</f>
        <v>0</v>
      </c>
      <c r="C13" s="35">
        <f t="shared" si="5"/>
        <v>0</v>
      </c>
      <c r="D13" s="35">
        <f t="shared" si="5"/>
        <v>0</v>
      </c>
      <c r="E13" s="35">
        <f t="shared" si="5"/>
        <v>0</v>
      </c>
      <c r="F13" s="35">
        <f t="shared" si="5"/>
        <v>0</v>
      </c>
      <c r="G13" s="35">
        <f t="shared" si="5"/>
        <v>0</v>
      </c>
      <c r="H13" s="35">
        <f t="shared" si="5"/>
        <v>0</v>
      </c>
      <c r="I13" s="35">
        <f t="shared" si="5"/>
        <v>0</v>
      </c>
      <c r="J13" s="35">
        <f t="shared" si="5"/>
        <v>0</v>
      </c>
      <c r="K13" s="35">
        <f t="shared" si="5"/>
        <v>0</v>
      </c>
    </row>
    <row r="14" spans="1:11" x14ac:dyDescent="0.3">
      <c r="A14" s="54" t="s">
        <v>309</v>
      </c>
      <c r="B14" s="35">
        <f t="shared" ref="B14:K14" si="6">IF(B8,-B29,0)</f>
        <v>0</v>
      </c>
      <c r="C14" s="35">
        <f t="shared" si="6"/>
        <v>0</v>
      </c>
      <c r="D14" s="35">
        <f t="shared" si="6"/>
        <v>0</v>
      </c>
      <c r="E14" s="35">
        <f t="shared" si="6"/>
        <v>0</v>
      </c>
      <c r="F14" s="35">
        <f t="shared" si="6"/>
        <v>0</v>
      </c>
      <c r="G14" s="35">
        <f t="shared" si="6"/>
        <v>0</v>
      </c>
      <c r="H14" s="35">
        <f t="shared" si="6"/>
        <v>0</v>
      </c>
      <c r="I14" s="35">
        <f t="shared" si="6"/>
        <v>0</v>
      </c>
      <c r="J14" s="35">
        <f t="shared" si="6"/>
        <v>0</v>
      </c>
      <c r="K14" s="35">
        <f t="shared" si="6"/>
        <v>0</v>
      </c>
    </row>
    <row r="15" spans="1:11" x14ac:dyDescent="0.3">
      <c r="A15" s="54" t="s">
        <v>377</v>
      </c>
      <c r="B15" s="35">
        <f>SUM(B10:B14)</f>
        <v>0</v>
      </c>
      <c r="C15" s="35">
        <f>SUM(C10:C14)*0.8</f>
        <v>0</v>
      </c>
      <c r="D15" s="35">
        <f t="shared" ref="D15:J15" si="7">SUM(D10:D14)*0.8</f>
        <v>0</v>
      </c>
      <c r="E15" s="35">
        <f t="shared" si="7"/>
        <v>0</v>
      </c>
      <c r="F15" s="35">
        <f t="shared" si="7"/>
        <v>0</v>
      </c>
      <c r="G15" s="35">
        <f t="shared" si="7"/>
        <v>0</v>
      </c>
      <c r="H15" s="35">
        <f t="shared" si="7"/>
        <v>0</v>
      </c>
      <c r="I15" s="35">
        <f t="shared" si="7"/>
        <v>0</v>
      </c>
      <c r="J15" s="35">
        <f t="shared" si="7"/>
        <v>0</v>
      </c>
      <c r="K15" s="35">
        <f t="shared" ref="K15" si="8">SUM(K10:K14)</f>
        <v>0</v>
      </c>
    </row>
    <row r="16" spans="1:11" x14ac:dyDescent="0.3">
      <c r="A16" t="s">
        <v>360</v>
      </c>
      <c r="B16" s="101">
        <f>$B$2</f>
        <v>5999999</v>
      </c>
      <c r="C16" s="35"/>
      <c r="D16" s="35"/>
      <c r="E16" s="35"/>
      <c r="F16" s="35"/>
      <c r="G16" s="35"/>
      <c r="H16" s="35"/>
      <c r="I16" s="35"/>
      <c r="J16" s="35"/>
      <c r="K16" s="35"/>
    </row>
    <row r="17" spans="1:11" x14ac:dyDescent="0.3">
      <c r="A17" t="s">
        <v>361</v>
      </c>
      <c r="C17" s="80">
        <f>IF(C7,PMT($E$1,9,$B$16))</f>
        <v>-825446.6825066834</v>
      </c>
      <c r="D17" s="80">
        <f>IF(D7,PMT($E$1,9,$B$16))</f>
        <v>-825446.6825066834</v>
      </c>
      <c r="E17" s="80">
        <f t="shared" ref="E17:K17" si="9">IF(E7,PMT($E$1,9,$B$16))</f>
        <v>-825446.6825066834</v>
      </c>
      <c r="F17" s="80">
        <f t="shared" si="9"/>
        <v>-825446.6825066834</v>
      </c>
      <c r="G17" s="80">
        <f t="shared" si="9"/>
        <v>-825446.6825066834</v>
      </c>
      <c r="H17" s="80">
        <f t="shared" si="9"/>
        <v>-825446.6825066834</v>
      </c>
      <c r="I17" s="80">
        <f t="shared" si="9"/>
        <v>-825446.6825066834</v>
      </c>
      <c r="J17" s="80">
        <f t="shared" si="9"/>
        <v>-825446.6825066834</v>
      </c>
      <c r="K17" s="80">
        <f t="shared" si="9"/>
        <v>-825446.6825066834</v>
      </c>
    </row>
    <row r="18" spans="1:11" x14ac:dyDescent="0.3">
      <c r="A18" s="54" t="s">
        <v>362</v>
      </c>
      <c r="C18" s="80">
        <f>IF(C7,-C37*Assumptions!$B$22)</f>
        <v>80999.986499999999</v>
      </c>
      <c r="D18" s="80">
        <f>IF(D7,-D37*Assumptions!$B$22)</f>
        <v>73501.455678659797</v>
      </c>
      <c r="E18" s="80">
        <f>IF(E7,-E37*Assumptions!$B$22)</f>
        <v>65665.490970359242</v>
      </c>
      <c r="F18" s="80">
        <f>IF(F7,-F37*Assumptions!$B$22)</f>
        <v>57476.907850185176</v>
      </c>
      <c r="G18" s="80">
        <f>IF(G7,-G37*Assumptions!$B$22)</f>
        <v>48919.838489603309</v>
      </c>
      <c r="H18" s="80">
        <f>IF(H7,-H37*Assumptions!$B$22)</f>
        <v>39977.701007795222</v>
      </c>
      <c r="I18" s="80">
        <f>IF(I7,-I37*Assumptions!$B$22)</f>
        <v>30633.167339305772</v>
      </c>
      <c r="J18" s="80">
        <f>IF(J7,-J37*Assumptions!$B$22)</f>
        <v>20868.129655734312</v>
      </c>
      <c r="K18" s="80">
        <f>IF(K7,-K37*Assumptions!$B$22)</f>
        <v>10663.665276402131</v>
      </c>
    </row>
    <row r="19" spans="1:11" x14ac:dyDescent="0.3">
      <c r="A19" s="54" t="s">
        <v>363</v>
      </c>
      <c r="C19" s="1">
        <f t="shared" ref="C19:K19" si="10">IF(C8,C39,0)</f>
        <v>0</v>
      </c>
      <c r="D19" s="1">
        <f t="shared" si="10"/>
        <v>0</v>
      </c>
      <c r="E19" s="1">
        <f t="shared" si="10"/>
        <v>0</v>
      </c>
      <c r="F19" s="1">
        <f t="shared" si="10"/>
        <v>0</v>
      </c>
      <c r="G19" s="1">
        <f t="shared" si="10"/>
        <v>0</v>
      </c>
      <c r="H19" s="1">
        <f t="shared" si="10"/>
        <v>0</v>
      </c>
      <c r="I19" s="1">
        <f t="shared" si="10"/>
        <v>0</v>
      </c>
      <c r="J19" s="1">
        <f t="shared" si="10"/>
        <v>0</v>
      </c>
      <c r="K19" s="1">
        <f t="shared" si="10"/>
        <v>0</v>
      </c>
    </row>
    <row r="20" spans="1:11" x14ac:dyDescent="0.3">
      <c r="A20" s="54" t="s">
        <v>304</v>
      </c>
      <c r="B20" s="1">
        <f>SUM(B9:B17,B5)</f>
        <v>-7020373.1922798082</v>
      </c>
      <c r="C20" s="1">
        <f>SUM(C9:C17,C5,C19)</f>
        <v>643760.08388900303</v>
      </c>
      <c r="D20" s="1">
        <f t="shared" ref="D20:K20" si="11">SUM(D9:D17,D5,D19)</f>
        <v>707355.15741121012</v>
      </c>
      <c r="E20" s="1">
        <f t="shared" si="11"/>
        <v>727572.05655553599</v>
      </c>
      <c r="F20" s="1">
        <f t="shared" si="11"/>
        <v>747543.14835096279</v>
      </c>
      <c r="G20" s="1">
        <f t="shared" si="11"/>
        <v>767344.24170931091</v>
      </c>
      <c r="H20" s="1">
        <f t="shared" si="11"/>
        <v>787038.23400248133</v>
      </c>
      <c r="I20" s="1">
        <f t="shared" si="11"/>
        <v>806677.3335440323</v>
      </c>
      <c r="J20" s="1">
        <f t="shared" si="11"/>
        <v>826304.89847300097</v>
      </c>
      <c r="K20" s="1">
        <f t="shared" si="11"/>
        <v>1269747.1931761014</v>
      </c>
    </row>
    <row r="21" spans="1:11" x14ac:dyDescent="0.3">
      <c r="A21" s="54" t="s">
        <v>300</v>
      </c>
      <c r="B21" s="65">
        <f ca="1">ICC!B25</f>
        <v>5.7533897346055622E-2</v>
      </c>
      <c r="E21" s="1"/>
      <c r="F21" s="1"/>
      <c r="G21" s="1"/>
      <c r="H21" s="1"/>
      <c r="I21" s="1"/>
      <c r="J21" s="1"/>
      <c r="K21" s="1"/>
    </row>
    <row r="22" spans="1:11" x14ac:dyDescent="0.3">
      <c r="A22" s="54" t="s">
        <v>378</v>
      </c>
      <c r="B22" s="65">
        <f>0.2%</f>
        <v>2E-3</v>
      </c>
      <c r="E22" s="1"/>
      <c r="F22" s="1"/>
      <c r="G22" s="1"/>
      <c r="H22" s="1"/>
      <c r="I22" s="1"/>
      <c r="J22" s="1"/>
      <c r="K22" s="1"/>
    </row>
    <row r="23" spans="1:11" x14ac:dyDescent="0.3">
      <c r="A23" s="54" t="s">
        <v>295</v>
      </c>
      <c r="B23" s="65">
        <f>E1-B22</f>
        <v>4.2999999999999997E-2</v>
      </c>
      <c r="E23" s="1"/>
      <c r="F23" s="1"/>
      <c r="G23" s="1"/>
      <c r="H23" s="1"/>
      <c r="I23" s="1"/>
      <c r="J23" s="1"/>
      <c r="K23" s="1"/>
    </row>
    <row r="24" spans="1:11" x14ac:dyDescent="0.3">
      <c r="A24" s="54" t="s">
        <v>379</v>
      </c>
      <c r="B24" s="35">
        <f ca="1">NPV(B21,C20:K20)+B20</f>
        <v>-1582585.7268225336</v>
      </c>
      <c r="E24" s="1"/>
      <c r="F24" s="1"/>
      <c r="G24" s="1"/>
      <c r="H24" s="1"/>
      <c r="I24" s="1"/>
      <c r="J24" s="1"/>
      <c r="K24" s="1"/>
    </row>
    <row r="25" spans="1:11" x14ac:dyDescent="0.3">
      <c r="A25" s="54" t="s">
        <v>380</v>
      </c>
      <c r="B25" s="80">
        <f>NPV(B23,C18:K18)</f>
        <v>367371.6232765087</v>
      </c>
      <c r="E25" s="1"/>
      <c r="F25" s="1"/>
      <c r="G25" s="1"/>
      <c r="H25" s="1"/>
      <c r="I25" s="1"/>
      <c r="J25" s="1"/>
      <c r="K25" s="1"/>
    </row>
    <row r="26" spans="1:11" x14ac:dyDescent="0.3">
      <c r="A26" s="54" t="s">
        <v>254</v>
      </c>
      <c r="B26" s="79">
        <f ca="1">SUM(B24:B25)</f>
        <v>-1215214.103546025</v>
      </c>
      <c r="C26" t="s">
        <v>364</v>
      </c>
      <c r="D26" s="80">
        <v>-1215214.103546025</v>
      </c>
      <c r="E26" t="b">
        <f ca="1">B26&gt;D26</f>
        <v>0</v>
      </c>
    </row>
    <row r="30" spans="1:11" x14ac:dyDescent="0.3">
      <c r="A30" t="s">
        <v>133</v>
      </c>
      <c r="B30" s="1">
        <f>'Early Liquidation'!B20</f>
        <v>250</v>
      </c>
      <c r="C30" s="1">
        <f>'Early Liquidation'!C20</f>
        <v>250</v>
      </c>
      <c r="D30" s="1">
        <f>'Early Liquidation'!D20</f>
        <v>250</v>
      </c>
      <c r="E30" s="1">
        <f>'Early Liquidation'!E20</f>
        <v>250</v>
      </c>
      <c r="F30" s="1">
        <f>'Early Liquidation'!F20</f>
        <v>250</v>
      </c>
      <c r="G30" s="1">
        <f>'Early Liquidation'!G20</f>
        <v>250</v>
      </c>
      <c r="H30" s="1">
        <f>'Early Liquidation'!H20</f>
        <v>250</v>
      </c>
      <c r="I30" s="1">
        <f>'Early Liquidation'!I20</f>
        <v>250</v>
      </c>
      <c r="J30" s="1">
        <f>'Early Liquidation'!J20</f>
        <v>250</v>
      </c>
      <c r="K30" s="1">
        <f>'Early Liquidation'!K20</f>
        <v>250</v>
      </c>
    </row>
    <row r="31" spans="1:11" x14ac:dyDescent="0.3">
      <c r="A31" t="s">
        <v>312</v>
      </c>
      <c r="B31" s="1">
        <f>'Early Liquidation'!B21</f>
        <v>15186.84288</v>
      </c>
      <c r="C31" s="1">
        <f>'Early Liquidation'!C21</f>
        <v>15429.83236608</v>
      </c>
      <c r="D31" s="1">
        <f>'Early Liquidation'!D21</f>
        <v>15676.709683937281</v>
      </c>
      <c r="E31" s="1">
        <f>'Early Liquidation'!E21</f>
        <v>15927.537038880277</v>
      </c>
      <c r="F31" s="1">
        <f>'Early Liquidation'!F21</f>
        <v>16182.377631502361</v>
      </c>
      <c r="G31" s="1">
        <f>'Early Liquidation'!G21</f>
        <v>16441.295673606397</v>
      </c>
      <c r="H31" s="1">
        <f>'Early Liquidation'!H21</f>
        <v>16704.3564043841</v>
      </c>
      <c r="I31" s="1">
        <f>'Early Liquidation'!I21</f>
        <v>16971.626106854244</v>
      </c>
      <c r="J31" s="1">
        <f>'Early Liquidation'!J21</f>
        <v>17243.172124563913</v>
      </c>
      <c r="K31" s="1">
        <f>'Early Liquidation'!K21</f>
        <v>17519.062878556935</v>
      </c>
    </row>
    <row r="32" spans="1:11" x14ac:dyDescent="0.3">
      <c r="A32" t="s">
        <v>71</v>
      </c>
      <c r="B32" s="1">
        <f>'Early Liquidation'!B22</f>
        <v>52009.735890410957</v>
      </c>
      <c r="C32" s="1">
        <f>'Early Liquidation'!C22</f>
        <v>52841.891664657531</v>
      </c>
      <c r="D32" s="1">
        <f>'Early Liquidation'!D22</f>
        <v>53687.361931292056</v>
      </c>
      <c r="E32" s="1">
        <f>'Early Liquidation'!E22</f>
        <v>54546.359722192727</v>
      </c>
      <c r="F32" s="1">
        <f>'Early Liquidation'!F22</f>
        <v>55419.101477747805</v>
      </c>
      <c r="G32" s="1">
        <f>'Early Liquidation'!G22</f>
        <v>56305.807101391772</v>
      </c>
      <c r="H32" s="1">
        <f>'Early Liquidation'!H22</f>
        <v>57206.700015014037</v>
      </c>
      <c r="I32" s="1">
        <f>'Early Liquidation'!I22</f>
        <v>58122.007215254263</v>
      </c>
      <c r="J32" s="1">
        <f>'Early Liquidation'!J22</f>
        <v>59051.95933069833</v>
      </c>
      <c r="K32" s="1">
        <f>'Early Liquidation'!K22</f>
        <v>59996.790679989506</v>
      </c>
    </row>
    <row r="33" spans="1:11" x14ac:dyDescent="0.3">
      <c r="A33" t="s">
        <v>314</v>
      </c>
      <c r="B33" s="1">
        <f>'Early Liquidation'!B23</f>
        <v>2765321.2197309416</v>
      </c>
      <c r="C33" s="1">
        <f>'Early Liquidation'!C23</f>
        <v>2469174.4175386149</v>
      </c>
      <c r="D33" s="1">
        <f>'Early Liquidation'!D23</f>
        <v>2173027.6153462883</v>
      </c>
      <c r="E33" s="1">
        <f>'Early Liquidation'!E23</f>
        <v>1876880.8131539614</v>
      </c>
      <c r="F33" s="1">
        <f>'Early Liquidation'!F23</f>
        <v>1580734.0109616346</v>
      </c>
      <c r="G33" s="1">
        <f>'Early Liquidation'!G23</f>
        <v>1284587.2087693077</v>
      </c>
      <c r="H33" s="1">
        <f>'Early Liquidation'!H23</f>
        <v>988440.40657698072</v>
      </c>
      <c r="I33" s="1">
        <f>'Early Liquidation'!I23</f>
        <v>692293.60438465374</v>
      </c>
      <c r="J33" s="1">
        <f>'Early Liquidation'!J23</f>
        <v>396146.80219232687</v>
      </c>
      <c r="K33" s="1">
        <f>'Early Liquidation'!K23</f>
        <v>100000</v>
      </c>
    </row>
    <row r="34" spans="1:11" x14ac:dyDescent="0.3">
      <c r="A34" t="s">
        <v>76</v>
      </c>
      <c r="B34" s="1">
        <f>'Early Liquidation'!B24</f>
        <v>18614.726027397257</v>
      </c>
      <c r="C34" s="1">
        <f>'Early Liquidation'!C24</f>
        <v>11770.30657615284</v>
      </c>
      <c r="D34" s="1">
        <f>'Early Liquidation'!D24</f>
        <v>11637.4300166297</v>
      </c>
      <c r="E34" s="1">
        <f>'Early Liquidation'!E24</f>
        <v>11527.474438104648</v>
      </c>
      <c r="F34" s="1">
        <f>'Early Liquidation'!F24</f>
        <v>11436.486010257269</v>
      </c>
      <c r="G34" s="1">
        <f>'Early Liquidation'!G24</f>
        <v>11361.192931786938</v>
      </c>
      <c r="H34" s="1">
        <f>'Early Liquidation'!H24</f>
        <v>11298.887781564445</v>
      </c>
      <c r="I34" s="1">
        <f>'Early Liquidation'!I24</f>
        <v>11247.330164010302</v>
      </c>
      <c r="J34" s="1">
        <f>'Early Liquidation'!J24</f>
        <v>11204.666147980055</v>
      </c>
      <c r="K34" s="1">
        <f>'Early Liquidation'!K24</f>
        <v>11169.361602305156</v>
      </c>
    </row>
    <row r="36" spans="1:11" x14ac:dyDescent="0.3">
      <c r="A36" t="s">
        <v>365</v>
      </c>
      <c r="C36" s="102">
        <v>1</v>
      </c>
      <c r="D36">
        <v>2</v>
      </c>
      <c r="E36" s="102">
        <v>3</v>
      </c>
      <c r="F36">
        <v>4</v>
      </c>
      <c r="G36" s="102">
        <v>5</v>
      </c>
      <c r="H36">
        <v>6</v>
      </c>
      <c r="I36" s="102">
        <v>7</v>
      </c>
      <c r="J36">
        <v>8</v>
      </c>
      <c r="K36" s="102">
        <v>9</v>
      </c>
    </row>
    <row r="37" spans="1:11" x14ac:dyDescent="0.3">
      <c r="A37" t="s">
        <v>366</v>
      </c>
      <c r="C37" s="80">
        <f t="shared" ref="C37:K37" si="12">IPMT($E$1,C36,9,$B$16)</f>
        <v>-269999.95500000002</v>
      </c>
      <c r="D37" s="80">
        <f t="shared" si="12"/>
        <v>-245004.85226219933</v>
      </c>
      <c r="E37" s="80">
        <f t="shared" si="12"/>
        <v>-218884.9699011975</v>
      </c>
      <c r="F37" s="80">
        <f t="shared" si="12"/>
        <v>-191589.6928339506</v>
      </c>
      <c r="G37" s="80">
        <f t="shared" si="12"/>
        <v>-163066.12829867771</v>
      </c>
      <c r="H37" s="80">
        <f t="shared" si="12"/>
        <v>-133259.0033593174</v>
      </c>
      <c r="I37" s="80">
        <f t="shared" si="12"/>
        <v>-102110.55779768591</v>
      </c>
      <c r="J37" s="80">
        <f t="shared" si="12"/>
        <v>-69560.432185781043</v>
      </c>
      <c r="K37" s="80">
        <f t="shared" si="12"/>
        <v>-35545.550921340437</v>
      </c>
    </row>
    <row r="38" spans="1:11" x14ac:dyDescent="0.3">
      <c r="A38" t="s">
        <v>367</v>
      </c>
      <c r="C38" s="80">
        <f t="shared" ref="C38:K38" si="13">PPMT($E$1,C36,9,$B$16)</f>
        <v>-555446.72750668344</v>
      </c>
      <c r="D38" s="80">
        <f t="shared" si="13"/>
        <v>-580441.83024448412</v>
      </c>
      <c r="E38" s="80">
        <f t="shared" si="13"/>
        <v>-606561.71260548581</v>
      </c>
      <c r="F38" s="80">
        <f t="shared" si="13"/>
        <v>-633856.98967273277</v>
      </c>
      <c r="G38" s="80">
        <f t="shared" si="13"/>
        <v>-662380.55420800578</v>
      </c>
      <c r="H38" s="80">
        <f t="shared" si="13"/>
        <v>-692187.67914736597</v>
      </c>
      <c r="I38" s="80">
        <f t="shared" si="13"/>
        <v>-723336.12470899743</v>
      </c>
      <c r="J38" s="80">
        <f t="shared" si="13"/>
        <v>-755886.25032090233</v>
      </c>
      <c r="K38" s="80">
        <f t="shared" si="13"/>
        <v>-789901.13158534293</v>
      </c>
    </row>
    <row r="39" spans="1:11" x14ac:dyDescent="0.3">
      <c r="A39" t="s">
        <v>368</v>
      </c>
      <c r="B39" s="80">
        <f t="shared" ref="B39:K39" si="14">SUM(C38:K38)</f>
        <v>-5999999</v>
      </c>
      <c r="C39" s="80">
        <f t="shared" si="14"/>
        <v>-5444552.2724933168</v>
      </c>
      <c r="D39" s="80">
        <f t="shared" si="14"/>
        <v>-4864110.4422488334</v>
      </c>
      <c r="E39" s="80">
        <f t="shared" si="14"/>
        <v>-4257548.7296433467</v>
      </c>
      <c r="F39" s="80">
        <f t="shared" si="14"/>
        <v>-3623691.7399706142</v>
      </c>
      <c r="G39" s="80">
        <f t="shared" si="14"/>
        <v>-2961311.1857626084</v>
      </c>
      <c r="H39" s="80">
        <f t="shared" si="14"/>
        <v>-2269123.5066152425</v>
      </c>
      <c r="I39" s="80">
        <f t="shared" si="14"/>
        <v>-1545787.3819062454</v>
      </c>
      <c r="J39" s="80">
        <f t="shared" si="14"/>
        <v>-789901.13158534293</v>
      </c>
      <c r="K39" s="80">
        <f t="shared" si="14"/>
        <v>0</v>
      </c>
    </row>
    <row r="46" spans="1:11" ht="15" thickBot="1" x14ac:dyDescent="0.35">
      <c r="A46" s="16" t="s">
        <v>358</v>
      </c>
      <c r="B46" s="16" t="s">
        <v>369</v>
      </c>
      <c r="C46" s="16" t="s">
        <v>370</v>
      </c>
    </row>
    <row r="47" spans="1:11" ht="15" thickBot="1" x14ac:dyDescent="0.35">
      <c r="A47" s="103" t="s">
        <v>371</v>
      </c>
      <c r="B47" s="104">
        <v>0</v>
      </c>
      <c r="C47" s="105">
        <v>3.7499999999999999E-2</v>
      </c>
    </row>
    <row r="48" spans="1:11" ht="15" thickBot="1" x14ac:dyDescent="0.35">
      <c r="A48" s="106" t="s">
        <v>372</v>
      </c>
      <c r="B48" s="104">
        <v>1000000</v>
      </c>
      <c r="C48" s="107">
        <v>3.875E-2</v>
      </c>
    </row>
    <row r="49" spans="1:3" ht="15" thickBot="1" x14ac:dyDescent="0.35">
      <c r="A49" s="106" t="s">
        <v>373</v>
      </c>
      <c r="B49" s="104">
        <v>2000000</v>
      </c>
      <c r="C49" s="107">
        <v>0.04</v>
      </c>
    </row>
    <row r="50" spans="1:3" ht="15" thickBot="1" x14ac:dyDescent="0.35">
      <c r="A50" s="106" t="s">
        <v>374</v>
      </c>
      <c r="B50" s="104">
        <v>5000000</v>
      </c>
      <c r="C50" s="107">
        <v>4.4999999999999998E-2</v>
      </c>
    </row>
    <row r="51" spans="1:3" ht="15" thickBot="1" x14ac:dyDescent="0.35">
      <c r="A51" s="106" t="s">
        <v>375</v>
      </c>
      <c r="B51" s="104">
        <v>6000000</v>
      </c>
      <c r="C51" s="107">
        <v>0.05</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8"/>
  <sheetViews>
    <sheetView showGridLines="0" showRowColHeaders="0" topLeftCell="A154" workbookViewId="0">
      <selection activeCell="E170" sqref="E170"/>
    </sheetView>
  </sheetViews>
  <sheetFormatPr defaultRowHeight="12.6" x14ac:dyDescent="0.25"/>
  <cols>
    <col min="1" max="1" width="2" style="110" customWidth="1"/>
    <col min="2" max="2" width="1.88671875" style="110" customWidth="1"/>
    <col min="3" max="3" width="12.109375" style="110" customWidth="1"/>
    <col min="4" max="4" width="12.33203125" style="110" customWidth="1"/>
    <col min="5" max="5" width="18.33203125" style="110" customWidth="1"/>
    <col min="6" max="6" width="1.6640625" style="112" customWidth="1"/>
    <col min="7" max="7" width="5.33203125" style="110" customWidth="1"/>
    <col min="8" max="8" width="15.6640625" style="110" customWidth="1"/>
    <col min="9" max="9" width="11.109375" style="110" customWidth="1"/>
    <col min="10" max="10" width="2.6640625" style="111" customWidth="1"/>
    <col min="11" max="11" width="80.6640625" style="110" customWidth="1"/>
    <col min="12" max="16384" width="8.88671875" style="110"/>
  </cols>
  <sheetData>
    <row r="1" spans="2:6" x14ac:dyDescent="0.25">
      <c r="E1" s="124"/>
      <c r="F1" s="117" t="s">
        <v>392</v>
      </c>
    </row>
    <row r="2" spans="2:6" x14ac:dyDescent="0.25">
      <c r="F2" s="112" t="s">
        <v>473</v>
      </c>
    </row>
    <row r="3" spans="2:6" x14ac:dyDescent="0.25">
      <c r="F3" s="112" t="s">
        <v>472</v>
      </c>
    </row>
    <row r="5" spans="2:6" x14ac:dyDescent="0.25">
      <c r="B5" s="110" t="s">
        <v>395</v>
      </c>
    </row>
    <row r="6" spans="2:6" x14ac:dyDescent="0.25">
      <c r="C6" s="110" t="s">
        <v>396</v>
      </c>
      <c r="E6" s="121">
        <v>1000</v>
      </c>
    </row>
    <row r="7" spans="2:6" x14ac:dyDescent="0.25">
      <c r="C7" s="110" t="s">
        <v>397</v>
      </c>
    </row>
    <row r="8" spans="2:6" x14ac:dyDescent="0.25">
      <c r="C8" s="110" t="s">
        <v>398</v>
      </c>
    </row>
    <row r="9" spans="2:6" x14ac:dyDescent="0.25">
      <c r="C9" s="110" t="s">
        <v>399</v>
      </c>
    </row>
    <row r="10" spans="2:6" x14ac:dyDescent="0.25">
      <c r="C10" s="110" t="s">
        <v>400</v>
      </c>
      <c r="E10" s="123">
        <v>0.95</v>
      </c>
    </row>
    <row r="12" spans="2:6" x14ac:dyDescent="0.25">
      <c r="B12" s="110" t="s">
        <v>401</v>
      </c>
    </row>
    <row r="13" spans="2:6" x14ac:dyDescent="0.25">
      <c r="C13" s="110" t="s">
        <v>402</v>
      </c>
      <c r="E13" s="122">
        <v>4.556173081420706</v>
      </c>
    </row>
    <row r="14" spans="2:6" x14ac:dyDescent="0.25">
      <c r="C14" s="110" t="s">
        <v>403</v>
      </c>
      <c r="E14" s="121">
        <v>219.48244329826468</v>
      </c>
    </row>
    <row r="15" spans="2:6" x14ac:dyDescent="0.25">
      <c r="C15" s="110" t="s">
        <v>404</v>
      </c>
      <c r="E15" s="121">
        <v>4389.6488659652941</v>
      </c>
    </row>
    <row r="17" spans="1:10" x14ac:dyDescent="0.25">
      <c r="B17" s="110" t="s">
        <v>405</v>
      </c>
    </row>
    <row r="18" spans="1:10" x14ac:dyDescent="0.25">
      <c r="C18" s="110" t="s">
        <v>406</v>
      </c>
      <c r="E18" s="110">
        <v>20</v>
      </c>
    </row>
    <row r="19" spans="1:10" x14ac:dyDescent="0.25">
      <c r="C19" s="110" t="s">
        <v>407</v>
      </c>
      <c r="E19" s="110">
        <v>0</v>
      </c>
    </row>
    <row r="20" spans="1:10" x14ac:dyDescent="0.25">
      <c r="C20" s="110" t="s">
        <v>408</v>
      </c>
      <c r="E20" s="110">
        <v>0</v>
      </c>
    </row>
    <row r="21" spans="1:10" x14ac:dyDescent="0.25">
      <c r="C21" s="110" t="s">
        <v>409</v>
      </c>
      <c r="E21" s="110">
        <v>0</v>
      </c>
    </row>
    <row r="22" spans="1:10" x14ac:dyDescent="0.25">
      <c r="C22" s="110" t="s">
        <v>410</v>
      </c>
      <c r="E22" s="110">
        <v>3</v>
      </c>
    </row>
    <row r="24" spans="1:10" x14ac:dyDescent="0.25">
      <c r="F24" s="117" t="s">
        <v>410</v>
      </c>
    </row>
    <row r="27" spans="1:10" x14ac:dyDescent="0.25">
      <c r="A27" s="116" t="s">
        <v>455</v>
      </c>
    </row>
    <row r="29" spans="1:10" x14ac:dyDescent="0.25">
      <c r="A29" s="116" t="s">
        <v>454</v>
      </c>
      <c r="B29" s="116"/>
      <c r="C29" s="116"/>
      <c r="D29" s="116"/>
      <c r="E29" s="116"/>
      <c r="F29" s="117"/>
      <c r="G29" s="116"/>
      <c r="H29" s="116"/>
      <c r="I29" s="116"/>
      <c r="J29" s="115" t="s">
        <v>452</v>
      </c>
    </row>
    <row r="31" spans="1:10" x14ac:dyDescent="0.25">
      <c r="B31" s="110" t="s">
        <v>414</v>
      </c>
    </row>
    <row r="32" spans="1:10" x14ac:dyDescent="0.25">
      <c r="C32" s="110" t="s">
        <v>470</v>
      </c>
    </row>
    <row r="33" spans="3:3" x14ac:dyDescent="0.25">
      <c r="C33" s="110" t="s">
        <v>416</v>
      </c>
    </row>
    <row r="34" spans="3:3" x14ac:dyDescent="0.25">
      <c r="C34" s="110" t="s">
        <v>471</v>
      </c>
    </row>
    <row r="53" spans="2:5" x14ac:dyDescent="0.25">
      <c r="B53" s="110" t="s">
        <v>418</v>
      </c>
      <c r="E53" s="114" t="s">
        <v>419</v>
      </c>
    </row>
    <row r="54" spans="2:5" x14ac:dyDescent="0.25">
      <c r="C54" s="110" t="s">
        <v>420</v>
      </c>
      <c r="E54" s="121">
        <v>1000</v>
      </c>
    </row>
    <row r="55" spans="2:5" x14ac:dyDescent="0.25">
      <c r="C55" s="110" t="s">
        <v>421</v>
      </c>
      <c r="E55" s="113">
        <v>-1907394.0841275193</v>
      </c>
    </row>
    <row r="56" spans="2:5" x14ac:dyDescent="0.25">
      <c r="C56" s="110" t="s">
        <v>422</v>
      </c>
      <c r="E56" s="113">
        <v>-1844896.4372758816</v>
      </c>
    </row>
    <row r="57" spans="2:5" x14ac:dyDescent="0.25">
      <c r="C57" s="110" t="s">
        <v>423</v>
      </c>
      <c r="E57" s="113">
        <v>-1886985.5489333309</v>
      </c>
    </row>
    <row r="58" spans="2:5" x14ac:dyDescent="0.25">
      <c r="C58" s="110" t="s">
        <v>424</v>
      </c>
      <c r="E58" s="120" t="s">
        <v>425</v>
      </c>
    </row>
    <row r="59" spans="2:5" x14ac:dyDescent="0.25">
      <c r="C59" s="110" t="s">
        <v>426</v>
      </c>
      <c r="E59" s="113">
        <v>1665239.5915277281</v>
      </c>
    </row>
    <row r="60" spans="2:5" x14ac:dyDescent="0.25">
      <c r="C60" s="110" t="s">
        <v>427</v>
      </c>
      <c r="E60" s="113">
        <v>2773022897191.4351</v>
      </c>
    </row>
    <row r="61" spans="2:5" x14ac:dyDescent="0.25">
      <c r="C61" s="110" t="s">
        <v>428</v>
      </c>
      <c r="E61" s="118">
        <v>4.5651848180107563E-2</v>
      </c>
    </row>
    <row r="62" spans="2:5" x14ac:dyDescent="0.25">
      <c r="C62" s="110" t="s">
        <v>429</v>
      </c>
      <c r="E62" s="119">
        <v>3.0405714122288194</v>
      </c>
    </row>
    <row r="63" spans="2:5" x14ac:dyDescent="0.25">
      <c r="C63" s="110" t="s">
        <v>430</v>
      </c>
      <c r="E63" s="118">
        <v>-0.90261954973828806</v>
      </c>
    </row>
    <row r="64" spans="2:5" x14ac:dyDescent="0.25">
      <c r="C64" s="110" t="s">
        <v>186</v>
      </c>
      <c r="E64" s="113">
        <v>-7005342.0893806098</v>
      </c>
    </row>
    <row r="65" spans="1:10" x14ac:dyDescent="0.25">
      <c r="C65" s="110" t="s">
        <v>431</v>
      </c>
      <c r="E65" s="113">
        <v>3004926.5421500821</v>
      </c>
    </row>
    <row r="66" spans="1:10" x14ac:dyDescent="0.25">
      <c r="C66" s="110" t="s">
        <v>432</v>
      </c>
      <c r="E66" s="113">
        <v>10010268.631530691</v>
      </c>
    </row>
    <row r="67" spans="1:10" x14ac:dyDescent="0.25">
      <c r="C67" s="110" t="s">
        <v>433</v>
      </c>
      <c r="E67" s="113">
        <v>52659.499591160515</v>
      </c>
    </row>
    <row r="69" spans="1:10" x14ac:dyDescent="0.25">
      <c r="A69" s="116" t="s">
        <v>453</v>
      </c>
      <c r="B69" s="116"/>
      <c r="C69" s="116"/>
      <c r="D69" s="116"/>
      <c r="E69" s="116"/>
      <c r="F69" s="117"/>
      <c r="G69" s="116"/>
      <c r="H69" s="116"/>
      <c r="I69" s="116"/>
      <c r="J69" s="115" t="s">
        <v>452</v>
      </c>
    </row>
    <row r="71" spans="1:10" x14ac:dyDescent="0.25">
      <c r="B71" s="110" t="s">
        <v>435</v>
      </c>
      <c r="E71" s="114" t="s">
        <v>419</v>
      </c>
    </row>
    <row r="72" spans="1:10" x14ac:dyDescent="0.25">
      <c r="C72" s="110" t="s">
        <v>436</v>
      </c>
      <c r="E72" s="113">
        <v>-7005342.0893806098</v>
      </c>
    </row>
    <row r="73" spans="1:10" x14ac:dyDescent="0.25">
      <c r="C73" s="110" t="s">
        <v>437</v>
      </c>
      <c r="E73" s="113">
        <v>-3983293.8843215015</v>
      </c>
    </row>
    <row r="74" spans="1:10" x14ac:dyDescent="0.25">
      <c r="C74" s="110" t="s">
        <v>438</v>
      </c>
      <c r="E74" s="113">
        <v>-3203586.6550190803</v>
      </c>
    </row>
    <row r="75" spans="1:10" x14ac:dyDescent="0.25">
      <c r="C75" s="110" t="s">
        <v>439</v>
      </c>
      <c r="E75" s="113">
        <v>-2711124.0321063511</v>
      </c>
    </row>
    <row r="76" spans="1:10" x14ac:dyDescent="0.25">
      <c r="C76" s="110" t="s">
        <v>440</v>
      </c>
      <c r="E76" s="113">
        <v>-2336876.7665139828</v>
      </c>
    </row>
    <row r="77" spans="1:10" x14ac:dyDescent="0.25">
      <c r="C77" s="110" t="s">
        <v>441</v>
      </c>
      <c r="E77" s="113">
        <v>-1887372.7296661418</v>
      </c>
    </row>
    <row r="78" spans="1:10" x14ac:dyDescent="0.25">
      <c r="C78" s="110" t="s">
        <v>442</v>
      </c>
      <c r="E78" s="113">
        <v>-1413002.6118492614</v>
      </c>
    </row>
    <row r="79" spans="1:10" x14ac:dyDescent="0.25">
      <c r="C79" s="110" t="s">
        <v>443</v>
      </c>
      <c r="E79" s="113">
        <v>-990167.58021468669</v>
      </c>
    </row>
    <row r="80" spans="1:10" x14ac:dyDescent="0.25">
      <c r="C80" s="110" t="s">
        <v>444</v>
      </c>
      <c r="E80" s="113">
        <v>-458108.78478956409</v>
      </c>
    </row>
    <row r="81" spans="1:10" x14ac:dyDescent="0.25">
      <c r="C81" s="110" t="s">
        <v>445</v>
      </c>
      <c r="E81" s="113">
        <v>297419.31054390036</v>
      </c>
    </row>
    <row r="82" spans="1:10" x14ac:dyDescent="0.25">
      <c r="C82" s="110" t="s">
        <v>446</v>
      </c>
      <c r="E82" s="113">
        <v>3004926.5421500821</v>
      </c>
    </row>
    <row r="84" spans="1:10" x14ac:dyDescent="0.25">
      <c r="A84" s="116" t="s">
        <v>411</v>
      </c>
    </row>
    <row r="86" spans="1:10" x14ac:dyDescent="0.25">
      <c r="A86" s="116" t="s">
        <v>412</v>
      </c>
      <c r="B86" s="116"/>
      <c r="C86" s="116"/>
      <c r="D86" s="116"/>
      <c r="E86" s="116"/>
      <c r="F86" s="117"/>
      <c r="G86" s="116"/>
      <c r="H86" s="116"/>
      <c r="I86" s="116"/>
      <c r="J86" s="115" t="s">
        <v>413</v>
      </c>
    </row>
    <row r="88" spans="1:10" x14ac:dyDescent="0.25">
      <c r="B88" s="110" t="s">
        <v>414</v>
      </c>
    </row>
    <row r="89" spans="1:10" x14ac:dyDescent="0.25">
      <c r="C89" s="110" t="s">
        <v>470</v>
      </c>
    </row>
    <row r="90" spans="1:10" x14ac:dyDescent="0.25">
      <c r="C90" s="110" t="s">
        <v>416</v>
      </c>
    </row>
    <row r="91" spans="1:10" x14ac:dyDescent="0.25">
      <c r="C91" s="110" t="s">
        <v>469</v>
      </c>
    </row>
    <row r="110" spans="2:5" x14ac:dyDescent="0.25">
      <c r="B110" s="110" t="s">
        <v>418</v>
      </c>
      <c r="E110" s="114" t="s">
        <v>419</v>
      </c>
    </row>
    <row r="111" spans="2:5" x14ac:dyDescent="0.25">
      <c r="C111" s="110" t="s">
        <v>420</v>
      </c>
      <c r="E111" s="121">
        <v>1000</v>
      </c>
    </row>
    <row r="112" spans="2:5" x14ac:dyDescent="0.25">
      <c r="C112" s="110" t="s">
        <v>421</v>
      </c>
      <c r="E112" s="113">
        <v>-1907394.0841275193</v>
      </c>
    </row>
    <row r="113" spans="1:10" x14ac:dyDescent="0.25">
      <c r="C113" s="110" t="s">
        <v>422</v>
      </c>
      <c r="E113" s="113">
        <v>-1844918.9430688526</v>
      </c>
    </row>
    <row r="114" spans="1:10" x14ac:dyDescent="0.25">
      <c r="C114" s="110" t="s">
        <v>423</v>
      </c>
      <c r="E114" s="113">
        <v>-1886985.5489333309</v>
      </c>
    </row>
    <row r="115" spans="1:10" x14ac:dyDescent="0.25">
      <c r="C115" s="110" t="s">
        <v>424</v>
      </c>
      <c r="E115" s="120" t="s">
        <v>425</v>
      </c>
    </row>
    <row r="116" spans="1:10" x14ac:dyDescent="0.25">
      <c r="C116" s="110" t="s">
        <v>426</v>
      </c>
      <c r="E116" s="113">
        <v>1665303.8464886148</v>
      </c>
    </row>
    <row r="117" spans="1:10" x14ac:dyDescent="0.25">
      <c r="C117" s="110" t="s">
        <v>427</v>
      </c>
      <c r="E117" s="113">
        <v>2773236901129.7759</v>
      </c>
    </row>
    <row r="118" spans="1:10" x14ac:dyDescent="0.25">
      <c r="C118" s="110" t="s">
        <v>428</v>
      </c>
      <c r="E118" s="118">
        <v>4.5357257019124644E-2</v>
      </c>
    </row>
    <row r="119" spans="1:10" x14ac:dyDescent="0.25">
      <c r="C119" s="110" t="s">
        <v>429</v>
      </c>
      <c r="E119" s="119">
        <v>3.0413588370417313</v>
      </c>
    </row>
    <row r="120" spans="1:10" x14ac:dyDescent="0.25">
      <c r="C120" s="110" t="s">
        <v>430</v>
      </c>
      <c r="E120" s="118">
        <v>-0.90264336693217284</v>
      </c>
    </row>
    <row r="121" spans="1:10" x14ac:dyDescent="0.25">
      <c r="C121" s="110" t="s">
        <v>186</v>
      </c>
      <c r="E121" s="113">
        <v>-7005342.0893806098</v>
      </c>
    </row>
    <row r="122" spans="1:10" x14ac:dyDescent="0.25">
      <c r="C122" s="110" t="s">
        <v>431</v>
      </c>
      <c r="E122" s="113">
        <v>3004926.5421500821</v>
      </c>
    </row>
    <row r="123" spans="1:10" x14ac:dyDescent="0.25">
      <c r="C123" s="110" t="s">
        <v>432</v>
      </c>
      <c r="E123" s="113">
        <v>10010268.631530691</v>
      </c>
    </row>
    <row r="124" spans="1:10" x14ac:dyDescent="0.25">
      <c r="C124" s="110" t="s">
        <v>433</v>
      </c>
      <c r="E124" s="113">
        <v>52661.531511434187</v>
      </c>
    </row>
    <row r="126" spans="1:10" x14ac:dyDescent="0.25">
      <c r="A126" s="116" t="s">
        <v>434</v>
      </c>
      <c r="B126" s="116"/>
      <c r="C126" s="116"/>
      <c r="D126" s="116"/>
      <c r="E126" s="116"/>
      <c r="F126" s="117"/>
      <c r="G126" s="116"/>
      <c r="H126" s="116"/>
      <c r="I126" s="116"/>
      <c r="J126" s="115" t="s">
        <v>413</v>
      </c>
    </row>
    <row r="128" spans="1:10" x14ac:dyDescent="0.25">
      <c r="B128" s="110" t="s">
        <v>435</v>
      </c>
      <c r="E128" s="114" t="s">
        <v>419</v>
      </c>
    </row>
    <row r="129" spans="1:10" x14ac:dyDescent="0.25">
      <c r="C129" s="110" t="s">
        <v>436</v>
      </c>
      <c r="E129" s="113">
        <v>-7005342.0893806098</v>
      </c>
    </row>
    <row r="130" spans="1:10" x14ac:dyDescent="0.25">
      <c r="C130" s="110" t="s">
        <v>437</v>
      </c>
      <c r="E130" s="113">
        <v>-3983293.8843215015</v>
      </c>
    </row>
    <row r="131" spans="1:10" x14ac:dyDescent="0.25">
      <c r="C131" s="110" t="s">
        <v>438</v>
      </c>
      <c r="E131" s="113">
        <v>-3203586.6550190803</v>
      </c>
    </row>
    <row r="132" spans="1:10" x14ac:dyDescent="0.25">
      <c r="C132" s="110" t="s">
        <v>439</v>
      </c>
      <c r="E132" s="113">
        <v>-2711124.0321063511</v>
      </c>
    </row>
    <row r="133" spans="1:10" x14ac:dyDescent="0.25">
      <c r="C133" s="110" t="s">
        <v>440</v>
      </c>
      <c r="E133" s="113">
        <v>-2336876.7665139828</v>
      </c>
    </row>
    <row r="134" spans="1:10" x14ac:dyDescent="0.25">
      <c r="C134" s="110" t="s">
        <v>441</v>
      </c>
      <c r="E134" s="113">
        <v>-1887372.7296661418</v>
      </c>
    </row>
    <row r="135" spans="1:10" x14ac:dyDescent="0.25">
      <c r="C135" s="110" t="s">
        <v>442</v>
      </c>
      <c r="E135" s="113">
        <v>-1413002.6118492614</v>
      </c>
    </row>
    <row r="136" spans="1:10" x14ac:dyDescent="0.25">
      <c r="C136" s="110" t="s">
        <v>443</v>
      </c>
      <c r="E136" s="113">
        <v>-990167.58021468669</v>
      </c>
    </row>
    <row r="137" spans="1:10" x14ac:dyDescent="0.25">
      <c r="C137" s="110" t="s">
        <v>444</v>
      </c>
      <c r="E137" s="113">
        <v>-458108.78478956409</v>
      </c>
    </row>
    <row r="138" spans="1:10" x14ac:dyDescent="0.25">
      <c r="C138" s="110" t="s">
        <v>445</v>
      </c>
      <c r="E138" s="113">
        <v>297419.31054390036</v>
      </c>
    </row>
    <row r="139" spans="1:10" x14ac:dyDescent="0.25">
      <c r="C139" s="110" t="s">
        <v>446</v>
      </c>
      <c r="E139" s="113">
        <v>3004926.5421500821</v>
      </c>
    </row>
    <row r="141" spans="1:10" x14ac:dyDescent="0.25">
      <c r="A141" s="116" t="s">
        <v>468</v>
      </c>
    </row>
    <row r="143" spans="1:10" x14ac:dyDescent="0.25">
      <c r="A143" s="116" t="s">
        <v>467</v>
      </c>
      <c r="B143" s="116"/>
      <c r="C143" s="116"/>
      <c r="D143" s="116"/>
      <c r="E143" s="116"/>
      <c r="F143" s="117"/>
      <c r="G143" s="116"/>
      <c r="H143" s="116"/>
      <c r="I143" s="116"/>
      <c r="J143" s="115" t="s">
        <v>462</v>
      </c>
    </row>
    <row r="145" spans="2:3" x14ac:dyDescent="0.25">
      <c r="B145" s="110" t="s">
        <v>414</v>
      </c>
    </row>
    <row r="146" spans="2:3" x14ac:dyDescent="0.25">
      <c r="C146" s="110" t="s">
        <v>466</v>
      </c>
    </row>
    <row r="147" spans="2:3" x14ac:dyDescent="0.25">
      <c r="C147" s="110" t="s">
        <v>465</v>
      </c>
    </row>
    <row r="148" spans="2:3" x14ac:dyDescent="0.25">
      <c r="C148" s="110" t="s">
        <v>464</v>
      </c>
    </row>
    <row r="167" spans="2:5" x14ac:dyDescent="0.25">
      <c r="B167" s="110" t="s">
        <v>418</v>
      </c>
      <c r="E167" s="114" t="s">
        <v>419</v>
      </c>
    </row>
    <row r="168" spans="2:5" x14ac:dyDescent="0.25">
      <c r="C168" s="110" t="s">
        <v>420</v>
      </c>
      <c r="E168" s="121">
        <v>1000</v>
      </c>
    </row>
    <row r="169" spans="2:5" x14ac:dyDescent="0.25">
      <c r="C169" s="110" t="s">
        <v>421</v>
      </c>
      <c r="E169" s="113">
        <v>-1215214.103546025</v>
      </c>
    </row>
    <row r="170" spans="2:5" x14ac:dyDescent="0.25">
      <c r="C170" s="110" t="s">
        <v>422</v>
      </c>
      <c r="E170" s="113">
        <v>-1188213.3614289721</v>
      </c>
    </row>
    <row r="171" spans="2:5" x14ac:dyDescent="0.25">
      <c r="C171" s="110" t="s">
        <v>423</v>
      </c>
      <c r="E171" s="113">
        <v>-1194805.5683518352</v>
      </c>
    </row>
    <row r="172" spans="2:5" x14ac:dyDescent="0.25">
      <c r="C172" s="110" t="s">
        <v>424</v>
      </c>
      <c r="E172" s="120" t="s">
        <v>425</v>
      </c>
    </row>
    <row r="173" spans="2:5" x14ac:dyDescent="0.25">
      <c r="C173" s="110" t="s">
        <v>426</v>
      </c>
      <c r="E173" s="113">
        <v>1764795.6417222521</v>
      </c>
    </row>
    <row r="174" spans="2:5" x14ac:dyDescent="0.25">
      <c r="C174" s="110" t="s">
        <v>427</v>
      </c>
      <c r="E174" s="113">
        <v>3114503657041.8555</v>
      </c>
    </row>
    <row r="175" spans="2:5" x14ac:dyDescent="0.25">
      <c r="C175" s="110" t="s">
        <v>428</v>
      </c>
      <c r="E175" s="118">
        <v>-0.37797133473495176</v>
      </c>
    </row>
    <row r="176" spans="2:5" x14ac:dyDescent="0.25">
      <c r="C176" s="110" t="s">
        <v>429</v>
      </c>
      <c r="E176" s="119">
        <v>4.311985905528454</v>
      </c>
    </row>
    <row r="177" spans="1:10" x14ac:dyDescent="0.25">
      <c r="C177" s="110" t="s">
        <v>430</v>
      </c>
      <c r="E177" s="119">
        <v>-1.4852514699884112</v>
      </c>
    </row>
    <row r="178" spans="1:10" x14ac:dyDescent="0.25">
      <c r="C178" s="110" t="s">
        <v>186</v>
      </c>
      <c r="E178" s="113">
        <v>-9132923.2064033747</v>
      </c>
    </row>
    <row r="179" spans="1:10" x14ac:dyDescent="0.25">
      <c r="C179" s="110" t="s">
        <v>431</v>
      </c>
      <c r="E179" s="113">
        <v>3697106.5227315756</v>
      </c>
    </row>
    <row r="180" spans="1:10" x14ac:dyDescent="0.25">
      <c r="C180" s="110" t="s">
        <v>432</v>
      </c>
      <c r="E180" s="113">
        <v>12830029.729134951</v>
      </c>
    </row>
    <row r="181" spans="1:10" x14ac:dyDescent="0.25">
      <c r="C181" s="110" t="s">
        <v>433</v>
      </c>
      <c r="E181" s="113">
        <v>55807.738325807964</v>
      </c>
    </row>
    <row r="183" spans="1:10" x14ac:dyDescent="0.25">
      <c r="A183" s="116" t="s">
        <v>463</v>
      </c>
      <c r="B183" s="116"/>
      <c r="C183" s="116"/>
      <c r="D183" s="116"/>
      <c r="E183" s="116"/>
      <c r="F183" s="117"/>
      <c r="G183" s="116"/>
      <c r="H183" s="116"/>
      <c r="I183" s="116"/>
      <c r="J183" s="115" t="s">
        <v>462</v>
      </c>
    </row>
    <row r="185" spans="1:10" x14ac:dyDescent="0.25">
      <c r="B185" s="110" t="s">
        <v>435</v>
      </c>
      <c r="E185" s="114" t="s">
        <v>419</v>
      </c>
    </row>
    <row r="186" spans="1:10" x14ac:dyDescent="0.25">
      <c r="C186" s="110" t="s">
        <v>436</v>
      </c>
      <c r="E186" s="113">
        <v>-9132923.2064033747</v>
      </c>
    </row>
    <row r="187" spans="1:10" x14ac:dyDescent="0.25">
      <c r="C187" s="110" t="s">
        <v>437</v>
      </c>
      <c r="E187" s="113">
        <v>-3291113.9037400084</v>
      </c>
    </row>
    <row r="188" spans="1:10" x14ac:dyDescent="0.25">
      <c r="C188" s="110" t="s">
        <v>438</v>
      </c>
      <c r="E188" s="113">
        <v>-2511406.6744375858</v>
      </c>
    </row>
    <row r="189" spans="1:10" x14ac:dyDescent="0.25">
      <c r="C189" s="110" t="s">
        <v>439</v>
      </c>
      <c r="E189" s="113">
        <v>-2018944.0515248596</v>
      </c>
    </row>
    <row r="190" spans="1:10" x14ac:dyDescent="0.25">
      <c r="C190" s="110" t="s">
        <v>440</v>
      </c>
      <c r="E190" s="113">
        <v>-1644696.7859324904</v>
      </c>
    </row>
    <row r="191" spans="1:10" x14ac:dyDescent="0.25">
      <c r="C191" s="110" t="s">
        <v>441</v>
      </c>
      <c r="E191" s="113">
        <v>-1195192.7490846456</v>
      </c>
    </row>
    <row r="192" spans="1:10" x14ac:dyDescent="0.25">
      <c r="C192" s="110" t="s">
        <v>442</v>
      </c>
      <c r="E192" s="113">
        <v>-720822.6312677653</v>
      </c>
    </row>
    <row r="193" spans="1:5" x14ac:dyDescent="0.25">
      <c r="C193" s="110" t="s">
        <v>443</v>
      </c>
      <c r="E193" s="113">
        <v>-297987.59963319328</v>
      </c>
    </row>
    <row r="194" spans="1:5" x14ac:dyDescent="0.25">
      <c r="C194" s="110" t="s">
        <v>444</v>
      </c>
      <c r="E194" s="113">
        <v>234071.19579193118</v>
      </c>
    </row>
    <row r="195" spans="1:5" x14ac:dyDescent="0.25">
      <c r="C195" s="110" t="s">
        <v>445</v>
      </c>
      <c r="E195" s="113">
        <v>989599.29112539557</v>
      </c>
    </row>
    <row r="196" spans="1:5" x14ac:dyDescent="0.25">
      <c r="C196" s="110" t="s">
        <v>446</v>
      </c>
      <c r="E196" s="113">
        <v>3697106.5227315756</v>
      </c>
    </row>
    <row r="198" spans="1:5" x14ac:dyDescent="0.25">
      <c r="A198" s="110" t="s">
        <v>447</v>
      </c>
    </row>
  </sheetData>
  <printOptions gridLinesSet="0"/>
  <pageMargins left="0.75" right="0.75" top="1" bottom="1" header="0.5" footer="0.5"/>
  <pageSetup orientation="portrait" r:id="rId1"/>
  <headerFooter alignWithMargins="0">
    <oddHeader>&amp;f</oddHeader>
    <oddFooter>Page &amp;p</oddFooter>
  </headerFooter>
  <rowBreaks count="6" manualBreakCount="6">
    <brk id="23" max="16383" man="1"/>
    <brk id="68" max="16383" man="1"/>
    <brk id="83" max="16383" man="1"/>
    <brk id="125" max="16383" man="1"/>
    <brk id="140" max="16383" man="1"/>
    <brk id="182" max="16383" man="1"/>
  </rowBreaks>
  <colBreaks count="1" manualBreakCount="1">
    <brk id="10"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L15" sqref="L15"/>
    </sheetView>
  </sheetViews>
  <sheetFormatPr defaultRowHeight="14.4" x14ac:dyDescent="0.3"/>
  <cols>
    <col min="1" max="1" width="18.88671875" bestFit="1" customWidth="1"/>
    <col min="2" max="2" width="14.6640625" bestFit="1" customWidth="1"/>
    <col min="3" max="3" width="14.6640625" customWidth="1"/>
    <col min="4" max="12" width="13.6640625" bestFit="1" customWidth="1"/>
    <col min="13" max="13" width="14.21875" bestFit="1" customWidth="1"/>
  </cols>
  <sheetData>
    <row r="1" spans="1:13" x14ac:dyDescent="0.3">
      <c r="B1" t="s">
        <v>237</v>
      </c>
      <c r="D1" s="132" t="s">
        <v>61</v>
      </c>
      <c r="E1" s="132"/>
      <c r="F1" s="132"/>
      <c r="G1" s="132"/>
      <c r="H1" s="132"/>
      <c r="I1" s="132"/>
      <c r="J1" s="132"/>
      <c r="K1" s="132"/>
      <c r="L1" s="132"/>
    </row>
    <row r="2" spans="1:13" x14ac:dyDescent="0.3">
      <c r="B2">
        <v>2011</v>
      </c>
      <c r="C2">
        <v>2011</v>
      </c>
      <c r="D2">
        <v>2012</v>
      </c>
      <c r="E2">
        <v>2013</v>
      </c>
      <c r="F2">
        <v>2014</v>
      </c>
      <c r="G2">
        <v>2015</v>
      </c>
      <c r="H2">
        <v>2016</v>
      </c>
      <c r="I2">
        <v>2017</v>
      </c>
      <c r="J2">
        <v>2018</v>
      </c>
      <c r="K2">
        <v>2019</v>
      </c>
      <c r="L2">
        <v>2020</v>
      </c>
      <c r="M2" t="s">
        <v>239</v>
      </c>
    </row>
    <row r="3" spans="1:13" x14ac:dyDescent="0.3">
      <c r="A3" t="s">
        <v>236</v>
      </c>
      <c r="B3" s="1">
        <f>Assumptions!B7</f>
        <v>10000000</v>
      </c>
      <c r="C3" s="1">
        <v>0</v>
      </c>
      <c r="D3" s="1">
        <f>B3/9</f>
        <v>1111111.111111111</v>
      </c>
      <c r="E3" s="1">
        <f>D3</f>
        <v>1111111.111111111</v>
      </c>
      <c r="F3" s="1">
        <f t="shared" ref="F3:L3" si="0">E3</f>
        <v>1111111.111111111</v>
      </c>
      <c r="G3" s="1">
        <f t="shared" si="0"/>
        <v>1111111.111111111</v>
      </c>
      <c r="H3" s="1">
        <f t="shared" si="0"/>
        <v>1111111.111111111</v>
      </c>
      <c r="I3" s="1">
        <f t="shared" si="0"/>
        <v>1111111.111111111</v>
      </c>
      <c r="J3" s="1">
        <f t="shared" si="0"/>
        <v>1111111.111111111</v>
      </c>
      <c r="K3" s="1">
        <f t="shared" si="0"/>
        <v>1111111.111111111</v>
      </c>
      <c r="L3" s="1">
        <f t="shared" si="0"/>
        <v>1111111.111111111</v>
      </c>
      <c r="M3" s="1">
        <f>B3-SUM(D3:L3)</f>
        <v>0</v>
      </c>
    </row>
    <row r="4" spans="1:13" x14ac:dyDescent="0.3">
      <c r="A4" t="s">
        <v>196</v>
      </c>
      <c r="B4" s="28">
        <f>Assumptions!B4</f>
        <v>747384</v>
      </c>
      <c r="C4" s="28">
        <v>0</v>
      </c>
      <c r="D4" s="28">
        <f>(B4-Assumptions!B5)/9</f>
        <v>71931.555555555562</v>
      </c>
      <c r="E4" s="28">
        <f>D4</f>
        <v>71931.555555555562</v>
      </c>
      <c r="F4" s="28">
        <f t="shared" ref="F4:L4" si="1">E4</f>
        <v>71931.555555555562</v>
      </c>
      <c r="G4" s="28">
        <f t="shared" si="1"/>
        <v>71931.555555555562</v>
      </c>
      <c r="H4" s="28">
        <f t="shared" si="1"/>
        <v>71931.555555555562</v>
      </c>
      <c r="I4" s="28">
        <f t="shared" si="1"/>
        <v>71931.555555555562</v>
      </c>
      <c r="J4" s="28">
        <f t="shared" si="1"/>
        <v>71931.555555555562</v>
      </c>
      <c r="K4" s="28">
        <f t="shared" si="1"/>
        <v>71931.555555555562</v>
      </c>
      <c r="L4" s="28">
        <f t="shared" si="1"/>
        <v>71931.555555555562</v>
      </c>
      <c r="M4" s="1">
        <f>B4-SUM(D4:L4)</f>
        <v>100000</v>
      </c>
    </row>
    <row r="5" spans="1:13" x14ac:dyDescent="0.3">
      <c r="A5" t="s">
        <v>238</v>
      </c>
      <c r="B5" s="28">
        <f>SUM(C5:L5)</f>
        <v>2242152.4663677132</v>
      </c>
      <c r="C5" s="28">
        <f>Assumptions!B13/Assumptions!B35</f>
        <v>224215.24663677128</v>
      </c>
      <c r="D5" s="28">
        <f>C5</f>
        <v>224215.24663677128</v>
      </c>
      <c r="E5" s="28">
        <f t="shared" ref="E5:L5" si="2">D5</f>
        <v>224215.24663677128</v>
      </c>
      <c r="F5" s="28">
        <f t="shared" si="2"/>
        <v>224215.24663677128</v>
      </c>
      <c r="G5" s="28">
        <f t="shared" si="2"/>
        <v>224215.24663677128</v>
      </c>
      <c r="H5" s="28">
        <f t="shared" si="2"/>
        <v>224215.24663677128</v>
      </c>
      <c r="I5" s="28">
        <f t="shared" si="2"/>
        <v>224215.24663677128</v>
      </c>
      <c r="J5" s="28">
        <f t="shared" si="2"/>
        <v>224215.24663677128</v>
      </c>
      <c r="K5" s="28">
        <f t="shared" si="2"/>
        <v>224215.24663677128</v>
      </c>
      <c r="L5" s="28">
        <f t="shared" si="2"/>
        <v>224215.24663677128</v>
      </c>
      <c r="M5" s="1">
        <v>0</v>
      </c>
    </row>
    <row r="6" spans="1:13" x14ac:dyDescent="0.3">
      <c r="A6" t="s">
        <v>240</v>
      </c>
      <c r="C6" s="1">
        <f>SUM(C3:C5)</f>
        <v>224215.24663677128</v>
      </c>
      <c r="D6" s="1">
        <f>SUM(D3:D5)</f>
        <v>1407257.9133034379</v>
      </c>
      <c r="E6" s="1">
        <f t="shared" ref="E6:L6" si="3">SUM(E3:E5)</f>
        <v>1407257.9133034379</v>
      </c>
      <c r="F6" s="1">
        <f t="shared" si="3"/>
        <v>1407257.9133034379</v>
      </c>
      <c r="G6" s="1">
        <f t="shared" si="3"/>
        <v>1407257.9133034379</v>
      </c>
      <c r="H6" s="1">
        <f t="shared" si="3"/>
        <v>1407257.9133034379</v>
      </c>
      <c r="I6" s="1">
        <f t="shared" si="3"/>
        <v>1407257.9133034379</v>
      </c>
      <c r="J6" s="1">
        <f t="shared" si="3"/>
        <v>1407257.9133034379</v>
      </c>
      <c r="K6" s="1">
        <f t="shared" si="3"/>
        <v>1407257.9133034379</v>
      </c>
      <c r="L6" s="1">
        <f t="shared" si="3"/>
        <v>1407257.9133034379</v>
      </c>
    </row>
    <row r="8" spans="1:13" x14ac:dyDescent="0.3">
      <c r="A8" t="s">
        <v>313</v>
      </c>
      <c r="C8" s="28">
        <f>($B$5-SUM($C$5:C5))+($B$4-SUM($C$4:C4))</f>
        <v>2765321.2197309416</v>
      </c>
      <c r="D8" s="28">
        <f>($B$5-SUM($C$5:D5))+($B$4-SUM($C$4:D4))</f>
        <v>2469174.4175386149</v>
      </c>
      <c r="E8" s="28">
        <f>($B$5-SUM($C$5:E5))+($B$4-SUM($C$4:E4))</f>
        <v>2173027.6153462883</v>
      </c>
      <c r="F8" s="28">
        <f>($B$5-SUM($C$5:F5))+($B$4-SUM($C$4:F4))</f>
        <v>1876880.8131539614</v>
      </c>
      <c r="G8" s="28">
        <f>($B$5-SUM($C$5:G5))+($B$4-SUM($C$4:G4))</f>
        <v>1580734.0109616346</v>
      </c>
      <c r="H8" s="28">
        <f>($B$5-SUM($C$5:H5))+($B$4-SUM($C$4:H4))</f>
        <v>1284587.2087693077</v>
      </c>
      <c r="I8" s="28">
        <f>($B$5-SUM($C$5:I5))+($B$4-SUM($C$4:I4))</f>
        <v>988440.40657698072</v>
      </c>
      <c r="J8" s="28">
        <f>($B$5-SUM($C$5:J5))+($B$4-SUM($C$4:J4))</f>
        <v>692293.60438465374</v>
      </c>
      <c r="K8" s="28">
        <f>($B$5-SUM($C$5:K5))+($B$4-SUM($C$4:K4))</f>
        <v>396146.80219232687</v>
      </c>
      <c r="L8" s="28">
        <f>($B$5-SUM($C$5:L5))+($B$4-SUM($C$4:L4))</f>
        <v>100000</v>
      </c>
    </row>
  </sheetData>
  <mergeCells count="1">
    <mergeCell ref="D1:L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3"/>
  <sheetViews>
    <sheetView workbookViewId="0">
      <selection activeCell="B16" sqref="B16"/>
    </sheetView>
  </sheetViews>
  <sheetFormatPr defaultRowHeight="14.4" x14ac:dyDescent="0.3"/>
  <cols>
    <col min="1" max="1" width="18.44140625" bestFit="1" customWidth="1"/>
    <col min="2" max="2" width="12" bestFit="1" customWidth="1"/>
    <col min="5" max="5" width="10.5546875" bestFit="1" customWidth="1"/>
    <col min="6" max="6" width="15.44140625" bestFit="1" customWidth="1"/>
    <col min="7" max="7" width="12.21875" bestFit="1" customWidth="1"/>
    <col min="8" max="8" width="12" bestFit="1" customWidth="1"/>
    <col min="9" max="9" width="10.109375" bestFit="1" customWidth="1"/>
    <col min="11" max="11" width="17.44140625" bestFit="1" customWidth="1"/>
    <col min="12" max="12" width="12" bestFit="1" customWidth="1"/>
    <col min="13" max="13" width="13.44140625" bestFit="1" customWidth="1"/>
    <col min="14" max="15" width="12" bestFit="1" customWidth="1"/>
    <col min="16" max="16" width="12.6640625" bestFit="1" customWidth="1"/>
    <col min="17" max="17" width="12" bestFit="1" customWidth="1"/>
    <col min="18" max="18" width="12.6640625" bestFit="1" customWidth="1"/>
    <col min="19" max="19" width="12.109375" bestFit="1" customWidth="1"/>
  </cols>
  <sheetData>
    <row r="1" spans="1:19" x14ac:dyDescent="0.3">
      <c r="A1" t="s">
        <v>258</v>
      </c>
      <c r="B1">
        <v>1.1100000000000001</v>
      </c>
      <c r="E1" t="s">
        <v>260</v>
      </c>
      <c r="F1" t="s">
        <v>262</v>
      </c>
      <c r="G1" t="s">
        <v>263</v>
      </c>
      <c r="H1" t="s">
        <v>261</v>
      </c>
      <c r="I1" t="s">
        <v>264</v>
      </c>
      <c r="K1" t="s">
        <v>210</v>
      </c>
    </row>
    <row r="2" spans="1:19" ht="15" thickBot="1" x14ac:dyDescent="0.35">
      <c r="A2" t="s">
        <v>259</v>
      </c>
      <c r="B2">
        <v>1.1599999999999999</v>
      </c>
      <c r="E2" s="58">
        <v>42370</v>
      </c>
      <c r="F2">
        <v>42.271481000000001</v>
      </c>
      <c r="H2">
        <v>1943.089966</v>
      </c>
    </row>
    <row r="3" spans="1:19" x14ac:dyDescent="0.3">
      <c r="A3" t="s">
        <v>265</v>
      </c>
      <c r="B3">
        <f>L18</f>
        <v>1.1778848905956487</v>
      </c>
      <c r="E3" s="58">
        <v>42377</v>
      </c>
      <c r="F3">
        <v>39.469704</v>
      </c>
      <c r="G3" s="15">
        <f>F3/F2-1</f>
        <v>-6.628054976356279E-2</v>
      </c>
      <c r="H3">
        <v>1921.839966</v>
      </c>
      <c r="I3" s="15">
        <f>H3/H2-1</f>
        <v>-1.093618945691166E-2</v>
      </c>
      <c r="K3" s="49" t="s">
        <v>211</v>
      </c>
      <c r="L3" s="49"/>
    </row>
    <row r="4" spans="1:19" x14ac:dyDescent="0.3">
      <c r="A4" t="s">
        <v>269</v>
      </c>
      <c r="B4">
        <f>M18</f>
        <v>0.12471833979857508</v>
      </c>
      <c r="E4" s="58">
        <v>42384</v>
      </c>
      <c r="F4">
        <v>37.765129000000002</v>
      </c>
      <c r="G4" s="15">
        <f t="shared" ref="G4:G67" si="0">F4/F3-1</f>
        <v>-4.3186921290314206E-2</v>
      </c>
      <c r="H4">
        <v>1868.98999</v>
      </c>
      <c r="I4" s="15">
        <f t="shared" ref="I4:I67" si="1">H4/H3-1</f>
        <v>-2.7499675797667322E-2</v>
      </c>
      <c r="K4" s="46" t="s">
        <v>212</v>
      </c>
      <c r="L4" s="46">
        <v>0.65454032464660616</v>
      </c>
    </row>
    <row r="5" spans="1:19" x14ac:dyDescent="0.3">
      <c r="A5" t="s">
        <v>270</v>
      </c>
      <c r="B5" s="65">
        <v>4.9500000000000002E-2</v>
      </c>
      <c r="E5" s="58">
        <v>42391</v>
      </c>
      <c r="F5">
        <v>39.695022999999999</v>
      </c>
      <c r="G5" s="15">
        <f t="shared" si="0"/>
        <v>5.1102539594131802E-2</v>
      </c>
      <c r="H5">
        <v>1893.3599850000001</v>
      </c>
      <c r="I5" s="15">
        <f t="shared" si="1"/>
        <v>1.3039125479746394E-2</v>
      </c>
      <c r="K5" s="46" t="s">
        <v>213</v>
      </c>
      <c r="L5" s="46">
        <v>0.42842303658848457</v>
      </c>
    </row>
    <row r="6" spans="1:19" x14ac:dyDescent="0.3">
      <c r="A6" t="s">
        <v>271</v>
      </c>
      <c r="B6" s="65">
        <v>2.9590000000000002E-2</v>
      </c>
      <c r="E6" s="58">
        <v>42398</v>
      </c>
      <c r="F6">
        <v>39.773392000000001</v>
      </c>
      <c r="G6" s="15">
        <f t="shared" si="0"/>
        <v>1.9742777325006955E-3</v>
      </c>
      <c r="H6">
        <v>1915.4499510000001</v>
      </c>
      <c r="I6" s="15">
        <f t="shared" si="1"/>
        <v>1.1667071330864642E-2</v>
      </c>
      <c r="K6" s="46" t="s">
        <v>214</v>
      </c>
      <c r="L6" s="46">
        <v>0.42361986882872393</v>
      </c>
    </row>
    <row r="7" spans="1:19" x14ac:dyDescent="0.3">
      <c r="A7" t="s">
        <v>272</v>
      </c>
      <c r="B7" s="65">
        <f>B6+B3*B5</f>
        <v>8.7895302084484622E-2</v>
      </c>
      <c r="E7" s="58">
        <v>42405</v>
      </c>
      <c r="F7">
        <v>37.693851000000002</v>
      </c>
      <c r="G7" s="15">
        <f t="shared" si="0"/>
        <v>-5.2284728443578565E-2</v>
      </c>
      <c r="H7">
        <v>1829.079956</v>
      </c>
      <c r="I7" s="15">
        <f t="shared" si="1"/>
        <v>-4.5091230368566326E-2</v>
      </c>
      <c r="K7" s="46" t="s">
        <v>215</v>
      </c>
      <c r="L7" s="46">
        <v>2.2112812048758701E-2</v>
      </c>
    </row>
    <row r="8" spans="1:19" ht="15" thickBot="1" x14ac:dyDescent="0.35">
      <c r="E8" s="58">
        <v>42412</v>
      </c>
      <c r="F8">
        <v>41.150925000000001</v>
      </c>
      <c r="G8" s="15">
        <f t="shared" si="0"/>
        <v>9.1714534553659632E-2</v>
      </c>
      <c r="H8">
        <v>1917.829956</v>
      </c>
      <c r="I8" s="15">
        <f t="shared" si="1"/>
        <v>4.852166233021693E-2</v>
      </c>
      <c r="K8" s="47" t="s">
        <v>216</v>
      </c>
      <c r="L8" s="47">
        <v>121</v>
      </c>
    </row>
    <row r="9" spans="1:19" x14ac:dyDescent="0.3">
      <c r="A9" t="s">
        <v>273</v>
      </c>
      <c r="B9" s="65">
        <v>0.53759999999999997</v>
      </c>
      <c r="E9" s="58">
        <v>42419</v>
      </c>
      <c r="F9">
        <v>40.620583000000003</v>
      </c>
      <c r="G9" s="15">
        <f t="shared" si="0"/>
        <v>-1.2887729741190457E-2</v>
      </c>
      <c r="H9">
        <v>1951.6999510000001</v>
      </c>
      <c r="I9" s="15">
        <f t="shared" si="1"/>
        <v>1.7660582938563651E-2</v>
      </c>
    </row>
    <row r="10" spans="1:19" ht="15" thickBot="1" x14ac:dyDescent="0.35">
      <c r="A10" t="s">
        <v>274</v>
      </c>
      <c r="B10" s="65">
        <f>1-B9</f>
        <v>0.46240000000000003</v>
      </c>
      <c r="E10" s="58">
        <v>42426</v>
      </c>
      <c r="F10">
        <v>41.671444000000001</v>
      </c>
      <c r="G10" s="15">
        <f t="shared" si="0"/>
        <v>2.5870160455353286E-2</v>
      </c>
      <c r="H10">
        <v>1993.400024</v>
      </c>
      <c r="I10" s="15">
        <f t="shared" si="1"/>
        <v>2.136602656501263E-2</v>
      </c>
      <c r="K10" t="s">
        <v>217</v>
      </c>
    </row>
    <row r="11" spans="1:19" x14ac:dyDescent="0.3">
      <c r="E11" s="58">
        <v>42433</v>
      </c>
      <c r="F11">
        <v>43.233024999999998</v>
      </c>
      <c r="G11" s="15">
        <f t="shared" si="0"/>
        <v>3.7473647421481182E-2</v>
      </c>
      <c r="H11">
        <v>1989.5699460000001</v>
      </c>
      <c r="I11" s="15">
        <f t="shared" si="1"/>
        <v>-1.9213795293904212E-3</v>
      </c>
      <c r="K11" s="48"/>
      <c r="L11" s="48" t="s">
        <v>221</v>
      </c>
      <c r="M11" s="48" t="s">
        <v>222</v>
      </c>
      <c r="N11" s="48" t="s">
        <v>223</v>
      </c>
      <c r="O11" s="48" t="s">
        <v>224</v>
      </c>
      <c r="P11" s="48" t="s">
        <v>225</v>
      </c>
    </row>
    <row r="12" spans="1:19" x14ac:dyDescent="0.3">
      <c r="A12" t="s">
        <v>295</v>
      </c>
      <c r="B12" s="65">
        <f ca="1">'Debt CoC'!C23</f>
        <v>3.9369538426399231E-2</v>
      </c>
      <c r="E12" s="58">
        <v>42440</v>
      </c>
      <c r="F12">
        <v>43.380333</v>
      </c>
      <c r="G12" s="15">
        <f t="shared" si="0"/>
        <v>3.4073026349648039E-3</v>
      </c>
      <c r="H12">
        <v>2040.589966</v>
      </c>
      <c r="I12" s="15">
        <f t="shared" si="1"/>
        <v>2.5643742811141124E-2</v>
      </c>
      <c r="K12" s="46" t="s">
        <v>218</v>
      </c>
      <c r="L12" s="46">
        <v>1</v>
      </c>
      <c r="M12" s="46">
        <v>4.3614711973276703E-2</v>
      </c>
      <c r="N12" s="46">
        <v>4.3614711973276703E-2</v>
      </c>
      <c r="O12" s="46">
        <v>89.195934436784071</v>
      </c>
      <c r="P12" s="46">
        <v>3.8779127383399905E-16</v>
      </c>
    </row>
    <row r="13" spans="1:19" x14ac:dyDescent="0.3">
      <c r="A13" t="s">
        <v>298</v>
      </c>
      <c r="B13" s="74">
        <f ca="1">(B12-B6)/B5</f>
        <v>0.19756643285655007</v>
      </c>
      <c r="E13" s="58">
        <v>42447</v>
      </c>
      <c r="F13">
        <v>43.272308000000002</v>
      </c>
      <c r="G13" s="15">
        <f t="shared" si="0"/>
        <v>-2.4901837429417428E-3</v>
      </c>
      <c r="H13">
        <v>2035.9399410000001</v>
      </c>
      <c r="I13" s="15">
        <f t="shared" si="1"/>
        <v>-2.2787650030030582E-3</v>
      </c>
      <c r="K13" s="46" t="s">
        <v>219</v>
      </c>
      <c r="L13" s="46">
        <v>119</v>
      </c>
      <c r="M13" s="46">
        <v>5.8188198347743615E-2</v>
      </c>
      <c r="N13" s="46">
        <v>4.8897645670372791E-4</v>
      </c>
      <c r="O13" s="46"/>
      <c r="P13" s="46"/>
    </row>
    <row r="14" spans="1:19" ht="15" thickBot="1" x14ac:dyDescent="0.35">
      <c r="E14" s="58">
        <v>42454</v>
      </c>
      <c r="F14">
        <v>42.928561999999999</v>
      </c>
      <c r="G14" s="15">
        <f t="shared" si="0"/>
        <v>-7.9437870519871723E-3</v>
      </c>
      <c r="H14">
        <v>2059.73999</v>
      </c>
      <c r="I14" s="15">
        <f t="shared" si="1"/>
        <v>1.1689956329610673E-2</v>
      </c>
      <c r="K14" s="47" t="s">
        <v>0</v>
      </c>
      <c r="L14" s="47">
        <v>120</v>
      </c>
      <c r="M14" s="47">
        <v>0.10180291032102032</v>
      </c>
      <c r="N14" s="47"/>
      <c r="O14" s="47"/>
      <c r="P14" s="47"/>
    </row>
    <row r="15" spans="1:19" ht="15" thickBot="1" x14ac:dyDescent="0.35">
      <c r="A15" t="s">
        <v>299</v>
      </c>
      <c r="B15">
        <f ca="1">B13*B9+B3*B10</f>
        <v>0.65086568771510933</v>
      </c>
      <c r="E15" s="58">
        <v>42461</v>
      </c>
      <c r="F15">
        <v>42.663395000000001</v>
      </c>
      <c r="G15" s="15">
        <f t="shared" si="0"/>
        <v>-6.1769364648179836E-3</v>
      </c>
      <c r="H15">
        <v>2041.910034</v>
      </c>
      <c r="I15" s="15">
        <f t="shared" si="1"/>
        <v>-8.656411045357304E-3</v>
      </c>
    </row>
    <row r="16" spans="1:19" x14ac:dyDescent="0.3">
      <c r="A16" t="s">
        <v>300</v>
      </c>
      <c r="B16" s="65">
        <f ca="1">B15*B5+B6</f>
        <v>6.1807851541897912E-2</v>
      </c>
      <c r="E16" s="58">
        <v>42468</v>
      </c>
      <c r="F16">
        <v>44.342818999999999</v>
      </c>
      <c r="G16" s="15">
        <f t="shared" si="0"/>
        <v>3.9364518458973929E-2</v>
      </c>
      <c r="H16">
        <v>2082.780029</v>
      </c>
      <c r="I16" s="15">
        <f t="shared" si="1"/>
        <v>2.0015570872110144E-2</v>
      </c>
      <c r="K16" s="48"/>
      <c r="L16" s="48" t="s">
        <v>226</v>
      </c>
      <c r="M16" s="48" t="s">
        <v>215</v>
      </c>
      <c r="N16" s="48" t="s">
        <v>227</v>
      </c>
      <c r="O16" s="48" t="s">
        <v>228</v>
      </c>
      <c r="P16" s="48" t="s">
        <v>229</v>
      </c>
      <c r="Q16" s="48" t="s">
        <v>230</v>
      </c>
      <c r="R16" s="48" t="s">
        <v>231</v>
      </c>
      <c r="S16" s="48" t="s">
        <v>232</v>
      </c>
    </row>
    <row r="17" spans="5:19" x14ac:dyDescent="0.3">
      <c r="E17" s="58">
        <v>42475</v>
      </c>
      <c r="F17">
        <v>44.588355999999997</v>
      </c>
      <c r="G17" s="15">
        <f t="shared" si="0"/>
        <v>5.5372438094203336E-3</v>
      </c>
      <c r="H17">
        <v>2091.4799800000001</v>
      </c>
      <c r="I17" s="15">
        <f t="shared" si="1"/>
        <v>4.1770858558582979E-3</v>
      </c>
      <c r="K17" s="46" t="s">
        <v>220</v>
      </c>
      <c r="L17" s="46">
        <v>9.5250202700251571E-4</v>
      </c>
      <c r="M17" s="46">
        <v>2.0395307956770402E-3</v>
      </c>
      <c r="N17" s="46">
        <v>0.46702017396423978</v>
      </c>
      <c r="O17" s="46">
        <v>0.64133941001881289</v>
      </c>
      <c r="P17" s="46">
        <v>-3.0859726495477214E-3</v>
      </c>
      <c r="Q17" s="46">
        <v>4.9909767035527528E-3</v>
      </c>
      <c r="R17" s="46">
        <v>-3.0859726495477214E-3</v>
      </c>
      <c r="S17" s="46">
        <v>4.9909767035527528E-3</v>
      </c>
    </row>
    <row r="18" spans="5:19" ht="15" thickBot="1" x14ac:dyDescent="0.35">
      <c r="E18" s="58">
        <v>42482</v>
      </c>
      <c r="F18">
        <v>45.315120999999998</v>
      </c>
      <c r="G18" s="15">
        <f t="shared" si="0"/>
        <v>1.6299434767229393E-2</v>
      </c>
      <c r="H18">
        <v>2075.8100589999999</v>
      </c>
      <c r="I18" s="15">
        <f t="shared" si="1"/>
        <v>-7.4922644012113127E-3</v>
      </c>
      <c r="K18" s="47" t="s">
        <v>233</v>
      </c>
      <c r="L18" s="47">
        <v>1.1778848905956487</v>
      </c>
      <c r="M18" s="47">
        <v>0.12471833979857508</v>
      </c>
      <c r="N18" s="47">
        <v>9.4443599273208587</v>
      </c>
      <c r="O18" s="47">
        <v>3.8779127383400467E-16</v>
      </c>
      <c r="P18" s="47">
        <v>0.93093012136857523</v>
      </c>
      <c r="Q18" s="47">
        <v>1.4248396598227222</v>
      </c>
      <c r="R18" s="47">
        <v>0.93093012136857523</v>
      </c>
      <c r="S18" s="47">
        <v>1.4248396598227222</v>
      </c>
    </row>
    <row r="19" spans="5:19" x14ac:dyDescent="0.3">
      <c r="E19" s="58">
        <v>42489</v>
      </c>
      <c r="F19">
        <v>43.291946000000003</v>
      </c>
      <c r="G19" s="15">
        <f t="shared" si="0"/>
        <v>-4.4646796816453227E-2</v>
      </c>
      <c r="H19">
        <v>2050.6298830000001</v>
      </c>
      <c r="I19" s="15">
        <f t="shared" si="1"/>
        <v>-1.2130289036237807E-2</v>
      </c>
    </row>
    <row r="20" spans="5:19" x14ac:dyDescent="0.3">
      <c r="E20" s="58">
        <v>42496</v>
      </c>
      <c r="F20">
        <v>44.116092999999999</v>
      </c>
      <c r="G20" s="15">
        <f t="shared" si="0"/>
        <v>1.9036958976156759E-2</v>
      </c>
      <c r="H20">
        <v>2064.110107</v>
      </c>
      <c r="I20" s="15">
        <f t="shared" si="1"/>
        <v>6.5736991895772867E-3</v>
      </c>
    </row>
    <row r="21" spans="5:19" x14ac:dyDescent="0.3">
      <c r="E21" s="58">
        <v>42503</v>
      </c>
      <c r="F21">
        <v>42.786999000000002</v>
      </c>
      <c r="G21" s="15">
        <f t="shared" si="0"/>
        <v>-3.0127191907043938E-2</v>
      </c>
      <c r="H21">
        <v>2040.040039</v>
      </c>
      <c r="I21" s="15">
        <f t="shared" si="1"/>
        <v>-1.1661232566214097E-2</v>
      </c>
    </row>
    <row r="22" spans="5:19" x14ac:dyDescent="0.3">
      <c r="E22" s="58">
        <v>42510</v>
      </c>
      <c r="F22">
        <v>43.013435000000001</v>
      </c>
      <c r="G22" s="15">
        <f t="shared" si="0"/>
        <v>5.2921683056108559E-3</v>
      </c>
      <c r="H22">
        <v>2090.1000979999999</v>
      </c>
      <c r="I22" s="15">
        <f t="shared" si="1"/>
        <v>2.453876298650437E-2</v>
      </c>
    </row>
    <row r="23" spans="5:19" x14ac:dyDescent="0.3">
      <c r="E23" s="58">
        <v>42517</v>
      </c>
      <c r="F23">
        <v>43.377712000000002</v>
      </c>
      <c r="G23" s="15">
        <f t="shared" si="0"/>
        <v>8.4689120968832743E-3</v>
      </c>
      <c r="H23">
        <v>2105.26001</v>
      </c>
      <c r="I23" s="15">
        <f t="shared" si="1"/>
        <v>7.2531990283655201E-3</v>
      </c>
    </row>
    <row r="24" spans="5:19" x14ac:dyDescent="0.3">
      <c r="E24" s="58">
        <v>42524</v>
      </c>
      <c r="F24">
        <v>43.279254999999999</v>
      </c>
      <c r="G24" s="15">
        <f t="shared" si="0"/>
        <v>-2.2697601016854474E-3</v>
      </c>
      <c r="H24">
        <v>2115.4799800000001</v>
      </c>
      <c r="I24" s="15">
        <f t="shared" si="1"/>
        <v>4.8544930086806826E-3</v>
      </c>
    </row>
    <row r="25" spans="5:19" x14ac:dyDescent="0.3">
      <c r="E25" s="58">
        <v>42531</v>
      </c>
      <c r="F25">
        <v>41.073948000000001</v>
      </c>
      <c r="G25" s="15">
        <f t="shared" si="0"/>
        <v>-5.0955290242403639E-2</v>
      </c>
      <c r="H25">
        <v>2077.98999</v>
      </c>
      <c r="I25" s="15">
        <f t="shared" si="1"/>
        <v>-1.7721741805375113E-2</v>
      </c>
    </row>
    <row r="26" spans="5:19" x14ac:dyDescent="0.3">
      <c r="E26" s="58">
        <v>42538</v>
      </c>
      <c r="F26">
        <v>42.304580999999999</v>
      </c>
      <c r="G26" s="15">
        <f t="shared" si="0"/>
        <v>2.9961400350411838E-2</v>
      </c>
      <c r="H26">
        <v>2113.320068</v>
      </c>
      <c r="I26" s="15">
        <f t="shared" si="1"/>
        <v>1.7002044364997193E-2</v>
      </c>
    </row>
    <row r="27" spans="5:19" x14ac:dyDescent="0.3">
      <c r="E27" s="58">
        <v>42545</v>
      </c>
      <c r="F27">
        <v>40.995178000000003</v>
      </c>
      <c r="G27" s="15">
        <f t="shared" si="0"/>
        <v>-3.0951801650038746E-2</v>
      </c>
      <c r="H27">
        <v>2098.860107</v>
      </c>
      <c r="I27" s="15">
        <f t="shared" si="1"/>
        <v>-6.8422957880130975E-3</v>
      </c>
    </row>
    <row r="28" spans="5:19" x14ac:dyDescent="0.3">
      <c r="E28" s="58">
        <v>42552</v>
      </c>
      <c r="F28">
        <v>40.187880999999997</v>
      </c>
      <c r="G28" s="15">
        <f t="shared" si="0"/>
        <v>-1.9692486760272243E-2</v>
      </c>
      <c r="H28">
        <v>2097.8999020000001</v>
      </c>
      <c r="I28" s="15">
        <f t="shared" si="1"/>
        <v>-4.574888039452496E-4</v>
      </c>
    </row>
    <row r="29" spans="5:19" x14ac:dyDescent="0.3">
      <c r="E29" s="58">
        <v>42559</v>
      </c>
      <c r="F29">
        <v>41.753253999999998</v>
      </c>
      <c r="G29" s="15">
        <f t="shared" si="0"/>
        <v>3.8951369443937622E-2</v>
      </c>
      <c r="H29">
        <v>2163.75</v>
      </c>
      <c r="I29" s="15">
        <f t="shared" si="1"/>
        <v>3.1388579568178088E-2</v>
      </c>
    </row>
    <row r="30" spans="5:19" x14ac:dyDescent="0.3">
      <c r="E30" s="58">
        <v>42566</v>
      </c>
      <c r="F30">
        <v>44.145629999999997</v>
      </c>
      <c r="G30" s="15">
        <f t="shared" si="0"/>
        <v>5.7297953352330344E-2</v>
      </c>
      <c r="H30">
        <v>2165.169922</v>
      </c>
      <c r="I30" s="15">
        <f t="shared" si="1"/>
        <v>6.5623200462172626E-4</v>
      </c>
    </row>
    <row r="31" spans="5:19" x14ac:dyDescent="0.3">
      <c r="E31" s="58">
        <v>42573</v>
      </c>
      <c r="F31">
        <v>42.609783</v>
      </c>
      <c r="G31" s="15">
        <f t="shared" si="0"/>
        <v>-3.4790465103793911E-2</v>
      </c>
      <c r="H31">
        <v>2170.0600589999999</v>
      </c>
      <c r="I31" s="15">
        <f t="shared" si="1"/>
        <v>2.2585465234445934E-3</v>
      </c>
    </row>
    <row r="32" spans="5:19" x14ac:dyDescent="0.3">
      <c r="E32" s="58">
        <v>42580</v>
      </c>
      <c r="F32">
        <v>43.220184000000003</v>
      </c>
      <c r="G32" s="15">
        <f t="shared" si="0"/>
        <v>1.4325372180374663E-2</v>
      </c>
      <c r="H32">
        <v>2164.25</v>
      </c>
      <c r="I32" s="15">
        <f t="shared" si="1"/>
        <v>-2.6773724422527456E-3</v>
      </c>
    </row>
    <row r="33" spans="5:9" x14ac:dyDescent="0.3">
      <c r="E33" s="58">
        <v>42587</v>
      </c>
      <c r="F33">
        <v>43.646439000000001</v>
      </c>
      <c r="G33" s="15">
        <f t="shared" si="0"/>
        <v>9.8624059536627229E-3</v>
      </c>
      <c r="H33">
        <v>2185.790039</v>
      </c>
      <c r="I33" s="15">
        <f t="shared" si="1"/>
        <v>9.9526575025989938E-3</v>
      </c>
    </row>
    <row r="34" spans="5:9" x14ac:dyDescent="0.3">
      <c r="E34" s="58">
        <v>42594</v>
      </c>
      <c r="F34">
        <v>44.534767000000002</v>
      </c>
      <c r="G34" s="15">
        <f t="shared" si="0"/>
        <v>2.0352817328350703E-2</v>
      </c>
      <c r="H34">
        <v>2187.0200199999999</v>
      </c>
      <c r="I34" s="15">
        <f t="shared" si="1"/>
        <v>5.6271690238030025E-4</v>
      </c>
    </row>
    <row r="35" spans="5:9" x14ac:dyDescent="0.3">
      <c r="E35" s="58">
        <v>42601</v>
      </c>
      <c r="F35">
        <v>44.603859</v>
      </c>
      <c r="G35" s="15">
        <f t="shared" si="0"/>
        <v>1.5514171209203287E-3</v>
      </c>
      <c r="H35">
        <v>2172.469971</v>
      </c>
      <c r="I35" s="15">
        <f t="shared" si="1"/>
        <v>-6.65291074930352E-3</v>
      </c>
    </row>
    <row r="36" spans="5:9" x14ac:dyDescent="0.3">
      <c r="E36" s="58">
        <v>42608</v>
      </c>
      <c r="F36">
        <v>44.258403999999999</v>
      </c>
      <c r="G36" s="15">
        <f t="shared" si="0"/>
        <v>-7.7449576728327862E-3</v>
      </c>
      <c r="H36">
        <v>2170.860107</v>
      </c>
      <c r="I36" s="15">
        <f t="shared" si="1"/>
        <v>-7.4102934516462327E-4</v>
      </c>
    </row>
    <row r="37" spans="5:9" x14ac:dyDescent="0.3">
      <c r="E37" s="58">
        <v>42615</v>
      </c>
      <c r="F37">
        <v>44.880229999999997</v>
      </c>
      <c r="G37" s="15">
        <f t="shared" si="0"/>
        <v>1.4049896602688072E-2</v>
      </c>
      <c r="H37">
        <v>2181.3000489999999</v>
      </c>
      <c r="I37" s="15">
        <f t="shared" si="1"/>
        <v>4.8091270212835546E-3</v>
      </c>
    </row>
    <row r="38" spans="5:9" x14ac:dyDescent="0.3">
      <c r="E38" s="58">
        <v>42622</v>
      </c>
      <c r="F38">
        <v>43.271369999999997</v>
      </c>
      <c r="G38" s="15">
        <f t="shared" si="0"/>
        <v>-3.5847855503414294E-2</v>
      </c>
      <c r="H38">
        <v>2147.26001</v>
      </c>
      <c r="I38" s="15">
        <f t="shared" si="1"/>
        <v>-1.5605390471432612E-2</v>
      </c>
    </row>
    <row r="39" spans="5:9" x14ac:dyDescent="0.3">
      <c r="E39" s="58">
        <v>42629</v>
      </c>
      <c r="F39">
        <v>43.113444999999999</v>
      </c>
      <c r="G39" s="15">
        <f t="shared" si="0"/>
        <v>-3.6496417839323447E-3</v>
      </c>
      <c r="H39">
        <v>2177.179932</v>
      </c>
      <c r="I39" s="15">
        <f t="shared" si="1"/>
        <v>1.3934000475331443E-2</v>
      </c>
    </row>
    <row r="40" spans="5:9" x14ac:dyDescent="0.3">
      <c r="E40" s="58">
        <v>42636</v>
      </c>
      <c r="F40">
        <v>42.787723999999997</v>
      </c>
      <c r="G40" s="15">
        <f t="shared" si="0"/>
        <v>-7.5549750199734866E-3</v>
      </c>
      <c r="H40">
        <v>2151.1298830000001</v>
      </c>
      <c r="I40" s="15">
        <f t="shared" si="1"/>
        <v>-1.1965041849375191E-2</v>
      </c>
    </row>
    <row r="41" spans="5:9" x14ac:dyDescent="0.3">
      <c r="E41" s="58">
        <v>42643</v>
      </c>
      <c r="F41">
        <v>44.228789999999996</v>
      </c>
      <c r="G41" s="15">
        <f t="shared" si="0"/>
        <v>3.3679426370049503E-2</v>
      </c>
      <c r="H41">
        <v>2160.7700199999999</v>
      </c>
      <c r="I41" s="15">
        <f t="shared" si="1"/>
        <v>4.4814295390456227E-3</v>
      </c>
    </row>
    <row r="42" spans="5:9" x14ac:dyDescent="0.3">
      <c r="E42" s="58">
        <v>42650</v>
      </c>
      <c r="F42">
        <v>41.593418</v>
      </c>
      <c r="G42" s="15">
        <f t="shared" si="0"/>
        <v>-5.9584989777020758E-2</v>
      </c>
      <c r="H42">
        <v>2132.5500489999999</v>
      </c>
      <c r="I42" s="15">
        <f t="shared" si="1"/>
        <v>-1.3060145567921233E-2</v>
      </c>
    </row>
    <row r="43" spans="5:9" x14ac:dyDescent="0.3">
      <c r="E43" s="58">
        <v>42657</v>
      </c>
      <c r="F43">
        <v>43.488514000000002</v>
      </c>
      <c r="G43" s="15">
        <f t="shared" si="0"/>
        <v>4.5562401243389061E-2</v>
      </c>
      <c r="H43">
        <v>2141.3400879999999</v>
      </c>
      <c r="I43" s="15">
        <f t="shared" si="1"/>
        <v>4.1218441762347346E-3</v>
      </c>
    </row>
    <row r="44" spans="5:9" x14ac:dyDescent="0.3">
      <c r="E44" s="58">
        <v>42664</v>
      </c>
      <c r="F44">
        <v>44.416325000000001</v>
      </c>
      <c r="G44" s="15">
        <f t="shared" si="0"/>
        <v>2.1334621826811562E-2</v>
      </c>
      <c r="H44">
        <v>2133.040039</v>
      </c>
      <c r="I44" s="15">
        <f t="shared" si="1"/>
        <v>-3.8761003198478639E-3</v>
      </c>
    </row>
    <row r="45" spans="5:9" x14ac:dyDescent="0.3">
      <c r="E45" s="58">
        <v>42671</v>
      </c>
      <c r="F45">
        <v>44.821010999999999</v>
      </c>
      <c r="G45" s="15">
        <f t="shared" si="0"/>
        <v>9.1111995420602998E-3</v>
      </c>
      <c r="H45">
        <v>2088.6599120000001</v>
      </c>
      <c r="I45" s="15">
        <f t="shared" si="1"/>
        <v>-2.0806044982074501E-2</v>
      </c>
    </row>
    <row r="46" spans="5:9" x14ac:dyDescent="0.3">
      <c r="E46" s="58">
        <v>42678</v>
      </c>
      <c r="F46">
        <v>46.672137999999997</v>
      </c>
      <c r="G46" s="15">
        <f t="shared" si="0"/>
        <v>4.1300429390135784E-2</v>
      </c>
      <c r="H46">
        <v>2167.4799800000001</v>
      </c>
      <c r="I46" s="15">
        <f t="shared" si="1"/>
        <v>3.7737147894280954E-2</v>
      </c>
    </row>
    <row r="47" spans="5:9" x14ac:dyDescent="0.3">
      <c r="E47" s="58">
        <v>42685</v>
      </c>
      <c r="F47">
        <v>47.651691</v>
      </c>
      <c r="G47" s="15">
        <f t="shared" si="0"/>
        <v>2.0987960740088685E-2</v>
      </c>
      <c r="H47">
        <v>2187.1201169999999</v>
      </c>
      <c r="I47" s="15">
        <f t="shared" si="1"/>
        <v>9.0612772349574211E-3</v>
      </c>
    </row>
    <row r="48" spans="5:9" x14ac:dyDescent="0.3">
      <c r="E48" s="58">
        <v>42692</v>
      </c>
      <c r="F48">
        <v>50.748652999999997</v>
      </c>
      <c r="G48" s="15">
        <f t="shared" si="0"/>
        <v>6.4991649509353211E-2</v>
      </c>
      <c r="H48">
        <v>2204.719971</v>
      </c>
      <c r="I48" s="15">
        <f t="shared" si="1"/>
        <v>8.047044999129449E-3</v>
      </c>
    </row>
    <row r="49" spans="5:9" x14ac:dyDescent="0.3">
      <c r="E49" s="58">
        <v>42699</v>
      </c>
      <c r="F49">
        <v>51.134537000000002</v>
      </c>
      <c r="G49" s="15">
        <f t="shared" si="0"/>
        <v>7.603827435577637E-3</v>
      </c>
      <c r="H49">
        <v>2191.080078</v>
      </c>
      <c r="I49" s="15">
        <f t="shared" si="1"/>
        <v>-6.1866782083047633E-3</v>
      </c>
    </row>
    <row r="50" spans="5:9" x14ac:dyDescent="0.3">
      <c r="E50" s="58">
        <v>42706</v>
      </c>
      <c r="F50">
        <v>53.034275000000001</v>
      </c>
      <c r="G50" s="15">
        <f t="shared" si="0"/>
        <v>3.7151759093858594E-2</v>
      </c>
      <c r="H50">
        <v>2246.1899410000001</v>
      </c>
      <c r="I50" s="15">
        <f t="shared" si="1"/>
        <v>2.5151916423932885E-2</v>
      </c>
    </row>
    <row r="51" spans="5:9" x14ac:dyDescent="0.3">
      <c r="E51" s="58">
        <v>42713</v>
      </c>
      <c r="F51">
        <v>50.689284999999998</v>
      </c>
      <c r="G51" s="15">
        <f t="shared" si="0"/>
        <v>-4.4216499612750537E-2</v>
      </c>
      <c r="H51">
        <v>2262.030029</v>
      </c>
      <c r="I51" s="15">
        <f t="shared" si="1"/>
        <v>7.0519806499302895E-3</v>
      </c>
    </row>
    <row r="52" spans="5:9" x14ac:dyDescent="0.3">
      <c r="E52" s="58">
        <v>42720</v>
      </c>
      <c r="F52">
        <v>51.391792000000002</v>
      </c>
      <c r="G52" s="15">
        <f t="shared" si="0"/>
        <v>1.385908284166959E-2</v>
      </c>
      <c r="H52">
        <v>2260.959961</v>
      </c>
      <c r="I52" s="15">
        <f t="shared" si="1"/>
        <v>-4.730564962804884E-4</v>
      </c>
    </row>
    <row r="53" spans="5:9" x14ac:dyDescent="0.3">
      <c r="E53" s="58">
        <v>42727</v>
      </c>
      <c r="F53">
        <v>51.154327000000002</v>
      </c>
      <c r="G53" s="15">
        <f t="shared" si="0"/>
        <v>-4.620679504618197E-3</v>
      </c>
      <c r="H53">
        <v>2249.26001</v>
      </c>
      <c r="I53" s="15">
        <f t="shared" si="1"/>
        <v>-5.1747714253308486E-3</v>
      </c>
    </row>
    <row r="54" spans="5:9" x14ac:dyDescent="0.3">
      <c r="E54" s="58">
        <v>42734</v>
      </c>
      <c r="F54">
        <v>50.748652999999997</v>
      </c>
      <c r="G54" s="15">
        <f t="shared" si="0"/>
        <v>-7.930394627222892E-3</v>
      </c>
      <c r="H54">
        <v>2269</v>
      </c>
      <c r="I54" s="15">
        <f t="shared" si="1"/>
        <v>8.776215249565622E-3</v>
      </c>
    </row>
    <row r="55" spans="5:9" x14ac:dyDescent="0.3">
      <c r="E55" s="58">
        <v>42741</v>
      </c>
      <c r="F55">
        <v>49.788894999999997</v>
      </c>
      <c r="G55" s="15">
        <f t="shared" si="0"/>
        <v>-1.8911989644336047E-2</v>
      </c>
      <c r="H55">
        <v>2270.4399410000001</v>
      </c>
      <c r="I55" s="15">
        <f t="shared" si="1"/>
        <v>6.3461480828563843E-4</v>
      </c>
    </row>
    <row r="56" spans="5:9" x14ac:dyDescent="0.3">
      <c r="E56" s="58">
        <v>42748</v>
      </c>
      <c r="F56">
        <v>50.847594999999998</v>
      </c>
      <c r="G56" s="15">
        <f t="shared" si="0"/>
        <v>2.1263777796233452E-2</v>
      </c>
      <c r="H56">
        <v>2263.6899410000001</v>
      </c>
      <c r="I56" s="15">
        <f t="shared" si="1"/>
        <v>-2.9729920964247647E-3</v>
      </c>
    </row>
    <row r="57" spans="5:9" x14ac:dyDescent="0.3">
      <c r="E57" s="58">
        <v>42755</v>
      </c>
      <c r="F57">
        <v>50.313293000000002</v>
      </c>
      <c r="G57" s="15">
        <f t="shared" si="0"/>
        <v>-1.0507910944460574E-2</v>
      </c>
      <c r="H57">
        <v>2296.679932</v>
      </c>
      <c r="I57" s="15">
        <f t="shared" si="1"/>
        <v>1.4573546669305104E-2</v>
      </c>
    </row>
    <row r="58" spans="5:9" x14ac:dyDescent="0.3">
      <c r="E58" s="58">
        <v>42762</v>
      </c>
      <c r="F58">
        <v>49.966994999999997</v>
      </c>
      <c r="G58" s="15">
        <f t="shared" si="0"/>
        <v>-6.8828331311966418E-3</v>
      </c>
      <c r="H58">
        <v>2280.8500979999999</v>
      </c>
      <c r="I58" s="15">
        <f t="shared" si="1"/>
        <v>-6.8924858790467836E-3</v>
      </c>
    </row>
    <row r="59" spans="5:9" x14ac:dyDescent="0.3">
      <c r="E59" s="58">
        <v>42769</v>
      </c>
      <c r="F59">
        <v>50.629921000000003</v>
      </c>
      <c r="G59" s="15">
        <f t="shared" si="0"/>
        <v>1.3267277730029781E-2</v>
      </c>
      <c r="H59">
        <v>2307.8701169999999</v>
      </c>
      <c r="I59" s="15">
        <f t="shared" si="1"/>
        <v>1.1846468570509305E-2</v>
      </c>
    </row>
    <row r="60" spans="5:9" x14ac:dyDescent="0.3">
      <c r="E60" s="58">
        <v>42776</v>
      </c>
      <c r="F60">
        <v>52.831508999999997</v>
      </c>
      <c r="G60" s="15">
        <f t="shared" si="0"/>
        <v>4.3483931171845791E-2</v>
      </c>
      <c r="H60">
        <v>2347.219971</v>
      </c>
      <c r="I60" s="15">
        <f t="shared" si="1"/>
        <v>1.7050289663246287E-2</v>
      </c>
    </row>
    <row r="61" spans="5:9" x14ac:dyDescent="0.3">
      <c r="E61" s="58">
        <v>42783</v>
      </c>
      <c r="F61">
        <v>53.366970000000002</v>
      </c>
      <c r="G61" s="15">
        <f t="shared" si="0"/>
        <v>1.0135258487506071E-2</v>
      </c>
      <c r="H61">
        <v>2363.8100589999999</v>
      </c>
      <c r="I61" s="15">
        <f t="shared" si="1"/>
        <v>7.0679732641043547E-3</v>
      </c>
    </row>
    <row r="62" spans="5:9" x14ac:dyDescent="0.3">
      <c r="E62" s="58">
        <v>42790</v>
      </c>
      <c r="F62">
        <v>54.477539</v>
      </c>
      <c r="G62" s="15">
        <f t="shared" si="0"/>
        <v>2.0810044115302073E-2</v>
      </c>
      <c r="H62">
        <v>2381.919922</v>
      </c>
      <c r="I62" s="15">
        <f t="shared" si="1"/>
        <v>7.6613021131068937E-3</v>
      </c>
    </row>
    <row r="63" spans="5:9" x14ac:dyDescent="0.3">
      <c r="E63" s="58">
        <v>42797</v>
      </c>
      <c r="F63">
        <v>53.535538000000003</v>
      </c>
      <c r="G63" s="15">
        <f t="shared" si="0"/>
        <v>-1.7291548357204589E-2</v>
      </c>
      <c r="H63">
        <v>2364.8701169999999</v>
      </c>
      <c r="I63" s="15">
        <f t="shared" si="1"/>
        <v>-7.15800931950894E-3</v>
      </c>
    </row>
    <row r="64" spans="5:9" x14ac:dyDescent="0.3">
      <c r="E64" s="58">
        <v>42804</v>
      </c>
      <c r="F64">
        <v>53.466121999999999</v>
      </c>
      <c r="G64" s="15">
        <f t="shared" si="0"/>
        <v>-1.296634022805665E-3</v>
      </c>
      <c r="H64">
        <v>2381.3798830000001</v>
      </c>
      <c r="I64" s="15">
        <f t="shared" si="1"/>
        <v>6.9812569753064935E-3</v>
      </c>
    </row>
    <row r="65" spans="5:9" x14ac:dyDescent="0.3">
      <c r="E65" s="58">
        <v>42811</v>
      </c>
      <c r="F65">
        <v>52.712524000000002</v>
      </c>
      <c r="G65" s="15">
        <f t="shared" si="0"/>
        <v>-1.4094869270675714E-2</v>
      </c>
      <c r="H65">
        <v>2345.959961</v>
      </c>
      <c r="I65" s="15">
        <f t="shared" si="1"/>
        <v>-1.4873696654974289E-2</v>
      </c>
    </row>
    <row r="66" spans="5:9" x14ac:dyDescent="0.3">
      <c r="E66" s="58">
        <v>42818</v>
      </c>
      <c r="F66">
        <v>53.981746999999999</v>
      </c>
      <c r="G66" s="15">
        <f t="shared" si="0"/>
        <v>2.4078205778953032E-2</v>
      </c>
      <c r="H66">
        <v>2368.0600589999999</v>
      </c>
      <c r="I66" s="15">
        <f t="shared" si="1"/>
        <v>9.4204924071166207E-3</v>
      </c>
    </row>
    <row r="67" spans="5:9" x14ac:dyDescent="0.3">
      <c r="E67" s="58">
        <v>42825</v>
      </c>
      <c r="F67">
        <v>53.942084999999999</v>
      </c>
      <c r="G67" s="15">
        <f t="shared" si="0"/>
        <v>-7.3472983377143031E-4</v>
      </c>
      <c r="H67">
        <v>2357.48999</v>
      </c>
      <c r="I67" s="15">
        <f t="shared" si="1"/>
        <v>-4.4635983618014352E-3</v>
      </c>
    </row>
    <row r="68" spans="5:9" x14ac:dyDescent="0.3">
      <c r="E68" s="58">
        <v>42832</v>
      </c>
      <c r="F68">
        <v>52.256393000000003</v>
      </c>
      <c r="G68" s="15">
        <f t="shared" ref="G68:G123" si="2">F68/F67-1</f>
        <v>-3.1250034180176689E-2</v>
      </c>
      <c r="H68">
        <v>2328.9499510000001</v>
      </c>
      <c r="I68" s="15">
        <f t="shared" ref="I68:I123" si="3">H68/H67-1</f>
        <v>-1.2106112484490339E-2</v>
      </c>
    </row>
    <row r="69" spans="5:9" x14ac:dyDescent="0.3">
      <c r="E69" s="58">
        <v>42839</v>
      </c>
      <c r="F69">
        <v>51.225147</v>
      </c>
      <c r="G69" s="15">
        <f t="shared" si="2"/>
        <v>-1.9734350972138492E-2</v>
      </c>
      <c r="H69">
        <v>2355.8400879999999</v>
      </c>
      <c r="I69" s="15">
        <f t="shared" si="3"/>
        <v>1.1546034721980014E-2</v>
      </c>
    </row>
    <row r="70" spans="5:9" x14ac:dyDescent="0.3">
      <c r="E70" s="58">
        <v>42846</v>
      </c>
      <c r="F70">
        <v>52.038241999999997</v>
      </c>
      <c r="G70" s="15">
        <f t="shared" si="2"/>
        <v>1.5872965674456729E-2</v>
      </c>
      <c r="H70">
        <v>2388.7700199999999</v>
      </c>
      <c r="I70" s="15">
        <f t="shared" si="3"/>
        <v>1.3977999681615172E-2</v>
      </c>
    </row>
    <row r="71" spans="5:9" x14ac:dyDescent="0.3">
      <c r="E71" s="58">
        <v>42853</v>
      </c>
      <c r="F71">
        <v>50.243481000000003</v>
      </c>
      <c r="G71" s="15">
        <f t="shared" si="2"/>
        <v>-3.4489270410018702E-2</v>
      </c>
      <c r="H71">
        <v>2389.5200199999999</v>
      </c>
      <c r="I71" s="15">
        <f t="shared" si="3"/>
        <v>3.1396911118308779E-4</v>
      </c>
    </row>
    <row r="72" spans="5:9" x14ac:dyDescent="0.3">
      <c r="E72" s="58">
        <v>42860</v>
      </c>
      <c r="F72">
        <v>49.862121999999999</v>
      </c>
      <c r="G72" s="15">
        <f t="shared" si="2"/>
        <v>-7.5902185200902306E-3</v>
      </c>
      <c r="H72">
        <v>2394.4399410000001</v>
      </c>
      <c r="I72" s="15">
        <f t="shared" si="3"/>
        <v>2.0589578487817395E-3</v>
      </c>
    </row>
    <row r="73" spans="5:9" x14ac:dyDescent="0.3">
      <c r="E73" s="58">
        <v>42867</v>
      </c>
      <c r="F73">
        <v>49.723007000000003</v>
      </c>
      <c r="G73" s="15">
        <f t="shared" si="2"/>
        <v>-2.7899935746816817E-3</v>
      </c>
      <c r="H73">
        <v>2365.719971</v>
      </c>
      <c r="I73" s="15">
        <f t="shared" si="3"/>
        <v>-1.1994441584534221E-2</v>
      </c>
    </row>
    <row r="74" spans="5:9" x14ac:dyDescent="0.3">
      <c r="E74" s="58">
        <v>42874</v>
      </c>
      <c r="F74">
        <v>50.835911000000003</v>
      </c>
      <c r="G74" s="15">
        <f t="shared" si="2"/>
        <v>2.2382073553998794E-2</v>
      </c>
      <c r="H74">
        <v>2415.070068</v>
      </c>
      <c r="I74" s="15">
        <f t="shared" si="3"/>
        <v>2.0860498116833215E-2</v>
      </c>
    </row>
    <row r="75" spans="5:9" x14ac:dyDescent="0.3">
      <c r="E75" s="58">
        <v>42881</v>
      </c>
      <c r="F75">
        <v>51.680526999999998</v>
      </c>
      <c r="G75" s="15">
        <f t="shared" si="2"/>
        <v>1.661455422722713E-2</v>
      </c>
      <c r="H75">
        <v>2430.0600589999999</v>
      </c>
      <c r="I75" s="15">
        <f t="shared" si="3"/>
        <v>6.2068555271415082E-3</v>
      </c>
    </row>
    <row r="76" spans="5:9" x14ac:dyDescent="0.3">
      <c r="E76" s="58">
        <v>42888</v>
      </c>
      <c r="F76">
        <v>51.064453</v>
      </c>
      <c r="G76" s="15">
        <f t="shared" si="2"/>
        <v>-1.1920814971565497E-2</v>
      </c>
      <c r="H76">
        <v>2433.790039</v>
      </c>
      <c r="I76" s="15">
        <f t="shared" si="3"/>
        <v>1.5349332565610663E-3</v>
      </c>
    </row>
    <row r="77" spans="5:9" x14ac:dyDescent="0.3">
      <c r="E77" s="58">
        <v>42895</v>
      </c>
      <c r="F77">
        <v>51.879261</v>
      </c>
      <c r="G77" s="15">
        <f t="shared" si="2"/>
        <v>1.5956461924697463E-2</v>
      </c>
      <c r="H77">
        <v>2432.459961</v>
      </c>
      <c r="I77" s="15">
        <f t="shared" si="3"/>
        <v>-5.4650482526685806E-4</v>
      </c>
    </row>
    <row r="78" spans="5:9" x14ac:dyDescent="0.3">
      <c r="E78" s="58">
        <v>42902</v>
      </c>
      <c r="F78">
        <v>50.984959000000003</v>
      </c>
      <c r="G78" s="15">
        <f t="shared" si="2"/>
        <v>-1.7238140689783465E-2</v>
      </c>
      <c r="H78">
        <v>2434.5</v>
      </c>
      <c r="I78" s="15">
        <f t="shared" si="3"/>
        <v>8.3867320848374227E-4</v>
      </c>
    </row>
    <row r="79" spans="5:9" x14ac:dyDescent="0.3">
      <c r="E79" s="58">
        <v>42909</v>
      </c>
      <c r="F79">
        <v>51.988563999999997</v>
      </c>
      <c r="G79" s="15">
        <f t="shared" si="2"/>
        <v>1.9684334746645549E-2</v>
      </c>
      <c r="H79">
        <v>2419.6999510000001</v>
      </c>
      <c r="I79" s="15">
        <f t="shared" si="3"/>
        <v>-6.0792971862805301E-3</v>
      </c>
    </row>
    <row r="80" spans="5:9" x14ac:dyDescent="0.3">
      <c r="E80" s="58">
        <v>42916</v>
      </c>
      <c r="F80">
        <v>53.111404</v>
      </c>
      <c r="G80" s="15">
        <f t="shared" si="2"/>
        <v>2.1597826783598117E-2</v>
      </c>
      <c r="H80">
        <v>2409.75</v>
      </c>
      <c r="I80" s="15">
        <f t="shared" si="3"/>
        <v>-4.1120598427454302E-3</v>
      </c>
    </row>
    <row r="81" spans="5:9" x14ac:dyDescent="0.3">
      <c r="E81" s="58">
        <v>42923</v>
      </c>
      <c r="F81">
        <v>53.856655000000003</v>
      </c>
      <c r="G81" s="15">
        <f t="shared" si="2"/>
        <v>1.4031845213506422E-2</v>
      </c>
      <c r="H81">
        <v>2447.830078</v>
      </c>
      <c r="I81" s="15">
        <f t="shared" si="3"/>
        <v>1.5802501504305511E-2</v>
      </c>
    </row>
    <row r="82" spans="5:9" x14ac:dyDescent="0.3">
      <c r="E82" s="58">
        <v>42930</v>
      </c>
      <c r="F82">
        <v>54.144821</v>
      </c>
      <c r="G82" s="15">
        <f t="shared" si="2"/>
        <v>5.3506108019518717E-3</v>
      </c>
      <c r="H82">
        <v>2473.4499510000001</v>
      </c>
      <c r="I82" s="15">
        <f t="shared" si="3"/>
        <v>1.0466360892555482E-2</v>
      </c>
    </row>
    <row r="83" spans="5:9" x14ac:dyDescent="0.3">
      <c r="E83" s="58">
        <v>42937</v>
      </c>
      <c r="F83">
        <v>50.716675000000002</v>
      </c>
      <c r="G83" s="15">
        <f t="shared" si="2"/>
        <v>-6.3314384214143038E-2</v>
      </c>
      <c r="H83">
        <v>2475.419922</v>
      </c>
      <c r="I83" s="15">
        <f t="shared" si="3"/>
        <v>7.9644667934508639E-4</v>
      </c>
    </row>
    <row r="84" spans="5:9" x14ac:dyDescent="0.3">
      <c r="E84" s="58">
        <v>42944</v>
      </c>
      <c r="F84">
        <v>51.948813999999999</v>
      </c>
      <c r="G84" s="15">
        <f t="shared" si="2"/>
        <v>2.4294554010096281E-2</v>
      </c>
      <c r="H84">
        <v>2472.1599120000001</v>
      </c>
      <c r="I84" s="15">
        <f t="shared" si="3"/>
        <v>-1.3169523162623875E-3</v>
      </c>
    </row>
    <row r="85" spans="5:9" x14ac:dyDescent="0.3">
      <c r="E85" s="58">
        <v>42951</v>
      </c>
      <c r="F85">
        <v>52.663727000000002</v>
      </c>
      <c r="G85" s="15">
        <f t="shared" si="2"/>
        <v>1.3761873370198741E-2</v>
      </c>
      <c r="H85">
        <v>2438.209961</v>
      </c>
      <c r="I85" s="15">
        <f t="shared" si="3"/>
        <v>-1.3732910575568025E-2</v>
      </c>
    </row>
    <row r="86" spans="5:9" x14ac:dyDescent="0.3">
      <c r="E86" s="58">
        <v>42958</v>
      </c>
      <c r="F86">
        <v>52.135795999999999</v>
      </c>
      <c r="G86" s="15">
        <f t="shared" si="2"/>
        <v>-1.0024565864850454E-2</v>
      </c>
      <c r="H86">
        <v>2430.01001</v>
      </c>
      <c r="I86" s="15">
        <f t="shared" si="3"/>
        <v>-3.3631029038356797E-3</v>
      </c>
    </row>
    <row r="87" spans="5:9" x14ac:dyDescent="0.3">
      <c r="E87" s="58">
        <v>42965</v>
      </c>
      <c r="F87">
        <v>52.325054000000002</v>
      </c>
      <c r="G87" s="15">
        <f t="shared" si="2"/>
        <v>3.6300970642129116E-3</v>
      </c>
      <c r="H87">
        <v>2438.969971</v>
      </c>
      <c r="I87" s="15">
        <f t="shared" si="3"/>
        <v>3.6872115600874444E-3</v>
      </c>
    </row>
    <row r="88" spans="5:9" x14ac:dyDescent="0.3">
      <c r="E88" s="58">
        <v>42972</v>
      </c>
      <c r="F88">
        <v>53.560218999999996</v>
      </c>
      <c r="G88" s="15">
        <f t="shared" si="2"/>
        <v>2.3605613479156462E-2</v>
      </c>
      <c r="H88">
        <v>2471.6499020000001</v>
      </c>
      <c r="I88" s="15">
        <f t="shared" si="3"/>
        <v>1.3399070668590918E-2</v>
      </c>
    </row>
    <row r="89" spans="5:9" x14ac:dyDescent="0.3">
      <c r="E89" s="58">
        <v>42979</v>
      </c>
      <c r="F89">
        <v>52.594002000000003</v>
      </c>
      <c r="G89" s="15">
        <f t="shared" si="2"/>
        <v>-1.8039825415948951E-2</v>
      </c>
      <c r="H89">
        <v>2465.1000979999999</v>
      </c>
      <c r="I89" s="15">
        <f t="shared" si="3"/>
        <v>-2.649972390790567E-3</v>
      </c>
    </row>
    <row r="90" spans="5:9" x14ac:dyDescent="0.3">
      <c r="E90" s="58">
        <v>42986</v>
      </c>
      <c r="F90">
        <v>54.147914999999998</v>
      </c>
      <c r="G90" s="15">
        <f t="shared" si="2"/>
        <v>2.9545441322377242E-2</v>
      </c>
      <c r="H90">
        <v>2495.6201169999999</v>
      </c>
      <c r="I90" s="15">
        <f t="shared" si="3"/>
        <v>1.2380843692619825E-2</v>
      </c>
    </row>
    <row r="91" spans="5:9" x14ac:dyDescent="0.3">
      <c r="E91" s="58">
        <v>42993</v>
      </c>
      <c r="F91">
        <v>57.694023000000001</v>
      </c>
      <c r="G91" s="15">
        <f t="shared" si="2"/>
        <v>6.5489280612189837E-2</v>
      </c>
      <c r="H91">
        <v>2500.6000979999999</v>
      </c>
      <c r="I91" s="15">
        <f t="shared" si="3"/>
        <v>1.9954884022919117E-3</v>
      </c>
    </row>
    <row r="92" spans="5:9" x14ac:dyDescent="0.3">
      <c r="E92" s="58">
        <v>43000</v>
      </c>
      <c r="F92">
        <v>56.956913</v>
      </c>
      <c r="G92" s="15">
        <f t="shared" si="2"/>
        <v>-1.2776193471549013E-2</v>
      </c>
      <c r="H92">
        <v>2510.0600589999999</v>
      </c>
      <c r="I92" s="15">
        <f t="shared" si="3"/>
        <v>3.7830763133881451E-3</v>
      </c>
    </row>
    <row r="93" spans="5:9" x14ac:dyDescent="0.3">
      <c r="E93" s="58">
        <v>43007</v>
      </c>
      <c r="F93">
        <v>58.630360000000003</v>
      </c>
      <c r="G93" s="15">
        <f t="shared" si="2"/>
        <v>2.938092870307063E-2</v>
      </c>
      <c r="H93">
        <v>2552.070068</v>
      </c>
      <c r="I93" s="15">
        <f t="shared" si="3"/>
        <v>1.6736654905674442E-2</v>
      </c>
    </row>
    <row r="94" spans="5:9" x14ac:dyDescent="0.3">
      <c r="E94" s="58">
        <v>43014</v>
      </c>
      <c r="F94">
        <v>59.875484</v>
      </c>
      <c r="G94" s="15">
        <f t="shared" si="2"/>
        <v>2.1236847257973368E-2</v>
      </c>
      <c r="H94">
        <v>2550.929932</v>
      </c>
      <c r="I94" s="15">
        <f t="shared" si="3"/>
        <v>-4.4674948948153492E-4</v>
      </c>
    </row>
    <row r="95" spans="5:9" x14ac:dyDescent="0.3">
      <c r="E95" s="58">
        <v>43021</v>
      </c>
      <c r="F95">
        <v>61.150486000000001</v>
      </c>
      <c r="G95" s="15">
        <f t="shared" si="2"/>
        <v>2.1294224527688144E-2</v>
      </c>
      <c r="H95">
        <v>2562.1000979999999</v>
      </c>
      <c r="I95" s="15">
        <f t="shared" si="3"/>
        <v>4.3788603755345878E-3</v>
      </c>
    </row>
    <row r="96" spans="5:9" x14ac:dyDescent="0.3">
      <c r="E96" s="58">
        <v>43028</v>
      </c>
      <c r="F96">
        <v>61.797950999999998</v>
      </c>
      <c r="G96" s="15">
        <f t="shared" si="2"/>
        <v>1.0588059758020574E-2</v>
      </c>
      <c r="H96">
        <v>2560.3999020000001</v>
      </c>
      <c r="I96" s="15">
        <f t="shared" si="3"/>
        <v>-6.6359468208398997E-4</v>
      </c>
    </row>
    <row r="97" spans="5:9" x14ac:dyDescent="0.3">
      <c r="E97" s="58">
        <v>43035</v>
      </c>
      <c r="F97">
        <v>62.415534999999998</v>
      </c>
      <c r="G97" s="15">
        <f t="shared" si="2"/>
        <v>9.9935999496165717E-3</v>
      </c>
      <c r="H97">
        <v>2579.8500979999999</v>
      </c>
      <c r="I97" s="15">
        <f t="shared" si="3"/>
        <v>7.5965461429703396E-3</v>
      </c>
    </row>
    <row r="98" spans="5:9" x14ac:dyDescent="0.3">
      <c r="E98" s="58">
        <v>43042</v>
      </c>
      <c r="F98">
        <v>60.647281999999997</v>
      </c>
      <c r="G98" s="15">
        <f t="shared" si="2"/>
        <v>-2.8330334747591279E-2</v>
      </c>
      <c r="H98">
        <v>2584.6201169999999</v>
      </c>
      <c r="I98" s="15">
        <f t="shared" si="3"/>
        <v>1.8489520006212956E-3</v>
      </c>
    </row>
    <row r="99" spans="5:9" x14ac:dyDescent="0.3">
      <c r="E99" s="58">
        <v>43049</v>
      </c>
      <c r="F99">
        <v>59.709026000000001</v>
      </c>
      <c r="G99" s="15">
        <f t="shared" si="2"/>
        <v>-1.547070155592456E-2</v>
      </c>
      <c r="H99">
        <v>2585.639893</v>
      </c>
      <c r="I99" s="15">
        <f t="shared" si="3"/>
        <v>3.9455546805222674E-4</v>
      </c>
    </row>
    <row r="100" spans="5:9" x14ac:dyDescent="0.3">
      <c r="E100" s="58">
        <v>43056</v>
      </c>
      <c r="F100">
        <v>60.138229000000003</v>
      </c>
      <c r="G100" s="15">
        <f t="shared" si="2"/>
        <v>7.1882431979379824E-3</v>
      </c>
      <c r="H100">
        <v>2597.080078</v>
      </c>
      <c r="I100" s="15">
        <f t="shared" si="3"/>
        <v>4.4245082352618592E-3</v>
      </c>
    </row>
    <row r="101" spans="5:9" x14ac:dyDescent="0.3">
      <c r="E101" s="58">
        <v>43063</v>
      </c>
      <c r="F101">
        <v>61.884982999999998</v>
      </c>
      <c r="G101" s="15">
        <f t="shared" si="2"/>
        <v>2.9045650812231205E-2</v>
      </c>
      <c r="H101">
        <v>2647.580078</v>
      </c>
      <c r="I101" s="15">
        <f t="shared" si="3"/>
        <v>1.9444914474446851E-2</v>
      </c>
    </row>
    <row r="102" spans="5:9" x14ac:dyDescent="0.3">
      <c r="E102" s="58">
        <v>43070</v>
      </c>
      <c r="F102">
        <v>60.607357</v>
      </c>
      <c r="G102" s="15">
        <f t="shared" si="2"/>
        <v>-2.0645170089163556E-2</v>
      </c>
      <c r="H102">
        <v>2636.9799800000001</v>
      </c>
      <c r="I102" s="15">
        <f t="shared" si="3"/>
        <v>-4.003693066011893E-3</v>
      </c>
    </row>
    <row r="103" spans="5:9" x14ac:dyDescent="0.3">
      <c r="E103" s="58">
        <v>43077</v>
      </c>
      <c r="F103">
        <v>60.926761999999997</v>
      </c>
      <c r="G103" s="15">
        <f t="shared" si="2"/>
        <v>5.2700697705725386E-3</v>
      </c>
      <c r="H103">
        <v>2652.01001</v>
      </c>
      <c r="I103" s="15">
        <f t="shared" si="3"/>
        <v>5.699713351634994E-3</v>
      </c>
    </row>
    <row r="104" spans="5:9" x14ac:dyDescent="0.3">
      <c r="E104" s="58">
        <v>43084</v>
      </c>
      <c r="F104">
        <v>62.214371</v>
      </c>
      <c r="G104" s="15">
        <f t="shared" si="2"/>
        <v>2.1133717889028958E-2</v>
      </c>
      <c r="H104">
        <v>2684.570068</v>
      </c>
      <c r="I104" s="15">
        <f t="shared" si="3"/>
        <v>1.2277501923908751E-2</v>
      </c>
    </row>
    <row r="105" spans="5:9" x14ac:dyDescent="0.3">
      <c r="E105" s="58">
        <v>43091</v>
      </c>
      <c r="F105">
        <v>62.124538000000001</v>
      </c>
      <c r="G105" s="15">
        <f t="shared" si="2"/>
        <v>-1.4439268380612713E-3</v>
      </c>
      <c r="H105">
        <v>2687.540039</v>
      </c>
      <c r="I105" s="15">
        <f t="shared" si="3"/>
        <v>1.1063115973026783E-3</v>
      </c>
    </row>
    <row r="106" spans="5:9" x14ac:dyDescent="0.3">
      <c r="E106" s="58">
        <v>43098</v>
      </c>
      <c r="F106">
        <v>62.933033000000002</v>
      </c>
      <c r="G106" s="15">
        <f t="shared" si="2"/>
        <v>1.3014100805063489E-2</v>
      </c>
      <c r="H106">
        <v>2723.98999</v>
      </c>
      <c r="I106" s="15">
        <f t="shared" si="3"/>
        <v>1.3562570406788321E-2</v>
      </c>
    </row>
    <row r="107" spans="5:9" x14ac:dyDescent="0.3">
      <c r="E107" s="58">
        <v>43105</v>
      </c>
      <c r="F107">
        <v>63.931182999999997</v>
      </c>
      <c r="G107" s="15">
        <f t="shared" si="2"/>
        <v>1.58605100122855E-2</v>
      </c>
      <c r="H107">
        <v>2767.5600589999999</v>
      </c>
      <c r="I107" s="15">
        <f t="shared" si="3"/>
        <v>1.5994944606973371E-2</v>
      </c>
    </row>
    <row r="108" spans="5:9" x14ac:dyDescent="0.3">
      <c r="E108" s="58">
        <v>43112</v>
      </c>
      <c r="F108">
        <v>64.560012999999998</v>
      </c>
      <c r="G108" s="15">
        <f t="shared" si="2"/>
        <v>9.8360451111940694E-3</v>
      </c>
      <c r="H108">
        <v>2798.030029</v>
      </c>
      <c r="I108" s="15">
        <f t="shared" si="3"/>
        <v>1.1009686998810775E-2</v>
      </c>
    </row>
    <row r="109" spans="5:9" x14ac:dyDescent="0.3">
      <c r="E109" s="58">
        <v>43119</v>
      </c>
      <c r="F109">
        <v>66.246880000000004</v>
      </c>
      <c r="G109" s="15">
        <f t="shared" si="2"/>
        <v>2.6128665742369162E-2</v>
      </c>
      <c r="H109">
        <v>2839.25</v>
      </c>
      <c r="I109" s="15">
        <f t="shared" si="3"/>
        <v>1.4731782923263159E-2</v>
      </c>
    </row>
    <row r="110" spans="5:9" x14ac:dyDescent="0.3">
      <c r="E110" s="58">
        <v>43126</v>
      </c>
      <c r="F110">
        <v>68.572547999999998</v>
      </c>
      <c r="G110" s="15">
        <f t="shared" si="2"/>
        <v>3.5106075938972525E-2</v>
      </c>
      <c r="H110">
        <v>2821.9799800000001</v>
      </c>
      <c r="I110" s="15">
        <f t="shared" si="3"/>
        <v>-6.0825992779782734E-3</v>
      </c>
    </row>
    <row r="111" spans="5:9" x14ac:dyDescent="0.3">
      <c r="E111" s="58">
        <v>43133</v>
      </c>
      <c r="F111">
        <v>63.112698000000002</v>
      </c>
      <c r="G111" s="15">
        <f t="shared" si="2"/>
        <v>-7.9621512678805462E-2</v>
      </c>
      <c r="H111">
        <v>2581</v>
      </c>
      <c r="I111" s="15">
        <f t="shared" si="3"/>
        <v>-8.5393936777680479E-2</v>
      </c>
    </row>
    <row r="112" spans="5:9" x14ac:dyDescent="0.3">
      <c r="E112" s="58">
        <v>43140</v>
      </c>
      <c r="F112">
        <v>68.239998</v>
      </c>
      <c r="G112" s="15">
        <f t="shared" si="2"/>
        <v>8.1240386839428025E-2</v>
      </c>
      <c r="H112">
        <v>2731.1999510000001</v>
      </c>
      <c r="I112" s="15">
        <f t="shared" si="3"/>
        <v>5.8194479271600263E-2</v>
      </c>
    </row>
    <row r="113" spans="5:9" x14ac:dyDescent="0.3">
      <c r="E113" s="58">
        <v>43147</v>
      </c>
      <c r="F113">
        <v>66.389999000000003</v>
      </c>
      <c r="G113" s="15">
        <f t="shared" si="2"/>
        <v>-2.7110185436992507E-2</v>
      </c>
      <c r="H113">
        <v>2703.959961</v>
      </c>
      <c r="I113" s="15">
        <f t="shared" si="3"/>
        <v>-9.9736344788767806E-3</v>
      </c>
    </row>
    <row r="114" spans="5:9" x14ac:dyDescent="0.3">
      <c r="E114" s="58">
        <v>43154</v>
      </c>
      <c r="F114">
        <v>65.839995999999999</v>
      </c>
      <c r="G114" s="15">
        <f t="shared" si="2"/>
        <v>-8.2844254900501513E-3</v>
      </c>
      <c r="H114">
        <v>2677.669922</v>
      </c>
      <c r="I114" s="15">
        <f t="shared" si="3"/>
        <v>-9.7227915276811849E-3</v>
      </c>
    </row>
    <row r="115" spans="5:9" x14ac:dyDescent="0.3">
      <c r="E115" s="58">
        <v>43161</v>
      </c>
      <c r="F115">
        <v>68.029999000000004</v>
      </c>
      <c r="G115" s="15">
        <f t="shared" si="2"/>
        <v>3.326250202080816E-2</v>
      </c>
      <c r="H115">
        <v>2738.969971</v>
      </c>
      <c r="I115" s="15">
        <f t="shared" si="3"/>
        <v>2.289305656995011E-2</v>
      </c>
    </row>
    <row r="116" spans="5:9" x14ac:dyDescent="0.3">
      <c r="E116" s="58">
        <v>43168</v>
      </c>
      <c r="F116">
        <v>67.410004000000001</v>
      </c>
      <c r="G116" s="15">
        <f t="shared" si="2"/>
        <v>-9.1135529782971902E-3</v>
      </c>
      <c r="H116">
        <v>2747.330078</v>
      </c>
      <c r="I116" s="15">
        <f t="shared" si="3"/>
        <v>3.0522813643509838E-3</v>
      </c>
    </row>
    <row r="117" spans="5:9" x14ac:dyDescent="0.3">
      <c r="E117" s="58">
        <v>43175</v>
      </c>
      <c r="F117">
        <v>64.559997999999993</v>
      </c>
      <c r="G117" s="15">
        <f t="shared" si="2"/>
        <v>-4.2278680179280381E-2</v>
      </c>
      <c r="H117">
        <v>2643.6899410000001</v>
      </c>
      <c r="I117" s="15">
        <f t="shared" si="3"/>
        <v>-3.7723947999523832E-2</v>
      </c>
    </row>
    <row r="118" spans="5:9" x14ac:dyDescent="0.3">
      <c r="E118" s="58">
        <v>43182</v>
      </c>
      <c r="F118">
        <v>64.589995999999999</v>
      </c>
      <c r="G118" s="15">
        <f t="shared" si="2"/>
        <v>4.64653050330055E-4</v>
      </c>
      <c r="H118">
        <v>2640.8701169999999</v>
      </c>
      <c r="I118" s="15">
        <f t="shared" si="3"/>
        <v>-1.0666243254432439E-3</v>
      </c>
    </row>
    <row r="119" spans="5:9" x14ac:dyDescent="0.3">
      <c r="E119" s="58">
        <v>43189</v>
      </c>
      <c r="F119">
        <v>65.879997000000003</v>
      </c>
      <c r="G119" s="15">
        <f t="shared" si="2"/>
        <v>1.9972148628094155E-2</v>
      </c>
      <c r="H119">
        <v>2662.8400879999999</v>
      </c>
      <c r="I119" s="15">
        <f t="shared" si="3"/>
        <v>8.3192167833523456E-3</v>
      </c>
    </row>
    <row r="120" spans="5:9" x14ac:dyDescent="0.3">
      <c r="E120" s="58">
        <v>43196</v>
      </c>
      <c r="F120">
        <v>65.419998000000007</v>
      </c>
      <c r="G120" s="15">
        <f t="shared" si="2"/>
        <v>-6.9823773671391365E-3</v>
      </c>
      <c r="H120">
        <v>2663.98999</v>
      </c>
      <c r="I120" s="15">
        <f t="shared" si="3"/>
        <v>4.3183291598403173E-4</v>
      </c>
    </row>
    <row r="121" spans="5:9" x14ac:dyDescent="0.3">
      <c r="E121" s="58">
        <v>43203</v>
      </c>
      <c r="F121">
        <v>65.849997999999999</v>
      </c>
      <c r="G121" s="15">
        <f t="shared" si="2"/>
        <v>6.5729136830605661E-3</v>
      </c>
      <c r="H121">
        <v>2693.1298830000001</v>
      </c>
      <c r="I121" s="15">
        <f t="shared" si="3"/>
        <v>1.0938439374541309E-2</v>
      </c>
    </row>
    <row r="122" spans="5:9" x14ac:dyDescent="0.3">
      <c r="E122" s="58">
        <v>43210</v>
      </c>
      <c r="F122">
        <v>66.739998</v>
      </c>
      <c r="G122" s="15">
        <f t="shared" si="2"/>
        <v>1.3515566090070319E-2</v>
      </c>
      <c r="H122">
        <v>2666.9399410000001</v>
      </c>
      <c r="I122" s="15">
        <f t="shared" si="3"/>
        <v>-9.7247229572254845E-3</v>
      </c>
    </row>
    <row r="123" spans="5:9" x14ac:dyDescent="0.3">
      <c r="E123" s="58">
        <v>43217</v>
      </c>
      <c r="F123">
        <v>66.760002</v>
      </c>
      <c r="G123" s="15">
        <f t="shared" si="2"/>
        <v>2.9973030565577652E-4</v>
      </c>
      <c r="H123">
        <v>2669.9099120000001</v>
      </c>
      <c r="I123" s="15">
        <f t="shared" si="3"/>
        <v>1.1136250030761019E-3</v>
      </c>
    </row>
  </sheetData>
  <autoFilter ref="E1:H12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zoomScale="80" zoomScaleNormal="80" workbookViewId="0">
      <selection activeCell="B25" sqref="B25"/>
    </sheetView>
  </sheetViews>
  <sheetFormatPr defaultRowHeight="14.4" x14ac:dyDescent="0.3"/>
  <cols>
    <col min="1" max="1" width="27.44140625" customWidth="1"/>
    <col min="2" max="7" width="12" bestFit="1" customWidth="1"/>
    <col min="8" max="9" width="5.109375" customWidth="1"/>
    <col min="10" max="10" width="12.88671875" bestFit="1" customWidth="1"/>
    <col min="11" max="11" width="13.88671875" bestFit="1" customWidth="1"/>
    <col min="12" max="13" width="12.77734375" bestFit="1" customWidth="1"/>
    <col min="14" max="14" width="14.44140625" bestFit="1" customWidth="1"/>
    <col min="16" max="16" width="8.33203125" bestFit="1" customWidth="1"/>
    <col min="17" max="17" width="12" bestFit="1" customWidth="1"/>
    <col min="18" max="18" width="11.33203125" bestFit="1" customWidth="1"/>
    <col min="19" max="19" width="12" bestFit="1" customWidth="1"/>
    <col min="20" max="20" width="20.109375" bestFit="1" customWidth="1"/>
    <col min="21" max="22" width="12" bestFit="1" customWidth="1"/>
  </cols>
  <sheetData>
    <row r="1" spans="1:22" x14ac:dyDescent="0.3">
      <c r="A1" s="16" t="s">
        <v>316</v>
      </c>
    </row>
    <row r="2" spans="1:22" x14ac:dyDescent="0.3">
      <c r="P2" t="s">
        <v>317</v>
      </c>
      <c r="Q2" s="82">
        <v>1495.1</v>
      </c>
      <c r="R2" t="s">
        <v>318</v>
      </c>
    </row>
    <row r="3" spans="1:22" x14ac:dyDescent="0.3">
      <c r="C3">
        <v>2018</v>
      </c>
      <c r="D3">
        <v>2019</v>
      </c>
      <c r="E3">
        <v>2020</v>
      </c>
      <c r="F3">
        <v>2021</v>
      </c>
      <c r="G3">
        <v>2022</v>
      </c>
      <c r="J3" t="s">
        <v>319</v>
      </c>
      <c r="K3" s="83">
        <v>14</v>
      </c>
      <c r="M3" t="s">
        <v>320</v>
      </c>
      <c r="N3" s="84">
        <v>9.6299999999999997E-2</v>
      </c>
      <c r="P3" t="s">
        <v>321</v>
      </c>
      <c r="Q3" s="82">
        <v>2780.9</v>
      </c>
      <c r="R3" t="s">
        <v>318</v>
      </c>
    </row>
    <row r="4" spans="1:22" x14ac:dyDescent="0.3">
      <c r="A4" t="s">
        <v>322</v>
      </c>
      <c r="B4" s="85">
        <v>65.3</v>
      </c>
      <c r="J4" t="s">
        <v>323</v>
      </c>
      <c r="K4" s="86">
        <v>5854000000</v>
      </c>
      <c r="L4" t="s">
        <v>324</v>
      </c>
      <c r="P4" t="s">
        <v>325</v>
      </c>
      <c r="Q4" s="82">
        <v>89.6</v>
      </c>
      <c r="R4" t="s">
        <v>318</v>
      </c>
    </row>
    <row r="5" spans="1:22" x14ac:dyDescent="0.3">
      <c r="A5" t="s">
        <v>326</v>
      </c>
      <c r="B5" s="85"/>
      <c r="C5" s="87">
        <v>3.01</v>
      </c>
      <c r="D5" s="88">
        <v>3.44</v>
      </c>
      <c r="E5" s="88">
        <v>3.87</v>
      </c>
      <c r="F5" s="87"/>
      <c r="G5" s="87"/>
      <c r="J5" t="s">
        <v>327</v>
      </c>
      <c r="K5" s="89">
        <v>0.28110000000000002</v>
      </c>
      <c r="P5" t="s">
        <v>328</v>
      </c>
      <c r="Q5">
        <f>Q2/Q4</f>
        <v>16.686383928571427</v>
      </c>
    </row>
    <row r="6" spans="1:22" x14ac:dyDescent="0.3">
      <c r="A6" t="s">
        <v>329</v>
      </c>
      <c r="C6" s="90">
        <f>C5</f>
        <v>3.01</v>
      </c>
      <c r="D6" s="90">
        <f>IF(ISBLANK(D5),C6*(1+$N$3),D5)</f>
        <v>3.44</v>
      </c>
      <c r="E6" s="90">
        <f>IF(ISBLANK(E5),D6*(1+$N$3),E5)</f>
        <v>3.87</v>
      </c>
      <c r="F6" s="90">
        <f>IF(ISBLANK(F5),E6*(1+$N$3),F5)</f>
        <v>4.2426810000000001</v>
      </c>
      <c r="G6" s="91">
        <f>F6*(1+$N$3)</f>
        <v>4.6512511803000001</v>
      </c>
      <c r="J6" t="s">
        <v>330</v>
      </c>
      <c r="K6" s="90">
        <f>Q5/B4</f>
        <v>0.25553421023845985</v>
      </c>
      <c r="P6" t="s">
        <v>331</v>
      </c>
      <c r="Q6" s="91">
        <f>Q3/Q4</f>
        <v>31.036830357142861</v>
      </c>
    </row>
    <row r="7" spans="1:22" x14ac:dyDescent="0.3">
      <c r="A7" t="s">
        <v>332</v>
      </c>
      <c r="C7">
        <f>C6/$Q$6</f>
        <v>9.6981552734726154E-2</v>
      </c>
      <c r="D7">
        <f>D6/$Q$6</f>
        <v>0.11083606026825846</v>
      </c>
      <c r="E7">
        <f>E6/$Q$6</f>
        <v>0.12469056780179077</v>
      </c>
      <c r="F7">
        <f>F6/$Q$6</f>
        <v>0.13669826948110322</v>
      </c>
      <c r="G7">
        <f>G6/$Q$6</f>
        <v>0.14986231283213347</v>
      </c>
      <c r="L7" t="s">
        <v>333</v>
      </c>
      <c r="M7" t="s">
        <v>333</v>
      </c>
      <c r="N7" t="s">
        <v>333</v>
      </c>
      <c r="P7" t="s">
        <v>334</v>
      </c>
      <c r="Q7" s="84">
        <v>2.1000000000000001E-2</v>
      </c>
      <c r="S7" t="s">
        <v>335</v>
      </c>
      <c r="T7" t="s">
        <v>336</v>
      </c>
    </row>
    <row r="8" spans="1:22" x14ac:dyDescent="0.3">
      <c r="A8" t="s">
        <v>337</v>
      </c>
      <c r="C8">
        <f>C7-(L20/100)</f>
        <v>9.6483351631615297E-2</v>
      </c>
      <c r="D8">
        <f t="shared" ref="D8:G8" si="0">D7-(M20/100)</f>
        <v>0.1068317845578223</v>
      </c>
      <c r="E8">
        <f t="shared" si="0"/>
        <v>9.1746399585301314E-2</v>
      </c>
      <c r="F8">
        <f t="shared" si="0"/>
        <v>0.13669826948110322</v>
      </c>
      <c r="G8">
        <f t="shared" si="0"/>
        <v>0.14986231283213347</v>
      </c>
      <c r="K8" t="s">
        <v>338</v>
      </c>
      <c r="L8" t="s">
        <v>339</v>
      </c>
      <c r="M8" t="s">
        <v>340</v>
      </c>
      <c r="N8" t="s">
        <v>341</v>
      </c>
      <c r="S8" s="16">
        <v>2016</v>
      </c>
      <c r="T8" s="16">
        <v>2017</v>
      </c>
      <c r="U8" s="16">
        <v>2018</v>
      </c>
    </row>
    <row r="9" spans="1:22" x14ac:dyDescent="0.3">
      <c r="A9" t="s">
        <v>342</v>
      </c>
      <c r="C9">
        <f>C8*$Q$6</f>
        <v>2.9945374168790067</v>
      </c>
      <c r="D9">
        <f>D8*$Q$6</f>
        <v>3.3157199740719649</v>
      </c>
      <c r="E9">
        <f>E8*$Q$6</f>
        <v>2.8475174398076391</v>
      </c>
      <c r="F9">
        <f>F8*$Q$6</f>
        <v>4.2426810000000001</v>
      </c>
      <c r="G9">
        <f>G8*$Q$6</f>
        <v>4.6512511803000001</v>
      </c>
      <c r="R9" t="s">
        <v>343</v>
      </c>
      <c r="S9" s="85">
        <v>2.4</v>
      </c>
      <c r="T9" s="85">
        <v>2.7</v>
      </c>
      <c r="U9" s="85">
        <v>2.8</v>
      </c>
    </row>
    <row r="10" spans="1:22" x14ac:dyDescent="0.3">
      <c r="A10" t="s">
        <v>344</v>
      </c>
      <c r="C10" s="91">
        <f>C9*$V$11</f>
        <v>0.49248785559782604</v>
      </c>
      <c r="D10" s="91">
        <f>D9*$V$11</f>
        <v>0.54531020737603308</v>
      </c>
      <c r="E10" s="91">
        <f>E9*$V$11</f>
        <v>0.46830864420116819</v>
      </c>
      <c r="F10" s="91">
        <f>F9*$V$11</f>
        <v>0.69776014682539689</v>
      </c>
      <c r="G10" s="91"/>
      <c r="R10" t="s">
        <v>344</v>
      </c>
      <c r="S10" s="85">
        <v>0.4</v>
      </c>
      <c r="T10" s="85">
        <v>0.4</v>
      </c>
      <c r="U10" s="85">
        <v>0.5</v>
      </c>
      <c r="V10" t="s">
        <v>345</v>
      </c>
    </row>
    <row r="11" spans="1:22" x14ac:dyDescent="0.3">
      <c r="A11" t="s">
        <v>346</v>
      </c>
      <c r="F11">
        <f>G9/(B14-Q7)</f>
        <v>80.677604208700558</v>
      </c>
      <c r="R11" t="s">
        <v>347</v>
      </c>
      <c r="S11">
        <f>S10/S9</f>
        <v>0.16666666666666669</v>
      </c>
      <c r="T11">
        <f>T10/T9</f>
        <v>0.14814814814814814</v>
      </c>
      <c r="U11">
        <f>U10/U9</f>
        <v>0.17857142857142858</v>
      </c>
      <c r="V11">
        <f>AVERAGE(S11:U11)</f>
        <v>0.1644620811287478</v>
      </c>
    </row>
    <row r="12" spans="1:22" x14ac:dyDescent="0.3">
      <c r="A12" t="s">
        <v>348</v>
      </c>
      <c r="C12">
        <f t="shared" ref="C12:E12" si="1">SUM(C10:C11)</f>
        <v>0.49248785559782604</v>
      </c>
      <c r="D12">
        <f t="shared" si="1"/>
        <v>0.54531020737603308</v>
      </c>
      <c r="E12">
        <f t="shared" si="1"/>
        <v>0.46830864420116819</v>
      </c>
      <c r="F12">
        <f>SUM(F10:F11)</f>
        <v>81.37536435552596</v>
      </c>
      <c r="J12" t="s">
        <v>220</v>
      </c>
      <c r="K12">
        <v>1</v>
      </c>
      <c r="L12" s="92">
        <v>10.199999999999999</v>
      </c>
      <c r="M12" s="92">
        <v>22.38</v>
      </c>
      <c r="N12" s="92">
        <v>28.4</v>
      </c>
    </row>
    <row r="13" spans="1:22" x14ac:dyDescent="0.3">
      <c r="A13" t="s">
        <v>254</v>
      </c>
      <c r="B13" s="80">
        <f>NPV(B14,C12:F12)*(1+B14)^B18</f>
        <v>65.300014850621068</v>
      </c>
      <c r="J13" t="s">
        <v>349</v>
      </c>
      <c r="K13" s="74">
        <f>K5</f>
        <v>0.28110000000000002</v>
      </c>
      <c r="L13" s="92">
        <v>-16.079999999999998</v>
      </c>
      <c r="M13" s="92">
        <v>-17.68</v>
      </c>
      <c r="N13" s="92">
        <v>-17.37</v>
      </c>
    </row>
    <row r="14" spans="1:22" x14ac:dyDescent="0.3">
      <c r="A14" t="s">
        <v>272</v>
      </c>
      <c r="B14" s="93">
        <v>7.8652321557144023E-2</v>
      </c>
      <c r="J14" t="s">
        <v>350</v>
      </c>
      <c r="K14" s="74">
        <f>K13*K17</f>
        <v>6.3220489171882477</v>
      </c>
      <c r="L14" s="92">
        <v>0.79</v>
      </c>
      <c r="M14" s="92">
        <v>0.9</v>
      </c>
      <c r="N14" s="92">
        <v>1.1299999999999999</v>
      </c>
    </row>
    <row r="15" spans="1:22" x14ac:dyDescent="0.3">
      <c r="B15" s="94"/>
      <c r="J15" t="s">
        <v>351</v>
      </c>
      <c r="K15" s="74">
        <f>K13*K18</f>
        <v>7.1830666498031062E-2</v>
      </c>
      <c r="L15" s="92">
        <v>-0.11</v>
      </c>
      <c r="M15" s="92">
        <v>7.0000000000000007E-2</v>
      </c>
      <c r="N15" s="92">
        <v>-0.62</v>
      </c>
    </row>
    <row r="16" spans="1:22" x14ac:dyDescent="0.3">
      <c r="A16" t="s">
        <v>352</v>
      </c>
      <c r="B16" s="58">
        <v>42916</v>
      </c>
      <c r="J16" t="s">
        <v>353</v>
      </c>
      <c r="K16" s="74">
        <f>K13*K19</f>
        <v>0.7418390153548492</v>
      </c>
      <c r="L16" s="92">
        <v>-0.77</v>
      </c>
      <c r="M16" s="92">
        <v>-1.37</v>
      </c>
      <c r="N16" s="92">
        <v>-2.2000000000000002</v>
      </c>
    </row>
    <row r="17" spans="1:14" x14ac:dyDescent="0.3">
      <c r="A17" t="s">
        <v>354</v>
      </c>
      <c r="B17" s="58">
        <v>43212</v>
      </c>
      <c r="J17" t="s">
        <v>355</v>
      </c>
      <c r="K17" s="74">
        <f>LN(K4)</f>
        <v>22.490391025216105</v>
      </c>
      <c r="L17" s="92">
        <v>-0.48</v>
      </c>
      <c r="M17" s="92">
        <v>-1.04</v>
      </c>
      <c r="N17" s="92">
        <v>-1.25</v>
      </c>
    </row>
    <row r="18" spans="1:14" x14ac:dyDescent="0.3">
      <c r="A18" t="s">
        <v>356</v>
      </c>
      <c r="B18">
        <f>(B17-B16)/365</f>
        <v>0.81095890410958904</v>
      </c>
      <c r="J18" t="s">
        <v>330</v>
      </c>
      <c r="K18" s="74">
        <f>K6</f>
        <v>0.25553421023845985</v>
      </c>
      <c r="L18" s="92">
        <v>-0.06</v>
      </c>
      <c r="M18" s="92">
        <v>-0.26</v>
      </c>
      <c r="N18" s="92">
        <v>-0.33</v>
      </c>
    </row>
    <row r="19" spans="1:14" x14ac:dyDescent="0.3">
      <c r="J19" t="s">
        <v>357</v>
      </c>
      <c r="K19" s="74">
        <f>LN(K3)</f>
        <v>2.6390573296152584</v>
      </c>
      <c r="L19" s="92">
        <v>0.28999999999999998</v>
      </c>
      <c r="M19" s="92">
        <v>0.67</v>
      </c>
      <c r="N19" s="92">
        <v>0.95</v>
      </c>
    </row>
    <row r="20" spans="1:14" x14ac:dyDescent="0.3">
      <c r="B20" s="58"/>
      <c r="C20" s="58"/>
      <c r="D20" s="58"/>
      <c r="E20" s="58"/>
      <c r="F20" s="58"/>
      <c r="G20" s="58"/>
      <c r="L20">
        <f>SUMPRODUCT(K12:K19,L12:L19)</f>
        <v>4.9820110311085353E-2</v>
      </c>
      <c r="M20">
        <f>SUMPRODUCT(K12:K19,M12:M19)</f>
        <v>0.40042757104361604</v>
      </c>
      <c r="N20">
        <f>SUMPRODUCT(K12:K19,N12:N19)</f>
        <v>3.2944168216489462</v>
      </c>
    </row>
    <row r="21" spans="1:14" x14ac:dyDescent="0.3">
      <c r="A21" s="77" t="s">
        <v>273</v>
      </c>
      <c r="B21" s="95">
        <v>0.53759999999999997</v>
      </c>
      <c r="C21" s="77"/>
      <c r="D21" s="77"/>
      <c r="E21" s="77"/>
      <c r="F21" s="77"/>
      <c r="G21" s="77"/>
      <c r="H21" s="77"/>
      <c r="I21" s="77"/>
      <c r="J21" s="77"/>
    </row>
    <row r="22" spans="1:14" x14ac:dyDescent="0.3">
      <c r="A22" s="77" t="s">
        <v>274</v>
      </c>
      <c r="B22" s="95">
        <v>0.46240000000000003</v>
      </c>
      <c r="C22" s="77"/>
      <c r="D22" s="77"/>
      <c r="E22" s="77"/>
      <c r="F22" s="77"/>
      <c r="G22" s="77"/>
      <c r="H22" s="77"/>
      <c r="I22" s="77"/>
      <c r="J22" s="77"/>
      <c r="L22" s="74"/>
      <c r="M22" s="74"/>
      <c r="N22" s="74"/>
    </row>
    <row r="23" spans="1:14" x14ac:dyDescent="0.3">
      <c r="A23" s="77" t="s">
        <v>295</v>
      </c>
      <c r="B23" s="96">
        <f ca="1">'Debt CoC'!C23</f>
        <v>3.9369538426399231E-2</v>
      </c>
      <c r="C23" s="77"/>
      <c r="D23" s="77"/>
      <c r="E23" s="77"/>
      <c r="F23" s="77"/>
      <c r="G23" s="77"/>
      <c r="H23" s="77"/>
      <c r="I23" s="77"/>
      <c r="J23" s="77"/>
      <c r="L23" s="74"/>
      <c r="M23" s="74"/>
      <c r="N23" s="74"/>
    </row>
    <row r="24" spans="1:14" x14ac:dyDescent="0.3">
      <c r="A24" s="77"/>
      <c r="B24" s="77"/>
      <c r="C24" s="77"/>
      <c r="D24" s="77"/>
      <c r="E24" s="77"/>
      <c r="F24" s="77"/>
      <c r="G24" s="77"/>
      <c r="H24" s="77"/>
      <c r="I24" s="77"/>
      <c r="J24" s="77"/>
      <c r="L24" s="74"/>
      <c r="M24" s="74"/>
      <c r="N24" s="74"/>
    </row>
    <row r="25" spans="1:14" x14ac:dyDescent="0.3">
      <c r="A25" s="77" t="s">
        <v>300</v>
      </c>
      <c r="B25" s="97">
        <f ca="1">B23*B21+B14*B22</f>
        <v>5.7533897346055622E-2</v>
      </c>
      <c r="C25" s="77"/>
      <c r="D25" s="77"/>
      <c r="E25" s="77"/>
      <c r="F25" s="77"/>
      <c r="G25" s="77"/>
      <c r="H25" s="77"/>
      <c r="I25" s="77"/>
      <c r="J25" s="77"/>
      <c r="L25" s="74"/>
      <c r="M25" s="74"/>
      <c r="N25" s="74"/>
    </row>
    <row r="26" spans="1:14" x14ac:dyDescent="0.3">
      <c r="A26" s="77"/>
      <c r="B26" s="77"/>
      <c r="C26" s="77"/>
      <c r="D26" s="77"/>
      <c r="L26" s="74"/>
      <c r="M26" s="74"/>
      <c r="N26" s="74"/>
    </row>
    <row r="27" spans="1:14" x14ac:dyDescent="0.3">
      <c r="A27" s="77"/>
      <c r="B27" s="77"/>
      <c r="C27" s="77"/>
      <c r="D27" s="77"/>
      <c r="E27" s="77"/>
      <c r="F27" s="77"/>
      <c r="L27" s="74"/>
      <c r="M27" s="74"/>
      <c r="N27" s="74"/>
    </row>
    <row r="28" spans="1:14" x14ac:dyDescent="0.3">
      <c r="A28" s="77"/>
      <c r="B28" s="77"/>
      <c r="C28" s="77"/>
      <c r="D28" s="77"/>
      <c r="E28" s="77"/>
      <c r="F28" s="98"/>
      <c r="L28" s="74"/>
      <c r="M28" s="74"/>
      <c r="N28" s="74"/>
    </row>
    <row r="29" spans="1:14" x14ac:dyDescent="0.3">
      <c r="L29" s="74"/>
      <c r="M29" s="74"/>
      <c r="N29" s="74"/>
    </row>
    <row r="30" spans="1:14" x14ac:dyDescent="0.3">
      <c r="L30" s="74"/>
      <c r="M30" s="74"/>
      <c r="N30" s="7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E41" sqref="E41"/>
    </sheetView>
  </sheetViews>
  <sheetFormatPr defaultRowHeight="14.4" x14ac:dyDescent="0.3"/>
  <cols>
    <col min="1" max="1" width="16.109375" bestFit="1" customWidth="1"/>
    <col min="2" max="2" width="9.5546875" bestFit="1" customWidth="1"/>
    <col min="3" max="3" width="20.21875" bestFit="1" customWidth="1"/>
    <col min="4" max="4" width="12.21875" bestFit="1" customWidth="1"/>
    <col min="5" max="5" width="8.109375" bestFit="1" customWidth="1"/>
    <col min="6" max="6" width="10.21875" bestFit="1" customWidth="1"/>
    <col min="7" max="7" width="9.21875" bestFit="1" customWidth="1"/>
    <col min="13" max="13" width="11.5546875" bestFit="1" customWidth="1"/>
    <col min="14" max="14" width="8.6640625" bestFit="1" customWidth="1"/>
    <col min="15" max="15" width="7.6640625" bestFit="1" customWidth="1"/>
    <col min="17" max="17" width="14.6640625" bestFit="1" customWidth="1"/>
    <col min="18" max="18" width="9.5546875" bestFit="1" customWidth="1"/>
  </cols>
  <sheetData>
    <row r="1" spans="1:18" x14ac:dyDescent="0.3">
      <c r="A1" t="s">
        <v>275</v>
      </c>
      <c r="B1" s="58">
        <f ca="1">TODAY()</f>
        <v>43220</v>
      </c>
      <c r="M1" t="s">
        <v>277</v>
      </c>
      <c r="N1" s="66">
        <v>4.7E-2</v>
      </c>
      <c r="Q1" t="s">
        <v>278</v>
      </c>
      <c r="R1" s="67">
        <v>103</v>
      </c>
    </row>
    <row r="2" spans="1:18" x14ac:dyDescent="0.3">
      <c r="A2" t="s">
        <v>276</v>
      </c>
      <c r="B2" s="58">
        <f ca="1">B1+3</f>
        <v>43223</v>
      </c>
      <c r="M2" t="s">
        <v>279</v>
      </c>
      <c r="N2" s="67">
        <v>100</v>
      </c>
      <c r="Q2" t="s">
        <v>280</v>
      </c>
      <c r="R2" s="68">
        <v>43146</v>
      </c>
    </row>
    <row r="3" spans="1:18" x14ac:dyDescent="0.3">
      <c r="B3" s="58"/>
      <c r="M3" t="s">
        <v>281</v>
      </c>
      <c r="N3" s="69">
        <v>2</v>
      </c>
      <c r="O3" t="s">
        <v>13</v>
      </c>
      <c r="Q3" t="s">
        <v>282</v>
      </c>
      <c r="R3">
        <f ca="1">DAYS360(R2,B2)</f>
        <v>78</v>
      </c>
    </row>
    <row r="4" spans="1:18" x14ac:dyDescent="0.3">
      <c r="M4" t="s">
        <v>283</v>
      </c>
      <c r="N4" s="67">
        <f>N1*N2/N3</f>
        <v>2.35</v>
      </c>
      <c r="Q4" t="s">
        <v>284</v>
      </c>
      <c r="R4" s="1">
        <f ca="1">N1*N2*R3/360</f>
        <v>1.0183333333333333</v>
      </c>
    </row>
    <row r="5" spans="1:18" x14ac:dyDescent="0.3">
      <c r="C5" t="s">
        <v>286</v>
      </c>
      <c r="D5" s="15" t="s">
        <v>287</v>
      </c>
      <c r="E5" t="s">
        <v>288</v>
      </c>
      <c r="F5" t="s">
        <v>289</v>
      </c>
      <c r="G5" t="s">
        <v>290</v>
      </c>
      <c r="Q5" t="s">
        <v>285</v>
      </c>
      <c r="R5" s="1">
        <f ca="1">SUM(R4,R1)</f>
        <v>104.01833333333333</v>
      </c>
    </row>
    <row r="6" spans="1:18" x14ac:dyDescent="0.3">
      <c r="A6" t="s">
        <v>291</v>
      </c>
      <c r="B6" s="58">
        <f ca="1">B2</f>
        <v>43223</v>
      </c>
      <c r="C6" s="1">
        <f ca="1">-R5</f>
        <v>-104.01833333333333</v>
      </c>
      <c r="D6" s="15"/>
      <c r="G6" s="1">
        <f ca="1">C6</f>
        <v>-104.01833333333333</v>
      </c>
    </row>
    <row r="7" spans="1:18" x14ac:dyDescent="0.3">
      <c r="A7" t="s">
        <v>292</v>
      </c>
      <c r="B7" s="58">
        <v>43327</v>
      </c>
      <c r="C7" s="1">
        <f>$N$4</f>
        <v>2.35</v>
      </c>
      <c r="D7" s="15">
        <f>B31/2</f>
        <v>1.245E-3</v>
      </c>
      <c r="E7" s="65">
        <f>D7-D6</f>
        <v>1.245E-3</v>
      </c>
      <c r="F7" s="65">
        <v>0.37740000000000001</v>
      </c>
      <c r="G7" s="1">
        <f t="shared" ref="G7:G15" si="0">C7*(1-D7)+$C$21*E7*F7</f>
        <v>2.3951647280500001</v>
      </c>
    </row>
    <row r="8" spans="1:18" x14ac:dyDescent="0.3">
      <c r="B8" s="58">
        <f>EDATE(B7,6)</f>
        <v>43511</v>
      </c>
      <c r="C8" s="1">
        <f t="shared" ref="C8:C20" si="1">$N$4</f>
        <v>2.35</v>
      </c>
      <c r="D8" s="15">
        <f>B31</f>
        <v>2.49E-3</v>
      </c>
      <c r="E8" s="65">
        <f t="shared" ref="E8:E14" si="2">D8-D7</f>
        <v>1.245E-3</v>
      </c>
      <c r="F8" s="65">
        <v>0.37740000000000001</v>
      </c>
      <c r="G8" s="1">
        <f t="shared" si="0"/>
        <v>2.3922389780500004</v>
      </c>
    </row>
    <row r="9" spans="1:18" x14ac:dyDescent="0.3">
      <c r="B9" s="58">
        <f t="shared" ref="B9:B21" si="3">EDATE(B8,6)</f>
        <v>43692</v>
      </c>
      <c r="C9" s="1">
        <f t="shared" si="1"/>
        <v>2.35</v>
      </c>
      <c r="D9" s="15">
        <f>(C31-B31)/2+D8</f>
        <v>4.3350000000000003E-3</v>
      </c>
      <c r="E9" s="65">
        <f t="shared" si="2"/>
        <v>1.8450000000000003E-3</v>
      </c>
      <c r="F9" s="65">
        <v>0.37740000000000001</v>
      </c>
      <c r="G9" s="1">
        <f t="shared" si="0"/>
        <v>2.4110793620500002</v>
      </c>
    </row>
    <row r="10" spans="1:18" x14ac:dyDescent="0.3">
      <c r="B10" s="58">
        <f t="shared" si="3"/>
        <v>43876</v>
      </c>
      <c r="C10" s="1">
        <f t="shared" si="1"/>
        <v>2.35</v>
      </c>
      <c r="D10" s="15">
        <f>C31</f>
        <v>6.1799999999999997E-3</v>
      </c>
      <c r="E10" s="65">
        <f t="shared" si="2"/>
        <v>1.8449999999999994E-3</v>
      </c>
      <c r="F10" s="65">
        <v>0.37740000000000001</v>
      </c>
      <c r="G10" s="1">
        <f t="shared" si="0"/>
        <v>2.4067436120500001</v>
      </c>
    </row>
    <row r="11" spans="1:18" x14ac:dyDescent="0.3">
      <c r="B11" s="58">
        <f t="shared" si="3"/>
        <v>44058</v>
      </c>
      <c r="C11" s="1">
        <f t="shared" si="1"/>
        <v>2.35</v>
      </c>
      <c r="D11" s="15">
        <f>(D31-C31)/2+D10</f>
        <v>8.26E-3</v>
      </c>
      <c r="E11" s="65">
        <f t="shared" si="2"/>
        <v>2.0800000000000003E-3</v>
      </c>
      <c r="F11" s="65">
        <v>0.37740000000000001</v>
      </c>
      <c r="G11" s="1">
        <f t="shared" si="0"/>
        <v>2.4109329311999996</v>
      </c>
    </row>
    <row r="12" spans="1:18" x14ac:dyDescent="0.3">
      <c r="B12" s="58">
        <f t="shared" si="3"/>
        <v>44242</v>
      </c>
      <c r="C12" s="1">
        <f t="shared" si="1"/>
        <v>2.35</v>
      </c>
      <c r="D12" s="15">
        <f>D31</f>
        <v>1.034E-2</v>
      </c>
      <c r="E12" s="65">
        <f t="shared" si="2"/>
        <v>2.0800000000000003E-3</v>
      </c>
      <c r="F12" s="65">
        <v>0.37740000000000001</v>
      </c>
      <c r="G12" s="1">
        <f t="shared" si="0"/>
        <v>2.4060449311999998</v>
      </c>
    </row>
    <row r="13" spans="1:18" x14ac:dyDescent="0.3">
      <c r="B13" s="58">
        <f t="shared" si="3"/>
        <v>44423</v>
      </c>
      <c r="C13" s="1">
        <f t="shared" si="1"/>
        <v>2.35</v>
      </c>
      <c r="D13" s="15">
        <f>(E31-D31)/2+D12</f>
        <v>1.2775E-2</v>
      </c>
      <c r="E13" s="65">
        <f t="shared" si="2"/>
        <v>2.4349999999999997E-3</v>
      </c>
      <c r="F13" s="65">
        <v>0.37740000000000001</v>
      </c>
      <c r="G13" s="1">
        <f t="shared" si="0"/>
        <v>2.4140352271500003</v>
      </c>
    </row>
    <row r="14" spans="1:18" x14ac:dyDescent="0.3">
      <c r="B14" s="58">
        <f t="shared" si="3"/>
        <v>44607</v>
      </c>
      <c r="C14" s="1">
        <f t="shared" si="1"/>
        <v>2.35</v>
      </c>
      <c r="D14" s="15">
        <f>E31</f>
        <v>1.521E-2</v>
      </c>
      <c r="E14" s="65">
        <f t="shared" si="2"/>
        <v>2.4349999999999997E-3</v>
      </c>
      <c r="F14" s="65">
        <v>0.37740000000000001</v>
      </c>
      <c r="G14" s="1">
        <f t="shared" si="0"/>
        <v>2.4083129771500005</v>
      </c>
    </row>
    <row r="15" spans="1:18" x14ac:dyDescent="0.3">
      <c r="B15" s="58">
        <f t="shared" si="3"/>
        <v>44788</v>
      </c>
      <c r="C15" s="1">
        <f t="shared" si="1"/>
        <v>2.35</v>
      </c>
      <c r="D15" s="15">
        <f>(F31-E31)/2+D14</f>
        <v>1.8175E-2</v>
      </c>
      <c r="E15" s="65">
        <f>D15-D14</f>
        <v>2.9650000000000006E-3</v>
      </c>
      <c r="F15" s="65">
        <v>0.37740000000000001</v>
      </c>
      <c r="G15" s="1">
        <f t="shared" si="0"/>
        <v>2.42181747885</v>
      </c>
    </row>
    <row r="16" spans="1:18" x14ac:dyDescent="0.3">
      <c r="B16" s="58">
        <f t="shared" si="3"/>
        <v>44972</v>
      </c>
      <c r="C16" s="1">
        <f t="shared" si="1"/>
        <v>2.35</v>
      </c>
      <c r="D16" s="15">
        <f>(F31-E31)/2+D15</f>
        <v>2.1139999999999999E-2</v>
      </c>
      <c r="E16" s="65">
        <f>D16-D15</f>
        <v>2.9649999999999989E-3</v>
      </c>
      <c r="F16" s="65">
        <v>0.37740000000000001</v>
      </c>
      <c r="G16" s="1">
        <f t="shared" ref="G16:G20" si="4">C16*(1-D16)+$C$21*E16*F16</f>
        <v>2.4148497288499997</v>
      </c>
    </row>
    <row r="17" spans="1:11" x14ac:dyDescent="0.3">
      <c r="B17" s="58">
        <f t="shared" si="3"/>
        <v>45153</v>
      </c>
      <c r="C17" s="1">
        <f t="shared" si="1"/>
        <v>2.35</v>
      </c>
      <c r="D17" s="15">
        <f>(G31-F31)/2+D16</f>
        <v>2.4145E-2</v>
      </c>
      <c r="E17" s="65">
        <f t="shared" ref="E17:E21" si="5">D17-D16</f>
        <v>3.0050000000000007E-3</v>
      </c>
      <c r="F17" s="65">
        <v>0.37740000000000001</v>
      </c>
      <c r="G17" s="1">
        <f t="shared" si="4"/>
        <v>2.4093330544500002</v>
      </c>
    </row>
    <row r="18" spans="1:11" x14ac:dyDescent="0.3">
      <c r="B18" s="58">
        <f t="shared" si="3"/>
        <v>45337</v>
      </c>
      <c r="C18" s="1">
        <f t="shared" si="1"/>
        <v>2.35</v>
      </c>
      <c r="D18" s="15">
        <f>(G31-F31)/2+D17</f>
        <v>2.7150000000000001E-2</v>
      </c>
      <c r="E18" s="65">
        <f t="shared" si="5"/>
        <v>3.0050000000000007E-3</v>
      </c>
      <c r="F18" s="65">
        <v>0.37740000000000001</v>
      </c>
      <c r="G18" s="1">
        <f t="shared" si="4"/>
        <v>2.4022713044500001</v>
      </c>
    </row>
    <row r="19" spans="1:11" x14ac:dyDescent="0.3">
      <c r="B19" s="58">
        <f t="shared" si="3"/>
        <v>45519</v>
      </c>
      <c r="C19" s="1">
        <f t="shared" si="1"/>
        <v>2.35</v>
      </c>
      <c r="D19" s="15">
        <f>(H31-G31)/2+D18</f>
        <v>2.9840000000000002E-2</v>
      </c>
      <c r="E19" s="65">
        <f t="shared" si="5"/>
        <v>2.6900000000000014E-3</v>
      </c>
      <c r="F19" s="65">
        <v>0.37740000000000001</v>
      </c>
      <c r="G19" s="1">
        <f t="shared" si="4"/>
        <v>2.3837823341000002</v>
      </c>
    </row>
    <row r="20" spans="1:11" x14ac:dyDescent="0.3">
      <c r="B20" s="58">
        <f t="shared" si="3"/>
        <v>45703</v>
      </c>
      <c r="C20" s="1">
        <f t="shared" si="1"/>
        <v>2.35</v>
      </c>
      <c r="D20" s="15">
        <f>(H31-G31)/2+D19</f>
        <v>3.2530000000000003E-2</v>
      </c>
      <c r="E20" s="65">
        <f t="shared" si="5"/>
        <v>2.6900000000000014E-3</v>
      </c>
      <c r="F20" s="65">
        <v>0.37740000000000001</v>
      </c>
      <c r="G20" s="1">
        <f t="shared" si="4"/>
        <v>2.3774608341000003</v>
      </c>
    </row>
    <row r="21" spans="1:11" x14ac:dyDescent="0.3">
      <c r="A21" t="s">
        <v>293</v>
      </c>
      <c r="B21" s="58">
        <f t="shared" si="3"/>
        <v>45884</v>
      </c>
      <c r="C21" s="1">
        <f>$N$4+N2</f>
        <v>102.35</v>
      </c>
      <c r="D21" s="15">
        <f>(I31-H31)/2+D20</f>
        <v>3.5714999999999997E-2</v>
      </c>
      <c r="E21" s="65">
        <f t="shared" si="5"/>
        <v>3.1849999999999934E-3</v>
      </c>
      <c r="F21" s="65">
        <v>0.37740000000000001</v>
      </c>
      <c r="G21" s="1">
        <f>C21*(1-D21)+$C$21*E21*F21</f>
        <v>98.817596394649996</v>
      </c>
    </row>
    <row r="22" spans="1:11" x14ac:dyDescent="0.3">
      <c r="A22" t="s">
        <v>294</v>
      </c>
      <c r="C22" s="15">
        <f ca="1">XIRR(C6:C21,B6:B21)</f>
        <v>4.2560890316963196E-2</v>
      </c>
      <c r="D22" s="15"/>
    </row>
    <row r="23" spans="1:11" x14ac:dyDescent="0.3">
      <c r="A23" t="s">
        <v>295</v>
      </c>
      <c r="C23" s="15">
        <f ca="1">XIRR(G6:G21,B6:B21)</f>
        <v>3.9369538426399231E-2</v>
      </c>
    </row>
    <row r="30" spans="1:11" x14ac:dyDescent="0.3">
      <c r="A30" s="70" t="s">
        <v>296</v>
      </c>
      <c r="B30" s="71">
        <v>1</v>
      </c>
      <c r="C30" s="71">
        <v>2</v>
      </c>
      <c r="D30" s="71">
        <v>3</v>
      </c>
      <c r="E30" s="71">
        <v>4</v>
      </c>
      <c r="F30" s="71">
        <v>5</v>
      </c>
      <c r="G30" s="71">
        <v>6</v>
      </c>
      <c r="H30" s="71">
        <v>7</v>
      </c>
      <c r="I30" s="71">
        <v>8</v>
      </c>
      <c r="J30" s="71">
        <v>9</v>
      </c>
      <c r="K30" s="71">
        <v>10</v>
      </c>
    </row>
    <row r="31" spans="1:11" x14ac:dyDescent="0.3">
      <c r="A31" s="72" t="s">
        <v>297</v>
      </c>
      <c r="B31" s="73">
        <v>2.49E-3</v>
      </c>
      <c r="C31" s="73">
        <v>6.1799999999999997E-3</v>
      </c>
      <c r="D31" s="73">
        <v>1.034E-2</v>
      </c>
      <c r="E31" s="73">
        <v>1.521E-2</v>
      </c>
      <c r="F31" s="73">
        <v>2.1139999999999999E-2</v>
      </c>
      <c r="G31" s="73">
        <v>2.7150000000000001E-2</v>
      </c>
      <c r="H31" s="73">
        <v>3.2530000000000003E-2</v>
      </c>
      <c r="I31" s="73">
        <v>3.8899999999999997E-2</v>
      </c>
      <c r="J31" s="73">
        <v>4.4850000000000001E-2</v>
      </c>
      <c r="K31" s="73">
        <v>5.0549999999999998E-2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selection activeCell="G17" sqref="G17"/>
    </sheetView>
  </sheetViews>
  <sheetFormatPr defaultRowHeight="14.4" x14ac:dyDescent="0.3"/>
  <cols>
    <col min="1" max="1" width="51.77734375" bestFit="1" customWidth="1"/>
    <col min="2" max="2" width="15.33203125" bestFit="1" customWidth="1"/>
    <col min="3" max="3" width="21.88671875" bestFit="1" customWidth="1"/>
    <col min="4" max="4" width="50.88671875" bestFit="1" customWidth="1"/>
  </cols>
  <sheetData>
    <row r="1" spans="1:4" ht="23.4" customHeight="1" thickBot="1" x14ac:dyDescent="0.35">
      <c r="A1" s="128" t="s">
        <v>119</v>
      </c>
      <c r="B1" s="128"/>
      <c r="C1" s="128"/>
      <c r="D1" s="128"/>
    </row>
    <row r="2" spans="1:4" x14ac:dyDescent="0.3">
      <c r="A2" s="33" t="s">
        <v>22</v>
      </c>
      <c r="B2" t="s">
        <v>23</v>
      </c>
    </row>
    <row r="3" spans="1:4" x14ac:dyDescent="0.3">
      <c r="A3" s="33" t="s">
        <v>18</v>
      </c>
      <c r="B3" s="29">
        <v>5000000</v>
      </c>
      <c r="C3" t="s">
        <v>4</v>
      </c>
      <c r="D3" t="s">
        <v>98</v>
      </c>
    </row>
    <row r="4" spans="1:4" x14ac:dyDescent="0.3">
      <c r="A4" s="33" t="s">
        <v>95</v>
      </c>
      <c r="B4" s="30">
        <v>747384</v>
      </c>
    </row>
    <row r="5" spans="1:4" x14ac:dyDescent="0.3">
      <c r="A5" s="33" t="s">
        <v>96</v>
      </c>
      <c r="B5" s="30">
        <v>100000</v>
      </c>
      <c r="D5" t="s">
        <v>97</v>
      </c>
    </row>
    <row r="6" spans="1:4" x14ac:dyDescent="0.3">
      <c r="A6" t="s">
        <v>99</v>
      </c>
      <c r="B6" s="30">
        <v>1195.81</v>
      </c>
      <c r="C6" t="s">
        <v>101</v>
      </c>
      <c r="D6" t="s">
        <v>100</v>
      </c>
    </row>
    <row r="7" spans="1:4" x14ac:dyDescent="0.3">
      <c r="A7" s="33" t="s">
        <v>102</v>
      </c>
      <c r="B7" s="30">
        <v>10000000</v>
      </c>
      <c r="D7" t="s">
        <v>103</v>
      </c>
    </row>
    <row r="8" spans="1:4" x14ac:dyDescent="0.3">
      <c r="A8" s="33" t="s">
        <v>15</v>
      </c>
      <c r="B8" s="31">
        <v>1</v>
      </c>
    </row>
    <row r="9" spans="1:4" x14ac:dyDescent="0.3">
      <c r="A9" s="33" t="s">
        <v>104</v>
      </c>
      <c r="B9" s="31">
        <v>0.71</v>
      </c>
      <c r="D9" t="s">
        <v>105</v>
      </c>
    </row>
    <row r="10" spans="1:4" x14ac:dyDescent="0.3">
      <c r="A10" t="s">
        <v>106</v>
      </c>
      <c r="B10" s="31">
        <v>0.44</v>
      </c>
      <c r="D10" t="s">
        <v>107</v>
      </c>
    </row>
    <row r="11" spans="1:4" x14ac:dyDescent="0.3">
      <c r="A11" t="s">
        <v>108</v>
      </c>
      <c r="B11" s="30">
        <v>0</v>
      </c>
      <c r="C11" t="s">
        <v>13</v>
      </c>
    </row>
    <row r="12" spans="1:4" x14ac:dyDescent="0.3">
      <c r="A12" s="33" t="s">
        <v>8</v>
      </c>
      <c r="B12" s="29">
        <v>10</v>
      </c>
      <c r="C12" t="s">
        <v>7</v>
      </c>
    </row>
    <row r="13" spans="1:4" x14ac:dyDescent="0.3">
      <c r="A13" t="s">
        <v>12</v>
      </c>
      <c r="B13" s="29">
        <v>1500000</v>
      </c>
      <c r="C13" t="s">
        <v>9</v>
      </c>
      <c r="D13" t="s">
        <v>10</v>
      </c>
    </row>
    <row r="14" spans="1:4" x14ac:dyDescent="0.3">
      <c r="A14" s="3" t="s">
        <v>11</v>
      </c>
      <c r="B14" s="29">
        <v>0</v>
      </c>
    </row>
    <row r="15" spans="1:4" x14ac:dyDescent="0.3">
      <c r="A15" t="s">
        <v>114</v>
      </c>
      <c r="B15" s="29">
        <v>1000000</v>
      </c>
      <c r="C15" t="s">
        <v>4</v>
      </c>
    </row>
    <row r="16" spans="1:4" x14ac:dyDescent="0.3">
      <c r="A16" t="s">
        <v>109</v>
      </c>
      <c r="B16" s="31">
        <v>0.02</v>
      </c>
      <c r="C16" t="s">
        <v>13</v>
      </c>
    </row>
    <row r="17" spans="1:4" x14ac:dyDescent="0.3">
      <c r="A17" t="s">
        <v>110</v>
      </c>
      <c r="B17" s="29">
        <v>4000000</v>
      </c>
      <c r="C17" t="s">
        <v>4</v>
      </c>
    </row>
    <row r="18" spans="1:4" x14ac:dyDescent="0.3">
      <c r="A18" t="s">
        <v>111</v>
      </c>
      <c r="B18" s="31">
        <v>0.02</v>
      </c>
      <c r="C18" t="s">
        <v>13</v>
      </c>
    </row>
    <row r="19" spans="1:4" x14ac:dyDescent="0.3">
      <c r="A19" s="33" t="s">
        <v>112</v>
      </c>
      <c r="B19" s="29">
        <v>1.25</v>
      </c>
      <c r="C19" t="s">
        <v>113</v>
      </c>
    </row>
    <row r="20" spans="1:4" x14ac:dyDescent="0.3">
      <c r="A20" s="33" t="s">
        <v>115</v>
      </c>
      <c r="B20" s="29">
        <v>1</v>
      </c>
      <c r="C20" t="s">
        <v>116</v>
      </c>
    </row>
    <row r="21" spans="1:4" x14ac:dyDescent="0.3">
      <c r="A21" s="33" t="s">
        <v>117</v>
      </c>
      <c r="D21" t="s">
        <v>118</v>
      </c>
    </row>
    <row r="22" spans="1:4" x14ac:dyDescent="0.3">
      <c r="A22" s="39" t="s">
        <v>154</v>
      </c>
      <c r="B22" s="31">
        <v>0.3</v>
      </c>
    </row>
    <row r="24" spans="1:4" ht="15" thickBot="1" x14ac:dyDescent="0.35">
      <c r="A24" s="128" t="s">
        <v>120</v>
      </c>
      <c r="B24" s="128"/>
      <c r="C24" s="128"/>
      <c r="D24" s="128"/>
    </row>
    <row r="25" spans="1:4" x14ac:dyDescent="0.3">
      <c r="A25" t="s">
        <v>121</v>
      </c>
      <c r="B25" s="32">
        <f>'Initial Financials'!B8</f>
        <v>5</v>
      </c>
      <c r="C25" t="s">
        <v>126</v>
      </c>
    </row>
    <row r="26" spans="1:4" x14ac:dyDescent="0.3">
      <c r="A26" t="s">
        <v>122</v>
      </c>
      <c r="B26" s="32">
        <v>50</v>
      </c>
      <c r="C26" t="s">
        <v>126</v>
      </c>
      <c r="D26" t="s">
        <v>124</v>
      </c>
    </row>
    <row r="27" spans="1:4" x14ac:dyDescent="0.3">
      <c r="A27" t="s">
        <v>123</v>
      </c>
      <c r="B27" s="32">
        <v>50</v>
      </c>
      <c r="C27" t="s">
        <v>126</v>
      </c>
    </row>
    <row r="28" spans="1:4" x14ac:dyDescent="0.3">
      <c r="A28" t="s">
        <v>43</v>
      </c>
      <c r="B28" s="32">
        <v>40</v>
      </c>
      <c r="C28" t="s">
        <v>126</v>
      </c>
      <c r="D28" t="s">
        <v>125</v>
      </c>
    </row>
    <row r="29" spans="1:4" x14ac:dyDescent="0.3">
      <c r="A29" t="s">
        <v>127</v>
      </c>
      <c r="B29" s="32">
        <v>10</v>
      </c>
      <c r="C29" t="s">
        <v>126</v>
      </c>
    </row>
    <row r="30" spans="1:4" x14ac:dyDescent="0.3">
      <c r="A30" t="s">
        <v>128</v>
      </c>
      <c r="B30" s="32">
        <v>0</v>
      </c>
      <c r="C30" t="s">
        <v>126</v>
      </c>
    </row>
    <row r="31" spans="1:4" x14ac:dyDescent="0.3">
      <c r="A31" t="s">
        <v>36</v>
      </c>
      <c r="B31" s="50">
        <f>'Initial Financials'!D6</f>
        <v>0.01</v>
      </c>
    </row>
    <row r="33" spans="1:4" ht="15" thickBot="1" x14ac:dyDescent="0.35">
      <c r="A33" s="128" t="s">
        <v>129</v>
      </c>
      <c r="B33" s="128"/>
      <c r="C33" s="128"/>
      <c r="D33" s="128"/>
    </row>
    <row r="34" spans="1:4" x14ac:dyDescent="0.3">
      <c r="A34" t="s">
        <v>38</v>
      </c>
      <c r="B34" s="31">
        <v>0.05</v>
      </c>
    </row>
    <row r="35" spans="1:4" x14ac:dyDescent="0.3">
      <c r="A35" t="s">
        <v>130</v>
      </c>
      <c r="B35" s="32">
        <v>6.69</v>
      </c>
      <c r="C35" t="s">
        <v>131</v>
      </c>
    </row>
    <row r="37" spans="1:4" ht="15" thickBot="1" x14ac:dyDescent="0.35">
      <c r="A37" s="128" t="s">
        <v>132</v>
      </c>
      <c r="B37" s="128"/>
      <c r="C37" s="128"/>
      <c r="D37" s="128"/>
    </row>
    <row r="38" spans="1:4" ht="28.8" x14ac:dyDescent="0.3">
      <c r="A38" t="s">
        <v>133</v>
      </c>
      <c r="D38" s="34" t="s">
        <v>134</v>
      </c>
    </row>
    <row r="39" spans="1:4" x14ac:dyDescent="0.3">
      <c r="A39" t="s">
        <v>135</v>
      </c>
      <c r="B39" s="32">
        <v>250</v>
      </c>
      <c r="C39" t="s">
        <v>1</v>
      </c>
      <c r="D39" t="s">
        <v>136</v>
      </c>
    </row>
    <row r="40" spans="1:4" x14ac:dyDescent="0.3">
      <c r="A40" t="s">
        <v>137</v>
      </c>
      <c r="B40" s="32">
        <v>350</v>
      </c>
      <c r="C40" t="s">
        <v>1</v>
      </c>
    </row>
    <row r="41" spans="1:4" x14ac:dyDescent="0.3">
      <c r="A41" t="s">
        <v>138</v>
      </c>
      <c r="B41" s="36">
        <v>1.6E-2</v>
      </c>
    </row>
    <row r="42" spans="1:4" x14ac:dyDescent="0.3">
      <c r="A42" t="s">
        <v>139</v>
      </c>
      <c r="B42" s="29">
        <v>100000</v>
      </c>
      <c r="C42" t="s">
        <v>140</v>
      </c>
    </row>
    <row r="43" spans="1:4" x14ac:dyDescent="0.3">
      <c r="A43" t="s">
        <v>139</v>
      </c>
      <c r="B43" s="30">
        <v>14947.68</v>
      </c>
      <c r="C43" t="s">
        <v>101</v>
      </c>
    </row>
    <row r="44" spans="1:4" x14ac:dyDescent="0.3">
      <c r="A44" t="s">
        <v>141</v>
      </c>
      <c r="B44" s="36">
        <f>B41</f>
        <v>1.6E-2</v>
      </c>
    </row>
    <row r="45" spans="1:4" x14ac:dyDescent="0.3">
      <c r="A45" t="s">
        <v>142</v>
      </c>
      <c r="B45" s="36">
        <v>2E-3</v>
      </c>
      <c r="C45" t="s">
        <v>143</v>
      </c>
    </row>
    <row r="47" spans="1:4" ht="15" thickBot="1" x14ac:dyDescent="0.35">
      <c r="A47" s="128" t="s">
        <v>144</v>
      </c>
      <c r="B47" s="128"/>
      <c r="C47" s="128"/>
      <c r="D47" s="128"/>
    </row>
    <row r="48" spans="1:4" x14ac:dyDescent="0.3">
      <c r="A48" t="s">
        <v>145</v>
      </c>
      <c r="B48" s="35">
        <v>0</v>
      </c>
    </row>
    <row r="49" spans="1:4" x14ac:dyDescent="0.3">
      <c r="A49" t="s">
        <v>147</v>
      </c>
      <c r="D49" t="s">
        <v>146</v>
      </c>
    </row>
    <row r="50" spans="1:4" x14ac:dyDescent="0.3">
      <c r="A50" t="s">
        <v>148</v>
      </c>
      <c r="D50" t="s">
        <v>149</v>
      </c>
    </row>
    <row r="51" spans="1:4" x14ac:dyDescent="0.3">
      <c r="A51" t="s">
        <v>150</v>
      </c>
      <c r="D51" t="s">
        <v>151</v>
      </c>
    </row>
    <row r="52" spans="1:4" x14ac:dyDescent="0.3">
      <c r="A52" t="s">
        <v>152</v>
      </c>
      <c r="B52" s="35">
        <v>0</v>
      </c>
    </row>
    <row r="54" spans="1:4" ht="15" thickBot="1" x14ac:dyDescent="0.35">
      <c r="A54" s="128" t="s">
        <v>153</v>
      </c>
      <c r="B54" s="128"/>
      <c r="C54" s="128"/>
      <c r="D54" s="128"/>
    </row>
    <row r="55" spans="1:4" x14ac:dyDescent="0.3">
      <c r="A55" t="s">
        <v>2</v>
      </c>
      <c r="B55" s="2">
        <v>100</v>
      </c>
      <c r="C55" t="s">
        <v>3</v>
      </c>
    </row>
    <row r="56" spans="1:4" x14ac:dyDescent="0.3">
      <c r="A56" t="s">
        <v>5</v>
      </c>
      <c r="B56" s="38">
        <v>8000</v>
      </c>
      <c r="C56" t="s">
        <v>6</v>
      </c>
    </row>
    <row r="57" spans="1:4" x14ac:dyDescent="0.3">
      <c r="A57" t="s">
        <v>14</v>
      </c>
      <c r="B57" s="2">
        <v>8893182</v>
      </c>
      <c r="C57" t="s">
        <v>4</v>
      </c>
    </row>
    <row r="58" spans="1:4" x14ac:dyDescent="0.3">
      <c r="A58" t="s">
        <v>16</v>
      </c>
      <c r="B58" s="2">
        <v>2500</v>
      </c>
      <c r="C58" t="s">
        <v>17</v>
      </c>
      <c r="D58" t="s">
        <v>21</v>
      </c>
    </row>
    <row r="59" spans="1:4" x14ac:dyDescent="0.3">
      <c r="A59" t="s">
        <v>19</v>
      </c>
      <c r="B59" s="2">
        <v>900</v>
      </c>
      <c r="C59" t="s">
        <v>17</v>
      </c>
    </row>
    <row r="60" spans="1:4" x14ac:dyDescent="0.3">
      <c r="A60" t="s">
        <v>20</v>
      </c>
      <c r="B60" s="4">
        <f>B58-B59</f>
        <v>1600</v>
      </c>
      <c r="C60" t="s">
        <v>17</v>
      </c>
    </row>
  </sheetData>
  <mergeCells count="6">
    <mergeCell ref="A47:D47"/>
    <mergeCell ref="A54:D54"/>
    <mergeCell ref="A1:D1"/>
    <mergeCell ref="A24:D24"/>
    <mergeCell ref="A33:D33"/>
    <mergeCell ref="A37:D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5"/>
  <sheetViews>
    <sheetView topLeftCell="A6" workbookViewId="0">
      <selection activeCell="D19" sqref="D19:D27"/>
    </sheetView>
  </sheetViews>
  <sheetFormatPr defaultColWidth="9.109375" defaultRowHeight="15.6" x14ac:dyDescent="0.3"/>
  <cols>
    <col min="1" max="1" width="13.21875" style="5" bestFit="1" customWidth="1"/>
    <col min="2" max="2" width="17.5546875" style="5" bestFit="1" customWidth="1"/>
    <col min="3" max="3" width="8.6640625" style="5" bestFit="1" customWidth="1"/>
    <col min="4" max="4" width="8.6640625" style="5" customWidth="1"/>
    <col min="5" max="5" width="9.5546875" style="5" bestFit="1" customWidth="1"/>
    <col min="6" max="7" width="9.109375" style="5"/>
    <col min="8" max="8" width="17.44140625" style="5" bestFit="1" customWidth="1"/>
    <col min="9" max="9" width="12" style="5" bestFit="1" customWidth="1"/>
    <col min="10" max="10" width="13.44140625" style="5" bestFit="1" customWidth="1"/>
    <col min="11" max="12" width="12" style="5" bestFit="1" customWidth="1"/>
    <col min="13" max="13" width="12.6640625" style="5" bestFit="1" customWidth="1"/>
    <col min="14" max="14" width="12" style="5" bestFit="1" customWidth="1"/>
    <col min="15" max="15" width="12.6640625" style="5" bestFit="1" customWidth="1"/>
    <col min="16" max="16" width="12.109375" style="5" bestFit="1" customWidth="1"/>
    <col min="17" max="16384" width="9.109375" style="5"/>
  </cols>
  <sheetData>
    <row r="1" spans="1:16" x14ac:dyDescent="0.3">
      <c r="A1" s="129" t="s">
        <v>24</v>
      </c>
      <c r="B1" s="129"/>
      <c r="H1" t="s">
        <v>210</v>
      </c>
      <c r="I1"/>
      <c r="J1"/>
      <c r="K1"/>
      <c r="L1"/>
      <c r="M1"/>
      <c r="N1"/>
      <c r="O1"/>
      <c r="P1"/>
    </row>
    <row r="2" spans="1:16" ht="16.2" thickBot="1" x14ac:dyDescent="0.35">
      <c r="A2" s="130" t="s">
        <v>25</v>
      </c>
      <c r="B2" s="130"/>
      <c r="H2"/>
      <c r="I2"/>
      <c r="J2"/>
      <c r="K2"/>
      <c r="L2"/>
      <c r="M2"/>
      <c r="N2"/>
      <c r="O2"/>
      <c r="P2"/>
    </row>
    <row r="3" spans="1:16" x14ac:dyDescent="0.3">
      <c r="A3" s="129" t="s">
        <v>26</v>
      </c>
      <c r="B3" s="129"/>
      <c r="H3" s="49" t="s">
        <v>211</v>
      </c>
      <c r="I3" s="49"/>
      <c r="J3"/>
      <c r="K3"/>
      <c r="L3"/>
      <c r="M3"/>
      <c r="N3"/>
      <c r="O3"/>
      <c r="P3"/>
    </row>
    <row r="4" spans="1:16" x14ac:dyDescent="0.3">
      <c r="A4" s="131" t="s">
        <v>27</v>
      </c>
      <c r="B4" s="131"/>
      <c r="H4" s="46" t="s">
        <v>212</v>
      </c>
      <c r="I4" s="46">
        <v>0.69128646543255201</v>
      </c>
      <c r="J4"/>
      <c r="K4"/>
      <c r="L4"/>
      <c r="M4"/>
      <c r="N4"/>
      <c r="O4"/>
      <c r="P4"/>
    </row>
    <row r="5" spans="1:16" x14ac:dyDescent="0.3">
      <c r="A5" s="6"/>
      <c r="B5" s="6"/>
      <c r="H5" s="46" t="s">
        <v>213</v>
      </c>
      <c r="I5" s="46">
        <v>0.47787697729023093</v>
      </c>
      <c r="J5"/>
      <c r="K5"/>
      <c r="L5"/>
      <c r="M5"/>
      <c r="N5"/>
      <c r="O5"/>
      <c r="P5"/>
    </row>
    <row r="6" spans="1:16" x14ac:dyDescent="0.3">
      <c r="A6" s="7" t="s">
        <v>28</v>
      </c>
      <c r="B6" s="7" t="s">
        <v>29</v>
      </c>
      <c r="H6" s="46" t="s">
        <v>214</v>
      </c>
      <c r="I6" s="46">
        <v>0.41261159945150983</v>
      </c>
      <c r="J6"/>
      <c r="K6"/>
      <c r="L6"/>
      <c r="M6"/>
      <c r="N6"/>
      <c r="O6"/>
      <c r="P6"/>
    </row>
    <row r="7" spans="1:16" x14ac:dyDescent="0.3">
      <c r="A7" s="59">
        <v>513.34702258726895</v>
      </c>
      <c r="B7" s="8">
        <v>2000</v>
      </c>
      <c r="C7" s="62"/>
      <c r="D7" s="62"/>
      <c r="E7" s="63">
        <f>A7</f>
        <v>513.34702258726895</v>
      </c>
      <c r="H7" s="46" t="s">
        <v>215</v>
      </c>
      <c r="I7" s="46">
        <v>29.995458399799531</v>
      </c>
      <c r="J7"/>
      <c r="K7"/>
      <c r="L7"/>
      <c r="M7"/>
      <c r="N7"/>
      <c r="O7"/>
      <c r="P7"/>
    </row>
    <row r="8" spans="1:16" ht="16.2" thickBot="1" x14ac:dyDescent="0.35">
      <c r="A8" s="59">
        <v>459.11463367485021</v>
      </c>
      <c r="B8" s="8">
        <v>2001</v>
      </c>
      <c r="C8" s="62">
        <f>A7</f>
        <v>513.34702258726895</v>
      </c>
      <c r="D8" s="62"/>
      <c r="E8" s="63">
        <f t="shared" ref="E8:E27" si="0">A8</f>
        <v>459.11463367485021</v>
      </c>
      <c r="H8" s="47" t="s">
        <v>216</v>
      </c>
      <c r="I8" s="47">
        <v>10</v>
      </c>
      <c r="J8"/>
      <c r="K8"/>
      <c r="L8"/>
      <c r="M8"/>
      <c r="N8"/>
      <c r="O8"/>
      <c r="P8"/>
    </row>
    <row r="9" spans="1:16" x14ac:dyDescent="0.3">
      <c r="A9" s="59">
        <v>477.20298644501895</v>
      </c>
      <c r="B9" s="8">
        <v>2002</v>
      </c>
      <c r="C9" s="62">
        <f t="shared" ref="C9:C27" si="1">A8</f>
        <v>459.11463367485021</v>
      </c>
      <c r="D9" s="62"/>
      <c r="E9" s="63">
        <f t="shared" si="0"/>
        <v>477.20298644501895</v>
      </c>
      <c r="H9"/>
      <c r="I9"/>
      <c r="J9"/>
      <c r="K9"/>
      <c r="L9"/>
      <c r="M9"/>
      <c r="N9"/>
      <c r="O9"/>
      <c r="P9"/>
    </row>
    <row r="10" spans="1:16" ht="16.2" thickBot="1" x14ac:dyDescent="0.35">
      <c r="A10" s="59">
        <v>459.09799325850838</v>
      </c>
      <c r="B10" s="8">
        <v>2003</v>
      </c>
      <c r="C10" s="62">
        <f t="shared" si="1"/>
        <v>477.20298644501895</v>
      </c>
      <c r="D10" s="62"/>
      <c r="E10" s="63">
        <f t="shared" si="0"/>
        <v>459.09799325850838</v>
      </c>
      <c r="H10" t="s">
        <v>217</v>
      </c>
      <c r="I10"/>
      <c r="J10"/>
      <c r="K10"/>
      <c r="L10"/>
      <c r="M10"/>
      <c r="N10"/>
      <c r="O10"/>
      <c r="P10"/>
    </row>
    <row r="11" spans="1:16" x14ac:dyDescent="0.3">
      <c r="A11" s="59">
        <v>447.0434719570838</v>
      </c>
      <c r="B11" s="8">
        <v>2004</v>
      </c>
      <c r="C11" s="62">
        <f t="shared" si="1"/>
        <v>459.09799325850838</v>
      </c>
      <c r="D11" s="62"/>
      <c r="E11" s="63">
        <f t="shared" si="0"/>
        <v>447.0434719570838</v>
      </c>
      <c r="H11" s="48"/>
      <c r="I11" s="48" t="s">
        <v>221</v>
      </c>
      <c r="J11" s="48" t="s">
        <v>222</v>
      </c>
      <c r="K11" s="48" t="s">
        <v>223</v>
      </c>
      <c r="L11" s="48" t="s">
        <v>224</v>
      </c>
      <c r="M11" s="48" t="s">
        <v>225</v>
      </c>
      <c r="N11"/>
      <c r="O11"/>
      <c r="P11"/>
    </row>
    <row r="12" spans="1:16" x14ac:dyDescent="0.3">
      <c r="A12" s="59">
        <v>444.88383588729607</v>
      </c>
      <c r="B12" s="8">
        <v>2005</v>
      </c>
      <c r="C12" s="62">
        <f t="shared" si="1"/>
        <v>447.0434719570838</v>
      </c>
      <c r="D12" s="62"/>
      <c r="E12" s="63">
        <f t="shared" si="0"/>
        <v>444.88383588729607</v>
      </c>
      <c r="H12" s="46" t="s">
        <v>218</v>
      </c>
      <c r="I12" s="46">
        <v>1</v>
      </c>
      <c r="J12" s="46">
        <v>6587.8584340673297</v>
      </c>
      <c r="K12" s="46">
        <v>6587.8584340673297</v>
      </c>
      <c r="L12" s="46">
        <v>7.322059461160622</v>
      </c>
      <c r="M12" s="46">
        <v>2.682656935301771E-2</v>
      </c>
      <c r="N12"/>
      <c r="O12"/>
      <c r="P12"/>
    </row>
    <row r="13" spans="1:16" x14ac:dyDescent="0.3">
      <c r="A13" s="59">
        <v>461.79149797570852</v>
      </c>
      <c r="B13" s="8">
        <v>2006</v>
      </c>
      <c r="C13" s="62">
        <f t="shared" si="1"/>
        <v>444.88383588729607</v>
      </c>
      <c r="D13" s="62"/>
      <c r="E13" s="63">
        <f t="shared" si="0"/>
        <v>461.79149797570852</v>
      </c>
      <c r="H13" s="46" t="s">
        <v>219</v>
      </c>
      <c r="I13" s="46">
        <v>8</v>
      </c>
      <c r="J13" s="46">
        <v>7197.8201969128349</v>
      </c>
      <c r="K13" s="46">
        <v>899.72752461410437</v>
      </c>
      <c r="L13" s="46"/>
      <c r="M13" s="46"/>
      <c r="N13"/>
      <c r="O13"/>
      <c r="P13"/>
    </row>
    <row r="14" spans="1:16" ht="16.2" thickBot="1" x14ac:dyDescent="0.35">
      <c r="A14" s="59">
        <v>467.11509715994021</v>
      </c>
      <c r="B14" s="8">
        <v>2007</v>
      </c>
      <c r="C14" s="62">
        <f t="shared" si="1"/>
        <v>461.79149797570852</v>
      </c>
      <c r="D14" s="62"/>
      <c r="E14" s="63">
        <f t="shared" si="0"/>
        <v>467.11509715994021</v>
      </c>
      <c r="H14" s="47" t="s">
        <v>0</v>
      </c>
      <c r="I14" s="47">
        <v>9</v>
      </c>
      <c r="J14" s="47">
        <v>13785.678630980165</v>
      </c>
      <c r="K14" s="47"/>
      <c r="L14" s="47"/>
      <c r="M14" s="47"/>
      <c r="N14"/>
      <c r="O14"/>
      <c r="P14"/>
    </row>
    <row r="15" spans="1:16" ht="16.2" thickBot="1" x14ac:dyDescent="0.35">
      <c r="A15" s="59">
        <v>522.83538785549126</v>
      </c>
      <c r="B15" s="8">
        <v>2008</v>
      </c>
      <c r="C15" s="62">
        <f t="shared" si="1"/>
        <v>467.11509715994021</v>
      </c>
      <c r="D15" s="62"/>
      <c r="E15" s="63">
        <f t="shared" si="0"/>
        <v>522.83538785549126</v>
      </c>
      <c r="H15"/>
      <c r="I15"/>
      <c r="J15"/>
      <c r="K15"/>
      <c r="L15"/>
      <c r="M15"/>
      <c r="N15"/>
      <c r="O15"/>
      <c r="P15"/>
    </row>
    <row r="16" spans="1:16" x14ac:dyDescent="0.3">
      <c r="A16" s="60">
        <v>534.70452081685266</v>
      </c>
      <c r="B16" s="9">
        <v>2009</v>
      </c>
      <c r="C16" s="62">
        <f t="shared" si="1"/>
        <v>522.83538785549126</v>
      </c>
      <c r="D16" s="62"/>
      <c r="E16" s="63">
        <f t="shared" si="0"/>
        <v>534.70452081685266</v>
      </c>
      <c r="H16" s="48"/>
      <c r="I16" s="48" t="s">
        <v>226</v>
      </c>
      <c r="J16" s="48" t="s">
        <v>215</v>
      </c>
      <c r="K16" s="48" t="s">
        <v>227</v>
      </c>
      <c r="L16" s="48" t="s">
        <v>228</v>
      </c>
      <c r="M16" s="48" t="s">
        <v>229</v>
      </c>
      <c r="N16" s="48" t="s">
        <v>230</v>
      </c>
      <c r="O16" s="48" t="s">
        <v>231</v>
      </c>
      <c r="P16" s="48" t="s">
        <v>232</v>
      </c>
    </row>
    <row r="17" spans="1:16" x14ac:dyDescent="0.3">
      <c r="A17" s="60">
        <v>553.02294297885055</v>
      </c>
      <c r="B17" s="9">
        <v>2010</v>
      </c>
      <c r="C17" s="62">
        <f t="shared" si="1"/>
        <v>534.70452081685266</v>
      </c>
      <c r="D17" s="62"/>
      <c r="E17" s="63">
        <f t="shared" si="0"/>
        <v>553.02294297885055</v>
      </c>
      <c r="H17" s="46" t="s">
        <v>220</v>
      </c>
      <c r="I17" s="46">
        <v>86.544883282161038</v>
      </c>
      <c r="J17" s="46">
        <v>146.70258816575992</v>
      </c>
      <c r="K17" s="46">
        <v>0.58993426335719168</v>
      </c>
      <c r="L17" s="46">
        <v>0.57151670347761252</v>
      </c>
      <c r="M17" s="46">
        <v>-251.75189167323526</v>
      </c>
      <c r="N17" s="46">
        <v>424.84165823755734</v>
      </c>
      <c r="O17" s="46">
        <v>-251.75189167323526</v>
      </c>
      <c r="P17" s="46">
        <v>424.84165823755734</v>
      </c>
    </row>
    <row r="18" spans="1:16" ht="16.2" thickBot="1" x14ac:dyDescent="0.35">
      <c r="A18" s="60">
        <f>C18*$I$18+$I$17+D18</f>
        <v>544.17230719417955</v>
      </c>
      <c r="B18" s="8">
        <v>2011</v>
      </c>
      <c r="C18" s="62">
        <f>A17</f>
        <v>553.02294297885055</v>
      </c>
      <c r="D18" s="64">
        <v>0</v>
      </c>
      <c r="E18" s="63">
        <f t="shared" si="0"/>
        <v>544.17230719417955</v>
      </c>
      <c r="H18" s="47" t="s">
        <v>233</v>
      </c>
      <c r="I18" s="47">
        <v>0.82750169721171896</v>
      </c>
      <c r="J18" s="47">
        <v>0.30581041174601548</v>
      </c>
      <c r="K18" s="47">
        <v>2.7059304243015223</v>
      </c>
      <c r="L18" s="47">
        <v>2.6826569353017762E-2</v>
      </c>
      <c r="M18" s="47">
        <v>0.12230162313691828</v>
      </c>
      <c r="N18" s="47">
        <v>1.5327017712865196</v>
      </c>
      <c r="O18" s="47">
        <v>0.12230162313691828</v>
      </c>
      <c r="P18" s="47">
        <v>1.5327017712865196</v>
      </c>
    </row>
    <row r="19" spans="1:16" x14ac:dyDescent="0.3">
      <c r="A19" s="60">
        <f>C19*$I$18+$I$17+D19</f>
        <v>536.8483910609616</v>
      </c>
      <c r="B19" s="8">
        <v>2012</v>
      </c>
      <c r="C19" s="62">
        <f>A18</f>
        <v>544.17230719417955</v>
      </c>
      <c r="D19" s="64">
        <v>0</v>
      </c>
      <c r="E19" s="63">
        <f t="shared" si="0"/>
        <v>536.8483910609616</v>
      </c>
      <c r="H19"/>
      <c r="I19"/>
      <c r="J19"/>
      <c r="K19"/>
      <c r="L19"/>
      <c r="M19"/>
      <c r="N19"/>
      <c r="O19"/>
      <c r="P19"/>
    </row>
    <row r="20" spans="1:16" x14ac:dyDescent="0.3">
      <c r="A20" s="60">
        <f t="shared" ref="A20:A27" si="2">C20*$I$18+$I$17+D20</f>
        <v>530.78783803048736</v>
      </c>
      <c r="B20" s="8">
        <v>2013</v>
      </c>
      <c r="C20" s="62">
        <f t="shared" si="1"/>
        <v>536.8483910609616</v>
      </c>
      <c r="D20" s="64">
        <v>0</v>
      </c>
      <c r="E20" s="63">
        <f t="shared" si="0"/>
        <v>530.78783803048736</v>
      </c>
      <c r="H20"/>
      <c r="I20"/>
      <c r="J20"/>
      <c r="K20"/>
      <c r="L20"/>
      <c r="M20"/>
      <c r="N20"/>
      <c r="O20"/>
      <c r="P20"/>
    </row>
    <row r="21" spans="1:16" x14ac:dyDescent="0.3">
      <c r="A21" s="60">
        <f t="shared" si="2"/>
        <v>525.77272011172829</v>
      </c>
      <c r="B21" s="8">
        <v>2014</v>
      </c>
      <c r="C21" s="62">
        <f t="shared" si="1"/>
        <v>530.78783803048736</v>
      </c>
      <c r="D21" s="64">
        <v>0</v>
      </c>
      <c r="E21" s="63">
        <f t="shared" si="0"/>
        <v>525.77272011172829</v>
      </c>
      <c r="H21"/>
      <c r="I21"/>
      <c r="J21"/>
      <c r="K21"/>
      <c r="L21"/>
      <c r="M21"/>
      <c r="N21"/>
      <c r="O21"/>
      <c r="P21"/>
    </row>
    <row r="22" spans="1:16" x14ac:dyDescent="0.3">
      <c r="A22" s="60">
        <f t="shared" si="2"/>
        <v>521.62270152223823</v>
      </c>
      <c r="B22" s="8">
        <v>2015</v>
      </c>
      <c r="C22" s="62">
        <f t="shared" si="1"/>
        <v>525.77272011172829</v>
      </c>
      <c r="D22" s="64">
        <v>0</v>
      </c>
      <c r="E22" s="63">
        <f t="shared" si="0"/>
        <v>521.62270152223823</v>
      </c>
    </row>
    <row r="23" spans="1:16" x14ac:dyDescent="0.3">
      <c r="A23" s="60">
        <f t="shared" si="2"/>
        <v>518.18855409597506</v>
      </c>
      <c r="B23" s="8">
        <v>2016</v>
      </c>
      <c r="C23" s="62">
        <f t="shared" si="1"/>
        <v>521.62270152223823</v>
      </c>
      <c r="D23" s="64">
        <v>0</v>
      </c>
      <c r="E23" s="63">
        <f t="shared" si="0"/>
        <v>518.18855409597506</v>
      </c>
    </row>
    <row r="24" spans="1:16" x14ac:dyDescent="0.3">
      <c r="A24" s="60">
        <f t="shared" si="2"/>
        <v>515.34679127226707</v>
      </c>
      <c r="B24" s="8">
        <v>2017</v>
      </c>
      <c r="C24" s="62">
        <f t="shared" si="1"/>
        <v>518.18855409597506</v>
      </c>
      <c r="D24" s="64">
        <v>0</v>
      </c>
      <c r="E24" s="63">
        <f t="shared" si="0"/>
        <v>515.34679127226707</v>
      </c>
    </row>
    <row r="25" spans="1:16" x14ac:dyDescent="0.3">
      <c r="A25" s="60">
        <f t="shared" si="2"/>
        <v>512.99522771257557</v>
      </c>
      <c r="B25" s="8">
        <v>2018</v>
      </c>
      <c r="C25" s="62">
        <f t="shared" si="1"/>
        <v>515.34679127226707</v>
      </c>
      <c r="D25" s="64">
        <v>0</v>
      </c>
      <c r="E25" s="63">
        <f t="shared" si="0"/>
        <v>512.99522771257557</v>
      </c>
    </row>
    <row r="26" spans="1:16" x14ac:dyDescent="0.3">
      <c r="A26" s="60">
        <f t="shared" si="2"/>
        <v>511.04930487582959</v>
      </c>
      <c r="B26" s="8">
        <v>2019</v>
      </c>
      <c r="C26" s="62">
        <f t="shared" si="1"/>
        <v>512.99522771257557</v>
      </c>
      <c r="D26" s="64">
        <v>0</v>
      </c>
      <c r="E26" s="63">
        <f t="shared" si="0"/>
        <v>511.04930487582959</v>
      </c>
    </row>
    <row r="27" spans="1:16" x14ac:dyDescent="0.3">
      <c r="A27" s="60">
        <f t="shared" si="2"/>
        <v>509.43905042577921</v>
      </c>
      <c r="B27" s="9">
        <v>2020</v>
      </c>
      <c r="C27" s="62">
        <f t="shared" si="1"/>
        <v>511.04930487582959</v>
      </c>
      <c r="D27" s="64">
        <v>0</v>
      </c>
      <c r="E27" s="63">
        <f t="shared" si="0"/>
        <v>509.43905042577921</v>
      </c>
    </row>
    <row r="28" spans="1:16" x14ac:dyDescent="0.3">
      <c r="A28" s="61"/>
      <c r="B28" s="11"/>
    </row>
    <row r="29" spans="1:16" x14ac:dyDescent="0.3">
      <c r="A29" s="10"/>
      <c r="B29" s="11"/>
    </row>
    <row r="30" spans="1:16" x14ac:dyDescent="0.3">
      <c r="A30" s="10"/>
      <c r="B30" s="11"/>
    </row>
    <row r="31" spans="1:16" x14ac:dyDescent="0.3">
      <c r="A31" s="10"/>
      <c r="B31" s="11"/>
    </row>
    <row r="32" spans="1:16" x14ac:dyDescent="0.3">
      <c r="A32" s="10"/>
      <c r="B32" s="11"/>
    </row>
    <row r="33" spans="1:2" x14ac:dyDescent="0.3">
      <c r="A33" s="10"/>
      <c r="B33" s="11"/>
    </row>
    <row r="34" spans="1:2" x14ac:dyDescent="0.3">
      <c r="A34" s="10"/>
      <c r="B34" s="11"/>
    </row>
    <row r="35" spans="1:2" x14ac:dyDescent="0.3">
      <c r="A35" s="10"/>
      <c r="B35" s="11"/>
    </row>
    <row r="36" spans="1:2" x14ac:dyDescent="0.3">
      <c r="A36" s="10"/>
      <c r="B36" s="11"/>
    </row>
    <row r="37" spans="1:2" x14ac:dyDescent="0.3">
      <c r="A37" s="10"/>
      <c r="B37" s="11"/>
    </row>
    <row r="38" spans="1:2" x14ac:dyDescent="0.3">
      <c r="A38" s="10"/>
      <c r="B38" s="11"/>
    </row>
    <row r="39" spans="1:2" x14ac:dyDescent="0.3">
      <c r="A39" s="10"/>
      <c r="B39" s="11"/>
    </row>
    <row r="40" spans="1:2" x14ac:dyDescent="0.3">
      <c r="A40" s="10"/>
      <c r="B40" s="11"/>
    </row>
    <row r="41" spans="1:2" x14ac:dyDescent="0.3">
      <c r="A41" s="10"/>
      <c r="B41" s="11"/>
    </row>
    <row r="42" spans="1:2" x14ac:dyDescent="0.3">
      <c r="A42" s="10"/>
      <c r="B42" s="11"/>
    </row>
    <row r="43" spans="1:2" x14ac:dyDescent="0.3">
      <c r="A43" s="10"/>
      <c r="B43" s="11"/>
    </row>
    <row r="44" spans="1:2" x14ac:dyDescent="0.3">
      <c r="A44" s="10"/>
      <c r="B44" s="11"/>
    </row>
    <row r="45" spans="1:2" x14ac:dyDescent="0.3">
      <c r="A45" s="10"/>
      <c r="B45" s="11"/>
    </row>
    <row r="46" spans="1:2" x14ac:dyDescent="0.3">
      <c r="A46" s="10"/>
      <c r="B46" s="11"/>
    </row>
    <row r="47" spans="1:2" x14ac:dyDescent="0.3">
      <c r="A47" s="10"/>
      <c r="B47" s="11"/>
    </row>
    <row r="48" spans="1:2" x14ac:dyDescent="0.3">
      <c r="A48" s="10"/>
      <c r="B48" s="11"/>
    </row>
    <row r="49" spans="1:2" x14ac:dyDescent="0.3">
      <c r="A49" s="10"/>
      <c r="B49" s="11"/>
    </row>
    <row r="50" spans="1:2" x14ac:dyDescent="0.3">
      <c r="A50" s="10"/>
      <c r="B50" s="11"/>
    </row>
    <row r="51" spans="1:2" x14ac:dyDescent="0.3">
      <c r="A51" s="10"/>
      <c r="B51" s="11"/>
    </row>
    <row r="52" spans="1:2" x14ac:dyDescent="0.3">
      <c r="A52" s="10"/>
      <c r="B52" s="11"/>
    </row>
    <row r="53" spans="1:2" x14ac:dyDescent="0.3">
      <c r="A53" s="10"/>
      <c r="B53" s="11"/>
    </row>
    <row r="54" spans="1:2" x14ac:dyDescent="0.3">
      <c r="A54" s="10"/>
      <c r="B54" s="11"/>
    </row>
    <row r="55" spans="1:2" x14ac:dyDescent="0.3">
      <c r="A55" s="10"/>
      <c r="B55" s="11"/>
    </row>
    <row r="56" spans="1:2" x14ac:dyDescent="0.3">
      <c r="A56" s="10"/>
      <c r="B56" s="11"/>
    </row>
    <row r="57" spans="1:2" x14ac:dyDescent="0.3">
      <c r="A57" s="10"/>
      <c r="B57" s="11"/>
    </row>
    <row r="58" spans="1:2" x14ac:dyDescent="0.3">
      <c r="A58" s="10"/>
      <c r="B58" s="11"/>
    </row>
    <row r="59" spans="1:2" x14ac:dyDescent="0.3">
      <c r="A59" s="10"/>
      <c r="B59" s="11"/>
    </row>
    <row r="60" spans="1:2" x14ac:dyDescent="0.3">
      <c r="A60" s="10"/>
      <c r="B60" s="11"/>
    </row>
    <row r="61" spans="1:2" x14ac:dyDescent="0.3">
      <c r="A61" s="10"/>
      <c r="B61" s="11"/>
    </row>
    <row r="62" spans="1:2" x14ac:dyDescent="0.3">
      <c r="A62" s="10"/>
      <c r="B62" s="11"/>
    </row>
    <row r="63" spans="1:2" x14ac:dyDescent="0.3">
      <c r="A63" s="10"/>
      <c r="B63" s="11"/>
    </row>
    <row r="64" spans="1:2" x14ac:dyDescent="0.3">
      <c r="A64" s="10"/>
      <c r="B64" s="11"/>
    </row>
    <row r="65" spans="1:2" x14ac:dyDescent="0.3">
      <c r="A65" s="10"/>
      <c r="B65" s="11"/>
    </row>
    <row r="66" spans="1:2" x14ac:dyDescent="0.3">
      <c r="A66" s="10"/>
      <c r="B66" s="11"/>
    </row>
    <row r="67" spans="1:2" x14ac:dyDescent="0.3">
      <c r="A67" s="10"/>
      <c r="B67" s="11"/>
    </row>
    <row r="68" spans="1:2" x14ac:dyDescent="0.3">
      <c r="A68" s="10"/>
      <c r="B68" s="11"/>
    </row>
    <row r="69" spans="1:2" x14ac:dyDescent="0.3">
      <c r="A69" s="10"/>
      <c r="B69" s="11"/>
    </row>
    <row r="70" spans="1:2" x14ac:dyDescent="0.3">
      <c r="A70" s="10"/>
      <c r="B70" s="11"/>
    </row>
    <row r="71" spans="1:2" x14ac:dyDescent="0.3">
      <c r="A71" s="10"/>
      <c r="B71" s="11"/>
    </row>
    <row r="72" spans="1:2" x14ac:dyDescent="0.3">
      <c r="A72" s="10"/>
      <c r="B72" s="11"/>
    </row>
    <row r="73" spans="1:2" x14ac:dyDescent="0.3">
      <c r="A73" s="10"/>
      <c r="B73" s="11"/>
    </row>
    <row r="74" spans="1:2" x14ac:dyDescent="0.3">
      <c r="A74" s="10"/>
      <c r="B74" s="11"/>
    </row>
    <row r="75" spans="1:2" x14ac:dyDescent="0.3">
      <c r="A75" s="10"/>
      <c r="B75" s="11"/>
    </row>
    <row r="76" spans="1:2" x14ac:dyDescent="0.3">
      <c r="A76" s="10"/>
      <c r="B76" s="11"/>
    </row>
    <row r="77" spans="1:2" x14ac:dyDescent="0.3">
      <c r="A77" s="10"/>
      <c r="B77" s="11"/>
    </row>
    <row r="78" spans="1:2" x14ac:dyDescent="0.3">
      <c r="A78" s="10"/>
      <c r="B78" s="11"/>
    </row>
    <row r="79" spans="1:2" x14ac:dyDescent="0.3">
      <c r="A79" s="10"/>
      <c r="B79" s="11"/>
    </row>
    <row r="80" spans="1:2" x14ac:dyDescent="0.3">
      <c r="A80" s="10"/>
      <c r="B80" s="11"/>
    </row>
    <row r="81" spans="1:2" x14ac:dyDescent="0.3">
      <c r="A81" s="10"/>
      <c r="B81" s="11"/>
    </row>
    <row r="82" spans="1:2" x14ac:dyDescent="0.3">
      <c r="A82" s="10"/>
      <c r="B82" s="11"/>
    </row>
    <row r="83" spans="1:2" x14ac:dyDescent="0.3">
      <c r="A83" s="10"/>
      <c r="B83" s="11"/>
    </row>
    <row r="84" spans="1:2" x14ac:dyDescent="0.3">
      <c r="A84" s="10"/>
      <c r="B84" s="11"/>
    </row>
    <row r="85" spans="1:2" x14ac:dyDescent="0.3">
      <c r="A85" s="10"/>
      <c r="B85" s="11"/>
    </row>
    <row r="86" spans="1:2" x14ac:dyDescent="0.3">
      <c r="A86" s="10"/>
      <c r="B86" s="11"/>
    </row>
    <row r="87" spans="1:2" x14ac:dyDescent="0.3">
      <c r="A87" s="10"/>
      <c r="B87" s="11"/>
    </row>
    <row r="88" spans="1:2" x14ac:dyDescent="0.3">
      <c r="A88" s="10"/>
      <c r="B88" s="11"/>
    </row>
    <row r="89" spans="1:2" x14ac:dyDescent="0.3">
      <c r="A89" s="10"/>
      <c r="B89" s="11"/>
    </row>
    <row r="90" spans="1:2" x14ac:dyDescent="0.3">
      <c r="A90" s="10"/>
      <c r="B90" s="11"/>
    </row>
    <row r="91" spans="1:2" x14ac:dyDescent="0.3">
      <c r="A91" s="10"/>
      <c r="B91" s="11"/>
    </row>
    <row r="92" spans="1:2" x14ac:dyDescent="0.3">
      <c r="A92" s="10"/>
      <c r="B92" s="11"/>
    </row>
    <row r="93" spans="1:2" x14ac:dyDescent="0.3">
      <c r="A93" s="10"/>
      <c r="B93" s="11"/>
    </row>
    <row r="94" spans="1:2" x14ac:dyDescent="0.3">
      <c r="A94" s="10"/>
      <c r="B94" s="11"/>
    </row>
    <row r="95" spans="1:2" x14ac:dyDescent="0.3">
      <c r="A95" s="10"/>
      <c r="B95" s="11"/>
    </row>
  </sheetData>
  <mergeCells count="4">
    <mergeCell ref="A1:B1"/>
    <mergeCell ref="A2:B2"/>
    <mergeCell ref="A3:B3"/>
    <mergeCell ref="A4:B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A29" sqref="A29"/>
    </sheetView>
  </sheetViews>
  <sheetFormatPr defaultRowHeight="14.4" x14ac:dyDescent="0.3"/>
  <cols>
    <col min="1" max="1" width="61.6640625" bestFit="1" customWidth="1"/>
    <col min="2" max="2" width="12" style="13" bestFit="1" customWidth="1"/>
    <col min="3" max="3" width="17.77734375" bestFit="1" customWidth="1"/>
    <col min="4" max="4" width="6" bestFit="1" customWidth="1"/>
    <col min="5" max="5" width="28.44140625" bestFit="1" customWidth="1"/>
    <col min="7" max="7" width="11.33203125" customWidth="1"/>
    <col min="8" max="8" width="61.21875" bestFit="1" customWidth="1"/>
    <col min="9" max="9" width="11" bestFit="1" customWidth="1"/>
    <col min="10" max="10" width="12.5546875" bestFit="1" customWidth="1"/>
  </cols>
  <sheetData>
    <row r="1" spans="1:10" x14ac:dyDescent="0.3">
      <c r="A1" t="s">
        <v>30</v>
      </c>
      <c r="B1"/>
      <c r="H1" t="s">
        <v>31</v>
      </c>
    </row>
    <row r="2" spans="1:10" x14ac:dyDescent="0.3">
      <c r="A2" t="s">
        <v>32</v>
      </c>
      <c r="B2"/>
      <c r="H2" t="s">
        <v>32</v>
      </c>
    </row>
    <row r="3" spans="1:10" x14ac:dyDescent="0.3">
      <c r="B3"/>
    </row>
    <row r="4" spans="1:10" x14ac:dyDescent="0.3">
      <c r="A4" s="12"/>
      <c r="B4" s="23"/>
    </row>
    <row r="5" spans="1:10" x14ac:dyDescent="0.3">
      <c r="A5" t="s">
        <v>33</v>
      </c>
      <c r="B5" s="37">
        <f>8000/6.69</f>
        <v>1195.8146487294468</v>
      </c>
      <c r="C5" t="s">
        <v>34</v>
      </c>
      <c r="D5" s="14">
        <v>0.3</v>
      </c>
    </row>
    <row r="6" spans="1:10" x14ac:dyDescent="0.3">
      <c r="A6" t="s">
        <v>35</v>
      </c>
      <c r="B6" s="14">
        <v>0.44</v>
      </c>
      <c r="C6" t="s">
        <v>36</v>
      </c>
      <c r="D6" s="15">
        <v>0.01</v>
      </c>
      <c r="H6" t="s">
        <v>37</v>
      </c>
      <c r="I6">
        <v>6.69</v>
      </c>
    </row>
    <row r="7" spans="1:10" x14ac:dyDescent="0.3">
      <c r="A7" t="s">
        <v>38</v>
      </c>
      <c r="B7" s="14">
        <v>0.05</v>
      </c>
      <c r="C7" t="s">
        <v>39</v>
      </c>
      <c r="D7">
        <v>50</v>
      </c>
      <c r="E7" t="s">
        <v>40</v>
      </c>
      <c r="H7" t="s">
        <v>41</v>
      </c>
      <c r="I7" s="15">
        <f>Assumptions!B44</f>
        <v>1.6E-2</v>
      </c>
    </row>
    <row r="8" spans="1:10" x14ac:dyDescent="0.3">
      <c r="A8" t="s">
        <v>42</v>
      </c>
      <c r="B8" s="13">
        <v>5</v>
      </c>
      <c r="C8" t="s">
        <v>43</v>
      </c>
      <c r="D8">
        <v>40</v>
      </c>
      <c r="E8" t="s">
        <v>44</v>
      </c>
    </row>
    <row r="9" spans="1:10" x14ac:dyDescent="0.3">
      <c r="A9" t="s">
        <v>45</v>
      </c>
      <c r="B9" s="13">
        <v>10</v>
      </c>
      <c r="C9" t="s">
        <v>46</v>
      </c>
      <c r="D9" s="15">
        <v>0.02</v>
      </c>
    </row>
    <row r="10" spans="1:10" x14ac:dyDescent="0.3">
      <c r="B10" s="14"/>
    </row>
    <row r="11" spans="1:10" x14ac:dyDescent="0.3">
      <c r="A11" s="16" t="s">
        <v>47</v>
      </c>
      <c r="B11" s="17">
        <v>2010</v>
      </c>
      <c r="C11" s="17">
        <v>2011</v>
      </c>
      <c r="I11">
        <v>2010</v>
      </c>
      <c r="J11">
        <v>2011</v>
      </c>
    </row>
    <row r="12" spans="1:10" x14ac:dyDescent="0.3">
      <c r="A12" t="s">
        <v>48</v>
      </c>
      <c r="B12">
        <f>$I$6</f>
        <v>6.69</v>
      </c>
      <c r="C12">
        <f>$I$6</f>
        <v>6.69</v>
      </c>
      <c r="H12" t="s">
        <v>48</v>
      </c>
      <c r="I12">
        <f>$I$6</f>
        <v>6.69</v>
      </c>
      <c r="J12">
        <f>$I$6</f>
        <v>6.69</v>
      </c>
    </row>
    <row r="13" spans="1:10" x14ac:dyDescent="0.3">
      <c r="A13" t="s">
        <v>49</v>
      </c>
      <c r="B13" s="13">
        <v>247</v>
      </c>
      <c r="C13">
        <v>250</v>
      </c>
      <c r="H13" t="s">
        <v>50</v>
      </c>
      <c r="I13" s="13">
        <f>B13</f>
        <v>247</v>
      </c>
      <c r="J13">
        <f>C13</f>
        <v>250</v>
      </c>
    </row>
    <row r="14" spans="1:10" x14ac:dyDescent="0.3">
      <c r="A14" t="s">
        <v>51</v>
      </c>
      <c r="B14" s="13">
        <f>I14*B12</f>
        <v>100000</v>
      </c>
      <c r="C14" s="13">
        <f>J14*C12</f>
        <v>101600</v>
      </c>
      <c r="H14" t="s">
        <v>52</v>
      </c>
      <c r="I14" s="13">
        <v>14947.683109118087</v>
      </c>
      <c r="J14" s="13">
        <f>I14*(1+$I$7)</f>
        <v>15186.846038863976</v>
      </c>
    </row>
    <row r="15" spans="1:10" x14ac:dyDescent="0.3">
      <c r="C15" s="13"/>
      <c r="I15" s="13"/>
      <c r="J15" s="13"/>
    </row>
    <row r="16" spans="1:10" x14ac:dyDescent="0.3">
      <c r="A16" s="16" t="s">
        <v>53</v>
      </c>
      <c r="B16" s="18"/>
      <c r="C16" s="19"/>
      <c r="H16" s="16" t="s">
        <v>54</v>
      </c>
      <c r="I16" s="18"/>
      <c r="J16" s="19"/>
    </row>
    <row r="17" spans="1:10" x14ac:dyDescent="0.3">
      <c r="A17" t="s">
        <v>55</v>
      </c>
      <c r="B17" s="20">
        <f>B14*B13</f>
        <v>24700000</v>
      </c>
      <c r="C17" s="20">
        <f>C14*C13</f>
        <v>25400000</v>
      </c>
      <c r="H17" t="s">
        <v>55</v>
      </c>
      <c r="I17" s="20">
        <f>I13*I14</f>
        <v>3692077.7279521674</v>
      </c>
      <c r="J17" s="20">
        <f>J13*J14</f>
        <v>3796711.5097159939</v>
      </c>
    </row>
    <row r="18" spans="1:10" x14ac:dyDescent="0.3">
      <c r="A18" t="s">
        <v>56</v>
      </c>
      <c r="B18" s="13">
        <f>-B12*$B$5*B13/$B$6</f>
        <v>-4490909.0909090908</v>
      </c>
      <c r="C18" s="37">
        <f>-C12*$B$5*C13/$B$6</f>
        <v>-4545454.5454545459</v>
      </c>
      <c r="H18" t="s">
        <v>56</v>
      </c>
      <c r="I18" s="13">
        <f>-I13*$B$5/$B$6</f>
        <v>-671286.85962766677</v>
      </c>
      <c r="J18" s="37">
        <f>-J13*$B$5/$B$6</f>
        <v>-679440.14132354932</v>
      </c>
    </row>
    <row r="19" spans="1:10" x14ac:dyDescent="0.3">
      <c r="A19" t="s">
        <v>57</v>
      </c>
      <c r="B19" s="21">
        <f>C19/(1+D9)</f>
        <v>-980392.15686274506</v>
      </c>
      <c r="C19" s="21">
        <v>-1000000</v>
      </c>
      <c r="H19" t="s">
        <v>57</v>
      </c>
      <c r="I19" s="21">
        <f>B19/$I$12</f>
        <v>-146545.91283449103</v>
      </c>
      <c r="J19" s="21">
        <f>C19/$I$12</f>
        <v>-149476.83109118085</v>
      </c>
    </row>
    <row r="20" spans="1:10" ht="16.2" x14ac:dyDescent="0.45">
      <c r="A20" t="s">
        <v>58</v>
      </c>
      <c r="B20" s="22">
        <f>-B17*$B$7</f>
        <v>-1235000</v>
      </c>
      <c r="C20" s="22">
        <f>-C17*$B$7</f>
        <v>-1270000</v>
      </c>
      <c r="H20" t="s">
        <v>58</v>
      </c>
      <c r="I20" s="22">
        <f>-I17*$B$7</f>
        <v>-184603.88639760838</v>
      </c>
      <c r="J20" s="22">
        <f>-J17*$B$7</f>
        <v>-189835.57548579969</v>
      </c>
    </row>
    <row r="21" spans="1:10" x14ac:dyDescent="0.3">
      <c r="A21" t="s">
        <v>59</v>
      </c>
      <c r="B21" s="13">
        <f>SUM(B17:B20)</f>
        <v>17993698.752228163</v>
      </c>
      <c r="C21" s="13">
        <f>SUM(C17:C20)</f>
        <v>18584545.454545453</v>
      </c>
      <c r="H21" t="s">
        <v>59</v>
      </c>
      <c r="I21" s="13">
        <f>SUM(I17:I20)</f>
        <v>2689641.0690924008</v>
      </c>
      <c r="J21" s="13">
        <f>SUM(J17:J20)</f>
        <v>2777958.9618154643</v>
      </c>
    </row>
    <row r="22" spans="1:10" x14ac:dyDescent="0.3">
      <c r="A22" t="s">
        <v>60</v>
      </c>
      <c r="B22" s="13">
        <f>C22/(1+D9)</f>
        <v>-3921568.6274509802</v>
      </c>
      <c r="C22" s="13">
        <v>-4000000</v>
      </c>
      <c r="H22" t="s">
        <v>60</v>
      </c>
      <c r="I22" s="13">
        <f>B22/I12</f>
        <v>-586183.65133796411</v>
      </c>
      <c r="J22" s="13">
        <f>C22/J12</f>
        <v>-597907.3243647234</v>
      </c>
    </row>
    <row r="23" spans="1:10" ht="16.2" x14ac:dyDescent="0.45">
      <c r="A23" t="s">
        <v>61</v>
      </c>
      <c r="B23" s="22">
        <v>-1500000</v>
      </c>
      <c r="C23" s="22">
        <v>-1500000</v>
      </c>
      <c r="H23" t="s">
        <v>61</v>
      </c>
      <c r="I23" s="22">
        <f>B23/I12</f>
        <v>-224215.24663677128</v>
      </c>
      <c r="J23" s="22">
        <f>C23/J12</f>
        <v>-224215.24663677128</v>
      </c>
    </row>
    <row r="24" spans="1:10" x14ac:dyDescent="0.3">
      <c r="A24" t="s">
        <v>62</v>
      </c>
      <c r="B24" s="13">
        <f>SUM(B21:B23)</f>
        <v>12572130.124777183</v>
      </c>
      <c r="C24" s="13">
        <f>SUM(C21:C23)</f>
        <v>13084545.454545453</v>
      </c>
      <c r="H24" t="s">
        <v>62</v>
      </c>
      <c r="I24" s="13">
        <f>SUM(I21:I23)</f>
        <v>1879242.1711176655</v>
      </c>
      <c r="J24" s="13">
        <f>SUM(J21:J23)</f>
        <v>1955836.3908139693</v>
      </c>
    </row>
    <row r="25" spans="1:10" ht="16.2" x14ac:dyDescent="0.45">
      <c r="A25" t="s">
        <v>63</v>
      </c>
      <c r="B25" s="22">
        <f>-$D$5*B24</f>
        <v>-3771639.0374331549</v>
      </c>
      <c r="C25" s="22">
        <f>-$D$5*C24</f>
        <v>-3925363.6363636358</v>
      </c>
      <c r="H25" t="s">
        <v>63</v>
      </c>
      <c r="I25" s="22">
        <f>-$D$5*I24</f>
        <v>-563772.6513352996</v>
      </c>
      <c r="J25" s="22">
        <f>-$D$5*J24</f>
        <v>-586750.91724419082</v>
      </c>
    </row>
    <row r="26" spans="1:10" x14ac:dyDescent="0.3">
      <c r="A26" t="s">
        <v>64</v>
      </c>
      <c r="B26" s="13">
        <f>SUM(B24:B25)</f>
        <v>8800491.0873440281</v>
      </c>
      <c r="C26" s="13">
        <f>SUM(C24:C25)</f>
        <v>9159181.8181818165</v>
      </c>
      <c r="H26" t="s">
        <v>64</v>
      </c>
      <c r="I26" s="13">
        <f>SUM(I24:I25)</f>
        <v>1315469.5197823658</v>
      </c>
      <c r="J26" s="13">
        <f>SUM(J24:J25)</f>
        <v>1369085.4735697785</v>
      </c>
    </row>
    <row r="27" spans="1:10" x14ac:dyDescent="0.3">
      <c r="I27" s="13"/>
    </row>
    <row r="28" spans="1:10" x14ac:dyDescent="0.3">
      <c r="I28" s="13"/>
    </row>
    <row r="29" spans="1:10" x14ac:dyDescent="0.3">
      <c r="A29" s="16" t="s">
        <v>65</v>
      </c>
      <c r="H29" s="16" t="s">
        <v>66</v>
      </c>
      <c r="I29" s="13"/>
    </row>
    <row r="30" spans="1:10" x14ac:dyDescent="0.3">
      <c r="A30" s="16"/>
      <c r="H30" s="16"/>
      <c r="I30" s="13"/>
    </row>
    <row r="31" spans="1:10" x14ac:dyDescent="0.3">
      <c r="A31" s="12" t="s">
        <v>67</v>
      </c>
      <c r="H31" s="12" t="s">
        <v>67</v>
      </c>
      <c r="I31" s="13"/>
    </row>
    <row r="32" spans="1:10" x14ac:dyDescent="0.3">
      <c r="A32" t="s">
        <v>68</v>
      </c>
      <c r="B32" s="13">
        <f>$D$6*B17</f>
        <v>247000</v>
      </c>
      <c r="C32" s="13">
        <f>$D$6*C17</f>
        <v>254000</v>
      </c>
      <c r="D32" s="23"/>
      <c r="H32" t="s">
        <v>68</v>
      </c>
      <c r="I32" s="13">
        <f>B32/$I$12</f>
        <v>36920.777279521673</v>
      </c>
      <c r="J32" s="13">
        <f>C32/$I$12</f>
        <v>37967.115097159935</v>
      </c>
    </row>
    <row r="33" spans="1:10" ht="57.6" customHeight="1" x14ac:dyDescent="0.3">
      <c r="A33" s="24" t="s">
        <v>69</v>
      </c>
      <c r="B33" s="13">
        <f>-SUM(B18:B19)*$D$8/365</f>
        <v>599594.65729006426</v>
      </c>
      <c r="C33" s="13">
        <v>0</v>
      </c>
      <c r="E33" s="34" t="s">
        <v>268</v>
      </c>
      <c r="H33" s="24" t="s">
        <v>69</v>
      </c>
      <c r="I33" s="13">
        <f>B33/$I$12</f>
        <v>89625.509310921407</v>
      </c>
      <c r="J33" s="13">
        <f>C33/$I$12</f>
        <v>0</v>
      </c>
    </row>
    <row r="34" spans="1:10" x14ac:dyDescent="0.3">
      <c r="A34" t="s">
        <v>70</v>
      </c>
      <c r="B34" s="13">
        <f>-B18*$D$7/365</f>
        <v>615193.02615193021</v>
      </c>
      <c r="C34" s="13">
        <v>0</v>
      </c>
      <c r="E34" s="34"/>
      <c r="H34" t="s">
        <v>70</v>
      </c>
      <c r="I34" s="13">
        <f t="shared" ref="I34:I37" si="0">B34/$I$12</f>
        <v>91957.104058584475</v>
      </c>
      <c r="J34" s="13">
        <f t="shared" ref="J34:J37" si="1">C34/$I$12</f>
        <v>0</v>
      </c>
    </row>
    <row r="35" spans="1:10" ht="16.2" x14ac:dyDescent="0.45">
      <c r="A35" t="s">
        <v>71</v>
      </c>
      <c r="B35" s="22">
        <f>B17*5/365</f>
        <v>338356.16438356164</v>
      </c>
      <c r="C35" s="25">
        <f>C17*5/365</f>
        <v>347945.20547945204</v>
      </c>
      <c r="H35" t="s">
        <v>71</v>
      </c>
      <c r="I35" s="22">
        <f t="shared" si="0"/>
        <v>50576.407232221471</v>
      </c>
      <c r="J35" s="25">
        <f t="shared" si="1"/>
        <v>52009.746708438266</v>
      </c>
    </row>
    <row r="36" spans="1:10" x14ac:dyDescent="0.3">
      <c r="A36" t="s">
        <v>72</v>
      </c>
      <c r="B36" s="13">
        <f>SUM(B32:B35)</f>
        <v>1800143.8478255561</v>
      </c>
      <c r="C36" s="13">
        <f>SUM(C32:C35)</f>
        <v>601945.20547945204</v>
      </c>
      <c r="H36" t="s">
        <v>72</v>
      </c>
      <c r="I36" s="13">
        <f>SUM(I32:I35)</f>
        <v>269079.79788124899</v>
      </c>
      <c r="J36" s="13">
        <f>SUM(J32:J35)</f>
        <v>89976.861805598193</v>
      </c>
    </row>
    <row r="37" spans="1:10" ht="16.2" x14ac:dyDescent="0.45">
      <c r="A37" t="s">
        <v>73</v>
      </c>
      <c r="B37" s="22">
        <f>-B23*10</f>
        <v>15000000</v>
      </c>
      <c r="C37" s="26">
        <f>B37+C23</f>
        <v>13500000</v>
      </c>
      <c r="H37" t="s">
        <v>73</v>
      </c>
      <c r="I37" s="22">
        <f t="shared" si="0"/>
        <v>2242152.4663677127</v>
      </c>
      <c r="J37" s="26">
        <f t="shared" si="1"/>
        <v>2017937.2197309416</v>
      </c>
    </row>
    <row r="38" spans="1:10" x14ac:dyDescent="0.3">
      <c r="A38" t="s">
        <v>74</v>
      </c>
      <c r="B38" s="13">
        <f>SUM(B36:B37)</f>
        <v>16800143.847825557</v>
      </c>
      <c r="C38" s="13">
        <f>SUM(C36:C37)</f>
        <v>14101945.205479452</v>
      </c>
      <c r="H38" t="s">
        <v>74</v>
      </c>
      <c r="I38" s="13">
        <f>SUM(I36:I37)</f>
        <v>2511232.2642489616</v>
      </c>
      <c r="J38" s="13">
        <f>SUM(J36:J37)</f>
        <v>2107914.0815365398</v>
      </c>
    </row>
    <row r="39" spans="1:10" x14ac:dyDescent="0.3">
      <c r="I39" s="13"/>
    </row>
    <row r="40" spans="1:10" x14ac:dyDescent="0.3">
      <c r="A40" s="12" t="s">
        <v>75</v>
      </c>
      <c r="H40" s="12" t="s">
        <v>75</v>
      </c>
      <c r="I40" s="13"/>
    </row>
    <row r="41" spans="1:10" ht="16.2" x14ac:dyDescent="0.45">
      <c r="A41" t="s">
        <v>76</v>
      </c>
      <c r="B41" s="22">
        <f>-B18*$B$9/365</f>
        <v>123038.60523038605</v>
      </c>
      <c r="C41" s="22">
        <f>-C18*$B$9/365</f>
        <v>124533.00124533003</v>
      </c>
      <c r="H41" t="s">
        <v>76</v>
      </c>
      <c r="I41" s="22">
        <f t="shared" ref="I41:J41" si="2">B41/$I$12</f>
        <v>18391.420811716896</v>
      </c>
      <c r="J41" s="22">
        <f t="shared" si="2"/>
        <v>18614.798392426012</v>
      </c>
    </row>
    <row r="42" spans="1:10" x14ac:dyDescent="0.3">
      <c r="A42" t="s">
        <v>77</v>
      </c>
      <c r="B42" s="13">
        <f>SUM(B41)</f>
        <v>123038.60523038605</v>
      </c>
      <c r="C42" s="13">
        <f>SUM(C41)</f>
        <v>124533.00124533003</v>
      </c>
      <c r="H42" t="s">
        <v>77</v>
      </c>
      <c r="I42" s="13">
        <f>SUM(I41)</f>
        <v>18391.420811716896</v>
      </c>
      <c r="J42" s="13">
        <f>SUM(J41)</f>
        <v>18614.798392426012</v>
      </c>
    </row>
    <row r="43" spans="1:10" x14ac:dyDescent="0.3">
      <c r="I43" s="13"/>
    </row>
    <row r="44" spans="1:10" x14ac:dyDescent="0.3">
      <c r="A44" s="12" t="s">
        <v>78</v>
      </c>
      <c r="H44" s="12" t="s">
        <v>78</v>
      </c>
      <c r="I44" s="13"/>
    </row>
    <row r="45" spans="1:10" x14ac:dyDescent="0.3">
      <c r="A45" t="s">
        <v>79</v>
      </c>
      <c r="B45" s="13">
        <v>10000000</v>
      </c>
      <c r="C45" s="13">
        <v>10000000</v>
      </c>
      <c r="H45" t="s">
        <v>79</v>
      </c>
      <c r="I45" s="13">
        <f t="shared" ref="I45:J46" si="3">B45/$I$12</f>
        <v>1494768.3109118086</v>
      </c>
      <c r="J45" s="13">
        <f t="shared" si="3"/>
        <v>1494768.3109118086</v>
      </c>
    </row>
    <row r="46" spans="1:10" ht="16.2" x14ac:dyDescent="0.45">
      <c r="A46" t="s">
        <v>80</v>
      </c>
      <c r="B46" s="22">
        <v>6677105.2425951716</v>
      </c>
      <c r="C46" s="26">
        <f>B46+C26+C62</f>
        <v>3977412.2042341232</v>
      </c>
      <c r="H46" t="s">
        <v>80</v>
      </c>
      <c r="I46" s="22">
        <f t="shared" si="3"/>
        <v>998072.5325254366</v>
      </c>
      <c r="J46" s="26">
        <f t="shared" si="3"/>
        <v>594530.97223230533</v>
      </c>
    </row>
    <row r="47" spans="1:10" x14ac:dyDescent="0.3">
      <c r="A47" t="s">
        <v>81</v>
      </c>
      <c r="B47" s="13">
        <f>SUM(B45:B46)</f>
        <v>16677105.242595172</v>
      </c>
      <c r="C47" s="13">
        <f>SUM(C45:C46)</f>
        <v>13977412.204234123</v>
      </c>
      <c r="H47" t="s">
        <v>81</v>
      </c>
      <c r="I47" s="13">
        <f>SUM(I45:I46)</f>
        <v>2492840.8434372451</v>
      </c>
      <c r="J47" s="13">
        <f>SUM(J45:J46)</f>
        <v>2089299.2831441141</v>
      </c>
    </row>
    <row r="48" spans="1:10" x14ac:dyDescent="0.3">
      <c r="I48" s="13"/>
    </row>
    <row r="49" spans="1:10" x14ac:dyDescent="0.3">
      <c r="A49" t="s">
        <v>82</v>
      </c>
      <c r="B49" s="13">
        <f>B47+B42</f>
        <v>16800143.847825557</v>
      </c>
      <c r="C49" s="13">
        <f>C47+C42</f>
        <v>14101945.205479452</v>
      </c>
      <c r="H49" t="s">
        <v>82</v>
      </c>
      <c r="I49" s="13">
        <f>I47+I42</f>
        <v>2511232.264248962</v>
      </c>
      <c r="J49" s="13">
        <f>J47+J42</f>
        <v>2107914.0815365403</v>
      </c>
    </row>
    <row r="50" spans="1:10" x14ac:dyDescent="0.3">
      <c r="I50" s="13"/>
    </row>
    <row r="51" spans="1:10" x14ac:dyDescent="0.3">
      <c r="A51" s="16" t="s">
        <v>83</v>
      </c>
      <c r="H51" s="16" t="s">
        <v>84</v>
      </c>
      <c r="I51" s="13"/>
    </row>
    <row r="52" spans="1:10" x14ac:dyDescent="0.3">
      <c r="A52" t="s">
        <v>64</v>
      </c>
      <c r="B52" s="13">
        <f>B26</f>
        <v>8800491.0873440281</v>
      </c>
      <c r="C52" s="13">
        <f>C26</f>
        <v>9159181.8181818165</v>
      </c>
      <c r="H52" t="s">
        <v>64</v>
      </c>
      <c r="I52" s="13">
        <f t="shared" ref="I52:J56" si="4">B52/$I$12</f>
        <v>1315469.5197823658</v>
      </c>
      <c r="J52" s="13">
        <f t="shared" si="4"/>
        <v>1369085.4735697783</v>
      </c>
    </row>
    <row r="53" spans="1:10" x14ac:dyDescent="0.3">
      <c r="A53" t="s">
        <v>85</v>
      </c>
      <c r="B53" s="13">
        <v>-15292.518492025671</v>
      </c>
      <c r="C53" s="13">
        <f>SUM(B33:B34)-SUM(C33:C34)</f>
        <v>1214787.6834419945</v>
      </c>
      <c r="H53" t="s">
        <v>85</v>
      </c>
      <c r="I53" s="13">
        <f t="shared" si="4"/>
        <v>-2285.8772035912812</v>
      </c>
      <c r="J53" s="13">
        <f>SUM(I33:I34)-SUM(J33:J34)</f>
        <v>181582.61336950588</v>
      </c>
    </row>
    <row r="54" spans="1:10" x14ac:dyDescent="0.3">
      <c r="A54" t="s">
        <v>86</v>
      </c>
      <c r="B54" s="13">
        <v>-9601.843553962357</v>
      </c>
      <c r="C54" s="13">
        <f>-C35+B35</f>
        <v>-9589.0410958903958</v>
      </c>
      <c r="H54" t="s">
        <v>86</v>
      </c>
      <c r="I54" s="13">
        <f t="shared" si="4"/>
        <v>-1435.253147079575</v>
      </c>
      <c r="J54" s="13">
        <f>-J35+I35</f>
        <v>-1433.3394762167954</v>
      </c>
    </row>
    <row r="55" spans="1:10" x14ac:dyDescent="0.3">
      <c r="A55" t="s">
        <v>87</v>
      </c>
      <c r="B55" s="13">
        <v>1465.0941322980204</v>
      </c>
      <c r="C55" s="13">
        <f>C41-B41</f>
        <v>1494.3960149439808</v>
      </c>
      <c r="H55" t="s">
        <v>87</v>
      </c>
      <c r="I55" s="13">
        <f t="shared" si="4"/>
        <v>218.99762814619137</v>
      </c>
      <c r="J55" s="13">
        <f>J41-I41</f>
        <v>223.37758070911514</v>
      </c>
    </row>
    <row r="56" spans="1:10" ht="16.2" x14ac:dyDescent="0.45">
      <c r="A56" t="s">
        <v>61</v>
      </c>
      <c r="B56" s="22">
        <v>1500000</v>
      </c>
      <c r="C56" s="22">
        <f>-C23</f>
        <v>1500000</v>
      </c>
      <c r="H56" t="s">
        <v>61</v>
      </c>
      <c r="I56" s="22">
        <f t="shared" si="4"/>
        <v>224215.24663677128</v>
      </c>
      <c r="J56" s="22">
        <f>-J23</f>
        <v>224215.24663677128</v>
      </c>
    </row>
    <row r="57" spans="1:10" x14ac:dyDescent="0.3">
      <c r="A57" s="12" t="s">
        <v>88</v>
      </c>
      <c r="B57" s="13">
        <f>SUM(B52:B56)</f>
        <v>10277061.819430338</v>
      </c>
      <c r="C57" s="13">
        <f>SUM(C52:C56)</f>
        <v>11865874.856542865</v>
      </c>
      <c r="H57" s="12" t="s">
        <v>88</v>
      </c>
      <c r="I57" s="13">
        <f>SUM(I52:I56)</f>
        <v>1536182.6336966124</v>
      </c>
      <c r="J57" s="13">
        <f>SUM(J52:J56)</f>
        <v>1773673.3716805477</v>
      </c>
    </row>
    <row r="58" spans="1:10" x14ac:dyDescent="0.3">
      <c r="I58" s="13"/>
    </row>
    <row r="59" spans="1:10" ht="16.2" x14ac:dyDescent="0.45">
      <c r="A59" t="s">
        <v>89</v>
      </c>
      <c r="B59" s="22">
        <v>-600000</v>
      </c>
      <c r="C59" s="27">
        <v>0</v>
      </c>
      <c r="H59" t="s">
        <v>89</v>
      </c>
      <c r="I59" s="22">
        <f>B59/$I$12</f>
        <v>-89686.098654708519</v>
      </c>
      <c r="J59" s="27">
        <v>0</v>
      </c>
    </row>
    <row r="60" spans="1:10" x14ac:dyDescent="0.3">
      <c r="A60" t="s">
        <v>90</v>
      </c>
      <c r="B60" s="13">
        <f>SUM(B59)</f>
        <v>-600000</v>
      </c>
      <c r="C60" s="13">
        <f>SUM(C59)</f>
        <v>0</v>
      </c>
      <c r="H60" t="s">
        <v>90</v>
      </c>
      <c r="I60" s="13">
        <f>SUM(I59)</f>
        <v>-89686.098654708519</v>
      </c>
      <c r="J60" s="13">
        <f>SUM(J59)</f>
        <v>0</v>
      </c>
    </row>
    <row r="61" spans="1:10" x14ac:dyDescent="0.3">
      <c r="I61" s="13"/>
    </row>
    <row r="62" spans="1:10" x14ac:dyDescent="0.3">
      <c r="A62" t="s">
        <v>91</v>
      </c>
      <c r="B62" s="13">
        <v>-9500000</v>
      </c>
      <c r="C62" s="23">
        <f>-(C57-C32+B32)</f>
        <v>-11858874.856542865</v>
      </c>
      <c r="H62" t="s">
        <v>91</v>
      </c>
      <c r="I62" s="13">
        <f>B62/I12</f>
        <v>-1420029.8953662182</v>
      </c>
      <c r="J62" s="23">
        <f>C62/J12</f>
        <v>-1772627.0338629095</v>
      </c>
    </row>
    <row r="63" spans="1:10" ht="16.2" x14ac:dyDescent="0.45">
      <c r="A63" t="s">
        <v>92</v>
      </c>
      <c r="B63" s="22">
        <v>0</v>
      </c>
      <c r="C63" s="27">
        <v>0</v>
      </c>
      <c r="H63" t="s">
        <v>92</v>
      </c>
      <c r="I63" s="22">
        <f>B63/I13</f>
        <v>0</v>
      </c>
      <c r="J63" s="27">
        <f>C63/J13</f>
        <v>0</v>
      </c>
    </row>
    <row r="64" spans="1:10" x14ac:dyDescent="0.3">
      <c r="A64" s="12" t="s">
        <v>93</v>
      </c>
      <c r="B64" s="23">
        <f>SUM(B62:B63)</f>
        <v>-9500000</v>
      </c>
      <c r="C64" s="23">
        <f>SUM(C62:C63)</f>
        <v>-11858874.856542865</v>
      </c>
      <c r="H64" s="12" t="s">
        <v>93</v>
      </c>
      <c r="I64" s="23">
        <f>SUM(I62:I63)</f>
        <v>-1420029.8953662182</v>
      </c>
      <c r="J64" s="23">
        <f>SUM(J62:J63)</f>
        <v>-1772627.0338629095</v>
      </c>
    </row>
    <row r="65" spans="1:10" x14ac:dyDescent="0.3">
      <c r="I65" s="13"/>
    </row>
    <row r="66" spans="1:10" x14ac:dyDescent="0.3">
      <c r="A66" t="s">
        <v>94</v>
      </c>
      <c r="B66" s="23">
        <f>B57+B59+B64</f>
        <v>177061.81943033822</v>
      </c>
      <c r="C66" s="23">
        <f>C57+C59+C64</f>
        <v>7000</v>
      </c>
      <c r="H66" t="s">
        <v>94</v>
      </c>
      <c r="I66" s="23">
        <f>I57+I59+I64</f>
        <v>26466.63967568567</v>
      </c>
      <c r="J66" s="23">
        <f>J57+J59+J64</f>
        <v>1046.3378176381811</v>
      </c>
    </row>
    <row r="67" spans="1:10" x14ac:dyDescent="0.3">
      <c r="C67" s="23"/>
      <c r="I67" s="28"/>
      <c r="J67"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2"/>
  <sheetViews>
    <sheetView workbookViewId="0"/>
  </sheetViews>
  <sheetFormatPr defaultRowHeight="14.4" x14ac:dyDescent="0.3"/>
  <cols>
    <col min="1" max="7" width="36.77734375" customWidth="1"/>
  </cols>
  <sheetData>
    <row r="1" spans="1:7" x14ac:dyDescent="0.3">
      <c r="A1" s="16" t="s">
        <v>164</v>
      </c>
    </row>
    <row r="3" spans="1:7" x14ac:dyDescent="0.3">
      <c r="A3" t="s">
        <v>165</v>
      </c>
      <c r="B3" t="s">
        <v>166</v>
      </c>
      <c r="C3">
        <v>0</v>
      </c>
    </row>
    <row r="4" spans="1:7" x14ac:dyDescent="0.3">
      <c r="A4" t="s">
        <v>167</v>
      </c>
    </row>
    <row r="5" spans="1:7" x14ac:dyDescent="0.3">
      <c r="A5" t="s">
        <v>168</v>
      </c>
    </row>
    <row r="7" spans="1:7" x14ac:dyDescent="0.3">
      <c r="A7" s="16" t="s">
        <v>169</v>
      </c>
      <c r="B7" t="s">
        <v>170</v>
      </c>
    </row>
    <row r="8" spans="1:7" x14ac:dyDescent="0.3">
      <c r="B8">
        <v>7</v>
      </c>
    </row>
    <row r="10" spans="1:7" x14ac:dyDescent="0.3">
      <c r="A10" t="s">
        <v>171</v>
      </c>
    </row>
    <row r="11" spans="1:7" x14ac:dyDescent="0.3">
      <c r="A11" t="e">
        <f>CB_DATA_!#REF!</f>
        <v>#REF!</v>
      </c>
      <c r="B11" t="e">
        <f>'Pitch Plant Financials'!#REF!</f>
        <v>#REF!</v>
      </c>
      <c r="C11" t="e">
        <f>'Raw Material Pricing'!#REF!</f>
        <v>#REF!</v>
      </c>
      <c r="D11" t="e">
        <f>NPV!#REF!</f>
        <v>#REF!</v>
      </c>
      <c r="E11" t="e">
        <f>'Early Liquidation'!#REF!</f>
        <v>#REF!</v>
      </c>
      <c r="F11" t="e">
        <f>'With Loan'!#REF!</f>
        <v>#REF!</v>
      </c>
      <c r="G11" t="e">
        <f>Assumptions!#REF!</f>
        <v>#REF!</v>
      </c>
    </row>
    <row r="13" spans="1:7" x14ac:dyDescent="0.3">
      <c r="A13" t="s">
        <v>172</v>
      </c>
    </row>
    <row r="14" spans="1:7" x14ac:dyDescent="0.3">
      <c r="A14" t="s">
        <v>176</v>
      </c>
      <c r="B14" t="s">
        <v>180</v>
      </c>
      <c r="C14" t="s">
        <v>266</v>
      </c>
      <c r="D14" t="s">
        <v>301</v>
      </c>
      <c r="E14" t="s">
        <v>315</v>
      </c>
      <c r="F14" s="42" t="s">
        <v>376</v>
      </c>
      <c r="G14" t="s">
        <v>383</v>
      </c>
    </row>
    <row r="16" spans="1:7" x14ac:dyDescent="0.3">
      <c r="A16" t="s">
        <v>173</v>
      </c>
    </row>
    <row r="19" spans="1:7" x14ac:dyDescent="0.3">
      <c r="A19" t="s">
        <v>174</v>
      </c>
    </row>
    <row r="20" spans="1:7" x14ac:dyDescent="0.3">
      <c r="A20">
        <v>31</v>
      </c>
      <c r="B20">
        <v>31</v>
      </c>
      <c r="C20">
        <v>31</v>
      </c>
      <c r="D20">
        <v>31</v>
      </c>
      <c r="E20">
        <v>31</v>
      </c>
      <c r="F20">
        <v>31</v>
      </c>
      <c r="G20">
        <v>26</v>
      </c>
    </row>
    <row r="25" spans="1:7" x14ac:dyDescent="0.3">
      <c r="A25" s="16" t="s">
        <v>175</v>
      </c>
    </row>
    <row r="26" spans="1:7" x14ac:dyDescent="0.3">
      <c r="A26" s="42" t="s">
        <v>177</v>
      </c>
      <c r="B26" s="42" t="s">
        <v>181</v>
      </c>
      <c r="C26" s="42" t="s">
        <v>181</v>
      </c>
      <c r="D26" s="42" t="s">
        <v>181</v>
      </c>
      <c r="E26" s="42" t="s">
        <v>181</v>
      </c>
      <c r="F26" s="42" t="s">
        <v>181</v>
      </c>
    </row>
    <row r="27" spans="1:7" x14ac:dyDescent="0.3">
      <c r="A27" t="s">
        <v>178</v>
      </c>
      <c r="B27" t="s">
        <v>382</v>
      </c>
      <c r="C27" t="s">
        <v>381</v>
      </c>
      <c r="D27" t="s">
        <v>475</v>
      </c>
      <c r="E27" t="s">
        <v>479</v>
      </c>
      <c r="F27" t="s">
        <v>480</v>
      </c>
    </row>
    <row r="28" spans="1:7" x14ac:dyDescent="0.3">
      <c r="A28" s="42" t="s">
        <v>179</v>
      </c>
      <c r="B28" s="42" t="s">
        <v>179</v>
      </c>
      <c r="C28" s="42" t="s">
        <v>179</v>
      </c>
      <c r="D28" s="42" t="s">
        <v>179</v>
      </c>
      <c r="E28" s="42" t="s">
        <v>179</v>
      </c>
      <c r="F28" s="42" t="s">
        <v>179</v>
      </c>
    </row>
    <row r="29" spans="1:7" x14ac:dyDescent="0.3">
      <c r="A29" s="42" t="s">
        <v>184</v>
      </c>
      <c r="B29" s="42" t="s">
        <v>177</v>
      </c>
      <c r="C29" s="42" t="s">
        <v>177</v>
      </c>
      <c r="D29" s="42" t="s">
        <v>177</v>
      </c>
      <c r="E29" s="42" t="s">
        <v>177</v>
      </c>
      <c r="F29" s="42" t="s">
        <v>177</v>
      </c>
    </row>
    <row r="30" spans="1:7" x14ac:dyDescent="0.3">
      <c r="A30" t="s">
        <v>384</v>
      </c>
      <c r="B30" t="s">
        <v>182</v>
      </c>
      <c r="C30" t="s">
        <v>267</v>
      </c>
      <c r="D30" t="s">
        <v>391</v>
      </c>
      <c r="E30" t="s">
        <v>449</v>
      </c>
      <c r="F30" t="s">
        <v>461</v>
      </c>
    </row>
    <row r="31" spans="1:7" x14ac:dyDescent="0.3">
      <c r="A31" s="42" t="s">
        <v>185</v>
      </c>
      <c r="B31" s="42" t="s">
        <v>179</v>
      </c>
      <c r="C31" s="42" t="s">
        <v>179</v>
      </c>
      <c r="D31" s="42" t="s">
        <v>179</v>
      </c>
      <c r="E31" s="42" t="s">
        <v>179</v>
      </c>
      <c r="F31" s="42" t="s">
        <v>179</v>
      </c>
    </row>
    <row r="10000" spans="1:1" x14ac:dyDescent="0.3">
      <c r="A10000" t="s">
        <v>183</v>
      </c>
    </row>
    <row r="10002" spans="1:1" x14ac:dyDescent="0.3">
      <c r="A10002" t="e">
        <f>ABS("{0.MEAN}" - 0 )</f>
        <v>#VALUE!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3"/>
  <sheetViews>
    <sheetView workbookViewId="0">
      <selection activeCell="F30" sqref="F30"/>
    </sheetView>
  </sheetViews>
  <sheetFormatPr defaultRowHeight="14.4" x14ac:dyDescent="0.3"/>
  <cols>
    <col min="1" max="1" width="29.88671875" bestFit="1" customWidth="1"/>
    <col min="2" max="2" width="13.6640625" bestFit="1" customWidth="1"/>
    <col min="3" max="3" width="15.77734375" bestFit="1" customWidth="1"/>
    <col min="4" max="5" width="15.109375" bestFit="1" customWidth="1"/>
    <col min="6" max="10" width="14.77734375" bestFit="1" customWidth="1"/>
    <col min="11" max="12" width="15.21875" bestFit="1" customWidth="1"/>
    <col min="14" max="14" width="5.6640625" bestFit="1" customWidth="1"/>
    <col min="15" max="15" width="6" bestFit="1" customWidth="1"/>
  </cols>
  <sheetData>
    <row r="2" spans="1:15" x14ac:dyDescent="0.3">
      <c r="A2" t="s">
        <v>160</v>
      </c>
    </row>
    <row r="3" spans="1:15" x14ac:dyDescent="0.3">
      <c r="C3" s="45">
        <v>2011</v>
      </c>
      <c r="D3" s="45">
        <v>2012</v>
      </c>
      <c r="E3" s="45">
        <v>2013</v>
      </c>
      <c r="F3" s="45">
        <v>2014</v>
      </c>
      <c r="G3" s="45">
        <v>2015</v>
      </c>
      <c r="H3" s="45">
        <v>2016</v>
      </c>
      <c r="I3" s="45">
        <v>2017</v>
      </c>
      <c r="J3" s="45">
        <v>2018</v>
      </c>
      <c r="K3" s="45">
        <v>2019</v>
      </c>
      <c r="L3" s="45">
        <v>2020</v>
      </c>
    </row>
    <row r="4" spans="1:15" x14ac:dyDescent="0.3">
      <c r="A4" t="s">
        <v>161</v>
      </c>
      <c r="B4">
        <f>'Initial Financials'!B13</f>
        <v>247</v>
      </c>
      <c r="C4" s="43">
        <v>250</v>
      </c>
      <c r="D4" s="43">
        <f>C4+C5*$O$4</f>
        <v>250</v>
      </c>
      <c r="E4" s="43">
        <f>D4+D5*$O$4</f>
        <v>250</v>
      </c>
      <c r="F4" s="43">
        <f t="shared" ref="F4:L4" si="0">E4+E5*$O$4</f>
        <v>250</v>
      </c>
      <c r="G4" s="43">
        <f t="shared" si="0"/>
        <v>250</v>
      </c>
      <c r="H4" s="43">
        <f t="shared" si="0"/>
        <v>250</v>
      </c>
      <c r="I4" s="43">
        <f t="shared" si="0"/>
        <v>250</v>
      </c>
      <c r="J4" s="43">
        <f t="shared" si="0"/>
        <v>250</v>
      </c>
      <c r="K4" s="43">
        <f t="shared" si="0"/>
        <v>250</v>
      </c>
      <c r="L4" s="43">
        <f t="shared" si="0"/>
        <v>250</v>
      </c>
      <c r="N4" t="s">
        <v>163</v>
      </c>
      <c r="O4" s="77">
        <v>11.29</v>
      </c>
    </row>
    <row r="5" spans="1:15" x14ac:dyDescent="0.3">
      <c r="A5" t="s">
        <v>162</v>
      </c>
      <c r="C5" s="44">
        <v>0</v>
      </c>
      <c r="D5" s="44">
        <v>0</v>
      </c>
      <c r="E5" s="44">
        <v>0</v>
      </c>
      <c r="F5" s="44">
        <v>0</v>
      </c>
      <c r="G5" s="44">
        <v>0</v>
      </c>
      <c r="H5" s="44">
        <v>0</v>
      </c>
      <c r="I5" s="44">
        <v>0</v>
      </c>
      <c r="J5" s="44">
        <v>0</v>
      </c>
      <c r="K5" s="44">
        <v>0</v>
      </c>
      <c r="L5" s="44">
        <v>0</v>
      </c>
    </row>
    <row r="6" spans="1:15" x14ac:dyDescent="0.3">
      <c r="A6" t="s">
        <v>186</v>
      </c>
      <c r="B6" s="76">
        <f>MIN(C4:L4)</f>
        <v>250</v>
      </c>
    </row>
    <row r="7" spans="1:15" x14ac:dyDescent="0.3">
      <c r="A7" t="s">
        <v>188</v>
      </c>
      <c r="B7" s="43">
        <f>Assumptions!B28/365*B4</f>
        <v>27.06849315068493</v>
      </c>
      <c r="C7" s="43">
        <f>Assumptions!$B$28/365*'Pitch Plant Financials'!C4</f>
        <v>27.397260273972602</v>
      </c>
      <c r="D7" s="43">
        <f>Assumptions!$B$28/365*'Pitch Plant Financials'!D4</f>
        <v>27.397260273972602</v>
      </c>
      <c r="E7" s="43">
        <f>Assumptions!$B$28/365*'Pitch Plant Financials'!E4</f>
        <v>27.397260273972602</v>
      </c>
      <c r="F7" s="43">
        <f>Assumptions!$B$28/365*'Pitch Plant Financials'!F4</f>
        <v>27.397260273972602</v>
      </c>
      <c r="G7" s="43">
        <f>Assumptions!$B$28/365*'Pitch Plant Financials'!G4</f>
        <v>27.397260273972602</v>
      </c>
      <c r="H7" s="43">
        <f>Assumptions!$B$28/365*'Pitch Plant Financials'!H4</f>
        <v>27.397260273972602</v>
      </c>
      <c r="I7" s="43">
        <f>Assumptions!$B$28/365*'Pitch Plant Financials'!I4</f>
        <v>27.397260273972602</v>
      </c>
      <c r="J7" s="43">
        <f>Assumptions!$B$28/365*'Pitch Plant Financials'!J4</f>
        <v>27.397260273972602</v>
      </c>
      <c r="K7" s="43">
        <f>Assumptions!$B$28/365*'Pitch Plant Financials'!K4</f>
        <v>27.397260273972602</v>
      </c>
      <c r="L7" s="43">
        <f>Assumptions!$B$28/365*'Pitch Plant Financials'!L4</f>
        <v>27.397260273972602</v>
      </c>
    </row>
    <row r="8" spans="1:15" x14ac:dyDescent="0.3">
      <c r="A8" t="s">
        <v>189</v>
      </c>
      <c r="B8" s="43">
        <f>B7</f>
        <v>27.06849315068493</v>
      </c>
      <c r="C8" s="43">
        <f>C10+B8-C11</f>
        <v>27.39726027397262</v>
      </c>
      <c r="D8" s="43">
        <f t="shared" ref="D8:L8" si="1">D10+C8-D11</f>
        <v>27.39726027397262</v>
      </c>
      <c r="E8" s="43">
        <f t="shared" si="1"/>
        <v>27.39726027397262</v>
      </c>
      <c r="F8" s="43">
        <f t="shared" si="1"/>
        <v>27.39726027397262</v>
      </c>
      <c r="G8" s="43">
        <f t="shared" si="1"/>
        <v>27.39726027397262</v>
      </c>
      <c r="H8" s="43">
        <f t="shared" si="1"/>
        <v>27.39726027397262</v>
      </c>
      <c r="I8" s="43">
        <f t="shared" si="1"/>
        <v>27.39726027397262</v>
      </c>
      <c r="J8" s="43">
        <f t="shared" si="1"/>
        <v>27.39726027397262</v>
      </c>
      <c r="K8" s="43">
        <f t="shared" si="1"/>
        <v>27.39726027397262</v>
      </c>
      <c r="L8" s="43">
        <f t="shared" si="1"/>
        <v>27.39726027397262</v>
      </c>
    </row>
    <row r="9" spans="1:15" x14ac:dyDescent="0.3">
      <c r="A9" t="s">
        <v>187</v>
      </c>
      <c r="B9" s="43"/>
      <c r="C9" s="43">
        <f>Assumptions!$B$40</f>
        <v>350</v>
      </c>
      <c r="D9" s="43">
        <f>Assumptions!$B$40</f>
        <v>350</v>
      </c>
      <c r="E9" s="43">
        <f>Assumptions!$B$40</f>
        <v>350</v>
      </c>
      <c r="F9" s="43">
        <f>Assumptions!$B$40</f>
        <v>350</v>
      </c>
      <c r="G9" s="43">
        <f>Assumptions!$B$40</f>
        <v>350</v>
      </c>
      <c r="H9" s="43">
        <f>Assumptions!$B$40</f>
        <v>350</v>
      </c>
      <c r="I9" s="43">
        <f>Assumptions!$B$40</f>
        <v>350</v>
      </c>
      <c r="J9" s="43">
        <f>Assumptions!$B$40</f>
        <v>350</v>
      </c>
      <c r="K9" s="43">
        <f>Assumptions!$B$40</f>
        <v>350</v>
      </c>
      <c r="L9" s="43">
        <f>Assumptions!$B$40</f>
        <v>350</v>
      </c>
    </row>
    <row r="10" spans="1:15" x14ac:dyDescent="0.3">
      <c r="A10" t="s">
        <v>190</v>
      </c>
      <c r="B10" s="43"/>
      <c r="C10" s="43">
        <f>IF(C4-B8+C7&lt;=C9,C4-B8+C7,350)</f>
        <v>250.32876712328766</v>
      </c>
      <c r="D10" s="43">
        <f t="shared" ref="D10:L10" si="2">IF(D4-C8+D7&lt;=D9,D4-C8+D7,350)</f>
        <v>249.99999999999997</v>
      </c>
      <c r="E10" s="43">
        <f t="shared" si="2"/>
        <v>249.99999999999997</v>
      </c>
      <c r="F10" s="43">
        <f t="shared" si="2"/>
        <v>249.99999999999997</v>
      </c>
      <c r="G10" s="43">
        <f t="shared" si="2"/>
        <v>249.99999999999997</v>
      </c>
      <c r="H10" s="43">
        <f t="shared" si="2"/>
        <v>249.99999999999997</v>
      </c>
      <c r="I10" s="43">
        <f t="shared" si="2"/>
        <v>249.99999999999997</v>
      </c>
      <c r="J10" s="43">
        <f t="shared" si="2"/>
        <v>249.99999999999997</v>
      </c>
      <c r="K10" s="43">
        <f t="shared" si="2"/>
        <v>249.99999999999997</v>
      </c>
      <c r="L10" s="43">
        <f t="shared" si="2"/>
        <v>249.99999999999997</v>
      </c>
    </row>
    <row r="11" spans="1:15" x14ac:dyDescent="0.3">
      <c r="A11" t="s">
        <v>191</v>
      </c>
      <c r="B11" s="43"/>
      <c r="C11" s="43">
        <f>IF(B8+C10&gt;C4,C4,B8+C10)</f>
        <v>250</v>
      </c>
      <c r="D11" s="43">
        <f t="shared" ref="D11:L11" si="3">IF(C8+D10&gt;D4,D4,C8+D10)</f>
        <v>250</v>
      </c>
      <c r="E11" s="43">
        <f t="shared" si="3"/>
        <v>250</v>
      </c>
      <c r="F11" s="43">
        <f t="shared" si="3"/>
        <v>250</v>
      </c>
      <c r="G11" s="43">
        <f t="shared" si="3"/>
        <v>250</v>
      </c>
      <c r="H11" s="43">
        <f t="shared" si="3"/>
        <v>250</v>
      </c>
      <c r="I11" s="43">
        <f t="shared" si="3"/>
        <v>250</v>
      </c>
      <c r="J11" s="43">
        <f t="shared" si="3"/>
        <v>250</v>
      </c>
      <c r="K11" s="43">
        <f t="shared" si="3"/>
        <v>250</v>
      </c>
      <c r="L11" s="43">
        <f t="shared" si="3"/>
        <v>250</v>
      </c>
    </row>
    <row r="12" spans="1:15" x14ac:dyDescent="0.3">
      <c r="A12" t="s">
        <v>192</v>
      </c>
      <c r="B12" s="43"/>
      <c r="C12" s="15">
        <f>(C4-B4)/B4</f>
        <v>1.2145748987854251E-2</v>
      </c>
      <c r="D12" s="15">
        <f t="shared" ref="D12:L12" si="4">(D4-C4)/C4</f>
        <v>0</v>
      </c>
      <c r="E12" s="15">
        <f t="shared" si="4"/>
        <v>0</v>
      </c>
      <c r="F12" s="15">
        <f t="shared" si="4"/>
        <v>0</v>
      </c>
      <c r="G12" s="15">
        <f t="shared" si="4"/>
        <v>0</v>
      </c>
      <c r="H12" s="15">
        <f t="shared" si="4"/>
        <v>0</v>
      </c>
      <c r="I12" s="15">
        <f t="shared" si="4"/>
        <v>0</v>
      </c>
      <c r="J12" s="15">
        <f t="shared" si="4"/>
        <v>0</v>
      </c>
      <c r="K12" s="15">
        <f t="shared" si="4"/>
        <v>0</v>
      </c>
      <c r="L12" s="15">
        <f t="shared" si="4"/>
        <v>0</v>
      </c>
    </row>
    <row r="13" spans="1:15" x14ac:dyDescent="0.3">
      <c r="A13" t="s">
        <v>193</v>
      </c>
      <c r="B13" s="43"/>
      <c r="C13" s="15">
        <v>0</v>
      </c>
      <c r="D13" s="15">
        <f>D12/1%*Assumptions!$B$45</f>
        <v>0</v>
      </c>
      <c r="E13" s="15">
        <f>E12/1%*Assumptions!$B$45</f>
        <v>0</v>
      </c>
      <c r="F13" s="15">
        <f>F12/1%*Assumptions!$B$45</f>
        <v>0</v>
      </c>
      <c r="G13" s="15">
        <f>G12/1%*Assumptions!$B$45</f>
        <v>0</v>
      </c>
      <c r="H13" s="15">
        <f>H12/1%*Assumptions!$B$45</f>
        <v>0</v>
      </c>
      <c r="I13" s="15">
        <f>I12/1%*Assumptions!$B$45</f>
        <v>0</v>
      </c>
      <c r="J13" s="15">
        <f>J12/1%*Assumptions!$B$45</f>
        <v>0</v>
      </c>
      <c r="K13" s="15">
        <f>K12/1%*Assumptions!$B$45</f>
        <v>0</v>
      </c>
      <c r="L13" s="15">
        <f>L12/1%*Assumptions!$B$45</f>
        <v>0</v>
      </c>
    </row>
    <row r="14" spans="1:15" x14ac:dyDescent="0.3">
      <c r="A14" t="s">
        <v>139</v>
      </c>
      <c r="B14" s="35">
        <f>Assumptions!B43</f>
        <v>14947.68</v>
      </c>
      <c r="C14" s="35">
        <f>B14*(1+Assumptions!$B$44+C13)</f>
        <v>15186.84288</v>
      </c>
      <c r="D14" s="35">
        <f>C14*(1+Assumptions!$B$44+D13)</f>
        <v>15429.83236608</v>
      </c>
      <c r="E14" s="35">
        <f>D14*(1+Assumptions!$B$44+E13)</f>
        <v>15676.709683937281</v>
      </c>
      <c r="F14" s="35">
        <f>E14*(1+Assumptions!$B$44+F13)</f>
        <v>15927.537038880277</v>
      </c>
      <c r="G14" s="35">
        <f>F14*(1+Assumptions!$B$44+G13)</f>
        <v>16182.377631502361</v>
      </c>
      <c r="H14" s="35">
        <f>G14*(1+Assumptions!$B$44+H13)</f>
        <v>16441.295673606397</v>
      </c>
      <c r="I14" s="35">
        <f>H14*(1+Assumptions!$B$44+I13)</f>
        <v>16704.3564043841</v>
      </c>
      <c r="J14" s="35">
        <f>I14*(1+Assumptions!$B$44+J13)</f>
        <v>16971.626106854244</v>
      </c>
      <c r="K14" s="35">
        <f>J14*(1+Assumptions!$B$44+K13)</f>
        <v>17243.172124563913</v>
      </c>
      <c r="L14" s="35">
        <f>K14*(1+Assumptions!$B$44+L13)</f>
        <v>17519.062878556935</v>
      </c>
    </row>
    <row r="15" spans="1:15" ht="15" thickBot="1" x14ac:dyDescent="0.35">
      <c r="A15" s="40" t="s">
        <v>194</v>
      </c>
      <c r="B15" s="40"/>
      <c r="C15" s="41">
        <f>C11*C14</f>
        <v>3796710.72</v>
      </c>
      <c r="D15" s="41">
        <f t="shared" ref="D15:L15" si="5">D11*D14</f>
        <v>3857458.0915199998</v>
      </c>
      <c r="E15" s="41">
        <f t="shared" si="5"/>
        <v>3919177.4209843203</v>
      </c>
      <c r="F15" s="41">
        <f t="shared" si="5"/>
        <v>3981884.2597200694</v>
      </c>
      <c r="G15" s="41">
        <f t="shared" si="5"/>
        <v>4045594.40787559</v>
      </c>
      <c r="H15" s="41">
        <f t="shared" si="5"/>
        <v>4110323.9184015994</v>
      </c>
      <c r="I15" s="41">
        <f t="shared" si="5"/>
        <v>4176089.1010960247</v>
      </c>
      <c r="J15" s="41">
        <f t="shared" si="5"/>
        <v>4242906.5267135613</v>
      </c>
      <c r="K15" s="41">
        <f t="shared" si="5"/>
        <v>4310793.0311409784</v>
      </c>
      <c r="L15" s="41">
        <f t="shared" si="5"/>
        <v>4379765.7196392342</v>
      </c>
    </row>
    <row r="16" spans="1:15" ht="15" thickTop="1" x14ac:dyDescent="0.3"/>
    <row r="17" spans="1:12" x14ac:dyDescent="0.3">
      <c r="A17" t="s">
        <v>195</v>
      </c>
    </row>
    <row r="19" spans="1:12" x14ac:dyDescent="0.3">
      <c r="A19" t="s">
        <v>197</v>
      </c>
      <c r="C19" s="35">
        <f>Assumptions!B4</f>
        <v>747384</v>
      </c>
      <c r="D19" s="35">
        <v>0</v>
      </c>
      <c r="E19" s="35">
        <v>0</v>
      </c>
      <c r="F19" s="35">
        <v>0</v>
      </c>
      <c r="G19" s="35">
        <v>0</v>
      </c>
      <c r="H19" s="35">
        <v>0</v>
      </c>
      <c r="I19" s="35">
        <v>0</v>
      </c>
      <c r="J19" s="35">
        <v>0</v>
      </c>
      <c r="K19" s="35">
        <v>0</v>
      </c>
      <c r="L19" s="35">
        <v>0</v>
      </c>
    </row>
    <row r="20" spans="1:12" x14ac:dyDescent="0.3">
      <c r="A20" t="s">
        <v>198</v>
      </c>
      <c r="C20" s="35">
        <f>Assumptions!B7</f>
        <v>10000000</v>
      </c>
      <c r="D20" s="35">
        <v>0</v>
      </c>
      <c r="E20" s="35">
        <v>0</v>
      </c>
      <c r="F20" s="35">
        <v>0</v>
      </c>
      <c r="G20" s="35">
        <v>0</v>
      </c>
      <c r="H20" s="35">
        <v>0</v>
      </c>
      <c r="I20" s="35">
        <v>0</v>
      </c>
      <c r="J20" s="35">
        <v>0</v>
      </c>
      <c r="K20" s="35">
        <v>0</v>
      </c>
      <c r="L20" s="35">
        <v>0</v>
      </c>
    </row>
    <row r="21" spans="1:12" x14ac:dyDescent="0.3">
      <c r="C21" s="35"/>
      <c r="D21" s="35"/>
      <c r="E21" s="35"/>
      <c r="F21" s="35"/>
      <c r="G21" s="35"/>
      <c r="H21" s="35"/>
      <c r="I21" s="35"/>
      <c r="J21" s="35"/>
      <c r="K21" s="35"/>
      <c r="L21" s="35"/>
    </row>
    <row r="22" spans="1:12" x14ac:dyDescent="0.3">
      <c r="A22" t="s">
        <v>200</v>
      </c>
      <c r="C22" s="35">
        <f>Assumptions!B15</f>
        <v>1000000</v>
      </c>
      <c r="D22" s="35">
        <f>C22*(1+Assumptions!$B$16)</f>
        <v>1020000</v>
      </c>
      <c r="E22" s="35">
        <f>D22*(1+Assumptions!$B$16)</f>
        <v>1040400</v>
      </c>
      <c r="F22" s="35">
        <f>E22*(1+Assumptions!$B$16)</f>
        <v>1061208</v>
      </c>
      <c r="G22" s="35">
        <f>F22*(1+Assumptions!$B$16)</f>
        <v>1082432.1599999999</v>
      </c>
      <c r="H22" s="35">
        <f>G22*(1+Assumptions!$B$16)</f>
        <v>1104080.8032</v>
      </c>
      <c r="I22" s="35">
        <f>H22*(1+Assumptions!$B$16)</f>
        <v>1126162.4192639999</v>
      </c>
      <c r="J22" s="35">
        <f>I22*(1+Assumptions!$B$16)</f>
        <v>1148685.6676492798</v>
      </c>
      <c r="K22" s="35">
        <f>J22*(1+Assumptions!$B$16)</f>
        <v>1171659.3810022655</v>
      </c>
      <c r="L22" s="35">
        <f>K22*(1+Assumptions!$B$16)</f>
        <v>1195092.5686223109</v>
      </c>
    </row>
    <row r="23" spans="1:12" x14ac:dyDescent="0.3">
      <c r="A23" t="s">
        <v>201</v>
      </c>
      <c r="C23" s="35">
        <f>Assumptions!B17</f>
        <v>4000000</v>
      </c>
      <c r="D23" s="35">
        <f>C23*(1+Assumptions!$B$18)</f>
        <v>4080000</v>
      </c>
      <c r="E23" s="35">
        <f>D23*(1+Assumptions!$B$18)</f>
        <v>4161600</v>
      </c>
      <c r="F23" s="35">
        <f>E23*(1+Assumptions!$B$18)</f>
        <v>4244832</v>
      </c>
      <c r="G23" s="35">
        <f>F23*(1+Assumptions!$B$18)</f>
        <v>4329728.6399999997</v>
      </c>
      <c r="H23" s="35">
        <f>G23*(1+Assumptions!$B$18)</f>
        <v>4416323.2127999999</v>
      </c>
      <c r="I23" s="35">
        <f>H23*(1+Assumptions!$B$18)</f>
        <v>4504649.6770559996</v>
      </c>
      <c r="J23" s="35">
        <f>I23*(1+Assumptions!$B$18)</f>
        <v>4594742.6705971193</v>
      </c>
      <c r="K23" s="35">
        <f>J23*(1+Assumptions!$B$18)</f>
        <v>4686637.524009062</v>
      </c>
      <c r="L23" s="35">
        <f>K23*(1+Assumptions!$B$18)</f>
        <v>4780370.2744892435</v>
      </c>
    </row>
    <row r="24" spans="1:12" x14ac:dyDescent="0.3">
      <c r="A24" t="s">
        <v>202</v>
      </c>
      <c r="C24" s="35">
        <f>C22/Assumptions!$B$35</f>
        <v>149476.83109118085</v>
      </c>
      <c r="D24" s="35">
        <f>D22/Assumptions!$B$35</f>
        <v>152466.36771300447</v>
      </c>
      <c r="E24" s="35">
        <f>E22/Assumptions!$B$35</f>
        <v>155515.69506726458</v>
      </c>
      <c r="F24" s="35">
        <f>F22/Assumptions!$B$35</f>
        <v>158626.00896860985</v>
      </c>
      <c r="G24" s="35">
        <f>G22/Assumptions!$B$35</f>
        <v>161798.52914798204</v>
      </c>
      <c r="H24" s="35">
        <f>H22/Assumptions!$B$35</f>
        <v>165034.49973094169</v>
      </c>
      <c r="I24" s="35">
        <f>I22/Assumptions!$B$35</f>
        <v>168335.18972556051</v>
      </c>
      <c r="J24" s="35">
        <f>J22/Assumptions!$B$35</f>
        <v>171701.89352007172</v>
      </c>
      <c r="K24" s="35">
        <f>K22/Assumptions!$B$35</f>
        <v>175135.93139047315</v>
      </c>
      <c r="L24" s="35">
        <f>L22/Assumptions!$B$35</f>
        <v>178638.65001828264</v>
      </c>
    </row>
    <row r="25" spans="1:12" x14ac:dyDescent="0.3">
      <c r="A25" t="s">
        <v>203</v>
      </c>
      <c r="C25" s="35">
        <f>C23/Assumptions!$B$35</f>
        <v>597907.3243647234</v>
      </c>
      <c r="D25" s="35">
        <f>D23/Assumptions!$B$35</f>
        <v>609865.47085201787</v>
      </c>
      <c r="E25" s="35">
        <f>E23/Assumptions!$B$35</f>
        <v>622062.7802690583</v>
      </c>
      <c r="F25" s="35">
        <f>F23/Assumptions!$B$35</f>
        <v>634504.0358744394</v>
      </c>
      <c r="G25" s="35">
        <f>G23/Assumptions!$B$35</f>
        <v>647194.11659192818</v>
      </c>
      <c r="H25" s="35">
        <f>H23/Assumptions!$B$35</f>
        <v>660137.99892376678</v>
      </c>
      <c r="I25" s="35">
        <f>I23/Assumptions!$B$35</f>
        <v>673340.75890224206</v>
      </c>
      <c r="J25" s="35">
        <f>J23/Assumptions!$B$35</f>
        <v>686807.5740802869</v>
      </c>
      <c r="K25" s="35">
        <f>K23/Assumptions!$B$35</f>
        <v>700543.72556189261</v>
      </c>
      <c r="L25" s="35">
        <f>L23/Assumptions!$B$35</f>
        <v>714554.60007313057</v>
      </c>
    </row>
    <row r="26" spans="1:12" x14ac:dyDescent="0.3">
      <c r="C26" s="35"/>
      <c r="D26" s="35"/>
      <c r="E26" s="35"/>
      <c r="F26" s="35"/>
      <c r="G26" s="35"/>
      <c r="H26" s="35"/>
      <c r="I26" s="35"/>
      <c r="J26" s="35"/>
      <c r="K26" s="35"/>
      <c r="L26" s="35"/>
    </row>
    <row r="27" spans="1:12" x14ac:dyDescent="0.3">
      <c r="A27" t="s">
        <v>204</v>
      </c>
      <c r="C27" s="35">
        <v>0</v>
      </c>
      <c r="D27" s="35">
        <f>D24</f>
        <v>152466.36771300447</v>
      </c>
      <c r="E27" s="35">
        <f t="shared" ref="E27:L27" si="6">E24</f>
        <v>155515.69506726458</v>
      </c>
      <c r="F27" s="35">
        <f t="shared" si="6"/>
        <v>158626.00896860985</v>
      </c>
      <c r="G27" s="35">
        <f t="shared" si="6"/>
        <v>161798.52914798204</v>
      </c>
      <c r="H27" s="35">
        <f t="shared" si="6"/>
        <v>165034.49973094169</v>
      </c>
      <c r="I27" s="35">
        <f t="shared" si="6"/>
        <v>168335.18972556051</v>
      </c>
      <c r="J27" s="35">
        <f t="shared" si="6"/>
        <v>171701.89352007172</v>
      </c>
      <c r="K27" s="35">
        <f t="shared" si="6"/>
        <v>175135.93139047315</v>
      </c>
      <c r="L27" s="35">
        <f t="shared" si="6"/>
        <v>178638.65001828264</v>
      </c>
    </row>
    <row r="28" spans="1:12" x14ac:dyDescent="0.3">
      <c r="A28" t="s">
        <v>205</v>
      </c>
      <c r="C28" s="35">
        <v>0</v>
      </c>
      <c r="D28" s="35">
        <f>D25*1.25</f>
        <v>762331.83856502234</v>
      </c>
      <c r="E28" s="35">
        <f t="shared" ref="E28:L28" si="7">E25*1.25</f>
        <v>777578.47533632291</v>
      </c>
      <c r="F28" s="35">
        <f t="shared" si="7"/>
        <v>793130.04484304925</v>
      </c>
      <c r="G28" s="35">
        <f t="shared" si="7"/>
        <v>808992.64573991019</v>
      </c>
      <c r="H28" s="35">
        <f t="shared" si="7"/>
        <v>825172.4986547085</v>
      </c>
      <c r="I28" s="35">
        <f t="shared" si="7"/>
        <v>841675.94862780254</v>
      </c>
      <c r="J28" s="35">
        <f t="shared" si="7"/>
        <v>858509.46760035865</v>
      </c>
      <c r="K28" s="35">
        <f t="shared" si="7"/>
        <v>875679.65695236577</v>
      </c>
      <c r="L28" s="35">
        <f t="shared" si="7"/>
        <v>893193.25009141327</v>
      </c>
    </row>
    <row r="29" spans="1:12" x14ac:dyDescent="0.3">
      <c r="A29" t="s">
        <v>206</v>
      </c>
      <c r="C29" s="2">
        <f>C11/Assumptions!$B$10</f>
        <v>568.18181818181813</v>
      </c>
      <c r="D29" s="2">
        <f>D11/Assumptions!$B$10</f>
        <v>568.18181818181813</v>
      </c>
      <c r="E29" s="2">
        <f>E11/Assumptions!$B$10</f>
        <v>568.18181818181813</v>
      </c>
      <c r="F29" s="2">
        <f>F11/Assumptions!$B$10</f>
        <v>568.18181818181813</v>
      </c>
      <c r="G29" s="2">
        <f>G11/Assumptions!$B$10</f>
        <v>568.18181818181813</v>
      </c>
      <c r="H29" s="2">
        <f>H11/Assumptions!$B$10</f>
        <v>568.18181818181813</v>
      </c>
      <c r="I29" s="2">
        <f>I11/Assumptions!$B$10</f>
        <v>568.18181818181813</v>
      </c>
      <c r="J29" s="2">
        <f>J11/Assumptions!$B$10</f>
        <v>568.18181818181813</v>
      </c>
      <c r="K29" s="2">
        <f>K11/Assumptions!$B$10</f>
        <v>568.18181818181813</v>
      </c>
      <c r="L29" s="2">
        <f>L11/Assumptions!$B$10</f>
        <v>568.18181818181813</v>
      </c>
    </row>
    <row r="30" spans="1:12" x14ac:dyDescent="0.3">
      <c r="A30" t="s">
        <v>199</v>
      </c>
      <c r="C30" s="35">
        <f>C29*Assumptions!B6</f>
        <v>679437.49999999988</v>
      </c>
      <c r="D30" s="35">
        <v>0</v>
      </c>
      <c r="E30" s="35">
        <v>0</v>
      </c>
      <c r="F30" s="35">
        <v>0</v>
      </c>
      <c r="G30" s="35">
        <v>0</v>
      </c>
      <c r="H30" s="35">
        <v>0</v>
      </c>
      <c r="I30" s="35">
        <v>0</v>
      </c>
      <c r="J30" s="35">
        <v>0</v>
      </c>
      <c r="K30" s="35">
        <v>0</v>
      </c>
      <c r="L30" s="35">
        <v>0</v>
      </c>
    </row>
    <row r="31" spans="1:12" x14ac:dyDescent="0.3">
      <c r="C31" s="35"/>
      <c r="D31" s="35"/>
      <c r="E31" s="35"/>
      <c r="F31" s="35"/>
      <c r="G31" s="35"/>
      <c r="H31" s="35"/>
      <c r="I31" s="35"/>
      <c r="J31" s="35"/>
      <c r="K31" s="35"/>
      <c r="L31" s="35"/>
    </row>
    <row r="32" spans="1:12" x14ac:dyDescent="0.3">
      <c r="A32" t="s">
        <v>207</v>
      </c>
      <c r="C32" s="2">
        <v>0</v>
      </c>
      <c r="D32" s="2">
        <f>D29/Assumptions!$B$9</f>
        <v>800.25608194622271</v>
      </c>
      <c r="E32" s="2">
        <f>E29/Assumptions!$B$9</f>
        <v>800.25608194622271</v>
      </c>
      <c r="F32" s="2">
        <f>F29/Assumptions!$B$9</f>
        <v>800.25608194622271</v>
      </c>
      <c r="G32" s="2">
        <f>G29/Assumptions!$B$9</f>
        <v>800.25608194622271</v>
      </c>
      <c r="H32" s="2">
        <f>H29/Assumptions!$B$9</f>
        <v>800.25608194622271</v>
      </c>
      <c r="I32" s="2">
        <f>I29/Assumptions!$B$9</f>
        <v>800.25608194622271</v>
      </c>
      <c r="J32" s="2">
        <f>J29/Assumptions!$B$9</f>
        <v>800.25608194622271</v>
      </c>
      <c r="K32" s="2">
        <f>K29/Assumptions!$B$9</f>
        <v>800.25608194622271</v>
      </c>
      <c r="L32" s="2">
        <f>L29/Assumptions!$B$9</f>
        <v>800.25608194622271</v>
      </c>
    </row>
    <row r="33" spans="1:12" x14ac:dyDescent="0.3">
      <c r="A33" t="s">
        <v>208</v>
      </c>
      <c r="C33" s="35">
        <f>VLOOKUP(C3,'Raw Material Pricing'!$B$7:$E$27,4,0)</f>
        <v>544.17230719417955</v>
      </c>
      <c r="D33" s="35">
        <f>VLOOKUP(D3,'Raw Material Pricing'!$B$7:$E$27,4,0)</f>
        <v>536.8483910609616</v>
      </c>
      <c r="E33" s="35">
        <f>VLOOKUP(E3,'Raw Material Pricing'!$B$7:$E$27,4,0)</f>
        <v>530.78783803048736</v>
      </c>
      <c r="F33" s="35">
        <f>VLOOKUP(F3,'Raw Material Pricing'!$B$7:$E$27,4,0)</f>
        <v>525.77272011172829</v>
      </c>
      <c r="G33" s="35">
        <f>VLOOKUP(G3,'Raw Material Pricing'!$B$7:$E$27,4,0)</f>
        <v>521.62270152223823</v>
      </c>
      <c r="H33" s="35">
        <f>VLOOKUP(H3,'Raw Material Pricing'!$B$7:$E$27,4,0)</f>
        <v>518.18855409597506</v>
      </c>
      <c r="I33" s="35">
        <f>VLOOKUP(I3,'Raw Material Pricing'!$B$7:$E$27,4,0)</f>
        <v>515.34679127226707</v>
      </c>
      <c r="J33" s="35">
        <f>VLOOKUP(J3,'Raw Material Pricing'!$B$7:$E$27,4,0)</f>
        <v>512.99522771257557</v>
      </c>
      <c r="K33" s="35">
        <f>VLOOKUP(K3,'Raw Material Pricing'!$B$7:$E$27,4,0)</f>
        <v>511.04930487582959</v>
      </c>
      <c r="L33" s="35">
        <f>VLOOKUP(L3,'Raw Material Pricing'!$B$7:$E$27,4,0)</f>
        <v>509.43905042577921</v>
      </c>
    </row>
    <row r="34" spans="1:12" x14ac:dyDescent="0.3">
      <c r="A34" t="s">
        <v>209</v>
      </c>
      <c r="C34" s="28">
        <f t="shared" ref="C34:L34" si="8">C32*C33</f>
        <v>0</v>
      </c>
      <c r="D34" s="28">
        <f t="shared" si="8"/>
        <v>429616.19002957869</v>
      </c>
      <c r="E34" s="28">
        <f t="shared" si="8"/>
        <v>424766.19560698408</v>
      </c>
      <c r="F34" s="28">
        <f t="shared" si="8"/>
        <v>420752.81699081964</v>
      </c>
      <c r="G34" s="28">
        <f t="shared" si="8"/>
        <v>417431.73937439034</v>
      </c>
      <c r="H34" s="28">
        <f t="shared" si="8"/>
        <v>414683.54201022326</v>
      </c>
      <c r="I34" s="28">
        <f t="shared" si="8"/>
        <v>412409.40402710228</v>
      </c>
      <c r="J34" s="28">
        <f t="shared" si="8"/>
        <v>410527.55098637607</v>
      </c>
      <c r="K34" s="28">
        <f t="shared" si="8"/>
        <v>408970.31440127204</v>
      </c>
      <c r="L34" s="28">
        <f t="shared" si="8"/>
        <v>407681.69848413824</v>
      </c>
    </row>
    <row r="35" spans="1:12" x14ac:dyDescent="0.3">
      <c r="C35" s="28"/>
      <c r="D35" s="28"/>
      <c r="E35" s="28"/>
      <c r="F35" s="28"/>
      <c r="G35" s="28"/>
      <c r="H35" s="28"/>
      <c r="I35" s="28"/>
      <c r="J35" s="28"/>
      <c r="K35" s="28"/>
      <c r="L35" s="28"/>
    </row>
    <row r="36" spans="1:12" x14ac:dyDescent="0.3">
      <c r="A36" t="s">
        <v>235</v>
      </c>
      <c r="C36" s="28">
        <f>SUM(C34,C30,C28,C27)</f>
        <v>679437.49999999988</v>
      </c>
      <c r="D36" s="28">
        <f t="shared" ref="D36:L36" si="9">SUM(D34,D30,D27)</f>
        <v>582082.5577425831</v>
      </c>
      <c r="E36" s="28">
        <f t="shared" si="9"/>
        <v>580281.89067424869</v>
      </c>
      <c r="F36" s="28">
        <f t="shared" si="9"/>
        <v>579378.82595942949</v>
      </c>
      <c r="G36" s="28">
        <f t="shared" si="9"/>
        <v>579230.26852237235</v>
      </c>
      <c r="H36" s="28">
        <f t="shared" si="9"/>
        <v>579718.04174116498</v>
      </c>
      <c r="I36" s="28">
        <f t="shared" si="9"/>
        <v>580744.59375266277</v>
      </c>
      <c r="J36" s="28">
        <f t="shared" si="9"/>
        <v>582229.44450644776</v>
      </c>
      <c r="K36" s="28">
        <f t="shared" si="9"/>
        <v>584106.24579174514</v>
      </c>
      <c r="L36" s="28">
        <f t="shared" si="9"/>
        <v>586320.34850242082</v>
      </c>
    </row>
    <row r="39" spans="1:12" x14ac:dyDescent="0.3">
      <c r="A39" s="16" t="s">
        <v>54</v>
      </c>
      <c r="C39" s="45">
        <f t="shared" ref="C39:L39" si="10">C3</f>
        <v>2011</v>
      </c>
      <c r="D39" s="45">
        <f t="shared" si="10"/>
        <v>2012</v>
      </c>
      <c r="E39" s="45">
        <f t="shared" si="10"/>
        <v>2013</v>
      </c>
      <c r="F39" s="45">
        <f t="shared" si="10"/>
        <v>2014</v>
      </c>
      <c r="G39" s="45">
        <f t="shared" si="10"/>
        <v>2015</v>
      </c>
      <c r="H39" s="45">
        <f t="shared" si="10"/>
        <v>2016</v>
      </c>
      <c r="I39" s="45">
        <f t="shared" si="10"/>
        <v>2017</v>
      </c>
      <c r="J39" s="45">
        <f t="shared" si="10"/>
        <v>2018</v>
      </c>
      <c r="K39" s="45">
        <f t="shared" si="10"/>
        <v>2019</v>
      </c>
      <c r="L39" s="45">
        <f t="shared" si="10"/>
        <v>2020</v>
      </c>
    </row>
    <row r="40" spans="1:12" x14ac:dyDescent="0.3">
      <c r="A40" t="s">
        <v>55</v>
      </c>
      <c r="C40" s="1">
        <f t="shared" ref="C40:L40" si="11">C15</f>
        <v>3796710.72</v>
      </c>
      <c r="D40" s="1">
        <f t="shared" si="11"/>
        <v>3857458.0915199998</v>
      </c>
      <c r="E40" s="1">
        <f t="shared" si="11"/>
        <v>3919177.4209843203</v>
      </c>
      <c r="F40" s="1">
        <f t="shared" si="11"/>
        <v>3981884.2597200694</v>
      </c>
      <c r="G40" s="1">
        <f t="shared" si="11"/>
        <v>4045594.40787559</v>
      </c>
      <c r="H40" s="1">
        <f t="shared" si="11"/>
        <v>4110323.9184015994</v>
      </c>
      <c r="I40" s="1">
        <f t="shared" si="11"/>
        <v>4176089.1010960247</v>
      </c>
      <c r="J40" s="1">
        <f t="shared" si="11"/>
        <v>4242906.5267135613</v>
      </c>
      <c r="K40" s="1">
        <f t="shared" si="11"/>
        <v>4310793.0311409784</v>
      </c>
      <c r="L40" s="1">
        <f t="shared" si="11"/>
        <v>4379765.7196392342</v>
      </c>
    </row>
    <row r="41" spans="1:12" x14ac:dyDescent="0.3">
      <c r="A41" t="s">
        <v>56</v>
      </c>
      <c r="C41" s="35">
        <f>-C36</f>
        <v>-679437.49999999988</v>
      </c>
      <c r="D41" s="35">
        <f t="shared" ref="D41:L41" si="12">-D36</f>
        <v>-582082.5577425831</v>
      </c>
      <c r="E41" s="35">
        <f t="shared" si="12"/>
        <v>-580281.89067424869</v>
      </c>
      <c r="F41" s="35">
        <f t="shared" si="12"/>
        <v>-579378.82595942949</v>
      </c>
      <c r="G41" s="35">
        <f t="shared" si="12"/>
        <v>-579230.26852237235</v>
      </c>
      <c r="H41" s="35">
        <f t="shared" si="12"/>
        <v>-579718.04174116498</v>
      </c>
      <c r="I41" s="35">
        <f t="shared" si="12"/>
        <v>-580744.59375266277</v>
      </c>
      <c r="J41" s="35">
        <f t="shared" si="12"/>
        <v>-582229.44450644776</v>
      </c>
      <c r="K41" s="35">
        <f t="shared" si="12"/>
        <v>-584106.24579174514</v>
      </c>
      <c r="L41" s="35">
        <f t="shared" si="12"/>
        <v>-586320.34850242082</v>
      </c>
    </row>
    <row r="42" spans="1:12" x14ac:dyDescent="0.3">
      <c r="A42" t="s">
        <v>57</v>
      </c>
      <c r="C42" s="1">
        <f t="shared" ref="C42:L42" si="13">-C24</f>
        <v>-149476.83109118085</v>
      </c>
      <c r="D42" s="1">
        <f t="shared" si="13"/>
        <v>-152466.36771300447</v>
      </c>
      <c r="E42" s="1">
        <f t="shared" si="13"/>
        <v>-155515.69506726458</v>
      </c>
      <c r="F42" s="1">
        <f t="shared" si="13"/>
        <v>-158626.00896860985</v>
      </c>
      <c r="G42" s="1">
        <f t="shared" si="13"/>
        <v>-161798.52914798204</v>
      </c>
      <c r="H42" s="1">
        <f t="shared" si="13"/>
        <v>-165034.49973094169</v>
      </c>
      <c r="I42" s="1">
        <f t="shared" si="13"/>
        <v>-168335.18972556051</v>
      </c>
      <c r="J42" s="1">
        <f t="shared" si="13"/>
        <v>-171701.89352007172</v>
      </c>
      <c r="K42" s="1">
        <f t="shared" si="13"/>
        <v>-175135.93139047315</v>
      </c>
      <c r="L42" s="1">
        <f t="shared" si="13"/>
        <v>-178638.65001828264</v>
      </c>
    </row>
    <row r="43" spans="1:12" x14ac:dyDescent="0.3">
      <c r="A43" t="s">
        <v>58</v>
      </c>
      <c r="C43" s="1">
        <f>-C40*Assumptions!$B$34</f>
        <v>-189835.53600000002</v>
      </c>
      <c r="D43" s="1">
        <f>-D40*Assumptions!$B$34</f>
        <v>-192872.904576</v>
      </c>
      <c r="E43" s="1">
        <f>-E40*Assumptions!$B$34</f>
        <v>-195958.87104921602</v>
      </c>
      <c r="F43" s="1">
        <f>-F40*Assumptions!$B$34</f>
        <v>-199094.21298600349</v>
      </c>
      <c r="G43" s="1">
        <f>-G40*Assumptions!$B$34</f>
        <v>-202279.72039377951</v>
      </c>
      <c r="H43" s="1">
        <f>-H40*Assumptions!$B$34</f>
        <v>-205516.19592007998</v>
      </c>
      <c r="I43" s="1">
        <f>-I40*Assumptions!$B$34</f>
        <v>-208804.45505480125</v>
      </c>
      <c r="J43" s="1">
        <f>-J40*Assumptions!$B$34</f>
        <v>-212145.32633567808</v>
      </c>
      <c r="K43" s="1">
        <f>-K40*Assumptions!$B$34</f>
        <v>-215539.65155704893</v>
      </c>
      <c r="L43" s="1">
        <f>-L40*Assumptions!$B$34</f>
        <v>-218988.28598196173</v>
      </c>
    </row>
    <row r="44" spans="1:12" ht="15" thickBot="1" x14ac:dyDescent="0.35">
      <c r="A44" s="40" t="s">
        <v>59</v>
      </c>
      <c r="B44" s="40"/>
      <c r="C44" s="41">
        <f>SUM(C40:C43)</f>
        <v>2777960.8529088194</v>
      </c>
      <c r="D44" s="41">
        <f t="shared" ref="D44:L44" si="14">SUM(D40:D43)</f>
        <v>2930036.2614884125</v>
      </c>
      <c r="E44" s="41">
        <f t="shared" si="14"/>
        <v>2987420.9641935909</v>
      </c>
      <c r="F44" s="41">
        <f t="shared" si="14"/>
        <v>3044785.2118060263</v>
      </c>
      <c r="G44" s="41">
        <f t="shared" si="14"/>
        <v>3102285.8898114557</v>
      </c>
      <c r="H44" s="41">
        <f t="shared" si="14"/>
        <v>3160055.1810094127</v>
      </c>
      <c r="I44" s="41">
        <f t="shared" si="14"/>
        <v>3218204.8625630001</v>
      </c>
      <c r="J44" s="41">
        <f t="shared" si="14"/>
        <v>3276829.862351364</v>
      </c>
      <c r="K44" s="41">
        <f t="shared" si="14"/>
        <v>3336011.2024017111</v>
      </c>
      <c r="L44" s="41">
        <f t="shared" si="14"/>
        <v>3395818.4351365692</v>
      </c>
    </row>
    <row r="45" spans="1:12" ht="15" thickTop="1" x14ac:dyDescent="0.3">
      <c r="A45" t="s">
        <v>60</v>
      </c>
      <c r="C45" s="1">
        <f t="shared" ref="C45:L45" si="15">-C25</f>
        <v>-597907.3243647234</v>
      </c>
      <c r="D45" s="1">
        <f t="shared" si="15"/>
        <v>-609865.47085201787</v>
      </c>
      <c r="E45" s="1">
        <f t="shared" si="15"/>
        <v>-622062.7802690583</v>
      </c>
      <c r="F45" s="1">
        <f t="shared" si="15"/>
        <v>-634504.0358744394</v>
      </c>
      <c r="G45" s="1">
        <f t="shared" si="15"/>
        <v>-647194.11659192818</v>
      </c>
      <c r="H45" s="1">
        <f t="shared" si="15"/>
        <v>-660137.99892376678</v>
      </c>
      <c r="I45" s="1">
        <f t="shared" si="15"/>
        <v>-673340.75890224206</v>
      </c>
      <c r="J45" s="1">
        <f t="shared" si="15"/>
        <v>-686807.5740802869</v>
      </c>
      <c r="K45" s="1">
        <f t="shared" si="15"/>
        <v>-700543.72556189261</v>
      </c>
      <c r="L45" s="1">
        <f t="shared" si="15"/>
        <v>-714554.60007313057</v>
      </c>
    </row>
    <row r="46" spans="1:12" x14ac:dyDescent="0.3">
      <c r="A46" t="s">
        <v>234</v>
      </c>
      <c r="C46" s="1">
        <f t="shared" ref="C46:L46" si="16">-C28</f>
        <v>0</v>
      </c>
      <c r="D46" s="1">
        <f t="shared" si="16"/>
        <v>-762331.83856502234</v>
      </c>
      <c r="E46" s="1">
        <f t="shared" si="16"/>
        <v>-777578.47533632291</v>
      </c>
      <c r="F46" s="1">
        <f t="shared" si="16"/>
        <v>-793130.04484304925</v>
      </c>
      <c r="G46" s="1">
        <f t="shared" si="16"/>
        <v>-808992.64573991019</v>
      </c>
      <c r="H46" s="1">
        <f t="shared" si="16"/>
        <v>-825172.4986547085</v>
      </c>
      <c r="I46" s="1">
        <f t="shared" si="16"/>
        <v>-841675.94862780254</v>
      </c>
      <c r="J46" s="1">
        <f t="shared" si="16"/>
        <v>-858509.46760035865</v>
      </c>
      <c r="K46" s="1">
        <f t="shared" si="16"/>
        <v>-875679.65695236577</v>
      </c>
      <c r="L46" s="1">
        <f t="shared" si="16"/>
        <v>-893193.25009141327</v>
      </c>
    </row>
    <row r="47" spans="1:12" x14ac:dyDescent="0.3">
      <c r="A47" t="s">
        <v>61</v>
      </c>
      <c r="C47" s="1">
        <f>-Depreciation!C6</f>
        <v>-224215.24663677128</v>
      </c>
      <c r="D47" s="1">
        <f>-Depreciation!D6</f>
        <v>-1407257.9133034379</v>
      </c>
      <c r="E47" s="1">
        <f>-Depreciation!E6</f>
        <v>-1407257.9133034379</v>
      </c>
      <c r="F47" s="1">
        <f>-Depreciation!F6</f>
        <v>-1407257.9133034379</v>
      </c>
      <c r="G47" s="1">
        <f>-Depreciation!G6</f>
        <v>-1407257.9133034379</v>
      </c>
      <c r="H47" s="1">
        <f>-Depreciation!H6</f>
        <v>-1407257.9133034379</v>
      </c>
      <c r="I47" s="1">
        <f>-Depreciation!I6</f>
        <v>-1407257.9133034379</v>
      </c>
      <c r="J47" s="1">
        <f>-Depreciation!J6</f>
        <v>-1407257.9133034379</v>
      </c>
      <c r="K47" s="1">
        <f>-Depreciation!K6</f>
        <v>-1407257.9133034379</v>
      </c>
      <c r="L47" s="1">
        <f>-Depreciation!L6</f>
        <v>-1407257.9133034379</v>
      </c>
    </row>
    <row r="48" spans="1:12" ht="15" thickBot="1" x14ac:dyDescent="0.35">
      <c r="A48" s="40" t="s">
        <v>62</v>
      </c>
      <c r="B48" s="40"/>
      <c r="C48" s="41">
        <f>SUM(C44:C47)</f>
        <v>1955838.2819073249</v>
      </c>
      <c r="D48" s="41">
        <f t="shared" ref="D48:L48" si="17">SUM(D44:D47)</f>
        <v>150581.03876793454</v>
      </c>
      <c r="E48" s="41">
        <f t="shared" si="17"/>
        <v>180521.79528477159</v>
      </c>
      <c r="F48" s="41">
        <f t="shared" si="17"/>
        <v>209893.21778509975</v>
      </c>
      <c r="G48" s="41">
        <f t="shared" si="17"/>
        <v>238841.21417617961</v>
      </c>
      <c r="H48" s="41">
        <f t="shared" si="17"/>
        <v>267486.77012749948</v>
      </c>
      <c r="I48" s="41">
        <f t="shared" si="17"/>
        <v>295930.2417295177</v>
      </c>
      <c r="J48" s="41">
        <f t="shared" si="17"/>
        <v>324254.90736728045</v>
      </c>
      <c r="K48" s="41">
        <f t="shared" si="17"/>
        <v>352529.90658401488</v>
      </c>
      <c r="L48" s="41">
        <f t="shared" si="17"/>
        <v>380812.67166858772</v>
      </c>
    </row>
    <row r="49" spans="1:12" ht="15" thickTop="1" x14ac:dyDescent="0.3">
      <c r="A49" t="s">
        <v>63</v>
      </c>
      <c r="C49" s="1">
        <f>-Assumptions!$B$22*C48</f>
        <v>-586751.48457219743</v>
      </c>
      <c r="D49" s="1">
        <f>-Assumptions!$B$22*D48</f>
        <v>-45174.311630380362</v>
      </c>
      <c r="E49" s="1">
        <f>-Assumptions!$B$22*E48</f>
        <v>-54156.538585431474</v>
      </c>
      <c r="F49" s="1">
        <f>-Assumptions!$B$22*F48</f>
        <v>-62967.965335529923</v>
      </c>
      <c r="G49" s="1">
        <f>-Assumptions!$B$22*G48</f>
        <v>-71652.364252853877</v>
      </c>
      <c r="H49" s="1">
        <f>-Assumptions!$B$22*H48</f>
        <v>-80246.031038249843</v>
      </c>
      <c r="I49" s="1">
        <f>-Assumptions!$B$22*I48</f>
        <v>-88779.072518855304</v>
      </c>
      <c r="J49" s="1">
        <f>-Assumptions!$B$22*J48</f>
        <v>-97276.472210184133</v>
      </c>
      <c r="K49" s="1">
        <f>-Assumptions!$B$22*K48</f>
        <v>-105758.97197520446</v>
      </c>
      <c r="L49" s="1">
        <f>-Assumptions!$B$22*L48</f>
        <v>-114243.80150057632</v>
      </c>
    </row>
    <row r="50" spans="1:12" ht="15" thickBot="1" x14ac:dyDescent="0.35">
      <c r="A50" s="40" t="s">
        <v>64</v>
      </c>
      <c r="B50" s="40"/>
      <c r="C50" s="41">
        <f>SUM(C48:C49)</f>
        <v>1369086.7973351274</v>
      </c>
      <c r="D50" s="41">
        <f t="shared" ref="D50:L50" si="18">SUM(D48:D49)</f>
        <v>105406.72713755417</v>
      </c>
      <c r="E50" s="41">
        <f t="shared" si="18"/>
        <v>126365.25669934013</v>
      </c>
      <c r="F50" s="41">
        <f t="shared" si="18"/>
        <v>146925.25244956982</v>
      </c>
      <c r="G50" s="41">
        <f t="shared" si="18"/>
        <v>167188.84992332573</v>
      </c>
      <c r="H50" s="41">
        <f t="shared" si="18"/>
        <v>187240.73908924963</v>
      </c>
      <c r="I50" s="41">
        <f t="shared" si="18"/>
        <v>207151.1692106624</v>
      </c>
      <c r="J50" s="41">
        <f t="shared" si="18"/>
        <v>226978.4351570963</v>
      </c>
      <c r="K50" s="41">
        <f t="shared" si="18"/>
        <v>246770.93460881041</v>
      </c>
      <c r="L50" s="41">
        <f t="shared" si="18"/>
        <v>266568.8701680114</v>
      </c>
    </row>
    <row r="51" spans="1:12" ht="15" thickTop="1" x14ac:dyDescent="0.3"/>
    <row r="53" spans="1:12" x14ac:dyDescent="0.3">
      <c r="A53" s="16" t="s">
        <v>66</v>
      </c>
      <c r="C53" s="45">
        <f>C39</f>
        <v>2011</v>
      </c>
      <c r="D53" s="45">
        <f t="shared" ref="D53:L53" si="19">D39</f>
        <v>2012</v>
      </c>
      <c r="E53" s="45">
        <f t="shared" si="19"/>
        <v>2013</v>
      </c>
      <c r="F53" s="45">
        <f t="shared" si="19"/>
        <v>2014</v>
      </c>
      <c r="G53" s="45">
        <f t="shared" si="19"/>
        <v>2015</v>
      </c>
      <c r="H53" s="45">
        <f t="shared" si="19"/>
        <v>2016</v>
      </c>
      <c r="I53" s="45">
        <f t="shared" si="19"/>
        <v>2017</v>
      </c>
      <c r="J53" s="45">
        <f t="shared" si="19"/>
        <v>2018</v>
      </c>
      <c r="K53" s="45">
        <f t="shared" si="19"/>
        <v>2019</v>
      </c>
      <c r="L53" s="45">
        <f t="shared" si="19"/>
        <v>2020</v>
      </c>
    </row>
    <row r="54" spans="1:12" x14ac:dyDescent="0.3">
      <c r="A54" s="12" t="s">
        <v>67</v>
      </c>
    </row>
    <row r="55" spans="1:12" x14ac:dyDescent="0.3">
      <c r="A55" t="s">
        <v>68</v>
      </c>
      <c r="B55" s="35">
        <f>'Initial Financials'!I32</f>
        <v>36920.777279521673</v>
      </c>
      <c r="C55" s="1">
        <f>Assumptions!$B$31*C40</f>
        <v>37967.107200000006</v>
      </c>
      <c r="D55" s="1">
        <f>Assumptions!$B$31*D40</f>
        <v>38574.5809152</v>
      </c>
      <c r="E55" s="1">
        <f>Assumptions!$B$31*E40</f>
        <v>39191.774209843206</v>
      </c>
      <c r="F55" s="1">
        <f>Assumptions!$B$31*F40</f>
        <v>39818.842597200695</v>
      </c>
      <c r="G55" s="1">
        <f>Assumptions!$B$31*G40</f>
        <v>40455.9440787559</v>
      </c>
      <c r="H55" s="1">
        <f>Assumptions!$B$31*H40</f>
        <v>41103.239184015998</v>
      </c>
      <c r="I55" s="1">
        <f>Assumptions!$B$31*I40</f>
        <v>41760.891010960251</v>
      </c>
      <c r="J55" s="1">
        <f>Assumptions!$B$31*J40</f>
        <v>42429.065267135615</v>
      </c>
      <c r="K55" s="1">
        <f>Assumptions!$B$31*K40</f>
        <v>43107.930311409786</v>
      </c>
      <c r="L55" s="1">
        <f>Assumptions!$B$31*L40</f>
        <v>43797.657196392342</v>
      </c>
    </row>
    <row r="56" spans="1:12" x14ac:dyDescent="0.3">
      <c r="A56" s="24" t="s">
        <v>69</v>
      </c>
      <c r="C56" s="1">
        <f>Assumptions!$B$28/365*SUM(C27,C24,C34,C30)</f>
        <v>90839.92669492391</v>
      </c>
      <c r="D56" s="1">
        <f>Assumptions!$B$28/365*SUM(D27,D24,D34,D30)</f>
        <v>80498.512378694533</v>
      </c>
      <c r="E56" s="1">
        <f>Assumptions!$B$28/365*SUM(E27,E24,E34,E30)</f>
        <v>80635.351862083626</v>
      </c>
      <c r="F56" s="1">
        <f>Assumptions!$B$28/365*SUM(F27,F24,F34,F30)</f>
        <v>80877.242183894719</v>
      </c>
      <c r="G56" s="1">
        <f>Assumptions!$B$28/365*SUM(G27,G24,G34,G30)</f>
        <v>81208.635361134715</v>
      </c>
      <c r="H56" s="1">
        <f>Assumptions!$B$28/365*SUM(H27,H24,H34,H30)</f>
        <v>81616.716873655518</v>
      </c>
      <c r="I56" s="1">
        <f>Assumptions!$B$28/365*SUM(I27,I24,I34,I30)</f>
        <v>82090.935175695689</v>
      </c>
      <c r="J56" s="1">
        <f>Assumptions!$B$28/365*SUM(J27,J24,J34,J30)</f>
        <v>82622.612386467881</v>
      </c>
      <c r="K56" s="1">
        <f>Assumptions!$B$28/365*SUM(K27,K24,K34,K30)</f>
        <v>83204.622156955418</v>
      </c>
      <c r="L56" s="1">
        <v>0</v>
      </c>
    </row>
    <row r="57" spans="1:12" x14ac:dyDescent="0.3">
      <c r="A57" t="s">
        <v>70</v>
      </c>
      <c r="C57" s="1">
        <f>Assumptions!$B$26/365*SUM(C27,C30,C34)</f>
        <v>93073.630136986278</v>
      </c>
      <c r="D57" s="1">
        <f>Assumptions!$B$26/365*SUM(D27,D30,D34)</f>
        <v>79737.336677066167</v>
      </c>
      <c r="E57" s="1">
        <f>Assumptions!$B$26/365*SUM(E27,E30,E34)</f>
        <v>79490.669955376521</v>
      </c>
      <c r="F57" s="1">
        <f>Assumptions!$B$26/365*SUM(F27,F30,F34)</f>
        <v>79366.96246019582</v>
      </c>
      <c r="G57" s="1">
        <f>Assumptions!$B$26/365*SUM(G27,G30,G34)</f>
        <v>79346.612126352367</v>
      </c>
      <c r="H57" s="1">
        <f>Assumptions!$B$26/365*SUM(H27,H30,H34)</f>
        <v>79413.430375502052</v>
      </c>
      <c r="I57" s="1">
        <f>Assumptions!$B$26/365*SUM(I27,I30,I34)</f>
        <v>79554.053938720928</v>
      </c>
      <c r="J57" s="1">
        <f>Assumptions!$B$26/365*SUM(J27,J30,J34)</f>
        <v>79757.458151568178</v>
      </c>
      <c r="K57" s="1">
        <f>Assumptions!$B$26/365*SUM(K27,K30,K34)</f>
        <v>80014.554218047269</v>
      </c>
      <c r="L57" s="1">
        <v>0</v>
      </c>
    </row>
    <row r="58" spans="1:12" x14ac:dyDescent="0.3">
      <c r="A58" t="s">
        <v>241</v>
      </c>
      <c r="C58" s="35">
        <f>Assumptions!$B$27/365*C34</f>
        <v>0</v>
      </c>
      <c r="D58" s="35">
        <f>Assumptions!$B$27/365*D34</f>
        <v>58851.5328807642</v>
      </c>
      <c r="E58" s="35">
        <f>Assumptions!$B$27/365*E34</f>
        <v>58187.150083148503</v>
      </c>
      <c r="F58" s="35">
        <f>Assumptions!$B$27/365*F34</f>
        <v>57637.372190523238</v>
      </c>
      <c r="G58" s="35">
        <f>Assumptions!$B$27/365*G34</f>
        <v>57182.430051286341</v>
      </c>
      <c r="H58" s="35">
        <f>Assumptions!$B$27/365*H34</f>
        <v>56805.964658934688</v>
      </c>
      <c r="I58" s="35">
        <f>Assumptions!$B$27/365*I34</f>
        <v>56494.43890782223</v>
      </c>
      <c r="J58" s="35">
        <f>Assumptions!$B$27/365*J34</f>
        <v>56236.650820051516</v>
      </c>
      <c r="K58" s="35">
        <f>Assumptions!$B$27/365*K34</f>
        <v>56023.330739900273</v>
      </c>
      <c r="L58" s="35">
        <v>0</v>
      </c>
    </row>
    <row r="59" spans="1:12" x14ac:dyDescent="0.3">
      <c r="A59" t="s">
        <v>71</v>
      </c>
      <c r="C59" s="1">
        <f>Assumptions!$B$25/365*C40</f>
        <v>52009.735890410957</v>
      </c>
      <c r="D59" s="1">
        <f>Assumptions!$B$25/365*D40</f>
        <v>52841.891664657531</v>
      </c>
      <c r="E59" s="1">
        <f>Assumptions!$B$25/365*E40</f>
        <v>53687.361931292056</v>
      </c>
      <c r="F59" s="1">
        <f>Assumptions!$B$25/365*F40</f>
        <v>54546.359722192727</v>
      </c>
      <c r="G59" s="1">
        <f>Assumptions!$B$25/365*G40</f>
        <v>55419.101477747805</v>
      </c>
      <c r="H59" s="1">
        <f>Assumptions!$B$25/365*H40</f>
        <v>56305.807101391772</v>
      </c>
      <c r="I59" s="1">
        <f>Assumptions!$B$25/365*I40</f>
        <v>57206.700015014037</v>
      </c>
      <c r="J59" s="1">
        <f>Assumptions!$B$25/365*J40</f>
        <v>58122.007215254263</v>
      </c>
      <c r="K59" s="1">
        <f>Assumptions!$B$25/365*K40</f>
        <v>59051.95933069833</v>
      </c>
      <c r="L59" s="1">
        <f>Assumptions!$B$25/365*L40</f>
        <v>59996.790679989506</v>
      </c>
    </row>
    <row r="60" spans="1:12" ht="15" thickBot="1" x14ac:dyDescent="0.35">
      <c r="A60" s="40" t="s">
        <v>72</v>
      </c>
      <c r="B60" s="40"/>
      <c r="C60" s="41">
        <f>SUM(C55:C59)</f>
        <v>273890.39992232114</v>
      </c>
      <c r="D60" s="41">
        <f t="shared" ref="D60:L60" si="20">SUM(D55:D59)</f>
        <v>310503.85451638245</v>
      </c>
      <c r="E60" s="41">
        <f t="shared" si="20"/>
        <v>311192.30804174393</v>
      </c>
      <c r="F60" s="41">
        <f t="shared" si="20"/>
        <v>312246.77915400721</v>
      </c>
      <c r="G60" s="41">
        <f t="shared" si="20"/>
        <v>313612.72309527709</v>
      </c>
      <c r="H60" s="41">
        <f t="shared" si="20"/>
        <v>315245.15819350001</v>
      </c>
      <c r="I60" s="41">
        <f t="shared" si="20"/>
        <v>317107.01904821314</v>
      </c>
      <c r="J60" s="41">
        <f t="shared" si="20"/>
        <v>319167.79384047748</v>
      </c>
      <c r="K60" s="41">
        <f t="shared" si="20"/>
        <v>321402.39675701107</v>
      </c>
      <c r="L60" s="41">
        <f t="shared" si="20"/>
        <v>103794.44787638185</v>
      </c>
    </row>
    <row r="61" spans="1:12" ht="15" thickTop="1" x14ac:dyDescent="0.3">
      <c r="A61" t="s">
        <v>73</v>
      </c>
      <c r="B61" s="35">
        <f>'Initial Financials'!I37</f>
        <v>2242152.4663677127</v>
      </c>
      <c r="C61" s="1">
        <f>B61+C19+C20+C47</f>
        <v>12765321.219730942</v>
      </c>
      <c r="D61" s="1">
        <f>C61+D47</f>
        <v>11358063.306427503</v>
      </c>
      <c r="E61" s="1">
        <f t="shared" ref="E61:L61" si="21">D61+E47</f>
        <v>9950805.3931240644</v>
      </c>
      <c r="F61" s="1">
        <f t="shared" si="21"/>
        <v>8543547.4798206259</v>
      </c>
      <c r="G61" s="1">
        <f t="shared" si="21"/>
        <v>7136289.5665171882</v>
      </c>
      <c r="H61" s="1">
        <f t="shared" si="21"/>
        <v>5729031.6532137506</v>
      </c>
      <c r="I61" s="1">
        <f t="shared" si="21"/>
        <v>4321773.7399103129</v>
      </c>
      <c r="J61" s="1">
        <f t="shared" si="21"/>
        <v>2914515.8266068753</v>
      </c>
      <c r="K61" s="1">
        <f t="shared" si="21"/>
        <v>1507257.9133034374</v>
      </c>
      <c r="L61" s="1">
        <f t="shared" si="21"/>
        <v>99999.999999999534</v>
      </c>
    </row>
    <row r="62" spans="1:12" ht="15" thickBot="1" x14ac:dyDescent="0.35">
      <c r="A62" s="40" t="s">
        <v>74</v>
      </c>
      <c r="B62" s="40"/>
      <c r="C62" s="41">
        <f>SUM(C60:C61)</f>
        <v>13039211.619653262</v>
      </c>
      <c r="D62" s="41">
        <f t="shared" ref="D62:L62" si="22">SUM(D60:D61)</f>
        <v>11668567.160943886</v>
      </c>
      <c r="E62" s="41">
        <f t="shared" si="22"/>
        <v>10261997.701165808</v>
      </c>
      <c r="F62" s="41">
        <f t="shared" si="22"/>
        <v>8855794.2589746322</v>
      </c>
      <c r="G62" s="41">
        <f t="shared" si="22"/>
        <v>7449902.2896124655</v>
      </c>
      <c r="H62" s="41">
        <f t="shared" si="22"/>
        <v>6044276.8114072504</v>
      </c>
      <c r="I62" s="41">
        <f t="shared" si="22"/>
        <v>4638880.758958526</v>
      </c>
      <c r="J62" s="41">
        <f t="shared" si="22"/>
        <v>3233683.6204473525</v>
      </c>
      <c r="K62" s="41">
        <f t="shared" si="22"/>
        <v>1828660.3100604485</v>
      </c>
      <c r="L62" s="41">
        <f t="shared" si="22"/>
        <v>203794.4478763814</v>
      </c>
    </row>
    <row r="63" spans="1:12" ht="15" thickTop="1" x14ac:dyDescent="0.3"/>
    <row r="64" spans="1:12" x14ac:dyDescent="0.3">
      <c r="A64" s="12" t="s">
        <v>75</v>
      </c>
    </row>
    <row r="65" spans="1:12" x14ac:dyDescent="0.3">
      <c r="A65" t="s">
        <v>76</v>
      </c>
      <c r="C65" s="1">
        <f>Assumptions!$B$29/365*SUM(C30,C34)</f>
        <v>18614.726027397257</v>
      </c>
      <c r="D65" s="1">
        <f>Assumptions!$B$29/365*SUM(D30,D34)</f>
        <v>11770.30657615284</v>
      </c>
      <c r="E65" s="1">
        <f>Assumptions!$B$29/365*SUM(E30,E34)</f>
        <v>11637.4300166297</v>
      </c>
      <c r="F65" s="1">
        <f>Assumptions!$B$29/365*SUM(F30,F34)</f>
        <v>11527.474438104648</v>
      </c>
      <c r="G65" s="1">
        <f>Assumptions!$B$29/365*SUM(G30,G34)</f>
        <v>11436.486010257269</v>
      </c>
      <c r="H65" s="1">
        <f>Assumptions!$B$29/365*SUM(H30,H34)</f>
        <v>11361.192931786938</v>
      </c>
      <c r="I65" s="1">
        <f>Assumptions!$B$29/365*SUM(I30,I34)</f>
        <v>11298.887781564445</v>
      </c>
      <c r="J65" s="1">
        <f>Assumptions!$B$29/365*SUM(J30,J34)</f>
        <v>11247.330164010302</v>
      </c>
      <c r="K65" s="1">
        <f>Assumptions!$B$29/365*SUM(K30,K34)</f>
        <v>11204.666147980055</v>
      </c>
      <c r="L65" s="1">
        <f>Assumptions!$B$29/365*SUM(L30,L34)</f>
        <v>11169.361602305156</v>
      </c>
    </row>
    <row r="66" spans="1:12" ht="15" thickBot="1" x14ac:dyDescent="0.35">
      <c r="A66" s="40" t="s">
        <v>77</v>
      </c>
      <c r="B66" s="40"/>
      <c r="C66" s="41">
        <f>SUM(C65)</f>
        <v>18614.726027397257</v>
      </c>
      <c r="D66" s="41">
        <f t="shared" ref="D66:L66" si="23">SUM(D65)</f>
        <v>11770.30657615284</v>
      </c>
      <c r="E66" s="41">
        <f t="shared" si="23"/>
        <v>11637.4300166297</v>
      </c>
      <c r="F66" s="41">
        <f t="shared" si="23"/>
        <v>11527.474438104648</v>
      </c>
      <c r="G66" s="41">
        <f t="shared" si="23"/>
        <v>11436.486010257269</v>
      </c>
      <c r="H66" s="41">
        <f t="shared" si="23"/>
        <v>11361.192931786938</v>
      </c>
      <c r="I66" s="41">
        <f t="shared" si="23"/>
        <v>11298.887781564445</v>
      </c>
      <c r="J66" s="41">
        <f t="shared" si="23"/>
        <v>11247.330164010302</v>
      </c>
      <c r="K66" s="41">
        <f t="shared" si="23"/>
        <v>11204.666147980055</v>
      </c>
      <c r="L66" s="41">
        <f t="shared" si="23"/>
        <v>11169.361602305156</v>
      </c>
    </row>
    <row r="67" spans="1:12" ht="15" thickTop="1" x14ac:dyDescent="0.3"/>
    <row r="68" spans="1:12" x14ac:dyDescent="0.3">
      <c r="A68" s="12" t="s">
        <v>78</v>
      </c>
    </row>
    <row r="69" spans="1:12" x14ac:dyDescent="0.3">
      <c r="A69" t="s">
        <v>79</v>
      </c>
      <c r="B69" s="35">
        <f>'Initial Financials'!I45</f>
        <v>1494768.3109118086</v>
      </c>
      <c r="C69" s="1">
        <f>B69+C88</f>
        <v>12242152.310911808</v>
      </c>
      <c r="D69" s="1">
        <f t="shared" ref="D69:L69" si="24">C69+D88</f>
        <v>12242152.310911808</v>
      </c>
      <c r="E69" s="1">
        <f t="shared" si="24"/>
        <v>12242152.310911808</v>
      </c>
      <c r="F69" s="1">
        <f t="shared" si="24"/>
        <v>12242152.310911808</v>
      </c>
      <c r="G69" s="1">
        <f t="shared" si="24"/>
        <v>12242152.310911808</v>
      </c>
      <c r="H69" s="1">
        <f t="shared" si="24"/>
        <v>12242152.310911808</v>
      </c>
      <c r="I69" s="1">
        <f t="shared" si="24"/>
        <v>12242152.310911808</v>
      </c>
      <c r="J69" s="1">
        <f t="shared" si="24"/>
        <v>12242152.310911808</v>
      </c>
      <c r="K69" s="1">
        <f t="shared" si="24"/>
        <v>12242152.310911808</v>
      </c>
      <c r="L69" s="1">
        <f t="shared" si="24"/>
        <v>12242152.310911808</v>
      </c>
    </row>
    <row r="70" spans="1:12" x14ac:dyDescent="0.3">
      <c r="A70" t="s">
        <v>80</v>
      </c>
      <c r="B70" s="35">
        <f>'Initial Financials'!I46</f>
        <v>998072.5325254366</v>
      </c>
      <c r="C70" s="1">
        <f>B70+C50+C87</f>
        <v>778444.58271405706</v>
      </c>
      <c r="D70" s="1">
        <f>C70+D50+D87</f>
        <v>-585355.45654407493</v>
      </c>
      <c r="E70" s="1">
        <f t="shared" ref="E70:L70" si="25">D70+E50+E87</f>
        <v>-1991792.0397626283</v>
      </c>
      <c r="F70" s="1">
        <f t="shared" si="25"/>
        <v>-3397885.5263752779</v>
      </c>
      <c r="G70" s="1">
        <f t="shared" si="25"/>
        <v>-4803686.5073095988</v>
      </c>
      <c r="H70" s="1">
        <f t="shared" si="25"/>
        <v>-6209236.6924363431</v>
      </c>
      <c r="I70" s="1">
        <f t="shared" si="25"/>
        <v>-7614570.4397348454</v>
      </c>
      <c r="J70" s="1">
        <f t="shared" si="25"/>
        <v>-9019716.0206284653</v>
      </c>
      <c r="K70" s="1">
        <f t="shared" si="25"/>
        <v>-10424696.66699934</v>
      </c>
      <c r="L70" s="1">
        <f t="shared" si="25"/>
        <v>-12049527.224637732</v>
      </c>
    </row>
    <row r="71" spans="1:12" ht="15" thickBot="1" x14ac:dyDescent="0.35">
      <c r="A71" s="40" t="s">
        <v>81</v>
      </c>
      <c r="B71" s="40"/>
      <c r="C71" s="41">
        <f>SUM(C69:C70)</f>
        <v>13020596.893625865</v>
      </c>
      <c r="D71" s="41">
        <f t="shared" ref="D71:L71" si="26">SUM(D69:D70)</f>
        <v>11656796.854367733</v>
      </c>
      <c r="E71" s="41">
        <f t="shared" si="26"/>
        <v>10250360.271149181</v>
      </c>
      <c r="F71" s="41">
        <f t="shared" si="26"/>
        <v>8844266.7845365293</v>
      </c>
      <c r="G71" s="41">
        <f t="shared" si="26"/>
        <v>7438465.8036022093</v>
      </c>
      <c r="H71" s="41">
        <f t="shared" si="26"/>
        <v>6032915.6184754651</v>
      </c>
      <c r="I71" s="41">
        <f t="shared" si="26"/>
        <v>4627581.8711769627</v>
      </c>
      <c r="J71" s="41">
        <f t="shared" si="26"/>
        <v>3222436.2902833428</v>
      </c>
      <c r="K71" s="41">
        <f t="shared" si="26"/>
        <v>1817455.6439124681</v>
      </c>
      <c r="L71" s="41">
        <f t="shared" si="26"/>
        <v>192625.08627407625</v>
      </c>
    </row>
    <row r="72" spans="1:12" ht="15" thickTop="1" x14ac:dyDescent="0.3"/>
    <row r="73" spans="1:12" ht="15" thickBot="1" x14ac:dyDescent="0.35">
      <c r="A73" s="40" t="s">
        <v>82</v>
      </c>
      <c r="B73" s="40"/>
      <c r="C73" s="41">
        <f>SUM(C71,C66)</f>
        <v>13039211.619653262</v>
      </c>
      <c r="D73" s="41">
        <f t="shared" ref="D73:L73" si="27">SUM(D71,D66)</f>
        <v>11668567.160943886</v>
      </c>
      <c r="E73" s="41">
        <f t="shared" si="27"/>
        <v>10261997.70116581</v>
      </c>
      <c r="F73" s="41">
        <f t="shared" si="27"/>
        <v>8855794.2589746341</v>
      </c>
      <c r="G73" s="41">
        <f t="shared" si="27"/>
        <v>7449902.2896124665</v>
      </c>
      <c r="H73" s="41">
        <f t="shared" si="27"/>
        <v>6044276.8114072522</v>
      </c>
      <c r="I73" s="41">
        <f t="shared" si="27"/>
        <v>4638880.7589585269</v>
      </c>
      <c r="J73" s="41">
        <f t="shared" si="27"/>
        <v>3233683.620447353</v>
      </c>
      <c r="K73" s="41">
        <f t="shared" si="27"/>
        <v>1828660.3100604482</v>
      </c>
      <c r="L73" s="41">
        <f t="shared" si="27"/>
        <v>203794.4478763814</v>
      </c>
    </row>
    <row r="74" spans="1:12" ht="15.6" thickTop="1" thickBot="1" x14ac:dyDescent="0.35">
      <c r="A74" s="51" t="s">
        <v>242</v>
      </c>
      <c r="B74" s="51"/>
      <c r="C74" s="52" t="b">
        <f>ABS(C73-C62)&lt;0.001</f>
        <v>1</v>
      </c>
      <c r="D74" s="52" t="b">
        <f t="shared" ref="D74:L74" si="28">ABS(D73-D62)&lt;0.001</f>
        <v>1</v>
      </c>
      <c r="E74" s="52" t="b">
        <f t="shared" si="28"/>
        <v>1</v>
      </c>
      <c r="F74" s="52" t="b">
        <f t="shared" si="28"/>
        <v>1</v>
      </c>
      <c r="G74" s="52" t="b">
        <f t="shared" si="28"/>
        <v>1</v>
      </c>
      <c r="H74" s="52" t="b">
        <f t="shared" si="28"/>
        <v>1</v>
      </c>
      <c r="I74" s="52" t="b">
        <f t="shared" si="28"/>
        <v>1</v>
      </c>
      <c r="J74" s="52" t="b">
        <f t="shared" si="28"/>
        <v>1</v>
      </c>
      <c r="K74" s="52" t="b">
        <f t="shared" si="28"/>
        <v>1</v>
      </c>
      <c r="L74" s="52" t="b">
        <f t="shared" si="28"/>
        <v>1</v>
      </c>
    </row>
    <row r="75" spans="1:12" ht="15" thickTop="1" x14ac:dyDescent="0.3"/>
    <row r="76" spans="1:12" x14ac:dyDescent="0.3">
      <c r="A76" s="16" t="s">
        <v>84</v>
      </c>
      <c r="C76" s="45">
        <f>C53</f>
        <v>2011</v>
      </c>
      <c r="D76" s="45">
        <f t="shared" ref="D76:L76" si="29">D53</f>
        <v>2012</v>
      </c>
      <c r="E76" s="45">
        <f t="shared" si="29"/>
        <v>2013</v>
      </c>
      <c r="F76" s="45">
        <f t="shared" si="29"/>
        <v>2014</v>
      </c>
      <c r="G76" s="45">
        <f t="shared" si="29"/>
        <v>2015</v>
      </c>
      <c r="H76" s="45">
        <f t="shared" si="29"/>
        <v>2016</v>
      </c>
      <c r="I76" s="45">
        <f t="shared" si="29"/>
        <v>2017</v>
      </c>
      <c r="J76" s="45">
        <f t="shared" si="29"/>
        <v>2018</v>
      </c>
      <c r="K76" s="45">
        <f t="shared" si="29"/>
        <v>2019</v>
      </c>
      <c r="L76" s="45">
        <f t="shared" si="29"/>
        <v>2020</v>
      </c>
    </row>
    <row r="77" spans="1:12" x14ac:dyDescent="0.3">
      <c r="A77" t="s">
        <v>64</v>
      </c>
      <c r="C77" s="1">
        <f>C50</f>
        <v>1369086.7973351274</v>
      </c>
      <c r="D77" s="1">
        <f t="shared" ref="D77:L77" si="30">D50</f>
        <v>105406.72713755417</v>
      </c>
      <c r="E77" s="1">
        <f t="shared" si="30"/>
        <v>126365.25669934013</v>
      </c>
      <c r="F77" s="1">
        <f t="shared" si="30"/>
        <v>146925.25244956982</v>
      </c>
      <c r="G77" s="1">
        <f t="shared" si="30"/>
        <v>167188.84992332573</v>
      </c>
      <c r="H77" s="1">
        <f t="shared" si="30"/>
        <v>187240.73908924963</v>
      </c>
      <c r="I77" s="1">
        <f t="shared" si="30"/>
        <v>207151.1692106624</v>
      </c>
      <c r="J77" s="1">
        <f t="shared" si="30"/>
        <v>226978.4351570963</v>
      </c>
      <c r="K77" s="1">
        <f t="shared" si="30"/>
        <v>246770.93460881041</v>
      </c>
      <c r="L77" s="1">
        <f t="shared" si="30"/>
        <v>266568.8701680114</v>
      </c>
    </row>
    <row r="78" spans="1:12" x14ac:dyDescent="0.3">
      <c r="A78" t="s">
        <v>85</v>
      </c>
      <c r="B78" s="35">
        <f>SUM('Initial Financials'!I33,'Initial Financials'!I34)</f>
        <v>181582.61336950588</v>
      </c>
      <c r="C78" s="1">
        <f>-(SUM(C56:C58)-B78)</f>
        <v>-2330.943462404306</v>
      </c>
      <c r="D78" s="1">
        <f>-(SUM(D56:D58)-SUM(C56:C58))</f>
        <v>-35173.82510461472</v>
      </c>
      <c r="E78" s="1">
        <f t="shared" ref="E78:L78" si="31">-(SUM(E56:E58)-SUM(D56:D58))</f>
        <v>774.21003591627232</v>
      </c>
      <c r="F78" s="1">
        <f t="shared" si="31"/>
        <v>431.59506599482847</v>
      </c>
      <c r="G78" s="1">
        <f t="shared" si="31"/>
        <v>143.89929584035417</v>
      </c>
      <c r="H78" s="1">
        <f t="shared" si="31"/>
        <v>-98.434369318798417</v>
      </c>
      <c r="I78" s="1">
        <f t="shared" si="31"/>
        <v>-303.31611414658255</v>
      </c>
      <c r="J78" s="1">
        <f t="shared" si="31"/>
        <v>-477.29333584874985</v>
      </c>
      <c r="K78" s="1">
        <f t="shared" si="31"/>
        <v>-625.78575681537041</v>
      </c>
      <c r="L78" s="1">
        <f t="shared" si="31"/>
        <v>219242.50711490295</v>
      </c>
    </row>
    <row r="79" spans="1:12" x14ac:dyDescent="0.3">
      <c r="A79" t="s">
        <v>86</v>
      </c>
      <c r="B79" s="35">
        <f>'Initial Financials'!I35</f>
        <v>50576.407232221471</v>
      </c>
      <c r="C79" s="1">
        <f>-(C59-B79)</f>
        <v>-1433.3286581894863</v>
      </c>
      <c r="D79" s="1">
        <f>-(D59-C59)</f>
        <v>-832.15577424657386</v>
      </c>
      <c r="E79" s="1">
        <f t="shared" ref="E79:L79" si="32">-(E59-D59)</f>
        <v>-845.47026663452561</v>
      </c>
      <c r="F79" s="1">
        <f t="shared" si="32"/>
        <v>-858.99779090067022</v>
      </c>
      <c r="G79" s="1">
        <f t="shared" si="32"/>
        <v>-872.74175555507827</v>
      </c>
      <c r="H79" s="1">
        <f t="shared" si="32"/>
        <v>-886.70562364396756</v>
      </c>
      <c r="I79" s="1">
        <f t="shared" si="32"/>
        <v>-900.89291362226504</v>
      </c>
      <c r="J79" s="1">
        <f t="shared" si="32"/>
        <v>-915.30720024022594</v>
      </c>
      <c r="K79" s="1">
        <f t="shared" si="32"/>
        <v>-929.95211544406629</v>
      </c>
      <c r="L79" s="1">
        <f t="shared" si="32"/>
        <v>-944.83134929117659</v>
      </c>
    </row>
    <row r="80" spans="1:12" x14ac:dyDescent="0.3">
      <c r="A80" t="s">
        <v>87</v>
      </c>
      <c r="B80" s="35">
        <f>'Initial Financials'!I41</f>
        <v>18391.420811716896</v>
      </c>
      <c r="C80" s="1">
        <f>C65-B80</f>
        <v>223.30521568036056</v>
      </c>
      <c r="D80" s="1">
        <f>D65-C65</f>
        <v>-6844.4194512444174</v>
      </c>
      <c r="E80" s="1">
        <f t="shared" ref="E80:L80" si="33">E65-D65</f>
        <v>-132.8765595231398</v>
      </c>
      <c r="F80" s="1">
        <f t="shared" si="33"/>
        <v>-109.95557852505226</v>
      </c>
      <c r="G80" s="1">
        <f t="shared" si="33"/>
        <v>-90.988427847378262</v>
      </c>
      <c r="H80" s="1">
        <f t="shared" si="33"/>
        <v>-75.293078470331238</v>
      </c>
      <c r="I80" s="1">
        <f t="shared" si="33"/>
        <v>-62.305150222493467</v>
      </c>
      <c r="J80" s="1">
        <f t="shared" si="33"/>
        <v>-51.55761755414278</v>
      </c>
      <c r="K80" s="1">
        <f t="shared" si="33"/>
        <v>-42.664016030246785</v>
      </c>
      <c r="L80" s="1">
        <f t="shared" si="33"/>
        <v>-35.304545674898691</v>
      </c>
    </row>
    <row r="81" spans="1:12" x14ac:dyDescent="0.3">
      <c r="A81" t="s">
        <v>61</v>
      </c>
      <c r="C81" s="1">
        <f>-C47</f>
        <v>224215.24663677128</v>
      </c>
      <c r="D81" s="1">
        <f t="shared" ref="D81:L81" si="34">-D47</f>
        <v>1407257.9133034379</v>
      </c>
      <c r="E81" s="1">
        <f t="shared" si="34"/>
        <v>1407257.9133034379</v>
      </c>
      <c r="F81" s="1">
        <f t="shared" si="34"/>
        <v>1407257.9133034379</v>
      </c>
      <c r="G81" s="1">
        <f t="shared" si="34"/>
        <v>1407257.9133034379</v>
      </c>
      <c r="H81" s="1">
        <f t="shared" si="34"/>
        <v>1407257.9133034379</v>
      </c>
      <c r="I81" s="1">
        <f t="shared" si="34"/>
        <v>1407257.9133034379</v>
      </c>
      <c r="J81" s="1">
        <f t="shared" si="34"/>
        <v>1407257.9133034379</v>
      </c>
      <c r="K81" s="1">
        <f t="shared" si="34"/>
        <v>1407257.9133034379</v>
      </c>
      <c r="L81" s="1">
        <f t="shared" si="34"/>
        <v>1407257.9133034379</v>
      </c>
    </row>
    <row r="82" spans="1:12" ht="15" thickBot="1" x14ac:dyDescent="0.35">
      <c r="A82" s="40" t="s">
        <v>88</v>
      </c>
      <c r="B82" s="40"/>
      <c r="C82" s="41">
        <f>SUM(C77:C81)</f>
        <v>1589761.0770669852</v>
      </c>
      <c r="D82" s="41">
        <f t="shared" ref="D82:L82" si="35">SUM(D77:D81)</f>
        <v>1469814.2401108863</v>
      </c>
      <c r="E82" s="41">
        <f t="shared" si="35"/>
        <v>1533419.0332125367</v>
      </c>
      <c r="F82" s="41">
        <f t="shared" si="35"/>
        <v>1553645.8074495769</v>
      </c>
      <c r="G82" s="41">
        <f t="shared" si="35"/>
        <v>1573626.9323392014</v>
      </c>
      <c r="H82" s="41">
        <f t="shared" si="35"/>
        <v>1593438.2193212544</v>
      </c>
      <c r="I82" s="41">
        <f t="shared" si="35"/>
        <v>1613142.5683361089</v>
      </c>
      <c r="J82" s="41">
        <f t="shared" si="35"/>
        <v>1632792.190306891</v>
      </c>
      <c r="K82" s="41">
        <f t="shared" si="35"/>
        <v>1652430.4460239587</v>
      </c>
      <c r="L82" s="41">
        <f t="shared" si="35"/>
        <v>1892089.154691386</v>
      </c>
    </row>
    <row r="83" spans="1:12" ht="15" thickTop="1" x14ac:dyDescent="0.3"/>
    <row r="84" spans="1:12" x14ac:dyDescent="0.3">
      <c r="A84" t="s">
        <v>89</v>
      </c>
      <c r="C84" s="1">
        <f t="shared" ref="C84:L84" si="36">-SUM(C19:C20)</f>
        <v>-10747384</v>
      </c>
      <c r="D84" s="1">
        <f t="shared" si="36"/>
        <v>0</v>
      </c>
      <c r="E84" s="1">
        <f t="shared" si="36"/>
        <v>0</v>
      </c>
      <c r="F84" s="1">
        <f t="shared" si="36"/>
        <v>0</v>
      </c>
      <c r="G84" s="1">
        <f t="shared" si="36"/>
        <v>0</v>
      </c>
      <c r="H84" s="1">
        <f t="shared" si="36"/>
        <v>0</v>
      </c>
      <c r="I84" s="1">
        <f t="shared" si="36"/>
        <v>0</v>
      </c>
      <c r="J84" s="1">
        <f t="shared" si="36"/>
        <v>0</v>
      </c>
      <c r="K84" s="1">
        <f t="shared" si="36"/>
        <v>0</v>
      </c>
      <c r="L84" s="1">
        <f t="shared" si="36"/>
        <v>0</v>
      </c>
    </row>
    <row r="85" spans="1:12" ht="15" thickBot="1" x14ac:dyDescent="0.35">
      <c r="A85" s="40" t="s">
        <v>90</v>
      </c>
      <c r="B85" s="40"/>
      <c r="C85" s="53">
        <f>SUM(C84)</f>
        <v>-10747384</v>
      </c>
      <c r="D85" s="53">
        <f t="shared" ref="D85:L85" si="37">SUM(D84)</f>
        <v>0</v>
      </c>
      <c r="E85" s="53">
        <f t="shared" si="37"/>
        <v>0</v>
      </c>
      <c r="F85" s="53">
        <f t="shared" si="37"/>
        <v>0</v>
      </c>
      <c r="G85" s="53">
        <f t="shared" si="37"/>
        <v>0</v>
      </c>
      <c r="H85" s="53">
        <f t="shared" si="37"/>
        <v>0</v>
      </c>
      <c r="I85" s="53">
        <f t="shared" si="37"/>
        <v>0</v>
      </c>
      <c r="J85" s="53">
        <f t="shared" si="37"/>
        <v>0</v>
      </c>
      <c r="K85" s="53">
        <f t="shared" si="37"/>
        <v>0</v>
      </c>
      <c r="L85" s="53">
        <f t="shared" si="37"/>
        <v>0</v>
      </c>
    </row>
    <row r="86" spans="1:12" ht="15" thickTop="1" x14ac:dyDescent="0.3"/>
    <row r="87" spans="1:12" x14ac:dyDescent="0.3">
      <c r="A87" t="s">
        <v>91</v>
      </c>
      <c r="C87" s="1">
        <f>-(C82-C55+B55)</f>
        <v>-1588714.7471465068</v>
      </c>
      <c r="D87" s="1">
        <f t="shared" ref="D87:L87" si="38">-(D82-D55+C55)</f>
        <v>-1469206.7663956862</v>
      </c>
      <c r="E87" s="1">
        <f t="shared" si="38"/>
        <v>-1532801.8399178935</v>
      </c>
      <c r="F87" s="1">
        <f t="shared" si="38"/>
        <v>-1553018.7390622194</v>
      </c>
      <c r="G87" s="1">
        <f t="shared" si="38"/>
        <v>-1572989.8308576464</v>
      </c>
      <c r="H87" s="1">
        <f t="shared" si="38"/>
        <v>-1592790.9242159943</v>
      </c>
      <c r="I87" s="1">
        <f t="shared" si="38"/>
        <v>-1612484.9165091645</v>
      </c>
      <c r="J87" s="1">
        <f t="shared" si="38"/>
        <v>-1632124.0160507157</v>
      </c>
      <c r="K87" s="1">
        <f t="shared" si="38"/>
        <v>-1651751.5809796846</v>
      </c>
      <c r="L87" s="1">
        <f t="shared" si="38"/>
        <v>-1891399.4278064035</v>
      </c>
    </row>
    <row r="88" spans="1:12" x14ac:dyDescent="0.3">
      <c r="A88" t="s">
        <v>92</v>
      </c>
      <c r="C88" s="1">
        <f t="shared" ref="C88:L88" si="39">SUM(C19:C20)</f>
        <v>10747384</v>
      </c>
      <c r="D88" s="1">
        <f t="shared" si="39"/>
        <v>0</v>
      </c>
      <c r="E88" s="1">
        <f t="shared" si="39"/>
        <v>0</v>
      </c>
      <c r="F88" s="1">
        <f t="shared" si="39"/>
        <v>0</v>
      </c>
      <c r="G88" s="1">
        <f t="shared" si="39"/>
        <v>0</v>
      </c>
      <c r="H88" s="1">
        <f t="shared" si="39"/>
        <v>0</v>
      </c>
      <c r="I88" s="1">
        <f t="shared" si="39"/>
        <v>0</v>
      </c>
      <c r="J88" s="1">
        <f t="shared" si="39"/>
        <v>0</v>
      </c>
      <c r="K88" s="1">
        <f t="shared" si="39"/>
        <v>0</v>
      </c>
      <c r="L88" s="1">
        <f t="shared" si="39"/>
        <v>0</v>
      </c>
    </row>
    <row r="89" spans="1:12" ht="15" thickBot="1" x14ac:dyDescent="0.35">
      <c r="A89" s="40" t="s">
        <v>93</v>
      </c>
      <c r="B89" s="40"/>
      <c r="C89" s="53">
        <f>SUM(C87:C88)</f>
        <v>9158669.2528534941</v>
      </c>
      <c r="D89" s="53">
        <f t="shared" ref="D89:L89" si="40">SUM(D87:D88)</f>
        <v>-1469206.7663956862</v>
      </c>
      <c r="E89" s="53">
        <f t="shared" si="40"/>
        <v>-1532801.8399178935</v>
      </c>
      <c r="F89" s="53">
        <f t="shared" si="40"/>
        <v>-1553018.7390622194</v>
      </c>
      <c r="G89" s="53">
        <f t="shared" si="40"/>
        <v>-1572989.8308576464</v>
      </c>
      <c r="H89" s="53">
        <f t="shared" si="40"/>
        <v>-1592790.9242159943</v>
      </c>
      <c r="I89" s="53">
        <f t="shared" si="40"/>
        <v>-1612484.9165091645</v>
      </c>
      <c r="J89" s="53">
        <f t="shared" si="40"/>
        <v>-1632124.0160507157</v>
      </c>
      <c r="K89" s="53">
        <f t="shared" si="40"/>
        <v>-1651751.5809796846</v>
      </c>
      <c r="L89" s="53">
        <f t="shared" si="40"/>
        <v>-1891399.4278064035</v>
      </c>
    </row>
    <row r="90" spans="1:12" ht="15" thickTop="1" x14ac:dyDescent="0.3"/>
    <row r="91" spans="1:12" ht="15" thickBot="1" x14ac:dyDescent="0.35">
      <c r="A91" s="40" t="s">
        <v>94</v>
      </c>
      <c r="B91" s="40"/>
      <c r="C91" s="41">
        <f>SUM(C89,C85,C82)</f>
        <v>1046.3299204793293</v>
      </c>
      <c r="D91" s="41">
        <f t="shared" ref="D91:L91" si="41">SUM(D89,D85,D82)</f>
        <v>607.47371520008892</v>
      </c>
      <c r="E91" s="41">
        <f t="shared" si="41"/>
        <v>617.19329464319162</v>
      </c>
      <c r="F91" s="41">
        <f t="shared" si="41"/>
        <v>627.06838735751808</v>
      </c>
      <c r="G91" s="41">
        <f t="shared" si="41"/>
        <v>637.10148155502975</v>
      </c>
      <c r="H91" s="41">
        <f t="shared" si="41"/>
        <v>647.29510526009835</v>
      </c>
      <c r="I91" s="41">
        <f t="shared" si="41"/>
        <v>657.65182694443502</v>
      </c>
      <c r="J91" s="41">
        <f t="shared" si="41"/>
        <v>668.17425617529079</v>
      </c>
      <c r="K91" s="41">
        <f t="shared" si="41"/>
        <v>678.86504427413456</v>
      </c>
      <c r="L91" s="41">
        <f t="shared" si="41"/>
        <v>689.72688498254865</v>
      </c>
    </row>
    <row r="92" spans="1:12" ht="15.6" thickTop="1" thickBot="1" x14ac:dyDescent="0.35">
      <c r="A92" t="s">
        <v>243</v>
      </c>
      <c r="C92" s="1">
        <f>C55-B55</f>
        <v>1046.3299204783325</v>
      </c>
      <c r="D92" s="1">
        <f t="shared" ref="D92:L92" si="42">D55-C55</f>
        <v>607.47371519999433</v>
      </c>
      <c r="E92" s="1">
        <f t="shared" si="42"/>
        <v>617.19329464320617</v>
      </c>
      <c r="F92" s="1">
        <f t="shared" si="42"/>
        <v>627.06838735748897</v>
      </c>
      <c r="G92" s="1">
        <f t="shared" si="42"/>
        <v>637.10148155520437</v>
      </c>
      <c r="H92" s="1">
        <f t="shared" si="42"/>
        <v>647.29510526009835</v>
      </c>
      <c r="I92" s="1">
        <f t="shared" si="42"/>
        <v>657.65182694425312</v>
      </c>
      <c r="J92" s="1">
        <f t="shared" si="42"/>
        <v>668.17425617536355</v>
      </c>
      <c r="K92" s="1">
        <f t="shared" si="42"/>
        <v>678.86504427417094</v>
      </c>
      <c r="L92" s="1">
        <f t="shared" si="42"/>
        <v>689.72688498255593</v>
      </c>
    </row>
    <row r="93" spans="1:12" ht="15.6" thickTop="1" thickBot="1" x14ac:dyDescent="0.35">
      <c r="A93" s="51" t="s">
        <v>244</v>
      </c>
      <c r="B93" s="51"/>
      <c r="C93" s="51" t="b">
        <f>ABS(C92-C91)&lt;0.001</f>
        <v>1</v>
      </c>
      <c r="D93" s="51" t="b">
        <f t="shared" ref="D93:L93" si="43">ABS(D92-D91)&lt;0.001</f>
        <v>1</v>
      </c>
      <c r="E93" s="51" t="b">
        <f t="shared" si="43"/>
        <v>1</v>
      </c>
      <c r="F93" s="51" t="b">
        <f t="shared" si="43"/>
        <v>1</v>
      </c>
      <c r="G93" s="51" t="b">
        <f t="shared" si="43"/>
        <v>1</v>
      </c>
      <c r="H93" s="51" t="b">
        <f t="shared" si="43"/>
        <v>1</v>
      </c>
      <c r="I93" s="51" t="b">
        <f t="shared" si="43"/>
        <v>1</v>
      </c>
      <c r="J93" s="51" t="b">
        <f t="shared" si="43"/>
        <v>1</v>
      </c>
      <c r="K93" s="51" t="b">
        <f t="shared" si="43"/>
        <v>1</v>
      </c>
      <c r="L93" s="51" t="b">
        <f t="shared" si="43"/>
        <v>1</v>
      </c>
    </row>
    <row r="94" spans="1:12" ht="15" thickTop="1" x14ac:dyDescent="0.3"/>
    <row r="96" spans="1:12" x14ac:dyDescent="0.3">
      <c r="A96" s="16" t="s">
        <v>245</v>
      </c>
      <c r="C96" s="45">
        <f>C76</f>
        <v>2011</v>
      </c>
      <c r="D96" s="45">
        <f t="shared" ref="D96:L96" si="44">D76</f>
        <v>2012</v>
      </c>
      <c r="E96" s="45">
        <f t="shared" si="44"/>
        <v>2013</v>
      </c>
      <c r="F96" s="45">
        <f t="shared" si="44"/>
        <v>2014</v>
      </c>
      <c r="G96" s="45">
        <f t="shared" si="44"/>
        <v>2015</v>
      </c>
      <c r="H96" s="45">
        <f t="shared" si="44"/>
        <v>2016</v>
      </c>
      <c r="I96" s="45">
        <f t="shared" si="44"/>
        <v>2017</v>
      </c>
      <c r="J96" s="45">
        <f t="shared" si="44"/>
        <v>2018</v>
      </c>
      <c r="K96" s="45">
        <f t="shared" si="44"/>
        <v>2019</v>
      </c>
      <c r="L96" s="45">
        <f t="shared" si="44"/>
        <v>2020</v>
      </c>
    </row>
    <row r="97" spans="1:12" x14ac:dyDescent="0.3">
      <c r="A97" t="s">
        <v>246</v>
      </c>
      <c r="C97" s="1">
        <f>C77</f>
        <v>1369086.7973351274</v>
      </c>
      <c r="D97" s="1">
        <f t="shared" ref="D97:L97" si="45">D77</f>
        <v>105406.72713755417</v>
      </c>
      <c r="E97" s="1">
        <f t="shared" si="45"/>
        <v>126365.25669934013</v>
      </c>
      <c r="F97" s="1">
        <f t="shared" si="45"/>
        <v>146925.25244956982</v>
      </c>
      <c r="G97" s="1">
        <f t="shared" si="45"/>
        <v>167188.84992332573</v>
      </c>
      <c r="H97" s="1">
        <f t="shared" si="45"/>
        <v>187240.73908924963</v>
      </c>
      <c r="I97" s="1">
        <f t="shared" si="45"/>
        <v>207151.1692106624</v>
      </c>
      <c r="J97" s="1">
        <f t="shared" si="45"/>
        <v>226978.4351570963</v>
      </c>
      <c r="K97" s="1">
        <f t="shared" si="45"/>
        <v>246770.93460881041</v>
      </c>
      <c r="L97" s="1">
        <f t="shared" si="45"/>
        <v>266568.8701680114</v>
      </c>
    </row>
    <row r="98" spans="1:12" x14ac:dyDescent="0.3">
      <c r="A98" s="54" t="s">
        <v>247</v>
      </c>
      <c r="C98" s="1">
        <f>SUM(C78:C80,-C92)</f>
        <v>-4587.2968253917643</v>
      </c>
      <c r="D98" s="1">
        <f t="shared" ref="D98:L98" si="46">SUM(D78:D80,-D92)</f>
        <v>-43457.874045305703</v>
      </c>
      <c r="E98" s="1">
        <f t="shared" si="46"/>
        <v>-821.33008488459927</v>
      </c>
      <c r="F98" s="1">
        <f t="shared" si="46"/>
        <v>-1164.426690788383</v>
      </c>
      <c r="G98" s="1">
        <f t="shared" si="46"/>
        <v>-1456.9323691173067</v>
      </c>
      <c r="H98" s="1">
        <f t="shared" si="46"/>
        <v>-1707.7281766931956</v>
      </c>
      <c r="I98" s="1">
        <f t="shared" si="46"/>
        <v>-1924.1660049355942</v>
      </c>
      <c r="J98" s="1">
        <f t="shared" si="46"/>
        <v>-2112.3324098184821</v>
      </c>
      <c r="K98" s="1">
        <f t="shared" si="46"/>
        <v>-2277.2669325638544</v>
      </c>
      <c r="L98" s="1">
        <f t="shared" si="46"/>
        <v>217572.64433495433</v>
      </c>
    </row>
    <row r="99" spans="1:12" x14ac:dyDescent="0.3">
      <c r="A99" s="54" t="s">
        <v>248</v>
      </c>
      <c r="C99" s="1">
        <f>C84</f>
        <v>-10747384</v>
      </c>
      <c r="D99" s="1">
        <f t="shared" ref="D99:L99" si="47">D84</f>
        <v>0</v>
      </c>
      <c r="E99" s="1">
        <f t="shared" si="47"/>
        <v>0</v>
      </c>
      <c r="F99" s="1">
        <f t="shared" si="47"/>
        <v>0</v>
      </c>
      <c r="G99" s="1">
        <f t="shared" si="47"/>
        <v>0</v>
      </c>
      <c r="H99" s="1">
        <f t="shared" si="47"/>
        <v>0</v>
      </c>
      <c r="I99" s="1">
        <f t="shared" si="47"/>
        <v>0</v>
      </c>
      <c r="J99" s="1">
        <f t="shared" si="47"/>
        <v>0</v>
      </c>
      <c r="K99" s="1">
        <f t="shared" si="47"/>
        <v>0</v>
      </c>
      <c r="L99" s="1">
        <f t="shared" si="47"/>
        <v>0</v>
      </c>
    </row>
    <row r="100" spans="1:12" x14ac:dyDescent="0.3">
      <c r="A100" s="54" t="s">
        <v>249</v>
      </c>
      <c r="C100" s="1">
        <f>C81</f>
        <v>224215.24663677128</v>
      </c>
      <c r="D100" s="1">
        <f t="shared" ref="D100:L100" si="48">D81</f>
        <v>1407257.9133034379</v>
      </c>
      <c r="E100" s="1">
        <f t="shared" si="48"/>
        <v>1407257.9133034379</v>
      </c>
      <c r="F100" s="1">
        <f t="shared" si="48"/>
        <v>1407257.9133034379</v>
      </c>
      <c r="G100" s="1">
        <f t="shared" si="48"/>
        <v>1407257.9133034379</v>
      </c>
      <c r="H100" s="1">
        <f t="shared" si="48"/>
        <v>1407257.9133034379</v>
      </c>
      <c r="I100" s="1">
        <f t="shared" si="48"/>
        <v>1407257.9133034379</v>
      </c>
      <c r="J100" s="1">
        <f t="shared" si="48"/>
        <v>1407257.9133034379</v>
      </c>
      <c r="K100" s="1">
        <f t="shared" si="48"/>
        <v>1407257.9133034379</v>
      </c>
      <c r="L100" s="1">
        <f t="shared" si="48"/>
        <v>1407257.9133034379</v>
      </c>
    </row>
    <row r="101" spans="1:12" x14ac:dyDescent="0.3">
      <c r="A101" s="54" t="s">
        <v>250</v>
      </c>
      <c r="C101" s="35">
        <v>0</v>
      </c>
      <c r="D101" s="35">
        <v>0</v>
      </c>
      <c r="E101" s="35">
        <v>0</v>
      </c>
      <c r="F101" s="35">
        <v>0</v>
      </c>
      <c r="G101" s="35">
        <v>0</v>
      </c>
      <c r="H101" s="35">
        <v>0</v>
      </c>
      <c r="I101" s="35">
        <v>0</v>
      </c>
      <c r="J101" s="35">
        <v>0</v>
      </c>
      <c r="K101" s="35">
        <v>0</v>
      </c>
      <c r="L101" s="35">
        <f>L62</f>
        <v>203794.4478763814</v>
      </c>
    </row>
    <row r="102" spans="1:12" ht="15" thickBot="1" x14ac:dyDescent="0.35">
      <c r="A102" s="55" t="s">
        <v>251</v>
      </c>
      <c r="B102" s="40"/>
      <c r="C102" s="41">
        <f>SUM(C97:C101)</f>
        <v>-9158669.2528534941</v>
      </c>
      <c r="D102" s="41">
        <f t="shared" ref="D102:L102" si="49">SUM(D97:D101)</f>
        <v>1469206.7663956864</v>
      </c>
      <c r="E102" s="41">
        <f t="shared" si="49"/>
        <v>1532801.8399178935</v>
      </c>
      <c r="F102" s="41">
        <f t="shared" si="49"/>
        <v>1553018.7390622194</v>
      </c>
      <c r="G102" s="41">
        <f t="shared" si="49"/>
        <v>1572989.8308576462</v>
      </c>
      <c r="H102" s="41">
        <f t="shared" si="49"/>
        <v>1592790.9242159943</v>
      </c>
      <c r="I102" s="41">
        <f t="shared" si="49"/>
        <v>1612484.9165091647</v>
      </c>
      <c r="J102" s="41">
        <f t="shared" si="49"/>
        <v>1632124.0160507157</v>
      </c>
      <c r="K102" s="41">
        <f t="shared" si="49"/>
        <v>1651751.5809796844</v>
      </c>
      <c r="L102" s="41">
        <f t="shared" si="49"/>
        <v>2095193.8756827849</v>
      </c>
    </row>
    <row r="103" spans="1:12" ht="15" thickTop="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
  <sheetViews>
    <sheetView workbookViewId="0">
      <selection activeCell="B23" sqref="B23"/>
    </sheetView>
  </sheetViews>
  <sheetFormatPr defaultRowHeight="14.4" x14ac:dyDescent="0.3"/>
  <cols>
    <col min="1" max="1" width="26.21875" bestFit="1" customWidth="1"/>
    <col min="2" max="2" width="28.33203125" bestFit="1" customWidth="1"/>
    <col min="3" max="3" width="15.21875" style="35" bestFit="1" customWidth="1"/>
    <col min="4" max="12" width="13.6640625" bestFit="1" customWidth="1"/>
  </cols>
  <sheetData>
    <row r="1" spans="1:12" x14ac:dyDescent="0.3">
      <c r="A1" t="s">
        <v>252</v>
      </c>
      <c r="C1" s="57">
        <v>2011</v>
      </c>
      <c r="D1" s="57">
        <v>2012</v>
      </c>
      <c r="E1" s="57">
        <v>2013</v>
      </c>
      <c r="F1" s="57">
        <v>2014</v>
      </c>
      <c r="G1" s="57">
        <v>2015</v>
      </c>
      <c r="H1" s="57">
        <v>2016</v>
      </c>
      <c r="I1" s="57">
        <v>2017</v>
      </c>
      <c r="J1" s="57">
        <v>2018</v>
      </c>
      <c r="K1" s="57">
        <v>2019</v>
      </c>
      <c r="L1" s="57">
        <v>2020</v>
      </c>
    </row>
    <row r="2" spans="1:12" x14ac:dyDescent="0.3">
      <c r="B2" t="s">
        <v>156</v>
      </c>
      <c r="C2" s="35">
        <f>'Initial Financials'!J26</f>
        <v>1369085.4735697785</v>
      </c>
    </row>
    <row r="3" spans="1:12" x14ac:dyDescent="0.3">
      <c r="B3" t="s">
        <v>157</v>
      </c>
      <c r="C3" s="35">
        <f>-(SUM('Initial Financials'!J32:J35)-SUM('Initial Financials'!I32:I35))</f>
        <v>179102.9360756508</v>
      </c>
    </row>
    <row r="4" spans="1:12" x14ac:dyDescent="0.3">
      <c r="B4" t="s">
        <v>61</v>
      </c>
      <c r="C4" s="35">
        <f>-'Initial Financials'!J23</f>
        <v>224215.24663677128</v>
      </c>
    </row>
    <row r="5" spans="1:12" ht="15" thickBot="1" x14ac:dyDescent="0.35">
      <c r="B5" s="40" t="s">
        <v>158</v>
      </c>
      <c r="C5" s="41">
        <f>SUM(C2:C4)</f>
        <v>1772403.6562822007</v>
      </c>
    </row>
    <row r="6" spans="1:12" ht="15" thickTop="1" x14ac:dyDescent="0.3">
      <c r="A6" t="s">
        <v>155</v>
      </c>
    </row>
    <row r="7" spans="1:12" x14ac:dyDescent="0.3">
      <c r="B7" t="s">
        <v>159</v>
      </c>
      <c r="C7" s="35">
        <f>'Initial Financials'!J32</f>
        <v>37967.115097159935</v>
      </c>
    </row>
    <row r="8" spans="1:12" x14ac:dyDescent="0.3">
      <c r="B8" t="s">
        <v>148</v>
      </c>
      <c r="C8" s="78">
        <v>0</v>
      </c>
    </row>
    <row r="9" spans="1:12" x14ac:dyDescent="0.3">
      <c r="B9" t="s">
        <v>70</v>
      </c>
      <c r="C9" s="78">
        <v>0</v>
      </c>
    </row>
    <row r="10" spans="1:12" x14ac:dyDescent="0.3">
      <c r="B10" t="s">
        <v>71</v>
      </c>
      <c r="C10" s="35">
        <f>'Initial Financials'!J35</f>
        <v>52009.746708438266</v>
      </c>
    </row>
    <row r="11" spans="1:12" x14ac:dyDescent="0.3">
      <c r="B11" t="s">
        <v>150</v>
      </c>
      <c r="C11" s="35">
        <f>'Initial Financials'!J37</f>
        <v>2017937.2197309416</v>
      </c>
    </row>
    <row r="12" spans="1:12" x14ac:dyDescent="0.3">
      <c r="B12" t="s">
        <v>75</v>
      </c>
      <c r="C12" s="35">
        <f>-'Initial Financials'!J41</f>
        <v>-18614.798392426012</v>
      </c>
    </row>
    <row r="13" spans="1:12" ht="15" thickBot="1" x14ac:dyDescent="0.35">
      <c r="B13" s="40" t="s">
        <v>0</v>
      </c>
      <c r="C13" s="41">
        <f>SUM(C7:C12)</f>
        <v>2089299.2831441138</v>
      </c>
    </row>
    <row r="14" spans="1:12" ht="15" thickTop="1" x14ac:dyDescent="0.3"/>
    <row r="15" spans="1:12" ht="15" thickBot="1" x14ac:dyDescent="0.35">
      <c r="B15" s="40" t="s">
        <v>256</v>
      </c>
      <c r="C15" s="41">
        <f>SUM(C13,C5)</f>
        <v>3861702.9394263146</v>
      </c>
      <c r="D15" s="35">
        <v>0</v>
      </c>
      <c r="E15" s="35">
        <v>0</v>
      </c>
      <c r="F15" s="35">
        <v>0</v>
      </c>
      <c r="G15" s="35">
        <v>0</v>
      </c>
      <c r="H15" s="35">
        <v>0</v>
      </c>
      <c r="I15" s="35">
        <v>0</v>
      </c>
      <c r="J15" s="35">
        <v>0</v>
      </c>
      <c r="K15" s="35">
        <v>0</v>
      </c>
      <c r="L15" s="35">
        <v>0</v>
      </c>
    </row>
    <row r="16" spans="1:12" ht="15" thickTop="1" x14ac:dyDescent="0.3"/>
    <row r="18" spans="1:13" x14ac:dyDescent="0.3">
      <c r="A18" t="s">
        <v>253</v>
      </c>
      <c r="C18" s="57">
        <v>2011</v>
      </c>
      <c r="D18" s="57">
        <v>2012</v>
      </c>
      <c r="E18" s="57">
        <v>2013</v>
      </c>
      <c r="F18" s="57">
        <v>2014</v>
      </c>
      <c r="G18" s="57">
        <v>2015</v>
      </c>
      <c r="H18" s="57">
        <v>2016</v>
      </c>
      <c r="I18" s="57">
        <v>2017</v>
      </c>
      <c r="J18" s="57">
        <v>2018</v>
      </c>
      <c r="K18" s="57">
        <v>2019</v>
      </c>
      <c r="L18" s="57">
        <v>2020</v>
      </c>
      <c r="M18" s="56"/>
    </row>
    <row r="19" spans="1:13" x14ac:dyDescent="0.3">
      <c r="B19" t="s">
        <v>255</v>
      </c>
      <c r="C19" s="35">
        <f>'Pitch Plant Financials'!C102</f>
        <v>-9158669.2528534941</v>
      </c>
      <c r="D19" s="35">
        <f>'Pitch Plant Financials'!D102</f>
        <v>1469206.7663956864</v>
      </c>
      <c r="E19" s="35">
        <f>'Pitch Plant Financials'!E102</f>
        <v>1532801.8399178935</v>
      </c>
      <c r="F19" s="35">
        <f>'Pitch Plant Financials'!F102</f>
        <v>1553018.7390622194</v>
      </c>
      <c r="G19" s="35">
        <f>'Pitch Plant Financials'!G102</f>
        <v>1572989.8308576462</v>
      </c>
      <c r="H19" s="35">
        <f>'Pitch Plant Financials'!H102</f>
        <v>1592790.9242159943</v>
      </c>
      <c r="I19" s="35">
        <f>'Pitch Plant Financials'!I102</f>
        <v>1612484.9165091647</v>
      </c>
      <c r="J19" s="35">
        <f>'Pitch Plant Financials'!J102</f>
        <v>1632124.0160507157</v>
      </c>
      <c r="K19" s="35">
        <f>'Pitch Plant Financials'!K102</f>
        <v>1651751.5809796844</v>
      </c>
      <c r="L19" s="35">
        <f>'Pitch Plant Financials'!L102</f>
        <v>2095193.8756827849</v>
      </c>
    </row>
    <row r="20" spans="1:13" x14ac:dyDescent="0.3">
      <c r="B20" t="s">
        <v>257</v>
      </c>
      <c r="C20" s="35">
        <f>C19-C15</f>
        <v>-13020372.192279808</v>
      </c>
      <c r="D20" s="1">
        <f>D19-D15</f>
        <v>1469206.7663956864</v>
      </c>
      <c r="E20" s="1">
        <f t="shared" ref="E20:L20" si="0">E19-E15</f>
        <v>1532801.8399178935</v>
      </c>
      <c r="F20" s="1">
        <f t="shared" si="0"/>
        <v>1553018.7390622194</v>
      </c>
      <c r="G20" s="1">
        <f t="shared" si="0"/>
        <v>1572989.8308576462</v>
      </c>
      <c r="H20" s="1">
        <f t="shared" si="0"/>
        <v>1592790.9242159943</v>
      </c>
      <c r="I20" s="1">
        <f t="shared" si="0"/>
        <v>1612484.9165091647</v>
      </c>
      <c r="J20" s="1">
        <f t="shared" si="0"/>
        <v>1632124.0160507157</v>
      </c>
      <c r="K20" s="1">
        <f t="shared" si="0"/>
        <v>1651751.5809796844</v>
      </c>
      <c r="L20" s="1">
        <f t="shared" si="0"/>
        <v>2095193.8756827849</v>
      </c>
    </row>
    <row r="21" spans="1:13" x14ac:dyDescent="0.3">
      <c r="B21" t="s">
        <v>300</v>
      </c>
      <c r="C21" s="75">
        <f ca="1">ICC!B25</f>
        <v>5.7533897346055622E-2</v>
      </c>
      <c r="D21" s="1"/>
      <c r="E21" s="1"/>
      <c r="F21" s="1"/>
      <c r="G21" s="1"/>
      <c r="H21" s="1"/>
      <c r="I21" s="1"/>
      <c r="J21" s="1"/>
      <c r="K21" s="1"/>
      <c r="L21" s="1"/>
    </row>
    <row r="22" spans="1:13" x14ac:dyDescent="0.3">
      <c r="B22" t="s">
        <v>254</v>
      </c>
      <c r="C22" s="109">
        <f ca="1">NPV(C21,D20:L20)+C20</f>
        <v>-1907394.0841275193</v>
      </c>
    </row>
    <row r="23" spans="1:13" x14ac:dyDescent="0.3">
      <c r="B23" s="54" t="s">
        <v>460</v>
      </c>
      <c r="C23" s="81">
        <v>-1966907.68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showGridLines="0" showRowColHeaders="0" topLeftCell="A8" workbookViewId="0">
      <selection activeCell="J62" sqref="J62"/>
    </sheetView>
  </sheetViews>
  <sheetFormatPr defaultRowHeight="12.6" x14ac:dyDescent="0.25"/>
  <cols>
    <col min="1" max="1" width="2" style="110" customWidth="1"/>
    <col min="2" max="2" width="1.88671875" style="110" customWidth="1"/>
    <col min="3" max="3" width="12.109375" style="110" customWidth="1"/>
    <col min="4" max="4" width="12.33203125" style="110" customWidth="1"/>
    <col min="5" max="5" width="18.33203125" style="110" customWidth="1"/>
    <col min="6" max="6" width="1.6640625" style="112" customWidth="1"/>
    <col min="7" max="7" width="5.33203125" style="110" customWidth="1"/>
    <col min="8" max="8" width="15.6640625" style="110" customWidth="1"/>
    <col min="9" max="9" width="11.109375" style="110" customWidth="1"/>
    <col min="10" max="10" width="2.6640625" style="111" customWidth="1"/>
    <col min="11" max="11" width="80.6640625" style="110" customWidth="1"/>
    <col min="12" max="16384" width="8.88671875" style="110"/>
  </cols>
  <sheetData>
    <row r="1" spans="2:6" x14ac:dyDescent="0.25">
      <c r="E1" s="124"/>
      <c r="F1" s="117" t="s">
        <v>392</v>
      </c>
    </row>
    <row r="2" spans="2:6" x14ac:dyDescent="0.25">
      <c r="F2" s="112" t="s">
        <v>393</v>
      </c>
    </row>
    <row r="3" spans="2:6" x14ac:dyDescent="0.25">
      <c r="F3" s="112" t="s">
        <v>394</v>
      </c>
    </row>
    <row r="5" spans="2:6" x14ac:dyDescent="0.25">
      <c r="B5" s="110" t="s">
        <v>395</v>
      </c>
    </row>
    <row r="6" spans="2:6" x14ac:dyDescent="0.25">
      <c r="C6" s="110" t="s">
        <v>396</v>
      </c>
      <c r="E6" s="121">
        <v>1000</v>
      </c>
    </row>
    <row r="7" spans="2:6" x14ac:dyDescent="0.25">
      <c r="C7" s="110" t="s">
        <v>397</v>
      </c>
    </row>
    <row r="8" spans="2:6" x14ac:dyDescent="0.25">
      <c r="C8" s="110" t="s">
        <v>398</v>
      </c>
    </row>
    <row r="9" spans="2:6" x14ac:dyDescent="0.25">
      <c r="C9" s="110" t="s">
        <v>399</v>
      </c>
    </row>
    <row r="10" spans="2:6" x14ac:dyDescent="0.25">
      <c r="C10" s="110" t="s">
        <v>400</v>
      </c>
      <c r="E10" s="123">
        <v>0.95</v>
      </c>
    </row>
    <row r="12" spans="2:6" x14ac:dyDescent="0.25">
      <c r="B12" s="110" t="s">
        <v>401</v>
      </c>
    </row>
    <row r="13" spans="2:6" x14ac:dyDescent="0.25">
      <c r="C13" s="110" t="s">
        <v>402</v>
      </c>
      <c r="E13" s="122">
        <v>5.3492237821027411</v>
      </c>
    </row>
    <row r="14" spans="2:6" x14ac:dyDescent="0.25">
      <c r="C14" s="110" t="s">
        <v>403</v>
      </c>
      <c r="E14" s="121">
        <v>186.94301093660869</v>
      </c>
    </row>
    <row r="15" spans="2:6" x14ac:dyDescent="0.25">
      <c r="C15" s="110" t="s">
        <v>404</v>
      </c>
      <c r="E15" s="121">
        <v>3738.8602187321735</v>
      </c>
    </row>
    <row r="17" spans="1:10" x14ac:dyDescent="0.25">
      <c r="B17" s="110" t="s">
        <v>405</v>
      </c>
    </row>
    <row r="18" spans="1:10" x14ac:dyDescent="0.25">
      <c r="C18" s="110" t="s">
        <v>406</v>
      </c>
      <c r="E18" s="110">
        <v>20</v>
      </c>
    </row>
    <row r="19" spans="1:10" x14ac:dyDescent="0.25">
      <c r="C19" s="110" t="s">
        <v>407</v>
      </c>
      <c r="E19" s="110">
        <v>0</v>
      </c>
    </row>
    <row r="20" spans="1:10" x14ac:dyDescent="0.25">
      <c r="C20" s="110" t="s">
        <v>408</v>
      </c>
      <c r="E20" s="110">
        <v>0</v>
      </c>
    </row>
    <row r="21" spans="1:10" x14ac:dyDescent="0.25">
      <c r="C21" s="110" t="s">
        <v>409</v>
      </c>
      <c r="E21" s="110">
        <v>0</v>
      </c>
    </row>
    <row r="22" spans="1:10" x14ac:dyDescent="0.25">
      <c r="C22" s="110" t="s">
        <v>410</v>
      </c>
      <c r="E22" s="110">
        <v>1</v>
      </c>
    </row>
    <row r="24" spans="1:10" x14ac:dyDescent="0.25">
      <c r="F24" s="117" t="s">
        <v>410</v>
      </c>
    </row>
    <row r="27" spans="1:10" x14ac:dyDescent="0.25">
      <c r="A27" s="116" t="s">
        <v>411</v>
      </c>
    </row>
    <row r="29" spans="1:10" x14ac:dyDescent="0.25">
      <c r="A29" s="116" t="s">
        <v>412</v>
      </c>
      <c r="B29" s="116"/>
      <c r="C29" s="116"/>
      <c r="D29" s="116"/>
      <c r="E29" s="116"/>
      <c r="F29" s="117"/>
      <c r="G29" s="116"/>
      <c r="H29" s="116"/>
      <c r="I29" s="116"/>
      <c r="J29" s="115" t="s">
        <v>413</v>
      </c>
    </row>
    <row r="31" spans="1:10" x14ac:dyDescent="0.25">
      <c r="B31" s="110" t="s">
        <v>414</v>
      </c>
    </row>
    <row r="32" spans="1:10" x14ac:dyDescent="0.25">
      <c r="C32" s="110" t="s">
        <v>415</v>
      </c>
    </row>
    <row r="33" spans="3:3" x14ac:dyDescent="0.25">
      <c r="C33" s="110" t="s">
        <v>416</v>
      </c>
    </row>
    <row r="34" spans="3:3" x14ac:dyDescent="0.25">
      <c r="C34" s="110" t="s">
        <v>417</v>
      </c>
    </row>
    <row r="53" spans="2:5" x14ac:dyDescent="0.25">
      <c r="B53" s="110" t="s">
        <v>418</v>
      </c>
      <c r="E53" s="114" t="s">
        <v>419</v>
      </c>
    </row>
    <row r="54" spans="2:5" x14ac:dyDescent="0.25">
      <c r="C54" s="110" t="s">
        <v>420</v>
      </c>
      <c r="E54" s="121">
        <v>1000</v>
      </c>
    </row>
    <row r="55" spans="2:5" x14ac:dyDescent="0.25">
      <c r="C55" s="110" t="s">
        <v>421</v>
      </c>
      <c r="E55" s="113">
        <v>-1907394.0841275193</v>
      </c>
    </row>
    <row r="56" spans="2:5" x14ac:dyDescent="0.25">
      <c r="C56" s="110" t="s">
        <v>422</v>
      </c>
      <c r="E56" s="113">
        <v>-1966907.6786141747</v>
      </c>
    </row>
    <row r="57" spans="2:5" x14ac:dyDescent="0.25">
      <c r="C57" s="110" t="s">
        <v>423</v>
      </c>
      <c r="E57" s="113">
        <v>-2010816.8729030127</v>
      </c>
    </row>
    <row r="58" spans="2:5" x14ac:dyDescent="0.25">
      <c r="C58" s="110" t="s">
        <v>424</v>
      </c>
      <c r="E58" s="120" t="s">
        <v>425</v>
      </c>
    </row>
    <row r="59" spans="2:5" x14ac:dyDescent="0.25">
      <c r="C59" s="110" t="s">
        <v>426</v>
      </c>
      <c r="E59" s="113">
        <v>1661334.8222448246</v>
      </c>
    </row>
    <row r="60" spans="2:5" x14ac:dyDescent="0.25">
      <c r="C60" s="110" t="s">
        <v>427</v>
      </c>
      <c r="E60" s="113">
        <v>2760033391603.2432</v>
      </c>
    </row>
    <row r="61" spans="2:5" x14ac:dyDescent="0.25">
      <c r="C61" s="110" t="s">
        <v>428</v>
      </c>
      <c r="E61" s="118">
        <v>-3.3980766352474968E-2</v>
      </c>
    </row>
    <row r="62" spans="2:5" x14ac:dyDescent="0.25">
      <c r="C62" s="110" t="s">
        <v>429</v>
      </c>
      <c r="E62" s="119">
        <v>2.9214506921175296</v>
      </c>
    </row>
    <row r="63" spans="2:5" x14ac:dyDescent="0.25">
      <c r="C63" s="110" t="s">
        <v>430</v>
      </c>
      <c r="E63" s="118">
        <v>-0.8446430100955995</v>
      </c>
    </row>
    <row r="64" spans="2:5" x14ac:dyDescent="0.25">
      <c r="C64" s="110" t="s">
        <v>186</v>
      </c>
      <c r="E64" s="113">
        <v>-7051096.210236107</v>
      </c>
    </row>
    <row r="65" spans="1:10" x14ac:dyDescent="0.25">
      <c r="C65" s="110" t="s">
        <v>431</v>
      </c>
      <c r="E65" s="113">
        <v>3424533.746734716</v>
      </c>
    </row>
    <row r="66" spans="1:10" x14ac:dyDescent="0.25">
      <c r="C66" s="110" t="s">
        <v>432</v>
      </c>
      <c r="E66" s="113">
        <v>10475629.956970822</v>
      </c>
    </row>
    <row r="67" spans="1:10" x14ac:dyDescent="0.25">
      <c r="C67" s="110" t="s">
        <v>433</v>
      </c>
      <c r="E67" s="113">
        <v>52536.01994444614</v>
      </c>
    </row>
    <row r="69" spans="1:10" x14ac:dyDescent="0.25">
      <c r="A69" s="116" t="s">
        <v>434</v>
      </c>
      <c r="B69" s="116"/>
      <c r="C69" s="116"/>
      <c r="D69" s="116"/>
      <c r="E69" s="116"/>
      <c r="F69" s="117"/>
      <c r="G69" s="116"/>
      <c r="H69" s="116"/>
      <c r="I69" s="116"/>
      <c r="J69" s="115" t="s">
        <v>413</v>
      </c>
    </row>
    <row r="71" spans="1:10" x14ac:dyDescent="0.25">
      <c r="B71" s="110" t="s">
        <v>435</v>
      </c>
      <c r="E71" s="114" t="s">
        <v>419</v>
      </c>
    </row>
    <row r="72" spans="1:10" x14ac:dyDescent="0.25">
      <c r="C72" s="110" t="s">
        <v>436</v>
      </c>
      <c r="E72" s="113">
        <v>-7051096.210236107</v>
      </c>
    </row>
    <row r="73" spans="1:10" x14ac:dyDescent="0.25">
      <c r="C73" s="110" t="s">
        <v>437</v>
      </c>
      <c r="E73" s="113">
        <v>-4140403.4928655494</v>
      </c>
    </row>
    <row r="74" spans="1:10" x14ac:dyDescent="0.25">
      <c r="C74" s="110" t="s">
        <v>438</v>
      </c>
      <c r="E74" s="113">
        <v>-3375306.979307346</v>
      </c>
    </row>
    <row r="75" spans="1:10" x14ac:dyDescent="0.25">
      <c r="C75" s="110" t="s">
        <v>439</v>
      </c>
      <c r="E75" s="113">
        <v>-2752813.2320905719</v>
      </c>
    </row>
    <row r="76" spans="1:10" x14ac:dyDescent="0.25">
      <c r="C76" s="110" t="s">
        <v>440</v>
      </c>
      <c r="E76" s="113">
        <v>-2381997.4357796572</v>
      </c>
    </row>
    <row r="77" spans="1:10" x14ac:dyDescent="0.25">
      <c r="C77" s="110" t="s">
        <v>441</v>
      </c>
      <c r="E77" s="113">
        <v>-2011594.7735351138</v>
      </c>
    </row>
    <row r="78" spans="1:10" x14ac:dyDescent="0.25">
      <c r="C78" s="110" t="s">
        <v>442</v>
      </c>
      <c r="E78" s="113">
        <v>-1553228.4831843153</v>
      </c>
    </row>
    <row r="79" spans="1:10" x14ac:dyDescent="0.25">
      <c r="C79" s="110" t="s">
        <v>443</v>
      </c>
      <c r="E79" s="113">
        <v>-1032426.0276680589</v>
      </c>
    </row>
    <row r="80" spans="1:10" x14ac:dyDescent="0.25">
      <c r="C80" s="110" t="s">
        <v>444</v>
      </c>
      <c r="E80" s="113">
        <v>-542135.03597905301</v>
      </c>
    </row>
    <row r="81" spans="1:5" x14ac:dyDescent="0.25">
      <c r="C81" s="110" t="s">
        <v>445</v>
      </c>
      <c r="E81" s="113">
        <v>142964.80623073503</v>
      </c>
    </row>
    <row r="82" spans="1:5" x14ac:dyDescent="0.25">
      <c r="C82" s="110" t="s">
        <v>446</v>
      </c>
      <c r="E82" s="113">
        <v>3424533.746734716</v>
      </c>
    </row>
    <row r="84" spans="1:5" x14ac:dyDescent="0.25">
      <c r="A84" s="110" t="s">
        <v>447</v>
      </c>
    </row>
  </sheetData>
  <printOptions gridLinesSet="0"/>
  <pageMargins left="0.75" right="0.75" top="1" bottom="1" header="0.5" footer="0.5"/>
  <pageSetup orientation="portrait" r:id="rId1"/>
  <headerFooter alignWithMargins="0">
    <oddHeader>&amp;f</oddHeader>
    <oddFooter>Page &amp;p</oddFooter>
  </headerFooter>
  <rowBreaks count="2" manualBreakCount="2">
    <brk id="23" max="16383" man="1"/>
    <brk id="68" max="16383" man="1"/>
  </rowBreaks>
  <colBreaks count="1" manualBreakCount="1">
    <brk id="10"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B1" sqref="B1"/>
    </sheetView>
  </sheetViews>
  <sheetFormatPr defaultRowHeight="14.4" x14ac:dyDescent="0.3"/>
  <cols>
    <col min="1" max="1" width="30" bestFit="1" customWidth="1"/>
    <col min="2" max="2" width="15.21875" bestFit="1" customWidth="1"/>
    <col min="3" max="6" width="13.6640625" bestFit="1" customWidth="1"/>
    <col min="7" max="11" width="14.21875" bestFit="1" customWidth="1"/>
  </cols>
  <sheetData>
    <row r="1" spans="1:11" x14ac:dyDescent="0.3">
      <c r="A1" t="s">
        <v>302</v>
      </c>
      <c r="B1" s="108">
        <v>400000</v>
      </c>
    </row>
    <row r="3" spans="1:11" x14ac:dyDescent="0.3">
      <c r="B3" s="45">
        <v>2011</v>
      </c>
      <c r="C3" s="45">
        <v>2012</v>
      </c>
      <c r="D3" s="45">
        <v>2013</v>
      </c>
      <c r="E3" s="45">
        <v>2014</v>
      </c>
      <c r="F3" s="45">
        <v>2015</v>
      </c>
      <c r="G3" s="45">
        <v>2016</v>
      </c>
      <c r="H3" s="45">
        <v>2017</v>
      </c>
      <c r="I3" s="45">
        <v>2018</v>
      </c>
      <c r="J3" s="45">
        <v>2019</v>
      </c>
      <c r="K3" s="45">
        <v>2020</v>
      </c>
    </row>
    <row r="4" spans="1:11" x14ac:dyDescent="0.3">
      <c r="A4" t="s">
        <v>251</v>
      </c>
      <c r="B4" s="35">
        <f>NPV!C20</f>
        <v>-13020372.192279808</v>
      </c>
      <c r="C4" s="35">
        <f>NPV!D20</f>
        <v>1469206.7663956864</v>
      </c>
      <c r="D4" s="35">
        <f>NPV!E20</f>
        <v>1532801.8399178935</v>
      </c>
      <c r="E4" s="35">
        <f>NPV!F20</f>
        <v>1553018.7390622194</v>
      </c>
      <c r="F4" s="35">
        <f>NPV!G20</f>
        <v>1572989.8308576462</v>
      </c>
      <c r="G4" s="35">
        <f>NPV!H20</f>
        <v>1592790.9242159943</v>
      </c>
      <c r="H4" s="35">
        <f>NPV!I20</f>
        <v>1612484.9165091647</v>
      </c>
      <c r="I4" s="35">
        <f>NPV!J20</f>
        <v>1632124.0160507157</v>
      </c>
      <c r="J4" s="35">
        <f>NPV!K20</f>
        <v>1651751.5809796844</v>
      </c>
      <c r="K4" s="35">
        <f>NPV!L20</f>
        <v>2095193.8756827849</v>
      </c>
    </row>
    <row r="5" spans="1:11" x14ac:dyDescent="0.3">
      <c r="A5" t="s">
        <v>303</v>
      </c>
      <c r="C5" t="b">
        <f t="shared" ref="C5:K5" si="0">C4&lt;$B$1</f>
        <v>0</v>
      </c>
      <c r="D5" t="b">
        <f t="shared" si="0"/>
        <v>0</v>
      </c>
      <c r="E5" t="b">
        <f t="shared" si="0"/>
        <v>0</v>
      </c>
      <c r="F5" t="b">
        <f t="shared" si="0"/>
        <v>0</v>
      </c>
      <c r="G5" t="b">
        <f t="shared" si="0"/>
        <v>0</v>
      </c>
      <c r="H5" t="b">
        <f t="shared" si="0"/>
        <v>0</v>
      </c>
      <c r="I5" t="b">
        <f t="shared" si="0"/>
        <v>0</v>
      </c>
      <c r="J5" t="b">
        <f t="shared" si="0"/>
        <v>0</v>
      </c>
      <c r="K5" t="b">
        <f t="shared" si="0"/>
        <v>0</v>
      </c>
    </row>
    <row r="6" spans="1:11" x14ac:dyDescent="0.3">
      <c r="A6" t="s">
        <v>310</v>
      </c>
      <c r="B6" t="b">
        <f>TRUE</f>
        <v>1</v>
      </c>
      <c r="C6" t="b">
        <f>TRUE</f>
        <v>1</v>
      </c>
      <c r="D6" t="b">
        <f>NOT(OR($C$5:C5))</f>
        <v>1</v>
      </c>
      <c r="E6" t="b">
        <f>NOT(OR($C$5:D5))</f>
        <v>1</v>
      </c>
      <c r="F6" t="b">
        <f>NOT(OR($C$5:E5))</f>
        <v>1</v>
      </c>
      <c r="G6" t="b">
        <f>NOT(OR($C$5:F5))</f>
        <v>1</v>
      </c>
      <c r="H6" t="b">
        <f>NOT(OR($C$5:G5))</f>
        <v>1</v>
      </c>
      <c r="I6" t="b">
        <f>NOT(OR($C$5:H5))</f>
        <v>1</v>
      </c>
      <c r="J6" t="b">
        <f>NOT(OR($C$5:I5))</f>
        <v>1</v>
      </c>
      <c r="K6" t="b">
        <f>NOT(OR($C$5:J5))</f>
        <v>1</v>
      </c>
    </row>
    <row r="7" spans="1:11" x14ac:dyDescent="0.3">
      <c r="A7" t="s">
        <v>311</v>
      </c>
      <c r="C7" t="b">
        <f t="shared" ref="C7:E7" si="1">AND(NOT(B5),C5)</f>
        <v>0</v>
      </c>
      <c r="D7" t="b">
        <f t="shared" si="1"/>
        <v>0</v>
      </c>
      <c r="E7" t="b">
        <f t="shared" si="1"/>
        <v>0</v>
      </c>
      <c r="F7" t="b">
        <f>AND(NOT(E5),F5)</f>
        <v>0</v>
      </c>
      <c r="G7" t="b">
        <f t="shared" ref="G7:K7" si="2">AND(NOT(F5),G5)</f>
        <v>0</v>
      </c>
      <c r="H7" t="b">
        <f t="shared" si="2"/>
        <v>0</v>
      </c>
      <c r="I7" t="b">
        <f t="shared" si="2"/>
        <v>0</v>
      </c>
      <c r="J7" t="b">
        <f t="shared" si="2"/>
        <v>0</v>
      </c>
      <c r="K7" t="b">
        <f t="shared" si="2"/>
        <v>0</v>
      </c>
    </row>
    <row r="8" spans="1:11" x14ac:dyDescent="0.3">
      <c r="A8" s="54" t="s">
        <v>305</v>
      </c>
      <c r="B8" s="1">
        <f>IF(NOT(B6),-B4,0)</f>
        <v>0</v>
      </c>
      <c r="C8" s="1">
        <f t="shared" ref="C8:K8" si="3">IF(NOT(C6),-C4,0)</f>
        <v>0</v>
      </c>
      <c r="D8" s="1">
        <f t="shared" si="3"/>
        <v>0</v>
      </c>
      <c r="E8" s="1">
        <f t="shared" si="3"/>
        <v>0</v>
      </c>
      <c r="F8" s="1">
        <f t="shared" si="3"/>
        <v>0</v>
      </c>
      <c r="G8" s="1">
        <f t="shared" si="3"/>
        <v>0</v>
      </c>
      <c r="H8" s="1">
        <f t="shared" si="3"/>
        <v>0</v>
      </c>
      <c r="I8" s="1">
        <f t="shared" si="3"/>
        <v>0</v>
      </c>
      <c r="J8" s="1">
        <f t="shared" si="3"/>
        <v>0</v>
      </c>
      <c r="K8" s="1">
        <f t="shared" si="3"/>
        <v>0</v>
      </c>
    </row>
    <row r="9" spans="1:11" x14ac:dyDescent="0.3">
      <c r="A9" s="54" t="s">
        <v>306</v>
      </c>
      <c r="B9" s="35">
        <v>0</v>
      </c>
      <c r="C9" s="35">
        <v>0</v>
      </c>
      <c r="D9" s="35">
        <v>0</v>
      </c>
      <c r="E9" s="35">
        <v>0</v>
      </c>
      <c r="F9" s="35">
        <v>0</v>
      </c>
      <c r="G9" s="35">
        <v>0</v>
      </c>
      <c r="H9" s="35">
        <v>0</v>
      </c>
      <c r="I9" s="35">
        <v>0</v>
      </c>
      <c r="J9" s="35">
        <v>0</v>
      </c>
      <c r="K9" s="35">
        <v>0</v>
      </c>
    </row>
    <row r="10" spans="1:11" x14ac:dyDescent="0.3">
      <c r="A10" s="54" t="s">
        <v>307</v>
      </c>
      <c r="B10" s="1">
        <f>IF(B7,Assumptions!$B$28/365*'Early Liquidation'!B20*B21*0.5,0)</f>
        <v>0</v>
      </c>
      <c r="C10" s="1">
        <f>IF(C7,Assumptions!$B$28/365*'Early Liquidation'!C20*C21*0.5,0)</f>
        <v>0</v>
      </c>
      <c r="D10" s="1">
        <f>IF(D7,Assumptions!$B$28/365*'Early Liquidation'!D20*D21*0.5,0)</f>
        <v>0</v>
      </c>
      <c r="E10" s="1">
        <f>IF(E7,Assumptions!$B$28/365*'Early Liquidation'!E20*E21*0.5,0)</f>
        <v>0</v>
      </c>
      <c r="F10" s="1">
        <f>IF(F7,Assumptions!$B$28/365*'Early Liquidation'!F20*F21*0.5,0)</f>
        <v>0</v>
      </c>
      <c r="G10" s="1">
        <f>IF(G7,Assumptions!$B$28/365*'Early Liquidation'!G20*G21*0.5,0)</f>
        <v>0</v>
      </c>
      <c r="H10" s="1">
        <f>IF(H7,Assumptions!$B$28/365*'Early Liquidation'!H20*H21*0.5,0)</f>
        <v>0</v>
      </c>
      <c r="I10" s="1">
        <f>IF(I7,Assumptions!$B$28/365*'Early Liquidation'!I20*I21*0.5,0)</f>
        <v>0</v>
      </c>
      <c r="J10" s="1">
        <f>IF(J7,Assumptions!$B$28/365*'Early Liquidation'!J20*J21*0.5,0)</f>
        <v>0</v>
      </c>
      <c r="K10" s="1">
        <f>IF(K7,Assumptions!$B$28/365*'Early Liquidation'!K20*K21*0.5,0)</f>
        <v>0</v>
      </c>
    </row>
    <row r="11" spans="1:11" x14ac:dyDescent="0.3">
      <c r="A11" s="54" t="s">
        <v>308</v>
      </c>
      <c r="B11" s="35">
        <f t="shared" ref="B11:K11" si="4">IF(B7,B22,0)</f>
        <v>0</v>
      </c>
      <c r="C11" s="35">
        <f t="shared" si="4"/>
        <v>0</v>
      </c>
      <c r="D11" s="35">
        <f t="shared" si="4"/>
        <v>0</v>
      </c>
      <c r="E11" s="35">
        <f t="shared" si="4"/>
        <v>0</v>
      </c>
      <c r="F11" s="35">
        <f t="shared" si="4"/>
        <v>0</v>
      </c>
      <c r="G11" s="35">
        <f t="shared" si="4"/>
        <v>0</v>
      </c>
      <c r="H11" s="35">
        <f t="shared" si="4"/>
        <v>0</v>
      </c>
      <c r="I11" s="35">
        <f t="shared" si="4"/>
        <v>0</v>
      </c>
      <c r="J11" s="35">
        <f t="shared" si="4"/>
        <v>0</v>
      </c>
      <c r="K11" s="35">
        <f t="shared" si="4"/>
        <v>0</v>
      </c>
    </row>
    <row r="12" spans="1:11" x14ac:dyDescent="0.3">
      <c r="A12" s="54" t="s">
        <v>250</v>
      </c>
      <c r="B12" s="35">
        <f t="shared" ref="B12:K12" si="5">IF(B7,B23,0)</f>
        <v>0</v>
      </c>
      <c r="C12" s="35">
        <f t="shared" si="5"/>
        <v>0</v>
      </c>
      <c r="D12" s="35">
        <f t="shared" si="5"/>
        <v>0</v>
      </c>
      <c r="E12" s="35">
        <f t="shared" si="5"/>
        <v>0</v>
      </c>
      <c r="F12" s="35">
        <f t="shared" si="5"/>
        <v>0</v>
      </c>
      <c r="G12" s="35">
        <f t="shared" si="5"/>
        <v>0</v>
      </c>
      <c r="H12" s="35">
        <f t="shared" si="5"/>
        <v>0</v>
      </c>
      <c r="I12" s="35">
        <f t="shared" si="5"/>
        <v>0</v>
      </c>
      <c r="J12" s="35">
        <f t="shared" si="5"/>
        <v>0</v>
      </c>
      <c r="K12" s="35">
        <f t="shared" si="5"/>
        <v>0</v>
      </c>
    </row>
    <row r="13" spans="1:11" x14ac:dyDescent="0.3">
      <c r="A13" s="54" t="s">
        <v>309</v>
      </c>
      <c r="B13" s="35">
        <f t="shared" ref="B13:K13" si="6">IF(B7,-B24,0)</f>
        <v>0</v>
      </c>
      <c r="C13" s="35">
        <f t="shared" si="6"/>
        <v>0</v>
      </c>
      <c r="D13" s="35">
        <f t="shared" si="6"/>
        <v>0</v>
      </c>
      <c r="E13" s="35">
        <f t="shared" si="6"/>
        <v>0</v>
      </c>
      <c r="F13" s="35">
        <f t="shared" si="6"/>
        <v>0</v>
      </c>
      <c r="G13" s="35">
        <f t="shared" si="6"/>
        <v>0</v>
      </c>
      <c r="H13" s="35">
        <f t="shared" si="6"/>
        <v>0</v>
      </c>
      <c r="I13" s="35">
        <f t="shared" si="6"/>
        <v>0</v>
      </c>
      <c r="J13" s="35">
        <f t="shared" si="6"/>
        <v>0</v>
      </c>
      <c r="K13" s="35">
        <f t="shared" si="6"/>
        <v>0</v>
      </c>
    </row>
    <row r="14" spans="1:11" x14ac:dyDescent="0.3">
      <c r="A14" s="54" t="s">
        <v>304</v>
      </c>
      <c r="B14" s="1">
        <f>SUM(B8:B13,B4)</f>
        <v>-13020372.192279808</v>
      </c>
      <c r="C14" s="1">
        <f t="shared" ref="C14:K14" si="7">SUM(C8:C13,C4)</f>
        <v>1469206.7663956864</v>
      </c>
      <c r="D14" s="1">
        <f t="shared" si="7"/>
        <v>1532801.8399178935</v>
      </c>
      <c r="E14" s="1">
        <f t="shared" si="7"/>
        <v>1553018.7390622194</v>
      </c>
      <c r="F14" s="1">
        <f t="shared" si="7"/>
        <v>1572989.8308576462</v>
      </c>
      <c r="G14" s="1">
        <f t="shared" si="7"/>
        <v>1592790.9242159943</v>
      </c>
      <c r="H14" s="1">
        <f t="shared" si="7"/>
        <v>1612484.9165091647</v>
      </c>
      <c r="I14" s="1">
        <f t="shared" si="7"/>
        <v>1632124.0160507157</v>
      </c>
      <c r="J14" s="1">
        <f t="shared" si="7"/>
        <v>1651751.5809796844</v>
      </c>
      <c r="K14" s="1">
        <f t="shared" si="7"/>
        <v>2095193.8756827849</v>
      </c>
    </row>
    <row r="15" spans="1:11" x14ac:dyDescent="0.3">
      <c r="A15" s="54" t="s">
        <v>300</v>
      </c>
      <c r="B15" s="65">
        <f ca="1">NPV!C21</f>
        <v>5.7533897346055622E-2</v>
      </c>
      <c r="C15" s="1"/>
      <c r="D15" s="1"/>
      <c r="E15" s="1"/>
      <c r="F15" s="1"/>
      <c r="G15" s="1"/>
      <c r="H15" s="1"/>
      <c r="I15" s="1"/>
      <c r="J15" s="1"/>
      <c r="K15" s="1"/>
    </row>
    <row r="16" spans="1:11" x14ac:dyDescent="0.3">
      <c r="A16" s="54" t="s">
        <v>254</v>
      </c>
      <c r="B16" s="79">
        <f ca="1">NPV(B15,C14:K14)+B14</f>
        <v>-1907394.0841275193</v>
      </c>
    </row>
    <row r="17" spans="1:11" x14ac:dyDescent="0.3">
      <c r="A17" s="54" t="s">
        <v>460</v>
      </c>
      <c r="B17" s="80">
        <v>-2040705.28</v>
      </c>
    </row>
    <row r="20" spans="1:11" x14ac:dyDescent="0.3">
      <c r="A20" t="s">
        <v>133</v>
      </c>
      <c r="B20" s="1">
        <f>'Pitch Plant Financials'!C4</f>
        <v>250</v>
      </c>
      <c r="C20" s="1">
        <f>'Pitch Plant Financials'!D4</f>
        <v>250</v>
      </c>
      <c r="D20" s="1">
        <f>'Pitch Plant Financials'!E4</f>
        <v>250</v>
      </c>
      <c r="E20" s="1">
        <f>'Pitch Plant Financials'!F4</f>
        <v>250</v>
      </c>
      <c r="F20" s="1">
        <f>'Pitch Plant Financials'!G4</f>
        <v>250</v>
      </c>
      <c r="G20" s="1">
        <f>'Pitch Plant Financials'!H4</f>
        <v>250</v>
      </c>
      <c r="H20" s="1">
        <f>'Pitch Plant Financials'!I4</f>
        <v>250</v>
      </c>
      <c r="I20" s="1">
        <f>'Pitch Plant Financials'!J4</f>
        <v>250</v>
      </c>
      <c r="J20" s="1">
        <f>'Pitch Plant Financials'!K4</f>
        <v>250</v>
      </c>
      <c r="K20" s="1">
        <f>'Pitch Plant Financials'!L4</f>
        <v>250</v>
      </c>
    </row>
    <row r="21" spans="1:11" x14ac:dyDescent="0.3">
      <c r="A21" t="s">
        <v>312</v>
      </c>
      <c r="B21" s="1">
        <f>'Pitch Plant Financials'!C14</f>
        <v>15186.84288</v>
      </c>
      <c r="C21" s="1">
        <f>'Pitch Plant Financials'!D14</f>
        <v>15429.83236608</v>
      </c>
      <c r="D21" s="1">
        <f>'Pitch Plant Financials'!E14</f>
        <v>15676.709683937281</v>
      </c>
      <c r="E21" s="1">
        <f>'Pitch Plant Financials'!F14</f>
        <v>15927.537038880277</v>
      </c>
      <c r="F21" s="1">
        <f>'Pitch Plant Financials'!G14</f>
        <v>16182.377631502361</v>
      </c>
      <c r="G21" s="1">
        <f>'Pitch Plant Financials'!H14</f>
        <v>16441.295673606397</v>
      </c>
      <c r="H21" s="1">
        <f>'Pitch Plant Financials'!I14</f>
        <v>16704.3564043841</v>
      </c>
      <c r="I21" s="1">
        <f>'Pitch Plant Financials'!J14</f>
        <v>16971.626106854244</v>
      </c>
      <c r="J21" s="1">
        <f>'Pitch Plant Financials'!K14</f>
        <v>17243.172124563913</v>
      </c>
      <c r="K21" s="1">
        <f>'Pitch Plant Financials'!L14</f>
        <v>17519.062878556935</v>
      </c>
    </row>
    <row r="22" spans="1:11" x14ac:dyDescent="0.3">
      <c r="A22" t="s">
        <v>71</v>
      </c>
      <c r="B22" s="1">
        <f>'Pitch Plant Financials'!C59</f>
        <v>52009.735890410957</v>
      </c>
      <c r="C22" s="1">
        <f>'Pitch Plant Financials'!D59</f>
        <v>52841.891664657531</v>
      </c>
      <c r="D22" s="1">
        <f>'Pitch Plant Financials'!E59</f>
        <v>53687.361931292056</v>
      </c>
      <c r="E22" s="1">
        <f>'Pitch Plant Financials'!F59</f>
        <v>54546.359722192727</v>
      </c>
      <c r="F22" s="1">
        <f>'Pitch Plant Financials'!G59</f>
        <v>55419.101477747805</v>
      </c>
      <c r="G22" s="1">
        <f>'Pitch Plant Financials'!H59</f>
        <v>56305.807101391772</v>
      </c>
      <c r="H22" s="1">
        <f>'Pitch Plant Financials'!I59</f>
        <v>57206.700015014037</v>
      </c>
      <c r="I22" s="1">
        <f>'Pitch Plant Financials'!J59</f>
        <v>58122.007215254263</v>
      </c>
      <c r="J22" s="1">
        <f>'Pitch Plant Financials'!K59</f>
        <v>59051.95933069833</v>
      </c>
      <c r="K22" s="1">
        <f>'Pitch Plant Financials'!L59</f>
        <v>59996.790679989506</v>
      </c>
    </row>
    <row r="23" spans="1:11" x14ac:dyDescent="0.3">
      <c r="A23" t="s">
        <v>314</v>
      </c>
      <c r="B23" s="35">
        <f>Depreciation!C8</f>
        <v>2765321.2197309416</v>
      </c>
      <c r="C23" s="35">
        <f>Depreciation!D8</f>
        <v>2469174.4175386149</v>
      </c>
      <c r="D23" s="35">
        <f>Depreciation!E8</f>
        <v>2173027.6153462883</v>
      </c>
      <c r="E23" s="35">
        <f>Depreciation!F8</f>
        <v>1876880.8131539614</v>
      </c>
      <c r="F23" s="35">
        <f>Depreciation!G8</f>
        <v>1580734.0109616346</v>
      </c>
      <c r="G23" s="35">
        <f>Depreciation!H8</f>
        <v>1284587.2087693077</v>
      </c>
      <c r="H23" s="35">
        <f>Depreciation!I8</f>
        <v>988440.40657698072</v>
      </c>
      <c r="I23" s="35">
        <f>Depreciation!J8</f>
        <v>692293.60438465374</v>
      </c>
      <c r="J23" s="35">
        <f>Depreciation!K8</f>
        <v>396146.80219232687</v>
      </c>
      <c r="K23" s="35">
        <f>Depreciation!L8</f>
        <v>100000</v>
      </c>
    </row>
    <row r="24" spans="1:11" x14ac:dyDescent="0.3">
      <c r="A24" t="s">
        <v>76</v>
      </c>
      <c r="B24" s="35">
        <f>'Pitch Plant Financials'!C65</f>
        <v>18614.726027397257</v>
      </c>
      <c r="C24" s="35">
        <f>'Pitch Plant Financials'!D65</f>
        <v>11770.30657615284</v>
      </c>
      <c r="D24" s="35">
        <f>'Pitch Plant Financials'!E65</f>
        <v>11637.4300166297</v>
      </c>
      <c r="E24" s="35">
        <f>'Pitch Plant Financials'!F65</f>
        <v>11527.474438104648</v>
      </c>
      <c r="F24" s="35">
        <f>'Pitch Plant Financials'!G65</f>
        <v>11436.486010257269</v>
      </c>
      <c r="G24" s="35">
        <f>'Pitch Plant Financials'!H65</f>
        <v>11361.192931786938</v>
      </c>
      <c r="H24" s="35">
        <f>'Pitch Plant Financials'!I65</f>
        <v>11298.887781564445</v>
      </c>
      <c r="I24" s="35">
        <f>'Pitch Plant Financials'!J65</f>
        <v>11247.330164010302</v>
      </c>
      <c r="J24" s="35">
        <f>'Pitch Plant Financials'!K65</f>
        <v>11204.666147980055</v>
      </c>
      <c r="K24" s="35">
        <f>'Pitch Plant Financials'!L65</f>
        <v>11169.361602305156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Summary</vt:lpstr>
      <vt:lpstr>Assumptions</vt:lpstr>
      <vt:lpstr>Raw Material Pricing</vt:lpstr>
      <vt:lpstr>Initial Financials</vt:lpstr>
      <vt:lpstr>Pitch Plant Financials</vt:lpstr>
      <vt:lpstr>NPV</vt:lpstr>
      <vt:lpstr>NPV_Report</vt:lpstr>
      <vt:lpstr>Early Liquidation</vt:lpstr>
      <vt:lpstr>Early Liquidation_NPV</vt:lpstr>
      <vt:lpstr>With Loan</vt:lpstr>
      <vt:lpstr>With Loan_NPV</vt:lpstr>
      <vt:lpstr>Depreciation</vt:lpstr>
      <vt:lpstr>CapM</vt:lpstr>
      <vt:lpstr>ICC</vt:lpstr>
      <vt:lpstr>Debt CoC</vt:lpstr>
      <vt:lpstr>Early_Liquidation_NPV</vt:lpstr>
      <vt:lpstr>IncrementalCashFlows</vt:lpstr>
      <vt:lpstr>NPV_1</vt:lpstr>
      <vt:lpstr>Optimal_Loan_Amount</vt:lpstr>
      <vt:lpstr>Optimal_Threshold</vt:lpstr>
      <vt:lpstr>'Early Liquidation_NPV'!Print_Area</vt:lpstr>
      <vt:lpstr>NPV_Report!Print_Area</vt:lpstr>
      <vt:lpstr>'With Loan_NPV'!Print_Area</vt:lpstr>
      <vt:lpstr>r_ua</vt:lpstr>
      <vt:lpstr>With_Loan_NPV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reese-a</dc:creator>
  <cp:lastModifiedBy>reese-a</cp:lastModifiedBy>
  <dcterms:created xsi:type="dcterms:W3CDTF">2018-04-10T11:35:50Z</dcterms:created>
  <dcterms:modified xsi:type="dcterms:W3CDTF">2018-05-01T03:12:58Z</dcterms:modified>
</cp:coreProperties>
</file>