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osnier/Desktop/PDM/Excel Models/"/>
    </mc:Choice>
  </mc:AlternateContent>
  <xr:revisionPtr revIDLastSave="0" documentId="13_ncr:1_{A5013F1F-DF8A-1D45-A2F5-7C9676A88D98}" xr6:coauthVersionLast="47" xr6:coauthVersionMax="47" xr10:uidLastSave="{00000000-0000-0000-0000-000000000000}"/>
  <bookViews>
    <workbookView xWindow="0" yWindow="740" windowWidth="30240" windowHeight="18900" activeTab="2" xr2:uid="{846CB96D-B0E8-B743-9D14-E202C53B62CF}"/>
  </bookViews>
  <sheets>
    <sheet name="Summary &amp; References" sheetId="17" r:id="rId1"/>
    <sheet name="food_needed_2050" sheetId="1" r:id="rId2"/>
    <sheet name="plant_production" sheetId="8" r:id="rId3"/>
    <sheet name="animal_production" sheetId="9" r:id="rId4"/>
    <sheet name="fertilizer" sheetId="16" r:id="rId5"/>
    <sheet name="slaughtered_producing_animals" sheetId="15" r:id="rId6"/>
    <sheet name="feed" sheetId="11" r:id="rId7"/>
    <sheet name="exports" sheetId="14" r:id="rId8"/>
    <sheet name="losses" sheetId="10" r:id="rId9"/>
    <sheet name="land_use" sheetId="5" r:id="rId10"/>
    <sheet name="self_sufficiency" sheetId="12" r:id="rId11"/>
    <sheet name="conv_yields_2050" sheetId="6" r:id="rId12"/>
    <sheet name="organic_yields" sheetId="18" r:id="rId13"/>
    <sheet name="organic_animals" sheetId="13" r:id="rId14"/>
    <sheet name="organic_area" sheetId="7" r:id="rId15"/>
    <sheet name="feuille_2" sheetId="2" r:id="rId1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8" l="1"/>
  <c r="T2" i="8"/>
  <c r="O3" i="8"/>
  <c r="O4" i="8"/>
  <c r="O5" i="8"/>
  <c r="O6" i="8"/>
  <c r="U6" i="8" s="1"/>
  <c r="V6" i="8" s="1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F3" i="18"/>
  <c r="H2" i="15"/>
  <c r="G3" i="15"/>
  <c r="V2" i="1"/>
  <c r="O2" i="1"/>
  <c r="U23" i="8"/>
  <c r="V23" i="8" s="1"/>
  <c r="Y23" i="8" s="1"/>
  <c r="L10" i="8"/>
  <c r="L9" i="8"/>
  <c r="L8" i="8"/>
  <c r="L7" i="8"/>
  <c r="L6" i="8"/>
  <c r="L5" i="8"/>
  <c r="L11" i="8"/>
  <c r="L24" i="8" s="1"/>
  <c r="L12" i="8"/>
  <c r="L13" i="8"/>
  <c r="L14" i="8"/>
  <c r="L15" i="8"/>
  <c r="L16" i="8"/>
  <c r="L17" i="8"/>
  <c r="L18" i="8"/>
  <c r="L19" i="8"/>
  <c r="L20" i="8"/>
  <c r="L21" i="8"/>
  <c r="L22" i="8"/>
  <c r="K12" i="8"/>
  <c r="U3" i="8"/>
  <c r="V3" i="8" s="1"/>
  <c r="U4" i="8"/>
  <c r="V4" i="8" s="1"/>
  <c r="U5" i="8"/>
  <c r="V5" i="8" s="1"/>
  <c r="U7" i="8"/>
  <c r="V7" i="8" s="1"/>
  <c r="U2" i="8"/>
  <c r="V2" i="8" s="1"/>
  <c r="T3" i="8"/>
  <c r="T4" i="8"/>
  <c r="T5" i="8"/>
  <c r="T6" i="8"/>
  <c r="T7" i="8"/>
  <c r="T8" i="8"/>
  <c r="T9" i="8"/>
  <c r="T11" i="8"/>
  <c r="T12" i="8"/>
  <c r="T13" i="8"/>
  <c r="T14" i="8"/>
  <c r="T15" i="8"/>
  <c r="T16" i="8"/>
  <c r="T17" i="8"/>
  <c r="T18" i="8"/>
  <c r="T19" i="8"/>
  <c r="T20" i="8"/>
  <c r="T21" i="8"/>
  <c r="T22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R4" i="8"/>
  <c r="R3" i="8"/>
  <c r="R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" i="8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L8" i="1"/>
  <c r="L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  <c r="L18" i="1"/>
  <c r="M17" i="9"/>
  <c r="M18" i="9"/>
  <c r="M19" i="9"/>
  <c r="M20" i="9"/>
  <c r="M16" i="9"/>
  <c r="M9" i="9"/>
  <c r="M10" i="9"/>
  <c r="M11" i="9"/>
  <c r="M12" i="9"/>
  <c r="M13" i="9"/>
  <c r="M8" i="9"/>
  <c r="M14" i="9"/>
  <c r="N18" i="1"/>
  <c r="S6" i="8"/>
  <c r="S8" i="8"/>
  <c r="S7" i="8"/>
  <c r="AB2" i="11"/>
  <c r="Y2" i="11"/>
  <c r="W7" i="8"/>
  <c r="X7" i="8" s="1"/>
  <c r="N7" i="1"/>
  <c r="L5" i="1"/>
  <c r="K4" i="1"/>
  <c r="U7" i="1"/>
  <c r="V7" i="1"/>
  <c r="I7" i="1"/>
  <c r="G7" i="1"/>
  <c r="K7" i="1" s="1"/>
  <c r="E2" i="1"/>
  <c r="E6" i="1"/>
  <c r="M7" i="1" l="1"/>
  <c r="P7" i="1" s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" i="6"/>
  <c r="U2" i="1"/>
  <c r="S17" i="8"/>
  <c r="S15" i="8"/>
  <c r="F26" i="18"/>
  <c r="F25" i="18"/>
  <c r="E25" i="18"/>
  <c r="E24" i="18"/>
  <c r="F24" i="18" s="1"/>
  <c r="E23" i="18"/>
  <c r="F23" i="18" s="1"/>
  <c r="S5" i="8" s="1"/>
  <c r="E22" i="18"/>
  <c r="F22" i="18" s="1"/>
  <c r="S4" i="8"/>
  <c r="E26" i="18"/>
  <c r="C25" i="18"/>
  <c r="D25" i="18"/>
  <c r="B25" i="18"/>
  <c r="C24" i="18"/>
  <c r="D24" i="18"/>
  <c r="B24" i="18"/>
  <c r="C23" i="18"/>
  <c r="D23" i="18"/>
  <c r="B23" i="18"/>
  <c r="C22" i="18"/>
  <c r="D22" i="18"/>
  <c r="B22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3" i="18"/>
  <c r="K5" i="18"/>
  <c r="K6" i="18"/>
  <c r="K7" i="18"/>
  <c r="K8" i="18"/>
  <c r="K9" i="18"/>
  <c r="K10" i="18"/>
  <c r="K11" i="18"/>
  <c r="K12" i="18"/>
  <c r="K13" i="18"/>
  <c r="K14" i="18"/>
  <c r="K15" i="18"/>
  <c r="K16" i="18"/>
  <c r="I17" i="18"/>
  <c r="K17" i="18"/>
  <c r="L17" i="18"/>
  <c r="K19" i="18"/>
  <c r="K20" i="18"/>
  <c r="K22" i="18"/>
  <c r="K24" i="18"/>
  <c r="L68" i="18"/>
  <c r="L77" i="18" s="1"/>
  <c r="M17" i="18"/>
  <c r="S19" i="8"/>
  <c r="F19" i="18"/>
  <c r="S22" i="8" s="1"/>
  <c r="F12" i="18"/>
  <c r="S2" i="8" s="1"/>
  <c r="F2" i="18"/>
  <c r="S10" i="8"/>
  <c r="T10" i="8" s="1"/>
  <c r="F4" i="18"/>
  <c r="S16" i="8" s="1"/>
  <c r="F5" i="18"/>
  <c r="S23" i="8" s="1"/>
  <c r="F6" i="18"/>
  <c r="S18" i="8" s="1"/>
  <c r="F13" i="18"/>
  <c r="F18" i="18"/>
  <c r="S14" i="8" s="1"/>
  <c r="F9" i="18"/>
  <c r="S13" i="8" s="1"/>
  <c r="F17" i="18"/>
  <c r="S9" i="8" s="1"/>
  <c r="F11" i="18"/>
  <c r="F14" i="18"/>
  <c r="S21" i="8" s="1"/>
  <c r="F8" i="18"/>
  <c r="S20" i="8" s="1"/>
  <c r="F15" i="18"/>
  <c r="F10" i="18"/>
  <c r="F16" i="18"/>
  <c r="S3" i="8" s="1"/>
  <c r="S7" i="1" l="1"/>
  <c r="T7" i="1" s="1"/>
  <c r="D7" i="8" s="1"/>
  <c r="S12" i="8"/>
  <c r="S11" i="8"/>
  <c r="B9" i="17"/>
  <c r="B3" i="17"/>
  <c r="AB22" i="11"/>
  <c r="AJ3" i="11"/>
  <c r="AJ7" i="11"/>
  <c r="AJ17" i="11"/>
  <c r="AJ18" i="11"/>
  <c r="AJ2" i="11"/>
  <c r="AI3" i="11"/>
  <c r="AI7" i="11"/>
  <c r="AI17" i="11"/>
  <c r="AI18" i="11"/>
  <c r="AI2" i="11"/>
  <c r="T2" i="9"/>
  <c r="AL12" i="9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M13" i="15"/>
  <c r="M10" i="15"/>
  <c r="M6" i="15"/>
  <c r="M5" i="15"/>
  <c r="M4" i="15"/>
  <c r="M3" i="15"/>
  <c r="N3" i="15" s="1"/>
  <c r="M2" i="15"/>
  <c r="N2" i="15" s="1"/>
  <c r="AB8" i="11"/>
  <c r="AG10" i="11"/>
  <c r="AI10" i="11" s="1"/>
  <c r="S2" i="11"/>
  <c r="T2" i="11"/>
  <c r="T15" i="11" s="1"/>
  <c r="Y18" i="11" s="1"/>
  <c r="S28" i="11"/>
  <c r="K17" i="11"/>
  <c r="L14" i="11"/>
  <c r="W2" i="8"/>
  <c r="X2" i="8" s="1"/>
  <c r="W3" i="8"/>
  <c r="X3" i="8" s="1"/>
  <c r="W4" i="8"/>
  <c r="X4" i="8" s="1"/>
  <c r="W5" i="8"/>
  <c r="X5" i="8" s="1"/>
  <c r="W6" i="8"/>
  <c r="X6" i="8" s="1"/>
  <c r="W8" i="8"/>
  <c r="X8" i="8" s="1"/>
  <c r="W9" i="8"/>
  <c r="X9" i="8" s="1"/>
  <c r="W10" i="8"/>
  <c r="X10" i="8" s="1"/>
  <c r="W11" i="8"/>
  <c r="X11" i="8" s="1"/>
  <c r="W12" i="8"/>
  <c r="X12" i="8" s="1"/>
  <c r="W13" i="8"/>
  <c r="X13" i="8" s="1"/>
  <c r="W14" i="8"/>
  <c r="X14" i="8" s="1"/>
  <c r="W15" i="8"/>
  <c r="X15" i="8" s="1"/>
  <c r="W16" i="8"/>
  <c r="X16" i="8" s="1"/>
  <c r="W17" i="8"/>
  <c r="X17" i="8" s="1"/>
  <c r="W18" i="8"/>
  <c r="X18" i="8" s="1"/>
  <c r="W19" i="8"/>
  <c r="X19" i="8" s="1"/>
  <c r="W20" i="8"/>
  <c r="X20" i="8" s="1"/>
  <c r="W21" i="8"/>
  <c r="X21" i="8" s="1"/>
  <c r="W22" i="8"/>
  <c r="X22" i="8" s="1"/>
  <c r="W23" i="8"/>
  <c r="X23" i="8" s="1"/>
  <c r="AD8" i="9"/>
  <c r="AD12" i="9"/>
  <c r="AD11" i="9"/>
  <c r="B11" i="16" s="1"/>
  <c r="B3" i="16"/>
  <c r="B4" i="16"/>
  <c r="B5" i="16"/>
  <c r="B6" i="16"/>
  <c r="B7" i="16"/>
  <c r="B8" i="16"/>
  <c r="B9" i="16"/>
  <c r="B10" i="16"/>
  <c r="B12" i="16"/>
  <c r="B2" i="16"/>
  <c r="D7" i="9" l="1"/>
  <c r="U11" i="9"/>
  <c r="U10" i="9"/>
  <c r="U12" i="9"/>
  <c r="U9" i="9"/>
  <c r="U15" i="9"/>
  <c r="U13" i="9"/>
  <c r="U8" i="9"/>
  <c r="AB9" i="11"/>
  <c r="AJ10" i="11"/>
  <c r="T17" i="11"/>
  <c r="Y20" i="11" s="1"/>
  <c r="T25" i="11"/>
  <c r="Y9" i="11" s="1"/>
  <c r="T13" i="11"/>
  <c r="Y16" i="11" s="1"/>
  <c r="T11" i="11"/>
  <c r="Y24" i="11" s="1"/>
  <c r="T8" i="11"/>
  <c r="Y4" i="11" s="1"/>
  <c r="T19" i="11"/>
  <c r="Y22" i="11" s="1"/>
  <c r="T26" i="11"/>
  <c r="Y10" i="11" s="1"/>
  <c r="Y11" i="11" s="1"/>
  <c r="T27" i="11"/>
  <c r="Y13" i="11" s="1"/>
  <c r="Y14" i="11" s="1"/>
  <c r="T18" i="11"/>
  <c r="Y21" i="11" s="1"/>
  <c r="T22" i="11"/>
  <c r="Y7" i="11" s="1"/>
  <c r="T20" i="11"/>
  <c r="Y26" i="11" s="1"/>
  <c r="T16" i="11"/>
  <c r="Y19" i="11" s="1"/>
  <c r="T7" i="11"/>
  <c r="T24" i="11"/>
  <c r="Y8" i="11" s="1"/>
  <c r="T14" i="11"/>
  <c r="Y17" i="11" s="1"/>
  <c r="T12" i="11"/>
  <c r="Y25" i="11" s="1"/>
  <c r="T23" i="11"/>
  <c r="T21" i="11"/>
  <c r="Y6" i="11" s="1"/>
  <c r="L3" i="1"/>
  <c r="W14" i="14"/>
  <c r="V14" i="14"/>
  <c r="U18" i="1"/>
  <c r="V18" i="1" s="1"/>
  <c r="AB21" i="11" s="1"/>
  <c r="I18" i="1"/>
  <c r="G18" i="1"/>
  <c r="U17" i="1"/>
  <c r="V17" i="1" s="1"/>
  <c r="AB20" i="11" s="1"/>
  <c r="L17" i="1"/>
  <c r="N17" i="1"/>
  <c r="I17" i="1"/>
  <c r="G16" i="1"/>
  <c r="G17" i="1"/>
  <c r="L23" i="9"/>
  <c r="L15" i="11"/>
  <c r="L16" i="11"/>
  <c r="L17" i="11"/>
  <c r="F21" i="9"/>
  <c r="T21" i="9" s="1"/>
  <c r="F23" i="9"/>
  <c r="T10" i="9" s="1"/>
  <c r="F27" i="9"/>
  <c r="T14" i="9" s="1"/>
  <c r="F28" i="9"/>
  <c r="O9" i="13"/>
  <c r="O10" i="13"/>
  <c r="N7" i="9"/>
  <c r="D28" i="9"/>
  <c r="N2" i="9" s="1"/>
  <c r="C25" i="9"/>
  <c r="N5" i="9" s="1"/>
  <c r="O5" i="9" s="1"/>
  <c r="B22" i="9"/>
  <c r="N9" i="9" s="1"/>
  <c r="O9" i="9" s="1"/>
  <c r="B24" i="9"/>
  <c r="N11" i="9" s="1"/>
  <c r="N24" i="9" s="1"/>
  <c r="O24" i="9" s="1"/>
  <c r="P24" i="9" s="1"/>
  <c r="B25" i="9"/>
  <c r="N17" i="9" s="1"/>
  <c r="B26" i="9"/>
  <c r="E8" i="11" s="1"/>
  <c r="E15" i="11" s="1"/>
  <c r="G15" i="11" s="1"/>
  <c r="B27" i="9"/>
  <c r="N14" i="9" s="1"/>
  <c r="O14" i="9" s="1"/>
  <c r="B34" i="9"/>
  <c r="B36" i="9"/>
  <c r="B37" i="9"/>
  <c r="B38" i="9"/>
  <c r="B39" i="9"/>
  <c r="H7" i="15"/>
  <c r="H6" i="15"/>
  <c r="C24" i="9" s="1"/>
  <c r="N4" i="9" s="1"/>
  <c r="O4" i="9" s="1"/>
  <c r="C20" i="9"/>
  <c r="E2" i="11" s="1"/>
  <c r="G5" i="15"/>
  <c r="B23" i="9" s="1"/>
  <c r="N10" i="9" s="1"/>
  <c r="B21" i="9"/>
  <c r="N8" i="9" s="1"/>
  <c r="L12" i="1"/>
  <c r="R14" i="14"/>
  <c r="L9" i="1" s="1"/>
  <c r="L2" i="1"/>
  <c r="U16" i="1"/>
  <c r="V16" i="1" s="1"/>
  <c r="U15" i="1"/>
  <c r="V15" i="1" s="1"/>
  <c r="U14" i="1"/>
  <c r="V14" i="1" s="1"/>
  <c r="U13" i="1"/>
  <c r="V13" i="1" s="1"/>
  <c r="AB16" i="11" s="1"/>
  <c r="U12" i="1"/>
  <c r="V12" i="1" s="1"/>
  <c r="AB10" i="11" s="1"/>
  <c r="U11" i="1"/>
  <c r="V11" i="1" s="1"/>
  <c r="AB13" i="11" s="1"/>
  <c r="U10" i="1"/>
  <c r="V10" i="1" s="1"/>
  <c r="U8" i="1"/>
  <c r="U4" i="1"/>
  <c r="V4" i="1" s="1"/>
  <c r="AB5" i="11" s="1"/>
  <c r="U3" i="1"/>
  <c r="V3" i="1" s="1"/>
  <c r="D14" i="14"/>
  <c r="L6" i="1" s="1"/>
  <c r="E14" i="14"/>
  <c r="L13" i="1" s="1"/>
  <c r="F14" i="14"/>
  <c r="L15" i="1" s="1"/>
  <c r="G14" i="14"/>
  <c r="H14" i="14"/>
  <c r="L16" i="1" s="1"/>
  <c r="I14" i="14"/>
  <c r="J14" i="14"/>
  <c r="L4" i="1" s="1"/>
  <c r="K14" i="14"/>
  <c r="L14" i="14"/>
  <c r="L11" i="1" s="1"/>
  <c r="N14" i="14"/>
  <c r="O14" i="14"/>
  <c r="P14" i="14"/>
  <c r="C14" i="14"/>
  <c r="L10" i="1" s="1"/>
  <c r="O8" i="13"/>
  <c r="F26" i="9" s="1"/>
  <c r="T13" i="9" s="1"/>
  <c r="O7" i="13"/>
  <c r="F25" i="9" s="1"/>
  <c r="T12" i="9" s="1"/>
  <c r="O6" i="13"/>
  <c r="F24" i="9" s="1"/>
  <c r="T4" i="9" s="1"/>
  <c r="O5" i="13"/>
  <c r="O4" i="13"/>
  <c r="F22" i="9" s="1"/>
  <c r="T9" i="9" s="1"/>
  <c r="O3" i="13"/>
  <c r="O2" i="13"/>
  <c r="F20" i="9" s="1"/>
  <c r="T3" i="9" s="1"/>
  <c r="N16" i="1"/>
  <c r="N2" i="1"/>
  <c r="N3" i="1"/>
  <c r="N5" i="1"/>
  <c r="N6" i="1"/>
  <c r="N10" i="1"/>
  <c r="N15" i="1"/>
  <c r="N14" i="1"/>
  <c r="N13" i="1"/>
  <c r="N12" i="1"/>
  <c r="N11" i="1"/>
  <c r="N9" i="1"/>
  <c r="N8" i="1"/>
  <c r="N4" i="1"/>
  <c r="K18" i="1" l="1"/>
  <c r="K17" i="1"/>
  <c r="M17" i="1" s="1"/>
  <c r="AB7" i="11"/>
  <c r="AB6" i="11"/>
  <c r="AB17" i="11"/>
  <c r="AB14" i="11"/>
  <c r="AB15" i="11"/>
  <c r="AB18" i="11"/>
  <c r="AB3" i="11"/>
  <c r="AB4" i="11"/>
  <c r="AB19" i="11"/>
  <c r="AB12" i="11"/>
  <c r="AB11" i="11"/>
  <c r="AB23" i="11"/>
  <c r="U9" i="1"/>
  <c r="V9" i="1" s="1"/>
  <c r="AB25" i="11" s="1"/>
  <c r="V8" i="1"/>
  <c r="Y27" i="11"/>
  <c r="Y12" i="11"/>
  <c r="Y15" i="11"/>
  <c r="Y3" i="11"/>
  <c r="T28" i="11"/>
  <c r="I20" i="11"/>
  <c r="J20" i="11" s="1"/>
  <c r="T18" i="9"/>
  <c r="L14" i="1"/>
  <c r="T22" i="9"/>
  <c r="N18" i="9"/>
  <c r="N21" i="9"/>
  <c r="O21" i="9" s="1"/>
  <c r="P21" i="9" s="1"/>
  <c r="R21" i="9" s="1"/>
  <c r="E7" i="11"/>
  <c r="E9" i="11"/>
  <c r="N13" i="9"/>
  <c r="O13" i="9" s="1"/>
  <c r="P13" i="9" s="1"/>
  <c r="E4" i="11"/>
  <c r="R24" i="9"/>
  <c r="S24" i="9"/>
  <c r="T23" i="9"/>
  <c r="N3" i="9"/>
  <c r="O3" i="9" s="1"/>
  <c r="E10" i="11"/>
  <c r="O11" i="9"/>
  <c r="T8" i="9"/>
  <c r="T24" i="9"/>
  <c r="T16" i="9"/>
  <c r="E3" i="11"/>
  <c r="T19" i="9"/>
  <c r="N12" i="9"/>
  <c r="T11" i="9"/>
  <c r="T5" i="9"/>
  <c r="T17" i="9"/>
  <c r="E6" i="11"/>
  <c r="E5" i="11"/>
  <c r="N16" i="9"/>
  <c r="N19" i="9"/>
  <c r="U6" i="1"/>
  <c r="V6" i="1" s="1"/>
  <c r="AB24" i="11" s="1"/>
  <c r="U5" i="1"/>
  <c r="V5" i="1" s="1"/>
  <c r="J16" i="5"/>
  <c r="B21" i="11" s="1"/>
  <c r="E20" i="11"/>
  <c r="G20" i="11" s="1"/>
  <c r="I12" i="5"/>
  <c r="I13" i="5"/>
  <c r="I14" i="5"/>
  <c r="I15" i="5"/>
  <c r="I16" i="5"/>
  <c r="H13" i="5"/>
  <c r="H14" i="5"/>
  <c r="H15" i="5"/>
  <c r="H16" i="5"/>
  <c r="H12" i="5"/>
  <c r="E13" i="5"/>
  <c r="E14" i="5"/>
  <c r="E15" i="5"/>
  <c r="E16" i="5"/>
  <c r="E12" i="5"/>
  <c r="G13" i="5"/>
  <c r="J13" i="5" s="1"/>
  <c r="G14" i="5"/>
  <c r="J14" i="5" s="1"/>
  <c r="G15" i="5"/>
  <c r="J15" i="5" s="1"/>
  <c r="B20" i="11" s="1"/>
  <c r="D20" i="11" s="1"/>
  <c r="D21" i="11" s="1"/>
  <c r="G16" i="5"/>
  <c r="G12" i="5"/>
  <c r="J12" i="5" s="1"/>
  <c r="F13" i="5"/>
  <c r="F14" i="5"/>
  <c r="F15" i="5"/>
  <c r="F16" i="5"/>
  <c r="F12" i="5"/>
  <c r="D13" i="5"/>
  <c r="D14" i="5"/>
  <c r="D15" i="5"/>
  <c r="D16" i="5"/>
  <c r="D12" i="5"/>
  <c r="C13" i="5"/>
  <c r="C14" i="5"/>
  <c r="C15" i="5"/>
  <c r="C16" i="5"/>
  <c r="C12" i="5"/>
  <c r="B13" i="5"/>
  <c r="B14" i="5"/>
  <c r="B15" i="5"/>
  <c r="B16" i="5"/>
  <c r="B12" i="5"/>
  <c r="L8" i="9"/>
  <c r="P17" i="1" l="1"/>
  <c r="M18" i="1"/>
  <c r="C21" i="11"/>
  <c r="E17" i="11"/>
  <c r="G17" i="11" s="1"/>
  <c r="E16" i="11"/>
  <c r="G16" i="11" s="1"/>
  <c r="S21" i="9"/>
  <c r="N22" i="9"/>
  <c r="O22" i="9" s="1"/>
  <c r="P22" i="9" s="1"/>
  <c r="S22" i="9" s="1"/>
  <c r="E14" i="11"/>
  <c r="G14" i="11" s="1"/>
  <c r="O8" i="9"/>
  <c r="P8" i="9" s="1"/>
  <c r="O12" i="9"/>
  <c r="P12" i="9" s="1"/>
  <c r="N23" i="9"/>
  <c r="O23" i="9" s="1"/>
  <c r="P23" i="9" s="1"/>
  <c r="O18" i="9"/>
  <c r="P18" i="9" s="1"/>
  <c r="R18" i="9" s="1"/>
  <c r="L10" i="9"/>
  <c r="R13" i="9"/>
  <c r="S13" i="9"/>
  <c r="P9" i="9"/>
  <c r="O7" i="9"/>
  <c r="P7" i="9" s="1"/>
  <c r="R7" i="9" s="1"/>
  <c r="P11" i="9"/>
  <c r="O2" i="9"/>
  <c r="P18" i="1" l="1"/>
  <c r="S18" i="1"/>
  <c r="T18" i="1" s="1"/>
  <c r="D18" i="8" s="1"/>
  <c r="S17" i="1"/>
  <c r="T17" i="1" s="1"/>
  <c r="D17" i="9" s="1"/>
  <c r="D17" i="8"/>
  <c r="M23" i="8" s="1"/>
  <c r="R22" i="9"/>
  <c r="S23" i="9"/>
  <c r="R23" i="9"/>
  <c r="O10" i="9"/>
  <c r="P10" i="9" s="1"/>
  <c r="S18" i="9"/>
  <c r="M15" i="9"/>
  <c r="R8" i="9"/>
  <c r="S8" i="9"/>
  <c r="R9" i="9"/>
  <c r="S9" i="9"/>
  <c r="R12" i="9"/>
  <c r="S12" i="9"/>
  <c r="S7" i="9"/>
  <c r="S11" i="9"/>
  <c r="R11" i="9"/>
  <c r="P2" i="9"/>
  <c r="O19" i="9"/>
  <c r="P19" i="9" s="1"/>
  <c r="O17" i="9"/>
  <c r="P17" i="9" s="1"/>
  <c r="M4" i="9"/>
  <c r="M5" i="9"/>
  <c r="M3" i="9"/>
  <c r="P4" i="9"/>
  <c r="P5" i="9"/>
  <c r="R5" i="9" s="1"/>
  <c r="P3" i="9"/>
  <c r="D18" i="9" l="1"/>
  <c r="S10" i="9"/>
  <c r="R10" i="9"/>
  <c r="S17" i="9"/>
  <c r="R17" i="9"/>
  <c r="S19" i="9"/>
  <c r="R19" i="9"/>
  <c r="O16" i="9"/>
  <c r="P16" i="9" s="1"/>
  <c r="P14" i="9"/>
  <c r="R4" i="9"/>
  <c r="S4" i="9"/>
  <c r="S5" i="9"/>
  <c r="S3" i="9"/>
  <c r="R3" i="9"/>
  <c r="R2" i="9"/>
  <c r="S2" i="9"/>
  <c r="E32" i="10"/>
  <c r="F32" i="10"/>
  <c r="G32" i="10"/>
  <c r="H32" i="10"/>
  <c r="I32" i="10"/>
  <c r="J32" i="10"/>
  <c r="K32" i="10"/>
  <c r="L32" i="10"/>
  <c r="N32" i="10"/>
  <c r="O32" i="10"/>
  <c r="P32" i="10"/>
  <c r="C32" i="10"/>
  <c r="AR12" i="10"/>
  <c r="AR14" i="10"/>
  <c r="AR11" i="10"/>
  <c r="AO12" i="10"/>
  <c r="AO14" i="10"/>
  <c r="AO11" i="10"/>
  <c r="AL8" i="10"/>
  <c r="AL9" i="10"/>
  <c r="AL10" i="10"/>
  <c r="AL11" i="10"/>
  <c r="AL12" i="10"/>
  <c r="AL13" i="10"/>
  <c r="AL14" i="10"/>
  <c r="AL7" i="10"/>
  <c r="AI8" i="10"/>
  <c r="AI9" i="10"/>
  <c r="AI10" i="10"/>
  <c r="AI11" i="10"/>
  <c r="AI12" i="10"/>
  <c r="AI13" i="10"/>
  <c r="AI14" i="10"/>
  <c r="AI7" i="10"/>
  <c r="AF8" i="10"/>
  <c r="AF9" i="10"/>
  <c r="AF10" i="10"/>
  <c r="AF11" i="10"/>
  <c r="AF12" i="10"/>
  <c r="AF13" i="10"/>
  <c r="AF14" i="10"/>
  <c r="AF7" i="10"/>
  <c r="AC8" i="10"/>
  <c r="AC9" i="10"/>
  <c r="AC10" i="10"/>
  <c r="AC11" i="10"/>
  <c r="AC12" i="10"/>
  <c r="AC13" i="10"/>
  <c r="AC14" i="10"/>
  <c r="AC7" i="10"/>
  <c r="Z4" i="10"/>
  <c r="Z5" i="10"/>
  <c r="Z6" i="10"/>
  <c r="Z7" i="10"/>
  <c r="Z8" i="10"/>
  <c r="Z9" i="10"/>
  <c r="Z10" i="10"/>
  <c r="Z11" i="10"/>
  <c r="Z12" i="10"/>
  <c r="Z13" i="10"/>
  <c r="Z14" i="10"/>
  <c r="Z3" i="10"/>
  <c r="W3" i="10"/>
  <c r="W4" i="10"/>
  <c r="W5" i="10"/>
  <c r="W6" i="10"/>
  <c r="W7" i="10"/>
  <c r="W8" i="10"/>
  <c r="W9" i="10"/>
  <c r="W10" i="10"/>
  <c r="W11" i="10"/>
  <c r="W12" i="10"/>
  <c r="W13" i="10"/>
  <c r="W14" i="10"/>
  <c r="T4" i="10"/>
  <c r="T5" i="10"/>
  <c r="T6" i="10"/>
  <c r="T7" i="10"/>
  <c r="T8" i="10"/>
  <c r="T9" i="10"/>
  <c r="T10" i="10"/>
  <c r="T11" i="10"/>
  <c r="T12" i="10"/>
  <c r="T13" i="10"/>
  <c r="T14" i="10"/>
  <c r="T3" i="10"/>
  <c r="Q4" i="10"/>
  <c r="Q5" i="10"/>
  <c r="Q6" i="10"/>
  <c r="Q7" i="10"/>
  <c r="Q8" i="10"/>
  <c r="Q9" i="10"/>
  <c r="Q10" i="10"/>
  <c r="Q11" i="10"/>
  <c r="Q12" i="10"/>
  <c r="Q13" i="10"/>
  <c r="Q14" i="10"/>
  <c r="Q3" i="10"/>
  <c r="N3" i="10"/>
  <c r="N4" i="10"/>
  <c r="N5" i="10"/>
  <c r="N6" i="10"/>
  <c r="N7" i="10"/>
  <c r="N8" i="10"/>
  <c r="N9" i="10"/>
  <c r="N10" i="10"/>
  <c r="N11" i="10"/>
  <c r="N12" i="10"/>
  <c r="N13" i="10"/>
  <c r="N14" i="10"/>
  <c r="K4" i="10"/>
  <c r="K5" i="10"/>
  <c r="K6" i="10"/>
  <c r="K7" i="10"/>
  <c r="K8" i="10"/>
  <c r="K9" i="10"/>
  <c r="K10" i="10"/>
  <c r="K11" i="10"/>
  <c r="K12" i="10"/>
  <c r="K13" i="10"/>
  <c r="K14" i="10"/>
  <c r="K3" i="10"/>
  <c r="H4" i="10"/>
  <c r="H5" i="10"/>
  <c r="H6" i="10"/>
  <c r="H7" i="10"/>
  <c r="H8" i="10"/>
  <c r="H9" i="10"/>
  <c r="H10" i="10"/>
  <c r="H11" i="10"/>
  <c r="H12" i="10"/>
  <c r="H13" i="10"/>
  <c r="H14" i="10"/>
  <c r="H3" i="10"/>
  <c r="E4" i="10"/>
  <c r="E5" i="10"/>
  <c r="E6" i="10"/>
  <c r="E7" i="10"/>
  <c r="E8" i="10"/>
  <c r="E9" i="10"/>
  <c r="E10" i="10"/>
  <c r="E11" i="10"/>
  <c r="E12" i="10"/>
  <c r="E13" i="10"/>
  <c r="E14" i="10"/>
  <c r="E3" i="10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2" i="7"/>
  <c r="B29" i="7"/>
  <c r="AV8" i="5"/>
  <c r="AV7" i="5"/>
  <c r="AV6" i="5"/>
  <c r="AV5" i="5"/>
  <c r="AV4" i="5"/>
  <c r="I4" i="1"/>
  <c r="G4" i="1"/>
  <c r="F14" i="2"/>
  <c r="G14" i="2"/>
  <c r="H14" i="2"/>
  <c r="I14" i="2"/>
  <c r="J14" i="2"/>
  <c r="K14" i="2"/>
  <c r="L14" i="2"/>
  <c r="N14" i="2"/>
  <c r="O14" i="2"/>
  <c r="P14" i="2"/>
  <c r="E14" i="2"/>
  <c r="C14" i="2"/>
  <c r="I3" i="1"/>
  <c r="I5" i="1"/>
  <c r="I6" i="1"/>
  <c r="I8" i="1"/>
  <c r="I9" i="1"/>
  <c r="I10" i="1"/>
  <c r="I11" i="1"/>
  <c r="I12" i="1"/>
  <c r="I13" i="1"/>
  <c r="I14" i="1"/>
  <c r="I15" i="1"/>
  <c r="I16" i="1"/>
  <c r="I2" i="1"/>
  <c r="G10" i="1"/>
  <c r="G9" i="1"/>
  <c r="G8" i="1"/>
  <c r="G5" i="1"/>
  <c r="G13" i="1"/>
  <c r="G14" i="1"/>
  <c r="G15" i="1"/>
  <c r="G3" i="1"/>
  <c r="G12" i="1"/>
  <c r="G11" i="1"/>
  <c r="G6" i="1"/>
  <c r="G2" i="1"/>
  <c r="R14" i="9" l="1"/>
  <c r="S14" i="9"/>
  <c r="S16" i="9"/>
  <c r="R16" i="9"/>
  <c r="M4" i="1"/>
  <c r="P4" i="1" s="1"/>
  <c r="K2" i="1"/>
  <c r="K9" i="1"/>
  <c r="M9" i="1" s="1"/>
  <c r="P9" i="1" s="1"/>
  <c r="K16" i="1"/>
  <c r="M16" i="1" s="1"/>
  <c r="P16" i="1" s="1"/>
  <c r="K13" i="1"/>
  <c r="M13" i="1" s="1"/>
  <c r="P13" i="1" s="1"/>
  <c r="K3" i="1"/>
  <c r="K11" i="1"/>
  <c r="M11" i="1" s="1"/>
  <c r="P11" i="1" s="1"/>
  <c r="K5" i="1"/>
  <c r="M5" i="1" s="1"/>
  <c r="P5" i="1" s="1"/>
  <c r="K14" i="1"/>
  <c r="M14" i="1" s="1"/>
  <c r="P14" i="1" s="1"/>
  <c r="K6" i="1"/>
  <c r="M6" i="1" s="1"/>
  <c r="P6" i="1" s="1"/>
  <c r="K12" i="1"/>
  <c r="M12" i="1" s="1"/>
  <c r="P12" i="1" s="1"/>
  <c r="K10" i="1"/>
  <c r="M10" i="1" s="1"/>
  <c r="P10" i="1" s="1"/>
  <c r="K8" i="1"/>
  <c r="M8" i="1" s="1"/>
  <c r="P8" i="1" s="1"/>
  <c r="K15" i="1"/>
  <c r="M15" i="1" s="1"/>
  <c r="P15" i="1" s="1"/>
  <c r="M3" i="1" l="1"/>
  <c r="P3" i="1"/>
  <c r="P2" i="1"/>
  <c r="M2" i="1"/>
  <c r="S16" i="1"/>
  <c r="T16" i="1" s="1"/>
  <c r="S8" i="1"/>
  <c r="S10" i="1"/>
  <c r="S9" i="1"/>
  <c r="S4" i="1"/>
  <c r="S6" i="1"/>
  <c r="S14" i="1"/>
  <c r="S5" i="1"/>
  <c r="S13" i="1"/>
  <c r="S12" i="1"/>
  <c r="S15" i="1"/>
  <c r="S11" i="1"/>
  <c r="S3" i="1" l="1"/>
  <c r="T3" i="1" s="1"/>
  <c r="S2" i="1"/>
  <c r="T2" i="1" s="1"/>
  <c r="D16" i="9"/>
  <c r="D16" i="8"/>
  <c r="M3" i="8" s="1"/>
  <c r="T10" i="1"/>
  <c r="T8" i="1"/>
  <c r="T5" i="1"/>
  <c r="T14" i="1"/>
  <c r="T4" i="1"/>
  <c r="D4" i="9" s="1"/>
  <c r="T9" i="1"/>
  <c r="T6" i="1"/>
  <c r="T12" i="1"/>
  <c r="T11" i="1"/>
  <c r="T15" i="1"/>
  <c r="T13" i="1"/>
  <c r="D2" i="8" l="1"/>
  <c r="D2" i="9"/>
  <c r="D14" i="9"/>
  <c r="D14" i="8"/>
  <c r="M6" i="8" s="1"/>
  <c r="D11" i="8"/>
  <c r="M13" i="8" s="1"/>
  <c r="D11" i="9"/>
  <c r="D8" i="9"/>
  <c r="U14" i="9" s="1"/>
  <c r="D8" i="8"/>
  <c r="D10" i="9"/>
  <c r="U2" i="9" s="1"/>
  <c r="Z2" i="9" s="1"/>
  <c r="D10" i="8"/>
  <c r="D12" i="9"/>
  <c r="D12" i="8"/>
  <c r="M11" i="8" s="1"/>
  <c r="D6" i="8"/>
  <c r="D6" i="9"/>
  <c r="D13" i="9"/>
  <c r="D13" i="8"/>
  <c r="M21" i="8" s="1"/>
  <c r="D15" i="8"/>
  <c r="M2" i="8" s="1"/>
  <c r="D15" i="9"/>
  <c r="D5" i="8"/>
  <c r="D5" i="9"/>
  <c r="D9" i="9"/>
  <c r="D9" i="8"/>
  <c r="M7" i="8" s="1"/>
  <c r="D3" i="9"/>
  <c r="D3" i="8"/>
  <c r="D4" i="8"/>
  <c r="M4" i="8" s="1"/>
  <c r="U16" i="9"/>
  <c r="M8" i="8" l="1"/>
  <c r="U8" i="8" s="1"/>
  <c r="V8" i="8" s="1"/>
  <c r="M9" i="8"/>
  <c r="U9" i="8" s="1"/>
  <c r="V9" i="8" s="1"/>
  <c r="M14" i="8"/>
  <c r="M15" i="8"/>
  <c r="U4" i="9"/>
  <c r="U5" i="9"/>
  <c r="Y5" i="9" s="1"/>
  <c r="U3" i="9"/>
  <c r="M5" i="8"/>
  <c r="U18" i="9"/>
  <c r="V18" i="9" s="1"/>
  <c r="X18" i="9" s="1"/>
  <c r="Z12" i="9"/>
  <c r="V9" i="9"/>
  <c r="W9" i="9" s="1"/>
  <c r="AF4" i="9" s="1"/>
  <c r="U17" i="9"/>
  <c r="Z17" i="9" s="1"/>
  <c r="V11" i="9"/>
  <c r="AE6" i="9" s="1"/>
  <c r="C6" i="16" s="1"/>
  <c r="G6" i="16" s="1"/>
  <c r="V13" i="9"/>
  <c r="V22" i="9" s="1"/>
  <c r="AA22" i="9" s="1"/>
  <c r="U19" i="9"/>
  <c r="Y19" i="9" s="1"/>
  <c r="M10" i="8"/>
  <c r="M12" i="8"/>
  <c r="M22" i="8"/>
  <c r="V10" i="9"/>
  <c r="W10" i="9" s="1"/>
  <c r="AF5" i="9" s="1"/>
  <c r="M16" i="8"/>
  <c r="Z15" i="9"/>
  <c r="AA15" i="9" s="1"/>
  <c r="M17" i="8"/>
  <c r="V8" i="9"/>
  <c r="Z16" i="9"/>
  <c r="V16" i="9"/>
  <c r="X16" i="9" s="1"/>
  <c r="M20" i="8"/>
  <c r="M18" i="8"/>
  <c r="U20" i="9"/>
  <c r="Z20" i="9" s="1"/>
  <c r="AA20" i="9" s="1"/>
  <c r="M19" i="8"/>
  <c r="Y12" i="9"/>
  <c r="V4" i="9"/>
  <c r="AE7" i="9" s="1"/>
  <c r="C7" i="16" s="1"/>
  <c r="G7" i="16" s="1"/>
  <c r="V12" i="9"/>
  <c r="X12" i="9" s="1"/>
  <c r="Y8" i="9"/>
  <c r="Y16" i="9"/>
  <c r="Y11" i="9"/>
  <c r="Y2" i="9"/>
  <c r="AA2" i="9" s="1"/>
  <c r="V2" i="9"/>
  <c r="AE11" i="9" s="1"/>
  <c r="W18" i="9" l="1"/>
  <c r="Z18" i="9"/>
  <c r="AA12" i="9"/>
  <c r="Y18" i="9"/>
  <c r="AA16" i="9"/>
  <c r="X9" i="9"/>
  <c r="AG4" i="9" s="1"/>
  <c r="E4" i="16" s="1"/>
  <c r="AE4" i="9"/>
  <c r="C4" i="16" s="1"/>
  <c r="G4" i="16" s="1"/>
  <c r="Z9" i="9"/>
  <c r="Y9" i="9"/>
  <c r="B6" i="11"/>
  <c r="W11" i="9"/>
  <c r="W24" i="9" s="1"/>
  <c r="X10" i="9"/>
  <c r="AG5" i="9" s="1"/>
  <c r="E5" i="16" s="1"/>
  <c r="AE10" i="9"/>
  <c r="C10" i="16" s="1"/>
  <c r="G10" i="16" s="1"/>
  <c r="AE5" i="9"/>
  <c r="C5" i="16" s="1"/>
  <c r="G5" i="16" s="1"/>
  <c r="Z11" i="9"/>
  <c r="AA11" i="9" s="1"/>
  <c r="Y13" i="9"/>
  <c r="X11" i="9"/>
  <c r="AG6" i="9" s="1"/>
  <c r="E6" i="16" s="1"/>
  <c r="X13" i="9"/>
  <c r="AG10" i="9" s="1"/>
  <c r="Z13" i="9"/>
  <c r="V24" i="9"/>
  <c r="AA24" i="9" s="1"/>
  <c r="W13" i="9"/>
  <c r="AF10" i="9" s="1"/>
  <c r="Z10" i="9"/>
  <c r="V21" i="9"/>
  <c r="AA21" i="9" s="1"/>
  <c r="Z8" i="9"/>
  <c r="AA8" i="9" s="1"/>
  <c r="Y17" i="9"/>
  <c r="AA17" i="9" s="1"/>
  <c r="V17" i="9"/>
  <c r="W16" i="9"/>
  <c r="AE3" i="9"/>
  <c r="B3" i="11" s="1"/>
  <c r="Z19" i="9"/>
  <c r="AA19" i="9" s="1"/>
  <c r="V19" i="9"/>
  <c r="W4" i="9"/>
  <c r="AF7" i="9" s="1"/>
  <c r="D7" i="16" s="1"/>
  <c r="Z4" i="9"/>
  <c r="Z14" i="9"/>
  <c r="Y14" i="9"/>
  <c r="X8" i="9"/>
  <c r="V5" i="9"/>
  <c r="AE9" i="9" s="1"/>
  <c r="C9" i="16" s="1"/>
  <c r="G9" i="16" s="1"/>
  <c r="Y10" i="9"/>
  <c r="W8" i="9"/>
  <c r="AF3" i="9" s="1"/>
  <c r="Z5" i="9"/>
  <c r="AA5" i="9" s="1"/>
  <c r="V14" i="9"/>
  <c r="AE12" i="9" s="1"/>
  <c r="C12" i="16" s="1"/>
  <c r="G12" i="16" s="1"/>
  <c r="X4" i="9"/>
  <c r="AG7" i="9" s="1"/>
  <c r="E7" i="16" s="1"/>
  <c r="Y4" i="9"/>
  <c r="V23" i="9"/>
  <c r="AA23" i="9" s="1"/>
  <c r="AE8" i="9"/>
  <c r="W12" i="9"/>
  <c r="AF8" i="9" s="1"/>
  <c r="AA18" i="9"/>
  <c r="X2" i="9"/>
  <c r="AG11" i="9" s="1"/>
  <c r="D9" i="11" s="1"/>
  <c r="W2" i="9"/>
  <c r="AF11" i="9" s="1"/>
  <c r="C9" i="11" s="1"/>
  <c r="B9" i="11"/>
  <c r="C11" i="16"/>
  <c r="G11" i="16" s="1"/>
  <c r="C5" i="11"/>
  <c r="D5" i="16"/>
  <c r="C4" i="11"/>
  <c r="D4" i="16"/>
  <c r="B4" i="11"/>
  <c r="X23" i="9"/>
  <c r="AG8" i="9"/>
  <c r="E8" i="16" s="1"/>
  <c r="D4" i="11" l="1"/>
  <c r="B8" i="11"/>
  <c r="B15" i="11" s="1"/>
  <c r="H15" i="11" s="1"/>
  <c r="O15" i="11" s="1"/>
  <c r="AF6" i="9"/>
  <c r="D6" i="16" s="1"/>
  <c r="AA9" i="9"/>
  <c r="D5" i="11"/>
  <c r="B5" i="11"/>
  <c r="X21" i="9"/>
  <c r="AA13" i="9"/>
  <c r="X24" i="9"/>
  <c r="AA14" i="9"/>
  <c r="X22" i="9"/>
  <c r="AA10" i="9"/>
  <c r="W22" i="9"/>
  <c r="AA25" i="9"/>
  <c r="W23" i="9"/>
  <c r="X17" i="9"/>
  <c r="W17" i="9"/>
  <c r="C3" i="16"/>
  <c r="G3" i="16" s="1"/>
  <c r="AA4" i="9"/>
  <c r="X14" i="9"/>
  <c r="AG12" i="9" s="1"/>
  <c r="D10" i="11" s="1"/>
  <c r="D16" i="11" s="1"/>
  <c r="W14" i="9"/>
  <c r="AF12" i="9" s="1"/>
  <c r="D12" i="16" s="1"/>
  <c r="X19" i="9"/>
  <c r="W19" i="9"/>
  <c r="AG3" i="9"/>
  <c r="E3" i="16" s="1"/>
  <c r="B10" i="11"/>
  <c r="B16" i="11" s="1"/>
  <c r="H16" i="11" s="1"/>
  <c r="W21" i="9"/>
  <c r="W5" i="9"/>
  <c r="AF9" i="9" s="1"/>
  <c r="D9" i="16" s="1"/>
  <c r="X5" i="9"/>
  <c r="AG9" i="9" s="1"/>
  <c r="E9" i="16" s="1"/>
  <c r="E11" i="16"/>
  <c r="C8" i="16"/>
  <c r="G8" i="16" s="1"/>
  <c r="B7" i="11"/>
  <c r="B17" i="11" s="1"/>
  <c r="H17" i="11" s="1"/>
  <c r="N17" i="11" s="1"/>
  <c r="D7" i="11"/>
  <c r="D11" i="16"/>
  <c r="D6" i="11"/>
  <c r="C3" i="11"/>
  <c r="D3" i="16"/>
  <c r="C8" i="11"/>
  <c r="C15" i="11" s="1"/>
  <c r="D10" i="16"/>
  <c r="D8" i="11"/>
  <c r="D15" i="11" s="1"/>
  <c r="E10" i="16"/>
  <c r="C7" i="11"/>
  <c r="D8" i="16"/>
  <c r="N15" i="11"/>
  <c r="M15" i="11"/>
  <c r="C6" i="11" l="1"/>
  <c r="C17" i="11" s="1"/>
  <c r="E12" i="16"/>
  <c r="C10" i="11"/>
  <c r="C16" i="11" s="1"/>
  <c r="M16" i="11"/>
  <c r="O16" i="11"/>
  <c r="N16" i="11"/>
  <c r="D3" i="11"/>
  <c r="M17" i="11"/>
  <c r="O17" i="11"/>
  <c r="D17" i="11"/>
  <c r="Z3" i="9"/>
  <c r="V3" i="9"/>
  <c r="W3" i="9" s="1"/>
  <c r="AF2" i="9" s="1"/>
  <c r="Y3" i="9"/>
  <c r="AA3" i="9" l="1"/>
  <c r="X3" i="9"/>
  <c r="AG2" i="9" s="1"/>
  <c r="D2" i="11" s="1"/>
  <c r="D14" i="11" s="1"/>
  <c r="D2" i="16"/>
  <c r="C2" i="11"/>
  <c r="C14" i="11" s="1"/>
  <c r="E2" i="16"/>
  <c r="AE2" i="9"/>
  <c r="B2" i="11" l="1"/>
  <c r="B14" i="11" s="1"/>
  <c r="H14" i="11" s="1"/>
  <c r="C2" i="16"/>
  <c r="G2" i="16" s="1"/>
  <c r="N14" i="11" l="1"/>
  <c r="H21" i="11" s="1"/>
  <c r="M14" i="11"/>
  <c r="I21" i="11" s="1"/>
  <c r="O14" i="11"/>
  <c r="F21" i="11" s="1"/>
  <c r="E21" i="11"/>
  <c r="J21" i="11" l="1"/>
  <c r="B10" i="17"/>
  <c r="B11" i="17" s="1"/>
  <c r="S3" i="11"/>
  <c r="Z26" i="11" s="1"/>
  <c r="AC26" i="11" s="1"/>
  <c r="G21" i="11"/>
  <c r="AD26" i="11" l="1"/>
  <c r="Z9" i="11"/>
  <c r="Z23" i="11"/>
  <c r="Z24" i="11"/>
  <c r="Z18" i="11"/>
  <c r="Z12" i="11"/>
  <c r="Z19" i="11"/>
  <c r="Z2" i="11"/>
  <c r="AC2" i="11" s="1"/>
  <c r="Z5" i="11"/>
  <c r="Z8" i="11"/>
  <c r="Z3" i="11"/>
  <c r="Z16" i="11"/>
  <c r="Z7" i="11"/>
  <c r="Z6" i="11"/>
  <c r="Z11" i="11"/>
  <c r="Z14" i="11"/>
  <c r="Z17" i="11"/>
  <c r="Z13" i="11"/>
  <c r="Z4" i="11"/>
  <c r="Z10" i="11"/>
  <c r="Z21" i="11"/>
  <c r="Z25" i="11"/>
  <c r="Z20" i="11"/>
  <c r="Z22" i="11"/>
  <c r="Z15" i="11"/>
  <c r="AC25" i="11" l="1"/>
  <c r="E9" i="9" s="1"/>
  <c r="U6" i="9" s="1"/>
  <c r="AC7" i="11"/>
  <c r="AC24" i="11"/>
  <c r="E6" i="9" s="1"/>
  <c r="AC14" i="11"/>
  <c r="AC19" i="11"/>
  <c r="AC23" i="11"/>
  <c r="AC20" i="11"/>
  <c r="AC12" i="11"/>
  <c r="AC9" i="11"/>
  <c r="AC22" i="11"/>
  <c r="N7" i="8"/>
  <c r="Y7" i="8" s="1"/>
  <c r="AC11" i="11"/>
  <c r="AC6" i="11"/>
  <c r="AC21" i="11"/>
  <c r="AC18" i="11"/>
  <c r="AC10" i="11"/>
  <c r="AC16" i="11"/>
  <c r="AC4" i="11"/>
  <c r="AC3" i="11"/>
  <c r="AC13" i="11"/>
  <c r="AC8" i="11"/>
  <c r="AC15" i="11"/>
  <c r="AC17" i="11"/>
  <c r="AC5" i="11"/>
  <c r="AD18" i="11"/>
  <c r="AD16" i="11"/>
  <c r="AD4" i="11"/>
  <c r="AD23" i="11"/>
  <c r="AD9" i="11"/>
  <c r="AD17" i="11"/>
  <c r="AD20" i="11"/>
  <c r="AD11" i="11"/>
  <c r="AD19" i="11"/>
  <c r="AD25" i="11"/>
  <c r="AD6" i="11"/>
  <c r="AD12" i="11"/>
  <c r="AD21" i="11"/>
  <c r="AD7" i="11"/>
  <c r="AD10" i="11"/>
  <c r="AD24" i="11"/>
  <c r="AD3" i="11"/>
  <c r="AD13" i="11"/>
  <c r="AD8" i="11"/>
  <c r="AD15" i="11"/>
  <c r="AD5" i="11"/>
  <c r="AD22" i="11"/>
  <c r="AD14" i="11"/>
  <c r="AD2" i="11"/>
  <c r="Z27" i="11"/>
  <c r="AG4" i="11"/>
  <c r="AG12" i="11"/>
  <c r="AG13" i="11"/>
  <c r="AG6" i="11"/>
  <c r="AG9" i="11"/>
  <c r="AG8" i="11"/>
  <c r="AG15" i="11"/>
  <c r="AG14" i="11"/>
  <c r="AG16" i="11"/>
  <c r="AG11" i="11"/>
  <c r="AG5" i="11"/>
  <c r="N20" i="8" l="1"/>
  <c r="U20" i="8" s="1"/>
  <c r="V20" i="8" s="1"/>
  <c r="N23" i="8"/>
  <c r="N19" i="8"/>
  <c r="U19" i="8" s="1"/>
  <c r="V19" i="8" s="1"/>
  <c r="N10" i="8"/>
  <c r="U10" i="8" s="1"/>
  <c r="V10" i="8" s="1"/>
  <c r="N13" i="8"/>
  <c r="U13" i="8" s="1"/>
  <c r="V13" i="8" s="1"/>
  <c r="N4" i="8"/>
  <c r="N17" i="8"/>
  <c r="U17" i="8" s="1"/>
  <c r="V17" i="8" s="1"/>
  <c r="N21" i="8"/>
  <c r="U21" i="8" s="1"/>
  <c r="V21" i="8" s="1"/>
  <c r="N8" i="8"/>
  <c r="N14" i="8"/>
  <c r="U14" i="8" s="1"/>
  <c r="V14" i="8" s="1"/>
  <c r="N2" i="8"/>
  <c r="N3" i="8"/>
  <c r="N22" i="8"/>
  <c r="U22" i="8" s="1"/>
  <c r="V22" i="8" s="1"/>
  <c r="N6" i="8"/>
  <c r="N12" i="8"/>
  <c r="U12" i="8" s="1"/>
  <c r="V12" i="8" s="1"/>
  <c r="N18" i="8"/>
  <c r="U18" i="8" s="1"/>
  <c r="V18" i="8" s="1"/>
  <c r="N15" i="8"/>
  <c r="U15" i="8" s="1"/>
  <c r="V15" i="8" s="1"/>
  <c r="N5" i="8"/>
  <c r="N11" i="8"/>
  <c r="U11" i="8" s="1"/>
  <c r="V11" i="8" s="1"/>
  <c r="N16" i="8"/>
  <c r="U16" i="8" s="1"/>
  <c r="V16" i="8" s="1"/>
  <c r="N9" i="8"/>
  <c r="Y9" i="8" s="1"/>
  <c r="AC27" i="11"/>
  <c r="AD27" i="11"/>
  <c r="AJ14" i="11"/>
  <c r="AI14" i="11"/>
  <c r="AJ15" i="11"/>
  <c r="AI15" i="11"/>
  <c r="AJ13" i="11"/>
  <c r="AI13" i="11"/>
  <c r="AJ5" i="11"/>
  <c r="AI5" i="11"/>
  <c r="AI8" i="11"/>
  <c r="AJ8" i="11"/>
  <c r="AJ12" i="11"/>
  <c r="AI12" i="11"/>
  <c r="AJ9" i="11"/>
  <c r="AI9" i="11"/>
  <c r="AJ6" i="11"/>
  <c r="AI6" i="11"/>
  <c r="AJ11" i="11"/>
  <c r="AI11" i="11"/>
  <c r="Z6" i="9"/>
  <c r="AJ16" i="11"/>
  <c r="AI16" i="11"/>
  <c r="AJ4" i="11"/>
  <c r="AI4" i="11"/>
  <c r="V24" i="8" l="1"/>
  <c r="Y22" i="8"/>
  <c r="Y20" i="8"/>
  <c r="Y11" i="8"/>
  <c r="Y16" i="8"/>
  <c r="Y5" i="8"/>
  <c r="Y21" i="8"/>
  <c r="Y3" i="8"/>
  <c r="Y19" i="8"/>
  <c r="Y14" i="8"/>
  <c r="Y4" i="8"/>
  <c r="Y6" i="8"/>
  <c r="Y10" i="8"/>
  <c r="Y13" i="8"/>
  <c r="Y2" i="8"/>
  <c r="Y15" i="8"/>
  <c r="Y17" i="8"/>
  <c r="Y8" i="8"/>
  <c r="Y12" i="8"/>
  <c r="Y18" i="8"/>
  <c r="AA6" i="9"/>
  <c r="AH13" i="9" s="1"/>
  <c r="Y24" i="8" l="1"/>
  <c r="B4" i="17" s="1"/>
  <c r="B5" i="17" s="1"/>
</calcChain>
</file>

<file path=xl/sharedStrings.xml><?xml version="1.0" encoding="utf-8"?>
<sst xmlns="http://schemas.openxmlformats.org/spreadsheetml/2006/main" count="1553" uniqueCount="695">
  <si>
    <t>References id</t>
  </si>
  <si>
    <t>Title</t>
  </si>
  <si>
    <t>Authors</t>
  </si>
  <si>
    <t>Link</t>
  </si>
  <si>
    <t>LAND</t>
  </si>
  <si>
    <t>FBS</t>
  </si>
  <si>
    <t>Food Balance Sheets</t>
  </si>
  <si>
    <t>FAOSTAT</t>
  </si>
  <si>
    <t>https://www.fao.org/faostat/en/#data/FBS</t>
  </si>
  <si>
    <t>Arable land available [ha]</t>
  </si>
  <si>
    <t>SFCD</t>
  </si>
  <si>
    <t>Swiss Food Composition Database</t>
  </si>
  <si>
    <t>Federal Food Safety and Veterinary Office</t>
  </si>
  <si>
    <t>https://naehrwertdaten.ch/en/downloads/</t>
  </si>
  <si>
    <t>Land for crops [ha]</t>
  </si>
  <si>
    <t>marché_viande</t>
  </si>
  <si>
    <t>Le marché de la viande 2022</t>
  </si>
  <si>
    <t>Proviande</t>
  </si>
  <si>
    <t>https://www.proviande.ch/sites/proviande/files/2023-04/Der%20Fleischmarkt%20im%20%C3%9Cberblick%202022.pdf</t>
  </si>
  <si>
    <t>Excess arable land [ha]</t>
  </si>
  <si>
    <t>part_cheptel_bio</t>
  </si>
  <si>
    <t>Part des cheptels des exploitations biologiques</t>
  </si>
  <si>
    <t>OFS</t>
  </si>
  <si>
    <t>Exploitations agricoles et animaux de rente selon le niveau de classification 3 par canton</t>
  </si>
  <si>
    <t>agristat</t>
  </si>
  <si>
    <t xml:space="preserve">Agristat - L'agriculture suisse en chiffres	</t>
  </si>
  <si>
    <t>Union Suisse des Paysans (USP)</t>
  </si>
  <si>
    <t>https://www.sbv-usp.ch/fr/service/agristat-statistique-de-lagriculture-suisse</t>
  </si>
  <si>
    <t>FEED</t>
  </si>
  <si>
    <t>Coarse fodder available [MT MS]</t>
  </si>
  <si>
    <t>Coarse fodder need [MT MS]</t>
  </si>
  <si>
    <t>Excess coarse fodder [MT MS]</t>
  </si>
  <si>
    <t>Category</t>
  </si>
  <si>
    <t>Item (diet)</t>
  </si>
  <si>
    <t>Item FBS</t>
  </si>
  <si>
    <t>Density (SFCD)</t>
  </si>
  <si>
    <t>Recommendations 'Pyramide alimentaire' [mL/capita/day]</t>
  </si>
  <si>
    <t>Recommendations 'Lancet' [g/capita/day]</t>
  </si>
  <si>
    <t>Recommendations 'Pyramide alimentaire' [g/capita/yr]</t>
  </si>
  <si>
    <t>Food waste proportion 2020</t>
  </si>
  <si>
    <t>Food waste proportion 2050</t>
  </si>
  <si>
    <t>Food need 2050 (considering food waste) [g/capita/yr]</t>
  </si>
  <si>
    <t>Total Food need 2050 (considering food waste) [kt/total pop/yr]</t>
  </si>
  <si>
    <t>Exports 2050 [kt]</t>
  </si>
  <si>
    <t>Demand (food need with food waste + exports) [kt]</t>
  </si>
  <si>
    <t>Self-sufficiency [%]</t>
  </si>
  <si>
    <t>Production in Switzerland (food + exports)  (without losses) [kt]</t>
  </si>
  <si>
    <t>Imports [kt]</t>
  </si>
  <si>
    <t>Primary product</t>
  </si>
  <si>
    <t>Quantity of primary product needed to produce 1 kg the item [kg]</t>
  </si>
  <si>
    <t>Primary production needed to satisfy the demand (considering food waste but not losses) [kt]</t>
  </si>
  <si>
    <t>Primary production needed to satisfy the food demand (considering food waste and losses) [kt]</t>
  </si>
  <si>
    <t>Losses proportion 2020 (post-farm residues and pre-retail losses) (proportion of  national production)</t>
  </si>
  <si>
    <t>Losses proportion 2050 (post-farm residues and pre-retail losses) (proportion of  national production)</t>
  </si>
  <si>
    <t>Fats and oils</t>
  </si>
  <si>
    <t>Vegetable oil</t>
  </si>
  <si>
    <t>Vegetable Oils</t>
  </si>
  <si>
    <t>Oilcrops</t>
  </si>
  <si>
    <t>Butter + Cream</t>
  </si>
  <si>
    <t>Milk</t>
  </si>
  <si>
    <t>Nuts</t>
  </si>
  <si>
    <t>Treenuts</t>
  </si>
  <si>
    <t>Seeds</t>
  </si>
  <si>
    <t>Dairy products, meat, eggs, fish, tofu (or equivalent)</t>
  </si>
  <si>
    <t>Meat</t>
  </si>
  <si>
    <t>Beef, lamb and pork (meat + offals)</t>
  </si>
  <si>
    <t>Chicken and other poultry (meat)</t>
  </si>
  <si>
    <t>Fish</t>
  </si>
  <si>
    <t>Fish, Seafood</t>
  </si>
  <si>
    <t>Eggs</t>
  </si>
  <si>
    <t>Vegetables and fruits</t>
  </si>
  <si>
    <t>Vegetables</t>
  </si>
  <si>
    <t>Fruits</t>
  </si>
  <si>
    <t>Cereals, potatoes and pulses</t>
  </si>
  <si>
    <t>Cereals</t>
  </si>
  <si>
    <t>Pulses</t>
  </si>
  <si>
    <t>Potatoes (starchy roots)</t>
  </si>
  <si>
    <t>Starchy Roots</t>
  </si>
  <si>
    <t>Sugar</t>
  </si>
  <si>
    <t>Raw sugar equivalent</t>
  </si>
  <si>
    <t>Sugar (Raw Equivalent)</t>
  </si>
  <si>
    <t>Sugar Crops</t>
  </si>
  <si>
    <t>Alcohol</t>
  </si>
  <si>
    <t>Alcohol beverage</t>
  </si>
  <si>
    <t>Wine</t>
  </si>
  <si>
    <t>Grapes</t>
  </si>
  <si>
    <t>Animal fats</t>
  </si>
  <si>
    <t>tab</t>
  </si>
  <si>
    <t>FOOD &amp; FEED</t>
  </si>
  <si>
    <t>Item (FBS)</t>
  </si>
  <si>
    <t>Produced mass in 2018 [kt]</t>
  </si>
  <si>
    <t>Proportion of item in 2018</t>
  </si>
  <si>
    <t>Primary production needed to satisfy the demand (considering food waste and losses) [kt]</t>
  </si>
  <si>
    <t>Feed production in Switzerland (with losses) [kt]</t>
  </si>
  <si>
    <t>Total production needed [kt]</t>
  </si>
  <si>
    <t>Organic area in 2018 [ha]</t>
  </si>
  <si>
    <t>Organic area in 2050 [ha]</t>
  </si>
  <si>
    <t>Conv yields 2050 [t/ha]</t>
  </si>
  <si>
    <t>Organic yield 2050 [t/ha]</t>
  </si>
  <si>
    <t>Mass of organic proportion [kt]</t>
  </si>
  <si>
    <t>Mass of conv proportion [kt]</t>
  </si>
  <si>
    <t>Harvested area necessary [ha]</t>
  </si>
  <si>
    <t>Proportion of harvested area with respect to crop area 2018</t>
  </si>
  <si>
    <t>Proportion of harvested area with respect to crop area 2050</t>
  </si>
  <si>
    <t>Crop area necessary [ha]</t>
  </si>
  <si>
    <t>Starchy roots</t>
  </si>
  <si>
    <t>Potatoes and products</t>
  </si>
  <si>
    <t>Sugar beet</t>
  </si>
  <si>
    <t>Nuts and products</t>
  </si>
  <si>
    <t>Pulses, Other and products</t>
  </si>
  <si>
    <t>Peas</t>
  </si>
  <si>
    <t>Soyabeans</t>
  </si>
  <si>
    <t>Seeds + Vegetable oil</t>
  </si>
  <si>
    <t>Rape and Mustardseed</t>
  </si>
  <si>
    <t>Sunflower seed</t>
  </si>
  <si>
    <t>Apples and products</t>
  </si>
  <si>
    <t>Citrus, Other</t>
  </si>
  <si>
    <t>Fruits, other (incl citrus, other)</t>
  </si>
  <si>
    <t>Onions</t>
  </si>
  <si>
    <t>Tomatoes and products</t>
  </si>
  <si>
    <t>Vegetables, other</t>
  </si>
  <si>
    <t>Barley and products</t>
  </si>
  <si>
    <t>Cereals, Other</t>
  </si>
  <si>
    <t>Maize and products</t>
  </si>
  <si>
    <t>Millet and products</t>
  </si>
  <si>
    <t>Oats</t>
  </si>
  <si>
    <t>Rye and products</t>
  </si>
  <si>
    <t>Wheat and products</t>
  </si>
  <si>
    <t>Grapes and products (excl wine)</t>
  </si>
  <si>
    <t>Total</t>
  </si>
  <si>
    <t>Producing animals 2018 [head]</t>
  </si>
  <si>
    <t>Yield 2018 [kg product/head]</t>
  </si>
  <si>
    <t>Organic yield 2018 [kg product/head]</t>
  </si>
  <si>
    <t>Yield 2050 as proportion of yield 2018</t>
  </si>
  <si>
    <t>Yield 2050 [kg product/head]</t>
  </si>
  <si>
    <t>Organic yield 2050 [kg product/head]</t>
  </si>
  <si>
    <t>Proportion of organic animals in 2050</t>
  </si>
  <si>
    <t>Producing animals 2050 [head]</t>
  </si>
  <si>
    <t>Organic animals in 2050 [head]</t>
  </si>
  <si>
    <t>Conventional animals in 2050 [head]</t>
  </si>
  <si>
    <t>Total production mass [kt]</t>
  </si>
  <si>
    <t>Item</t>
  </si>
  <si>
    <t>Lifetime used for LCA, based on age_abattage [y]</t>
  </si>
  <si>
    <t>Lifetime Open LCA [day]</t>
  </si>
  <si>
    <t>Lifetime Open LCA [yr]</t>
  </si>
  <si>
    <t>Refers to 1 yr of production</t>
  </si>
  <si>
    <t>Refers to from birth of animal to its leaving of the farm</t>
  </si>
  <si>
    <t>Dairy cows</t>
  </si>
  <si>
    <t>Milk + Butter + Cream</t>
  </si>
  <si>
    <t>Raw milk of cattle</t>
  </si>
  <si>
    <t>Non dairy cows</t>
  </si>
  <si>
    <t>Raw milk of sheep</t>
  </si>
  <si>
    <t>Young cattle (-1 year)</t>
  </si>
  <si>
    <t>Raw milk of goat</t>
  </si>
  <si>
    <t>Other cattle</t>
  </si>
  <si>
    <t>Sheep (meat)</t>
  </si>
  <si>
    <t>Bovine Meat</t>
  </si>
  <si>
    <t>Sheep (milk)</t>
  </si>
  <si>
    <t>Bovine Meat from non dairy cows</t>
  </si>
  <si>
    <t>Goats (meat)</t>
  </si>
  <si>
    <t>Bovine meat from young cattle</t>
  </si>
  <si>
    <t>Goats (milk)</t>
  </si>
  <si>
    <t>Bovine meat from other cattle</t>
  </si>
  <si>
    <t>Swine / pigs</t>
  </si>
  <si>
    <t>Meat of sheep, fresh or chilled</t>
  </si>
  <si>
    <t>Egg chickens</t>
  </si>
  <si>
    <t>Meat of goat, fresh or chilled</t>
  </si>
  <si>
    <t>Poultry (meat)</t>
  </si>
  <si>
    <t>Pigmeat</t>
  </si>
  <si>
    <t>Poultry Meat</t>
  </si>
  <si>
    <t>Meat, Other</t>
  </si>
  <si>
    <t>Offals</t>
  </si>
  <si>
    <t>Edible offal of cattle, fresh, chilled or frozen</t>
  </si>
  <si>
    <t>Edible offal of goat, fresh, chilled or frozen</t>
  </si>
  <si>
    <t>Edible offal of pigs, fresh, chilled or frozen</t>
  </si>
  <si>
    <t>Slaughtered meat animals (source marché_viande) [head]</t>
  </si>
  <si>
    <t>Milk animals (source faostat) [head]</t>
  </si>
  <si>
    <t>Egg animals (source part_cheptel_bio) [head]</t>
  </si>
  <si>
    <t>Edible offal of sheep, fresh, chilled or frozen</t>
  </si>
  <si>
    <t>Edible offals of horses and other equines, fresh, chilled or frozen</t>
  </si>
  <si>
    <t>Cattle fat, unrendered</t>
  </si>
  <si>
    <t>Fat of pigs</t>
  </si>
  <si>
    <t>Goat fat, unrendered</t>
  </si>
  <si>
    <t>Sheep</t>
  </si>
  <si>
    <t>Sheep fat, unrendered</t>
  </si>
  <si>
    <t>Goats</t>
  </si>
  <si>
    <t>Turkeys</t>
  </si>
  <si>
    <t>Ducks</t>
  </si>
  <si>
    <t>Geese</t>
  </si>
  <si>
    <t>Rabbits and hares</t>
  </si>
  <si>
    <t>Bees</t>
  </si>
  <si>
    <t>Horses</t>
  </si>
  <si>
    <t>Others</t>
  </si>
  <si>
    <t>Taureaux</t>
  </si>
  <si>
    <t>Génisses</t>
  </si>
  <si>
    <t>Bœufs</t>
  </si>
  <si>
    <t>Vaches</t>
  </si>
  <si>
    <t>Lifetime [yr]</t>
  </si>
  <si>
    <t>Nitrogen excretion rate [kg N/head/yr]</t>
  </si>
  <si>
    <t>Nitrogen excretion mass [kg N/yr]</t>
  </si>
  <si>
    <t>Production (tons)</t>
  </si>
  <si>
    <t>Slaughtered animals (Head or 1000 Head for poultry)</t>
  </si>
  <si>
    <t>Milk animals (Head)</t>
  </si>
  <si>
    <t>Unfcc [1000 head]</t>
  </si>
  <si>
    <t>Slaughtered 2018 FAO [head]</t>
  </si>
  <si>
    <t>Difference (fao-unfcc) [head]</t>
  </si>
  <si>
    <t>Butter of cow milk</t>
  </si>
  <si>
    <t>NaN</t>
  </si>
  <si>
    <t>Mature dairy cattle</t>
  </si>
  <si>
    <t>Buttermilk, dry</t>
  </si>
  <si>
    <t>Other mature cattle</t>
  </si>
  <si>
    <t>Growing cattle</t>
  </si>
  <si>
    <t>Cheese from skimmed cow milk</t>
  </si>
  <si>
    <t>Cheese from whole cow milk</t>
  </si>
  <si>
    <t>Swine</t>
  </si>
  <si>
    <t>Cream, fresh</t>
  </si>
  <si>
    <t>Buffalo</t>
  </si>
  <si>
    <t>Camels</t>
  </si>
  <si>
    <t>Poultry meat</t>
  </si>
  <si>
    <t>Deer</t>
  </si>
  <si>
    <t>Edible offals of horses and other equines, fr,,,</t>
  </si>
  <si>
    <t>Mules and Asses</t>
  </si>
  <si>
    <t>Poultry</t>
  </si>
  <si>
    <t>Game meat, fresh, chilled or frozen</t>
  </si>
  <si>
    <t>Other (please specify)</t>
  </si>
  <si>
    <t>Rabbit</t>
  </si>
  <si>
    <t>Hen eggs in shell, fresh</t>
  </si>
  <si>
    <t>Other</t>
  </si>
  <si>
    <t>Horse meat, fresh or chilled</t>
  </si>
  <si>
    <t>Meat of cattle with the bone, fresh or chilled</t>
  </si>
  <si>
    <t>Meat of chickens, fresh or chilled</t>
  </si>
  <si>
    <t>Meat of pig with the bone, fresh or chilled</t>
  </si>
  <si>
    <t>Meat of rabbits and hares, fresh or chilled</t>
  </si>
  <si>
    <t>Meat of turkeys, fresh or chilled</t>
  </si>
  <si>
    <t>Natural honey</t>
  </si>
  <si>
    <t>Pig fat, rendered</t>
  </si>
  <si>
    <t>Raw hides and skins of cattle</t>
  </si>
  <si>
    <t>Raw hides and skins of goats or kids</t>
  </si>
  <si>
    <t>Raw hides and skins of sheep or lambs</t>
  </si>
  <si>
    <t>Raw milk of goats</t>
  </si>
  <si>
    <t>Shorn wool, greasy, including fleece-washed sh,,,</t>
  </si>
  <si>
    <t>Skim milk and whey powder</t>
  </si>
  <si>
    <t>Skim milk of cows</t>
  </si>
  <si>
    <t>Tallow</t>
  </si>
  <si>
    <t>Whey, dry</t>
  </si>
  <si>
    <t>Whole milk powder</t>
  </si>
  <si>
    <t>Whole milk, evaporated</t>
  </si>
  <si>
    <t>Year</t>
  </si>
  <si>
    <t>Crop production for feed [Mt]</t>
  </si>
  <si>
    <t>Feed from food balance 2018 [kt]</t>
  </si>
  <si>
    <t>Primary production to satisfy the feed demand [kt]</t>
  </si>
  <si>
    <t>Taux d'autosuffisance 2018</t>
  </si>
  <si>
    <t>Losses</t>
  </si>
  <si>
    <t>Feed production imported [kt]</t>
  </si>
  <si>
    <t>Feed production in Switzerland [kt]</t>
  </si>
  <si>
    <t>Feed 2018 [kt]</t>
  </si>
  <si>
    <t>Proportion out of total feed</t>
  </si>
  <si>
    <t xml:space="preserve">Cereals </t>
  </si>
  <si>
    <t>Starchy roots (potatoes)</t>
  </si>
  <si>
    <t>Meat + Offals</t>
  </si>
  <si>
    <t>Sugar crops</t>
  </si>
  <si>
    <t>computed</t>
  </si>
  <si>
    <t>Fruits, other</t>
  </si>
  <si>
    <t>Feed 2018 [Mt MS] (source agristat)</t>
  </si>
  <si>
    <t>Feed 2018 [kg MS/head]</t>
  </si>
  <si>
    <t>Feed 2050 [Mt MS]</t>
  </si>
  <si>
    <t>Need proportion in fourrages grossiers (agristat)</t>
  </si>
  <si>
    <t>Need proportion in concentrated feed (agristat)</t>
  </si>
  <si>
    <t>Need proportion in grain feed (agristat)</t>
  </si>
  <si>
    <t>Feed fourrages grossiers 2018 [Mt MS]</t>
  </si>
  <si>
    <t>Feed fourrages grossiers 2050 [Mt MS]</t>
  </si>
  <si>
    <t>Concentrated feed 2050 [Mt/MS]</t>
  </si>
  <si>
    <t xml:space="preserve"> Grain feed 2050 [Mt MS]</t>
  </si>
  <si>
    <t>Bovines</t>
  </si>
  <si>
    <t>Caprines/Ovines</t>
  </si>
  <si>
    <t>Land producing grass[ha]</t>
  </si>
  <si>
    <t>Fourrage grossier production [Mt MS]</t>
  </si>
  <si>
    <t>Yield [t MS/ha]</t>
  </si>
  <si>
    <t>Total feed [Mt MS]</t>
  </si>
  <si>
    <t>Proportion of crop production for feed on total feed</t>
  </si>
  <si>
    <t>Concentrated feed [Mt MS]</t>
  </si>
  <si>
    <t>Need feed fourrages grossiers [Mt MS]</t>
  </si>
  <si>
    <t>Leftover fourrage grossier [Mt MS]</t>
  </si>
  <si>
    <t>Rice and products</t>
  </si>
  <si>
    <t>Eggs Exports [1000 tons]</t>
  </si>
  <si>
    <t>Milk Exports [1000 tons]</t>
  </si>
  <si>
    <t>Cereals Exports [1000 tons]</t>
  </si>
  <si>
    <t>Starchy Roots Exports [1000 tons]</t>
  </si>
  <si>
    <t>Sugar Crops Exportss [1000 tons]</t>
  </si>
  <si>
    <t>Sugar and Sweeteners Exports [1000 tons]</t>
  </si>
  <si>
    <t>Pulses Exports [1000 tons]</t>
  </si>
  <si>
    <t>Treenuts Exports [1000 tons]</t>
  </si>
  <si>
    <t>Oilcrops Exports [1000 tons]</t>
  </si>
  <si>
    <t>Vegetables Exports [1000 tons]</t>
  </si>
  <si>
    <t>Fruits Exports [1000 tons]</t>
  </si>
  <si>
    <t>Meat Exports [1000 tons]</t>
  </si>
  <si>
    <t>Offals Exports [1000 tons]</t>
  </si>
  <si>
    <t>Animal fats Exports [1000 tons]</t>
  </si>
  <si>
    <t>Vegetable oil Exports [1000 tons]</t>
  </si>
  <si>
    <t>Fish, Seafood Exports [1000 tons]</t>
  </si>
  <si>
    <t>Wine Exports [1000 tons]</t>
  </si>
  <si>
    <t>Butter, Ghee Exports [kt]</t>
  </si>
  <si>
    <t>Cream Exports [kt]</t>
  </si>
  <si>
    <t>Fish, Body Oil Exports [kt]</t>
  </si>
  <si>
    <t>Fish, Liver Oil Exports [kt]</t>
  </si>
  <si>
    <t>Linear regression</t>
  </si>
  <si>
    <t>Selected values</t>
  </si>
  <si>
    <t xml:space="preserve">Treenuts  </t>
  </si>
  <si>
    <t xml:space="preserve">Oilcrops  </t>
  </si>
  <si>
    <t xml:space="preserve">Vegetables  </t>
  </si>
  <si>
    <t xml:space="preserve">Fruits  </t>
  </si>
  <si>
    <t xml:space="preserve">Sugar Crops  </t>
  </si>
  <si>
    <t xml:space="preserve">Sugar and Sweeteners  </t>
  </si>
  <si>
    <t xml:space="preserve">Offals  </t>
  </si>
  <si>
    <t xml:space="preserve">Animal fats  </t>
  </si>
  <si>
    <t xml:space="preserve">Milk  </t>
  </si>
  <si>
    <t>Eggs Losses [1000 tons]</t>
  </si>
  <si>
    <t>Eggs Prod [1000 tons]</t>
  </si>
  <si>
    <t>Eggs losses proportion</t>
  </si>
  <si>
    <t>Cereals Losses [1000 tons]</t>
  </si>
  <si>
    <t>Cereals Prod [1000 tons]</t>
  </si>
  <si>
    <t>Cereals losses proportion</t>
  </si>
  <si>
    <t>Starchy Roots Losses [1000 tons]</t>
  </si>
  <si>
    <t>Starchy Roots Prod [1000 tons]</t>
  </si>
  <si>
    <t>Starchy Roots  losses proportion</t>
  </si>
  <si>
    <t>Pulses Losses [1000 tons]</t>
  </si>
  <si>
    <t>Pulses Prod [1000 tons]</t>
  </si>
  <si>
    <t>Pulses losses proportion</t>
  </si>
  <si>
    <t>Treenuts Losses [1000 tons]</t>
  </si>
  <si>
    <t>Treenuts Prod [1000 tons]</t>
  </si>
  <si>
    <t>Treenuts losses proportion</t>
  </si>
  <si>
    <t>Oilcrops Losses [1000 tons]</t>
  </si>
  <si>
    <t>Oilcrops Prod [1000 tons]</t>
  </si>
  <si>
    <t>Oilcrops losses proportion</t>
  </si>
  <si>
    <t>Vegetables Losses [1000 tons]</t>
  </si>
  <si>
    <t>Vegetables Prod [1000 tons]</t>
  </si>
  <si>
    <t>Vegetables losses proportion</t>
  </si>
  <si>
    <t>Fruits Losses [1000 tons]</t>
  </si>
  <si>
    <t>Fruits Prod [1000 tons]</t>
  </si>
  <si>
    <t>Fruits losses proportion</t>
  </si>
  <si>
    <t>Sugar Crops Losses [1000 tons]</t>
  </si>
  <si>
    <t>Sugar Crops Prod [1000 tons]</t>
  </si>
  <si>
    <t>Sugar crops losses proportion</t>
  </si>
  <si>
    <t>Sugar and Sweeteners Losses [1000 tons]</t>
  </si>
  <si>
    <t>Sugar and Sweeteners Prod [1000 tons]</t>
  </si>
  <si>
    <t>Sugar and sweeteners losses proportion</t>
  </si>
  <si>
    <t>Offals Losses [1000 tons]</t>
  </si>
  <si>
    <t>Offals Prod [1000 tons]</t>
  </si>
  <si>
    <t>Offals losses proportion</t>
  </si>
  <si>
    <t>Animal fats Losses [1000 tons]</t>
  </si>
  <si>
    <t>Animal fats Prod [1000 tons]</t>
  </si>
  <si>
    <t>Animal fats losses proportion</t>
  </si>
  <si>
    <t>Milk Losses [1000 tons]</t>
  </si>
  <si>
    <t>Milk Prod [1000 tons]</t>
  </si>
  <si>
    <t>Milk losses proportion</t>
  </si>
  <si>
    <t>Meat Losses [1000 tons]</t>
  </si>
  <si>
    <t>Meat Prod [1000 tons]</t>
  </si>
  <si>
    <t>Meat losses proportion</t>
  </si>
  <si>
    <t>indirect LR</t>
  </si>
  <si>
    <t>direct LR</t>
  </si>
  <si>
    <t>chosen proportions</t>
  </si>
  <si>
    <t>Habitat et infrastructure</t>
  </si>
  <si>
    <t>Agriculture</t>
  </si>
  <si>
    <t>Aires boisées</t>
  </si>
  <si>
    <t>Aires improductives</t>
  </si>
  <si>
    <t>Aires de bâtiments et aires industrielles &gt; 1 ha</t>
  </si>
  <si>
    <t>Aires de bâtiments et aires industrielles &lt; 1 ha</t>
  </si>
  <si>
    <t>Aires de maisons individuelles et de maisons de 2 logements</t>
  </si>
  <si>
    <t>Aires de maisons alignées et en terrasses</t>
  </si>
  <si>
    <t>Aires d'immeubles résidentiels</t>
  </si>
  <si>
    <t>Aires de bâtiments publics</t>
  </si>
  <si>
    <t>Aires de bâtiments agricoles</t>
  </si>
  <si>
    <t>Aires de bâtiments non déterminés</t>
  </si>
  <si>
    <t>Aires autoroutières</t>
  </si>
  <si>
    <t>Aires routières</t>
  </si>
  <si>
    <t>Aires de stationnement</t>
  </si>
  <si>
    <t>Aires ferroviaires</t>
  </si>
  <si>
    <t>Aérodromes</t>
  </si>
  <si>
    <t>Installations d'approvisionnement en énergie</t>
  </si>
  <si>
    <t>Stations d'épuration des eaux usées</t>
  </si>
  <si>
    <t>Autres installations d'approvisionnement et d'élimination</t>
  </si>
  <si>
    <t>Décharges</t>
  </si>
  <si>
    <t>Extraction de matériaux</t>
  </si>
  <si>
    <t>Chantiers</t>
  </si>
  <si>
    <t>Friches industrielles et bâtiments désaffectés</t>
  </si>
  <si>
    <t>Parcs publics</t>
  </si>
  <si>
    <t>Installations de sport</t>
  </si>
  <si>
    <t>Terrains de golf</t>
  </si>
  <si>
    <t>Terrains de camping</t>
  </si>
  <si>
    <t>Jardins familiaux</t>
  </si>
  <si>
    <t>Cimetières</t>
  </si>
  <si>
    <t>Arboriculture</t>
  </si>
  <si>
    <t>Viticulture</t>
  </si>
  <si>
    <t>Horticulture</t>
  </si>
  <si>
    <t>Terres arables au sens large</t>
  </si>
  <si>
    <t>Prairies naturelles au sens large</t>
  </si>
  <si>
    <t>Pâturages locaux au sens large</t>
  </si>
  <si>
    <t>Alpages fauchés au sens large</t>
  </si>
  <si>
    <t>Alpages pâturés au sens large</t>
  </si>
  <si>
    <t>Alpes à moutons au sens large</t>
  </si>
  <si>
    <t>Peuplements forestiers</t>
  </si>
  <si>
    <t>Aires afforestées</t>
  </si>
  <si>
    <t>Coupes de bois</t>
  </si>
  <si>
    <t>Surfaces forestières dévastées</t>
  </si>
  <si>
    <t>Lacs</t>
  </si>
  <si>
    <t>Rivières, ruisseaux</t>
  </si>
  <si>
    <t>Ouvrages de protection contre les crues</t>
  </si>
  <si>
    <t>Aucune utilisation</t>
  </si>
  <si>
    <t>Ouvrages de protection (pierres, avalanches)</t>
  </si>
  <si>
    <t>Infrastructure de sports alpins</t>
  </si>
  <si>
    <t>Interventions dans le paysage</t>
  </si>
  <si>
    <t>ha</t>
  </si>
  <si>
    <t>1979/1985</t>
  </si>
  <si>
    <t>1992/97</t>
  </si>
  <si>
    <t>2004/09</t>
  </si>
  <si>
    <t>2013/18</t>
  </si>
  <si>
    <t>Habitat et infrastructure [ha]</t>
  </si>
  <si>
    <t>Aires improductives [ha]</t>
  </si>
  <si>
    <t>Aires boisées [ha]</t>
  </si>
  <si>
    <t>Vineyards, orchards and  horticulture [ha]</t>
  </si>
  <si>
    <t>Arable land [ha]</t>
  </si>
  <si>
    <t>Semi-natural grassland [ha]</t>
  </si>
  <si>
    <t>Farm pastures [ha]</t>
  </si>
  <si>
    <t>Alpine meadows and pastures (including sheep grazing pastures) [ha]</t>
  </si>
  <si>
    <t>Land producing grass [ha]</t>
  </si>
  <si>
    <t>Self-Sufficiency (%)</t>
  </si>
  <si>
    <t>Production (1000 tons)</t>
  </si>
  <si>
    <t>Imports (1000 tons)</t>
  </si>
  <si>
    <t>Exports (1000 tons)</t>
  </si>
  <si>
    <t>Feed (1000 tons)</t>
  </si>
  <si>
    <t>Food (1000 tons)</t>
  </si>
  <si>
    <t>Seed (1000 tons)</t>
  </si>
  <si>
    <t>Losses (1000 tons)</t>
  </si>
  <si>
    <t>Residuals (1000 tons)</t>
  </si>
  <si>
    <t>Others (non-food use) (1000 tons)</t>
  </si>
  <si>
    <t>Stock Variation (1000 tons)</t>
  </si>
  <si>
    <t>Processed (1000 tons)</t>
  </si>
  <si>
    <t>Food supply quantity (kg/capita/yr)</t>
  </si>
  <si>
    <t>Food supply (kcal/capita/day)</t>
  </si>
  <si>
    <t>Food supply (million kcal)</t>
  </si>
  <si>
    <t>Protein supply quantity (g/capita/day)</t>
  </si>
  <si>
    <t>Protein supply quantity (tons)</t>
  </si>
  <si>
    <t>Fat supply quantity (g/capita/day)</t>
  </si>
  <si>
    <t>Fat supply quantity (tons)</t>
  </si>
  <si>
    <t>Cereals - Excluding Beer</t>
  </si>
  <si>
    <t>Sugar &amp; Sweeteners</t>
  </si>
  <si>
    <t>Fruits - Excluding Wine</t>
  </si>
  <si>
    <t>Stimulants</t>
  </si>
  <si>
    <t>Alcoholic Beverages</t>
  </si>
  <si>
    <t>Milk - Excluding Butter</t>
  </si>
  <si>
    <t>Spices</t>
  </si>
  <si>
    <t>Aquatic Products, Other</t>
  </si>
  <si>
    <t>Miscellaneous</t>
  </si>
  <si>
    <t>Vegetal Products</t>
  </si>
  <si>
    <t>Animal Products</t>
  </si>
  <si>
    <t>Produits en CH</t>
  </si>
  <si>
    <t>Produits végétaux</t>
  </si>
  <si>
    <t xml:space="preserve">Crop primary production </t>
  </si>
  <si>
    <t>Yield CH 2050 [t/ha]</t>
  </si>
  <si>
    <t>Yield CH 2012 (100 g /ha)</t>
  </si>
  <si>
    <t>Yield increase 2012-2050</t>
  </si>
  <si>
    <t>Yield CH 2050 (100 g /ha)</t>
  </si>
  <si>
    <t>Yields 2050 FR  BAU [t/ha]</t>
  </si>
  <si>
    <t>Groundnut Oil</t>
  </si>
  <si>
    <t>Maize Germ Oil</t>
  </si>
  <si>
    <t>Oilcrops Oil, Other</t>
  </si>
  <si>
    <t>Rape and Mustard Oil</t>
  </si>
  <si>
    <t>Soyabean Oil</t>
  </si>
  <si>
    <t>Sunflowerseed Oil</t>
  </si>
  <si>
    <t>Sweeteners, Other</t>
  </si>
  <si>
    <t>Beer</t>
  </si>
  <si>
    <t>Beverages, Alcoholic</t>
  </si>
  <si>
    <t>Beverages, Fermented</t>
  </si>
  <si>
    <t>Butter, Ghee</t>
  </si>
  <si>
    <t>Cream</t>
  </si>
  <si>
    <t>Crustaceans</t>
  </si>
  <si>
    <t>Fats, Animals, Raw</t>
  </si>
  <si>
    <t>Freshwater Fish</t>
  </si>
  <si>
    <t>Honey</t>
  </si>
  <si>
    <t>Mutton &amp; Goat Meat</t>
  </si>
  <si>
    <t>Offals, Edible</t>
  </si>
  <si>
    <t>Alcohol, Non-Food</t>
  </si>
  <si>
    <t>Aquatic Animals, Others</t>
  </si>
  <si>
    <t>Aquatic Plants</t>
  </si>
  <si>
    <t>Bananas</t>
  </si>
  <si>
    <t>Beans</t>
  </si>
  <si>
    <t>Cassava and products</t>
  </si>
  <si>
    <t>Cephalopods</t>
  </si>
  <si>
    <t>Cloves</t>
  </si>
  <si>
    <t>Cocoa Beans and products</t>
  </si>
  <si>
    <t>Coconut Oil</t>
  </si>
  <si>
    <t>Coconuts - Incl Copra</t>
  </si>
  <si>
    <t>Coffee and products</t>
  </si>
  <si>
    <t>Cottonseed</t>
  </si>
  <si>
    <t>Cottonseed Oil</t>
  </si>
  <si>
    <t>Dates</t>
  </si>
  <si>
    <t>Demersal Fish</t>
  </si>
  <si>
    <t>Fish, Body Oil</t>
  </si>
  <si>
    <t>Fish, Liver Oil</t>
  </si>
  <si>
    <t>Grapefruit and products</t>
  </si>
  <si>
    <t>Groundnuts</t>
  </si>
  <si>
    <t>Infant food</t>
  </si>
  <si>
    <t>Lemons, Limes and products</t>
  </si>
  <si>
    <t>Marine Fish, Other</t>
  </si>
  <si>
    <t>Molluscs, Other</t>
  </si>
  <si>
    <t>Oilcrops, Other</t>
  </si>
  <si>
    <t>Olive Oil</t>
  </si>
  <si>
    <t>Olives (including preserved)</t>
  </si>
  <si>
    <t>Oranges, Mandarines</t>
  </si>
  <si>
    <t>Palm kernels</t>
  </si>
  <si>
    <t>Palm Oil</t>
  </si>
  <si>
    <t>Palmkernel Oil</t>
  </si>
  <si>
    <t>Pelagic Fish</t>
  </si>
  <si>
    <t>Pepper</t>
  </si>
  <si>
    <t>Pimento</t>
  </si>
  <si>
    <t>Pineapples and products</t>
  </si>
  <si>
    <t>Plantains</t>
  </si>
  <si>
    <t>Roots, Other</t>
  </si>
  <si>
    <t>Sesame seed</t>
  </si>
  <si>
    <t>Sesameseed Oil</t>
  </si>
  <si>
    <t>Sorghum and products</t>
  </si>
  <si>
    <t>Spices, Other</t>
  </si>
  <si>
    <t>Sugar cane</t>
  </si>
  <si>
    <t>Sweet potatoes</t>
  </si>
  <si>
    <t>Tea (including mate)</t>
  </si>
  <si>
    <t>Yams</t>
  </si>
  <si>
    <t>Conv yields [t/ha]</t>
  </si>
  <si>
    <t>Organic yield [t/ha]</t>
  </si>
  <si>
    <t>Crop Primary Production (tons) (vert compatible avec  food balance)</t>
  </si>
  <si>
    <t>Production (1000 tons) (from food balance)</t>
  </si>
  <si>
    <t>Difference in %</t>
  </si>
  <si>
    <t>Crop Area (ha) (vert compatible avec surface_agricole_utile)</t>
  </si>
  <si>
    <t>Crop yield (hg/ha)</t>
  </si>
  <si>
    <t>Crop yield (total prod) (tons/ha)</t>
  </si>
  <si>
    <t>Apples</t>
  </si>
  <si>
    <t>FAO crop primary</t>
  </si>
  <si>
    <t>FAO food balance</t>
  </si>
  <si>
    <t>Chillies and peppers, green (Capsicum spp. and Pimenta spp.)</t>
  </si>
  <si>
    <t>Barley</t>
  </si>
  <si>
    <t>Unmanufactured tobacco</t>
  </si>
  <si>
    <t>Maize (corn)</t>
  </si>
  <si>
    <t>Wheat</t>
  </si>
  <si>
    <t>Millet</t>
  </si>
  <si>
    <t>Potatoes</t>
  </si>
  <si>
    <t>Onions and shallots, dry (excluding dehydrated)</t>
  </si>
  <si>
    <t>Onions and shallots, green</t>
  </si>
  <si>
    <t>Peas, dry</t>
  </si>
  <si>
    <t>Rape or colza seed</t>
  </si>
  <si>
    <t>Rye</t>
  </si>
  <si>
    <t>Tomatoes</t>
  </si>
  <si>
    <t>Soya beans</t>
  </si>
  <si>
    <t>Peas (dry+green)</t>
  </si>
  <si>
    <t>Peas, dry (to sum with peas, green?)</t>
  </si>
  <si>
    <t>Other items</t>
  </si>
  <si>
    <t>Yield reduction from conventionnal to farming (%)</t>
  </si>
  <si>
    <t>Organic yield as % of conventionnal yield (%)</t>
  </si>
  <si>
    <t>Organic yield as % of conventionnal yield</t>
  </si>
  <si>
    <t>Crop yield (total prod) [t/ha]</t>
  </si>
  <si>
    <t>Peas, green (féveroles) (to sum with peas, dry?)</t>
  </si>
  <si>
    <t>Mean cereals</t>
  </si>
  <si>
    <t>Mean pulses</t>
  </si>
  <si>
    <t>Mean fruits</t>
  </si>
  <si>
    <t>Mean vegetables</t>
  </si>
  <si>
    <t>Carrots and turnips</t>
  </si>
  <si>
    <t>Mean nuts</t>
  </si>
  <si>
    <t>Lettuce and chicory</t>
  </si>
  <si>
    <t>Pears</t>
  </si>
  <si>
    <t>Other vegetables, fresh n.e.c.</t>
  </si>
  <si>
    <t>Triticale</t>
  </si>
  <si>
    <t>Cabbages</t>
  </si>
  <si>
    <t>Pumpkins, squash and gourds</t>
  </si>
  <si>
    <t>Spinach</t>
  </si>
  <si>
    <t>Cauliflowers and broccoli</t>
  </si>
  <si>
    <t>Plums and sloes</t>
  </si>
  <si>
    <t>Cucumbers and gherkins</t>
  </si>
  <si>
    <t>Leeks and other alliaceous vegetables</t>
  </si>
  <si>
    <t>Cherries</t>
  </si>
  <si>
    <t>Other beans, green</t>
  </si>
  <si>
    <t>Apricots</t>
  </si>
  <si>
    <t>Strawberries</t>
  </si>
  <si>
    <t>Mushrooms and truffles</t>
  </si>
  <si>
    <t>Raspberries</t>
  </si>
  <si>
    <t>Broad beans and horse beans, dry</t>
  </si>
  <si>
    <t>Walnuts, in shell</t>
  </si>
  <si>
    <t>Mixed grain</t>
  </si>
  <si>
    <t>Asparagus</t>
  </si>
  <si>
    <t>Quinces</t>
  </si>
  <si>
    <t>Gooseberries</t>
  </si>
  <si>
    <t>Kiwi fruit</t>
  </si>
  <si>
    <t>Lupins</t>
  </si>
  <si>
    <t>Green corn (maize)</t>
  </si>
  <si>
    <t>Blueberries</t>
  </si>
  <si>
    <t>Linseed</t>
  </si>
  <si>
    <t>Peaches and nectarines</t>
  </si>
  <si>
    <t>Chestnuts, in shell</t>
  </si>
  <si>
    <t>Other oil seeds, n.e.c.</t>
  </si>
  <si>
    <t>Other berries and fruits of the genus vaccinium n.e.c.</t>
  </si>
  <si>
    <t>Cereals n.e.c.</t>
  </si>
  <si>
    <t>Currants</t>
  </si>
  <si>
    <t>Green garlic</t>
  </si>
  <si>
    <t>Broad beans and horse beans, green</t>
  </si>
  <si>
    <t>Hop cones</t>
  </si>
  <si>
    <t>Other fruits, n.e.c.</t>
  </si>
  <si>
    <t>Artichokes</t>
  </si>
  <si>
    <t>Cantaloupes and other melons</t>
  </si>
  <si>
    <t>Beans, dry</t>
  </si>
  <si>
    <t>tot veg (excel)</t>
  </si>
  <si>
    <t>céréales (rap agr )</t>
  </si>
  <si>
    <t>légumineuse (rap agr)</t>
  </si>
  <si>
    <t>cultures sardèes (rap agr)</t>
  </si>
  <si>
    <t>légumes de plein champ (rap)</t>
  </si>
  <si>
    <t>Chickens</t>
  </si>
  <si>
    <t>Meat chickens</t>
  </si>
  <si>
    <t>Système d'exploitation - total [ha]</t>
  </si>
  <si>
    <t>Exploitations biologiques [ha]</t>
  </si>
  <si>
    <t>Proportion of organic area [%]</t>
  </si>
  <si>
    <t>Eggs [1000 tons]</t>
  </si>
  <si>
    <t>Cereals [1000 tons]</t>
  </si>
  <si>
    <t>Starchy Roots [1000 tons]</t>
  </si>
  <si>
    <t>Pulses [1000 tons]</t>
  </si>
  <si>
    <t>Treenuts [1000 tons]</t>
  </si>
  <si>
    <t>Oilcrops [1000 tons]</t>
  </si>
  <si>
    <t>Vegetables [1000 tons]</t>
  </si>
  <si>
    <t>Fruits [1000 tons]</t>
  </si>
  <si>
    <t>Sugar Crops [1000 tons]</t>
  </si>
  <si>
    <t>Sugar and Sweeteners [1000 tons]</t>
  </si>
  <si>
    <t>Offals [1000 tons]</t>
  </si>
  <si>
    <t>Animal fats [1000 tons]</t>
  </si>
  <si>
    <t>Milk [1000 tons]</t>
  </si>
  <si>
    <t>Meat [1000 tons]</t>
  </si>
  <si>
    <t>2010.0</t>
  </si>
  <si>
    <t>2.000000</t>
  </si>
  <si>
    <t>64.000000</t>
  </si>
  <si>
    <t>20.0</t>
  </si>
  <si>
    <t>0.000000</t>
  </si>
  <si>
    <t>0.0</t>
  </si>
  <si>
    <t>25.000000</t>
  </si>
  <si>
    <t>20.000000</t>
  </si>
  <si>
    <t>2011.0</t>
  </si>
  <si>
    <t>51.000000</t>
  </si>
  <si>
    <t>32.0</t>
  </si>
  <si>
    <t>28.000000</t>
  </si>
  <si>
    <t>23.000000</t>
  </si>
  <si>
    <t>2012.0</t>
  </si>
  <si>
    <t>80.000000</t>
  </si>
  <si>
    <t>14.0</t>
  </si>
  <si>
    <t>27.000000</t>
  </si>
  <si>
    <t>21.000000</t>
  </si>
  <si>
    <t>2013.0</t>
  </si>
  <si>
    <t>87.000000</t>
  </si>
  <si>
    <t>15.0</t>
  </si>
  <si>
    <t>26.000000</t>
  </si>
  <si>
    <t>22.000000</t>
  </si>
  <si>
    <t>2014.0</t>
  </si>
  <si>
    <t>5.000000</t>
  </si>
  <si>
    <t>30.000000</t>
  </si>
  <si>
    <t>24.0</t>
  </si>
  <si>
    <t>1.000000</t>
  </si>
  <si>
    <t>36.000000</t>
  </si>
  <si>
    <t>103.000000</t>
  </si>
  <si>
    <t>3.000000</t>
  </si>
  <si>
    <t>1.0</t>
  </si>
  <si>
    <t>2015.0</t>
  </si>
  <si>
    <t>18.0</t>
  </si>
  <si>
    <t>34.000000</t>
  </si>
  <si>
    <t>73.000000</t>
  </si>
  <si>
    <t>2016.0</t>
  </si>
  <si>
    <t>35.000000</t>
  </si>
  <si>
    <t>17.0</t>
  </si>
  <si>
    <t>4.000000</t>
  </si>
  <si>
    <t>24.000000</t>
  </si>
  <si>
    <t>69.000000</t>
  </si>
  <si>
    <t>2017.0</t>
  </si>
  <si>
    <t>22.0</t>
  </si>
  <si>
    <t>83.000000</t>
  </si>
  <si>
    <t>2018.0</t>
  </si>
  <si>
    <t>2.0</t>
  </si>
  <si>
    <t>2019.0</t>
  </si>
  <si>
    <t>29.000000</t>
  </si>
  <si>
    <t>33.000000</t>
  </si>
  <si>
    <t>86.000000</t>
  </si>
  <si>
    <t>2020.0</t>
  </si>
  <si>
    <t>6.000000</t>
  </si>
  <si>
    <t>88.000000</t>
  </si>
  <si>
    <t>18.954545</t>
  </si>
  <si>
    <t>-123.954545</t>
  </si>
  <si>
    <t>13.5</t>
  </si>
  <si>
    <t>5.090909</t>
  </si>
  <si>
    <t>23.681818</t>
  </si>
  <si>
    <t>14.545455</t>
  </si>
  <si>
    <t>83.090909</t>
  </si>
  <si>
    <t>82.964286</t>
  </si>
  <si>
    <t>-0.821429</t>
  </si>
  <si>
    <t>8.5</t>
  </si>
  <si>
    <t>chosen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</si>
</sst>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\ ##0"/>
  </numFmts>
  <fonts count="3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6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1"/>
      <color theme="2" tint="-9.9978637043366805E-2"/>
      <name val="Calibri"/>
      <family val="2"/>
    </font>
    <font>
      <sz val="10"/>
      <color theme="2" tint="-9.9978637043366805E-2"/>
      <name val="Arial"/>
      <family val="2"/>
    </font>
    <font>
      <sz val="12"/>
      <color theme="2" tint="-9.9978637043366805E-2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2" tint="-9.9978637043366805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2"/>
      <color theme="2" tint="-9.9978637043366805E-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3EB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9" fillId="0" borderId="0"/>
    <xf numFmtId="0" fontId="20" fillId="0" borderId="0" applyNumberFormat="0" applyFont="0" applyFill="0" applyBorder="0" applyProtection="0">
      <alignment horizontal="left" vertical="center" indent="2"/>
    </xf>
    <xf numFmtId="0" fontId="20" fillId="0" borderId="0" applyNumberFormat="0" applyFont="0" applyFill="0" applyBorder="0" applyProtection="0">
      <alignment horizontal="left" vertical="center" indent="5"/>
    </xf>
    <xf numFmtId="0" fontId="30" fillId="0" borderId="0" applyNumberFormat="0" applyFill="0" applyBorder="0" applyAlignment="0" applyProtection="0"/>
  </cellStyleXfs>
  <cellXfs count="19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  <xf numFmtId="164" fontId="5" fillId="0" borderId="0" xfId="0" applyNumberFormat="1" applyFont="1" applyAlignment="1">
      <alignment vertical="top" wrapText="1"/>
    </xf>
    <xf numFmtId="164" fontId="5" fillId="0" borderId="0" xfId="0" applyNumberFormat="1" applyFont="1" applyAlignment="1">
      <alignment horizontal="left" vertical="top" wrapText="1"/>
    </xf>
    <xf numFmtId="164" fontId="5" fillId="0" borderId="0" xfId="0" applyNumberFormat="1" applyFont="1" applyAlignment="1">
      <alignment horizontal="right" vertical="top" wrapText="1"/>
    </xf>
    <xf numFmtId="0" fontId="4" fillId="0" borderId="0" xfId="0" applyFont="1" applyAlignment="1">
      <alignment horizontal="center" vertical="top"/>
    </xf>
    <xf numFmtId="164" fontId="0" fillId="0" borderId="0" xfId="0" applyNumberFormat="1"/>
    <xf numFmtId="164" fontId="4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2" fillId="2" borderId="0" xfId="0" applyFont="1" applyFill="1"/>
    <xf numFmtId="0" fontId="1" fillId="0" borderId="1" xfId="0" applyFont="1" applyBorder="1" applyAlignment="1">
      <alignment horizontal="righ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7" fillId="0" borderId="13" xfId="0" applyFont="1" applyBorder="1"/>
    <xf numFmtId="164" fontId="4" fillId="0" borderId="15" xfId="0" applyNumberFormat="1" applyFont="1" applyBorder="1" applyAlignment="1">
      <alignment vertical="top" wrapText="1"/>
    </xf>
    <xf numFmtId="164" fontId="4" fillId="0" borderId="16" xfId="0" applyNumberFormat="1" applyFont="1" applyBorder="1" applyAlignment="1">
      <alignment vertical="top" wrapText="1"/>
    </xf>
    <xf numFmtId="164" fontId="4" fillId="0" borderId="17" xfId="0" applyNumberFormat="1" applyFont="1" applyBorder="1" applyAlignment="1">
      <alignment vertical="top" wrapText="1"/>
    </xf>
    <xf numFmtId="164" fontId="5" fillId="0" borderId="10" xfId="0" applyNumberFormat="1" applyFont="1" applyBorder="1" applyAlignment="1">
      <alignment horizontal="left" vertical="top" wrapText="1"/>
    </xf>
    <xf numFmtId="164" fontId="5" fillId="0" borderId="11" xfId="0" applyNumberFormat="1" applyFont="1" applyBorder="1" applyAlignment="1">
      <alignment horizontal="left" vertical="top" wrapText="1"/>
    </xf>
    <xf numFmtId="164" fontId="5" fillId="0" borderId="10" xfId="0" applyNumberFormat="1" applyFont="1" applyBorder="1" applyAlignment="1">
      <alignment horizontal="right" vertical="top" wrapText="1"/>
    </xf>
    <xf numFmtId="164" fontId="5" fillId="0" borderId="11" xfId="0" applyNumberFormat="1" applyFont="1" applyBorder="1" applyAlignment="1">
      <alignment horizontal="right" vertical="top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164" fontId="4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8" fillId="3" borderId="0" xfId="0" applyFont="1" applyFill="1" applyAlignment="1">
      <alignment wrapText="1"/>
    </xf>
    <xf numFmtId="0" fontId="7" fillId="3" borderId="0" xfId="0" applyFont="1" applyFill="1"/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wrapText="1"/>
    </xf>
    <xf numFmtId="0" fontId="8" fillId="0" borderId="17" xfId="0" applyFont="1" applyBorder="1" applyAlignment="1">
      <alignment wrapText="1"/>
    </xf>
    <xf numFmtId="0" fontId="7" fillId="0" borderId="10" xfId="0" applyFont="1" applyBorder="1" applyAlignment="1">
      <alignment horizontal="center" vertical="center"/>
    </xf>
    <xf numFmtId="0" fontId="0" fillId="2" borderId="11" xfId="0" applyFill="1" applyBorder="1"/>
    <xf numFmtId="1" fontId="0" fillId="2" borderId="0" xfId="0" applyNumberFormat="1" applyFill="1" applyAlignment="1">
      <alignment horizontal="right" vertical="center"/>
    </xf>
    <xf numFmtId="1" fontId="0" fillId="0" borderId="11" xfId="0" applyNumberFormat="1" applyBorder="1" applyAlignment="1">
      <alignment horizontal="right" vertical="center"/>
    </xf>
    <xf numFmtId="0" fontId="7" fillId="0" borderId="12" xfId="0" applyFont="1" applyBorder="1" applyAlignment="1">
      <alignment horizontal="center" vertical="center"/>
    </xf>
    <xf numFmtId="0" fontId="0" fillId="2" borderId="13" xfId="0" applyFill="1" applyBorder="1"/>
    <xf numFmtId="0" fontId="0" fillId="2" borderId="14" xfId="0" applyFill="1" applyBorder="1"/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0" fillId="0" borderId="11" xfId="0" applyBorder="1"/>
    <xf numFmtId="0" fontId="7" fillId="0" borderId="15" xfId="0" applyFont="1" applyBorder="1"/>
    <xf numFmtId="0" fontId="7" fillId="0" borderId="10" xfId="0" applyFont="1" applyBorder="1"/>
    <xf numFmtId="0" fontId="7" fillId="0" borderId="12" xfId="0" applyFont="1" applyBorder="1"/>
    <xf numFmtId="0" fontId="0" fillId="2" borderId="0" xfId="0" applyFill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14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0" fillId="0" borderId="12" xfId="0" applyBorder="1" applyAlignment="1">
      <alignment wrapText="1"/>
    </xf>
    <xf numFmtId="0" fontId="0" fillId="2" borderId="13" xfId="0" applyFill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0" fillId="0" borderId="15" xfId="0" applyBorder="1" applyAlignment="1">
      <alignment wrapText="1"/>
    </xf>
    <xf numFmtId="0" fontId="0" fillId="2" borderId="11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2" borderId="11" xfId="0" applyFill="1" applyBorder="1" applyAlignment="1">
      <alignment wrapText="1"/>
    </xf>
    <xf numFmtId="0" fontId="14" fillId="2" borderId="0" xfId="0" applyFont="1" applyFill="1" applyAlignment="1">
      <alignment horizontal="center" vertical="center" wrapText="1"/>
    </xf>
    <xf numFmtId="0" fontId="0" fillId="0" borderId="14" xfId="0" applyBorder="1" applyAlignment="1">
      <alignment wrapText="1"/>
    </xf>
    <xf numFmtId="0" fontId="0" fillId="0" borderId="10" xfId="0" applyBorder="1" applyAlignment="1">
      <alignment horizontal="center" vertical="center" wrapText="1"/>
    </xf>
    <xf numFmtId="0" fontId="16" fillId="0" borderId="0" xfId="0" applyFont="1" applyAlignment="1">
      <alignment wrapText="1"/>
    </xf>
    <xf numFmtId="0" fontId="0" fillId="0" borderId="12" xfId="0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4" fillId="0" borderId="15" xfId="0" applyFont="1" applyBorder="1" applyAlignment="1">
      <alignment horizontal="right" wrapText="1"/>
    </xf>
    <xf numFmtId="164" fontId="4" fillId="0" borderId="16" xfId="0" applyNumberFormat="1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/>
    </xf>
    <xf numFmtId="164" fontId="0" fillId="0" borderId="11" xfId="0" applyNumberFormat="1" applyBorder="1"/>
    <xf numFmtId="164" fontId="4" fillId="0" borderId="10" xfId="0" applyNumberFormat="1" applyFont="1" applyBorder="1" applyAlignment="1">
      <alignment horizontal="center" vertical="top"/>
    </xf>
    <xf numFmtId="0" fontId="6" fillId="0" borderId="12" xfId="0" applyFont="1" applyBorder="1" applyAlignment="1">
      <alignment horizontal="center" vertical="center"/>
    </xf>
    <xf numFmtId="164" fontId="0" fillId="0" borderId="13" xfId="0" applyNumberFormat="1" applyBorder="1"/>
    <xf numFmtId="164" fontId="0" fillId="0" borderId="14" xfId="0" applyNumberFormat="1" applyBorder="1"/>
    <xf numFmtId="2" fontId="17" fillId="4" borderId="0" xfId="0" applyNumberFormat="1" applyFont="1" applyFill="1" applyAlignment="1">
      <alignment horizontal="right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13" xfId="0" applyBorder="1" applyAlignment="1">
      <alignment wrapText="1"/>
    </xf>
    <xf numFmtId="0" fontId="7" fillId="0" borderId="13" xfId="0" applyFont="1" applyBorder="1" applyAlignment="1">
      <alignment wrapText="1"/>
    </xf>
    <xf numFmtId="0" fontId="18" fillId="5" borderId="18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8" fillId="5" borderId="19" xfId="0" applyFont="1" applyFill="1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1" fontId="0" fillId="0" borderId="0" xfId="0" applyNumberFormat="1"/>
    <xf numFmtId="0" fontId="8" fillId="0" borderId="16" xfId="0" applyFont="1" applyBorder="1" applyAlignment="1">
      <alignment horizontal="center" vertical="center" wrapText="1"/>
    </xf>
    <xf numFmtId="0" fontId="0" fillId="0" borderId="17" xfId="0" applyBorder="1"/>
    <xf numFmtId="0" fontId="0" fillId="0" borderId="0" xfId="0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0" fillId="6" borderId="0" xfId="0" applyFill="1" applyAlignment="1">
      <alignment wrapText="1"/>
    </xf>
    <xf numFmtId="0" fontId="25" fillId="0" borderId="0" xfId="0" applyFont="1"/>
    <xf numFmtId="0" fontId="26" fillId="0" borderId="0" xfId="0" applyFont="1" applyAlignment="1">
      <alignment wrapText="1"/>
    </xf>
    <xf numFmtId="0" fontId="8" fillId="0" borderId="0" xfId="0" applyFont="1" applyAlignment="1">
      <alignment horizontal="center" vertical="top" wrapText="1"/>
    </xf>
    <xf numFmtId="0" fontId="27" fillId="0" borderId="2" xfId="0" applyFont="1" applyBorder="1" applyAlignment="1">
      <alignment horizontal="center" vertical="top" wrapText="1"/>
    </xf>
    <xf numFmtId="0" fontId="27" fillId="7" borderId="0" xfId="0" applyFont="1" applyFill="1" applyAlignment="1">
      <alignment horizontal="center" vertical="top" wrapText="1"/>
    </xf>
    <xf numFmtId="0" fontId="27" fillId="0" borderId="0" xfId="0" applyFont="1" applyAlignment="1">
      <alignment horizontal="center" vertical="top" wrapText="1"/>
    </xf>
    <xf numFmtId="0" fontId="28" fillId="0" borderId="0" xfId="0" applyFont="1"/>
    <xf numFmtId="0" fontId="25" fillId="0" borderId="0" xfId="0" applyFont="1" applyAlignment="1">
      <alignment wrapText="1"/>
    </xf>
    <xf numFmtId="0" fontId="6" fillId="0" borderId="15" xfId="0" applyFont="1" applyBorder="1" applyAlignment="1">
      <alignment horizontal="center" vertical="top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23" fillId="0" borderId="10" xfId="0" applyFont="1" applyBorder="1" applyAlignment="1">
      <alignment wrapText="1"/>
    </xf>
    <xf numFmtId="0" fontId="24" fillId="0" borderId="0" xfId="0" applyFont="1"/>
    <xf numFmtId="0" fontId="25" fillId="0" borderId="11" xfId="0" applyFont="1" applyBorder="1"/>
    <xf numFmtId="0" fontId="21" fillId="0" borderId="10" xfId="0" applyFont="1" applyBorder="1" applyAlignment="1">
      <alignment wrapText="1"/>
    </xf>
    <xf numFmtId="0" fontId="22" fillId="0" borderId="0" xfId="0" applyFont="1"/>
    <xf numFmtId="0" fontId="21" fillId="0" borderId="0" xfId="0" applyFont="1"/>
    <xf numFmtId="0" fontId="21" fillId="0" borderId="12" xfId="0" applyFont="1" applyBorder="1" applyAlignment="1">
      <alignment wrapText="1"/>
    </xf>
    <xf numFmtId="0" fontId="22" fillId="0" borderId="13" xfId="0" applyFont="1" applyBorder="1"/>
    <xf numFmtId="0" fontId="8" fillId="0" borderId="17" xfId="0" applyFont="1" applyBorder="1" applyAlignment="1">
      <alignment horizontal="center" vertical="center" wrapText="1"/>
    </xf>
    <xf numFmtId="0" fontId="21" fillId="8" borderId="10" xfId="0" applyFont="1" applyFill="1" applyBorder="1" applyAlignment="1">
      <alignment wrapText="1"/>
    </xf>
    <xf numFmtId="0" fontId="0" fillId="8" borderId="0" xfId="0" applyFill="1" applyAlignment="1">
      <alignment wrapText="1"/>
    </xf>
    <xf numFmtId="0" fontId="21" fillId="9" borderId="10" xfId="0" applyFont="1" applyFill="1" applyBorder="1" applyAlignment="1">
      <alignment wrapText="1"/>
    </xf>
    <xf numFmtId="0" fontId="0" fillId="9" borderId="0" xfId="0" applyFill="1" applyAlignment="1">
      <alignment wrapText="1"/>
    </xf>
    <xf numFmtId="0" fontId="21" fillId="10" borderId="10" xfId="0" applyFont="1" applyFill="1" applyBorder="1" applyAlignment="1">
      <alignment wrapText="1"/>
    </xf>
    <xf numFmtId="0" fontId="0" fillId="10" borderId="0" xfId="0" applyFill="1" applyAlignment="1">
      <alignment wrapText="1"/>
    </xf>
    <xf numFmtId="0" fontId="21" fillId="6" borderId="10" xfId="0" applyFont="1" applyFill="1" applyBorder="1" applyAlignment="1">
      <alignment wrapText="1"/>
    </xf>
    <xf numFmtId="0" fontId="21" fillId="11" borderId="12" xfId="0" applyFont="1" applyFill="1" applyBorder="1" applyAlignment="1">
      <alignment wrapText="1"/>
    </xf>
    <xf numFmtId="0" fontId="0" fillId="11" borderId="0" xfId="0" applyFill="1" applyAlignment="1">
      <alignment wrapText="1"/>
    </xf>
    <xf numFmtId="0" fontId="6" fillId="0" borderId="15" xfId="0" applyFont="1" applyBorder="1" applyAlignment="1">
      <alignment horizontal="center" vertical="center"/>
    </xf>
    <xf numFmtId="0" fontId="9" fillId="0" borderId="10" xfId="0" applyFont="1" applyBorder="1"/>
    <xf numFmtId="0" fontId="21" fillId="0" borderId="11" xfId="0" applyFont="1" applyBorder="1"/>
    <xf numFmtId="0" fontId="9" fillId="0" borderId="12" xfId="0" applyFont="1" applyBorder="1"/>
    <xf numFmtId="0" fontId="21" fillId="0" borderId="13" xfId="0" applyFont="1" applyBorder="1"/>
    <xf numFmtId="0" fontId="21" fillId="0" borderId="14" xfId="0" applyFont="1" applyBorder="1"/>
    <xf numFmtId="0" fontId="0" fillId="3" borderId="0" xfId="0" applyFill="1"/>
    <xf numFmtId="0" fontId="1" fillId="3" borderId="8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5" fillId="0" borderId="0" xfId="0" applyFont="1" applyAlignment="1">
      <alignment horizontal="right"/>
    </xf>
    <xf numFmtId="0" fontId="25" fillId="0" borderId="10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5" fillId="2" borderId="0" xfId="0" applyFont="1" applyFill="1" applyAlignment="1">
      <alignment horizontal="center" vertical="center" wrapText="1"/>
    </xf>
    <xf numFmtId="0" fontId="28" fillId="0" borderId="0" xfId="0" applyFont="1" applyAlignment="1">
      <alignment wrapText="1"/>
    </xf>
    <xf numFmtId="0" fontId="31" fillId="0" borderId="0" xfId="0" applyFont="1"/>
    <xf numFmtId="0" fontId="32" fillId="0" borderId="0" xfId="0" applyFont="1"/>
    <xf numFmtId="0" fontId="30" fillId="0" borderId="0" xfId="4" applyAlignmen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5">
    <cellStyle name="2x indented GHG Textfiels" xfId="2" xr:uid="{C7018B1A-0663-E94E-A05D-277FB5690C6E}"/>
    <cellStyle name="5x indented GHG Textfiels" xfId="3" xr:uid="{91FE8F8F-88FC-3649-A015-703EF87384F7}"/>
    <cellStyle name="Hyperlink" xfId="4" xr:uid="{00000000-000B-0000-0000-000008000000}"/>
    <cellStyle name="Normal" xfId="0" builtinId="0"/>
    <cellStyle name="Обычный_CRF2002 (1)" xfId="1" xr:uid="{86EF6D1E-14B4-1D40-AF58-CCAC4366CE9F}"/>
  </cellStyles>
  <dxfs count="0"/>
  <tableStyles count="0" defaultTableStyle="TableStyleMedium2" defaultPivotStyle="PivotStyleLight16"/>
  <colors>
    <mruColors>
      <color rgb="FFFFC3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xweb.bfs.admin.ch/pxweb/fr/px-x-0702000000_108/px-x-0702000000_108/px-x-0702000000_108.px" TargetMode="External"/><Relationship Id="rId2" Type="http://schemas.openxmlformats.org/officeDocument/2006/relationships/hyperlink" Target="https://naehrwertdaten.ch/en/downloads/" TargetMode="External"/><Relationship Id="rId1" Type="http://schemas.openxmlformats.org/officeDocument/2006/relationships/hyperlink" Target="https://www.sbv-usp.ch/fr/service/agristat-statistique-de-lagriculture-suisse" TargetMode="External"/><Relationship Id="rId5" Type="http://schemas.openxmlformats.org/officeDocument/2006/relationships/hyperlink" Target="https://www.fao.org/faostat/en/" TargetMode="External"/><Relationship Id="rId4" Type="http://schemas.openxmlformats.org/officeDocument/2006/relationships/hyperlink" Target="https://www.proviande.ch/sites/proviande/files/2023-04/Der%20Fleischmarkt%20im%20%C3%9Cberblick%20202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70BE0-158C-7142-BFE0-2EA578BF0A69}">
  <dimension ref="A1:I11"/>
  <sheetViews>
    <sheetView zoomScale="166" workbookViewId="0">
      <selection activeCell="A10" sqref="A10"/>
    </sheetView>
  </sheetViews>
  <sheetFormatPr baseColWidth="10" defaultColWidth="11" defaultRowHeight="15.75" customHeight="1" x14ac:dyDescent="0.2"/>
  <cols>
    <col min="1" max="1" width="22.5" style="136" customWidth="1"/>
    <col min="2" max="2" width="19" customWidth="1"/>
    <col min="6" max="6" width="14.6640625" customWidth="1"/>
    <col min="7" max="7" width="35.5" customWidth="1"/>
  </cols>
  <sheetData>
    <row r="1" spans="1:9" ht="16" x14ac:dyDescent="0.2">
      <c r="F1" s="8" t="s">
        <v>0</v>
      </c>
      <c r="G1" s="8" t="s">
        <v>1</v>
      </c>
      <c r="H1" s="8" t="s">
        <v>2</v>
      </c>
      <c r="I1" s="8" t="s">
        <v>3</v>
      </c>
    </row>
    <row r="2" spans="1:9" ht="17" x14ac:dyDescent="0.2">
      <c r="A2" s="136" t="s">
        <v>4</v>
      </c>
      <c r="F2" t="s">
        <v>5</v>
      </c>
      <c r="G2" t="s">
        <v>6</v>
      </c>
      <c r="H2" t="s">
        <v>7</v>
      </c>
      <c r="I2" s="187" t="s">
        <v>8</v>
      </c>
    </row>
    <row r="3" spans="1:9" ht="17" x14ac:dyDescent="0.2">
      <c r="A3" s="137" t="s">
        <v>9</v>
      </c>
      <c r="B3" s="135">
        <f>land_use!F16</f>
        <v>342284.5466666664</v>
      </c>
      <c r="F3" t="s">
        <v>10</v>
      </c>
      <c r="G3" t="s">
        <v>11</v>
      </c>
      <c r="H3" t="s">
        <v>12</v>
      </c>
      <c r="I3" s="187" t="s">
        <v>13</v>
      </c>
    </row>
    <row r="4" spans="1:9" ht="17" x14ac:dyDescent="0.2">
      <c r="A4" s="138" t="s">
        <v>14</v>
      </c>
      <c r="B4" s="82">
        <f>plant_production!Y24</f>
        <v>232388.74585054876</v>
      </c>
      <c r="F4" t="s">
        <v>15</v>
      </c>
      <c r="G4" t="s">
        <v>16</v>
      </c>
      <c r="H4" t="s">
        <v>17</v>
      </c>
      <c r="I4" s="187" t="s">
        <v>18</v>
      </c>
    </row>
    <row r="5" spans="1:9" ht="17" x14ac:dyDescent="0.2">
      <c r="A5" s="139" t="s">
        <v>19</v>
      </c>
      <c r="B5" s="55">
        <f>B3-B4</f>
        <v>109895.80081611764</v>
      </c>
      <c r="F5" t="s">
        <v>20</v>
      </c>
      <c r="G5" t="s">
        <v>21</v>
      </c>
      <c r="H5" s="186" t="s">
        <v>22</v>
      </c>
      <c r="I5" s="187" t="s">
        <v>23</v>
      </c>
    </row>
    <row r="6" spans="1:9" ht="15.75" customHeight="1" x14ac:dyDescent="0.2">
      <c r="F6" t="s">
        <v>24</v>
      </c>
      <c r="G6" t="s">
        <v>25</v>
      </c>
      <c r="H6" s="185" t="s">
        <v>26</v>
      </c>
      <c r="I6" s="187" t="s">
        <v>27</v>
      </c>
    </row>
    <row r="8" spans="1:9" ht="17" x14ac:dyDescent="0.2">
      <c r="A8" s="136" t="s">
        <v>28</v>
      </c>
    </row>
    <row r="9" spans="1:9" ht="34" x14ac:dyDescent="0.2">
      <c r="A9" s="137" t="s">
        <v>29</v>
      </c>
      <c r="B9" s="135">
        <f>feed!C21</f>
        <v>5.7284312877215866</v>
      </c>
    </row>
    <row r="10" spans="1:9" ht="34" x14ac:dyDescent="0.2">
      <c r="A10" s="138" t="s">
        <v>30</v>
      </c>
      <c r="B10" s="82">
        <f>feed!I21</f>
        <v>1.6244936841466129</v>
      </c>
    </row>
    <row r="11" spans="1:9" ht="34" x14ac:dyDescent="0.2">
      <c r="A11" s="139" t="s">
        <v>31</v>
      </c>
      <c r="B11" s="55">
        <f>B9-B10</f>
        <v>4.1039376035749733</v>
      </c>
    </row>
  </sheetData>
  <conditionalFormatting sqref="B5">
    <cfRule type="colorScale" priority="2">
      <colorScale>
        <cfvo type="num" val="0"/>
        <cfvo type="num" val="0"/>
        <color theme="5" tint="0.79998168889431442"/>
        <color theme="9" tint="0.79998168889431442"/>
      </colorScale>
    </cfRule>
  </conditionalFormatting>
  <conditionalFormatting sqref="B11">
    <cfRule type="colorScale" priority="1">
      <colorScale>
        <cfvo type="num" val="0"/>
        <cfvo type="num" val="0"/>
        <color theme="5" tint="0.79998168889431442"/>
        <color theme="9" tint="0.79998168889431442"/>
      </colorScale>
    </cfRule>
  </conditionalFormatting>
  <hyperlinks>
    <hyperlink ref="I6" r:id="rId1" xr:uid="{5781FB9A-9EED-4DFF-8BC8-B2B292D349CF}"/>
    <hyperlink ref="I3" r:id="rId2" xr:uid="{7EB4461B-5C39-4C54-9877-1E7EB249A204}"/>
    <hyperlink ref="I5" r:id="rId3" xr:uid="{690F68E8-AA92-488E-A907-2BDB00B54FD6}"/>
    <hyperlink ref="I4" r:id="rId4" xr:uid="{73DEB282-37C4-4389-A8AD-4C77865F65B7}"/>
    <hyperlink ref="I2" r:id="rId5" location="data/FBS" xr:uid="{7BC0DD87-E2B8-4EEE-9902-3CE2233D735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AC50-12B3-6448-BEC5-C2378D70DAAB}">
  <dimension ref="A1:AW22"/>
  <sheetViews>
    <sheetView workbookViewId="0">
      <selection activeCell="F15" sqref="F15"/>
    </sheetView>
  </sheetViews>
  <sheetFormatPr baseColWidth="10" defaultColWidth="11" defaultRowHeight="16" x14ac:dyDescent="0.2"/>
  <cols>
    <col min="1" max="1" width="16.83203125" customWidth="1"/>
    <col min="2" max="2" width="12.1640625" customWidth="1"/>
    <col min="3" max="3" width="12.83203125" customWidth="1"/>
    <col min="9" max="9" width="13.1640625" customWidth="1"/>
  </cols>
  <sheetData>
    <row r="1" spans="1:49" s="13" customFormat="1" ht="36" customHeight="1" x14ac:dyDescent="0.2">
      <c r="A1" s="12"/>
      <c r="B1" s="46" t="s">
        <v>361</v>
      </c>
      <c r="C1" s="47" t="s">
        <v>361</v>
      </c>
      <c r="D1" s="47" t="s">
        <v>361</v>
      </c>
      <c r="E1" s="47" t="s">
        <v>361</v>
      </c>
      <c r="F1" s="47" t="s">
        <v>361</v>
      </c>
      <c r="G1" s="47" t="s">
        <v>361</v>
      </c>
      <c r="H1" s="47" t="s">
        <v>361</v>
      </c>
      <c r="I1" s="47" t="s">
        <v>361</v>
      </c>
      <c r="J1" s="47" t="s">
        <v>361</v>
      </c>
      <c r="K1" s="47" t="s">
        <v>361</v>
      </c>
      <c r="L1" s="47" t="s">
        <v>361</v>
      </c>
      <c r="M1" s="47" t="s">
        <v>361</v>
      </c>
      <c r="N1" s="47" t="s">
        <v>361</v>
      </c>
      <c r="O1" s="47" t="s">
        <v>361</v>
      </c>
      <c r="P1" s="47" t="s">
        <v>361</v>
      </c>
      <c r="Q1" s="47" t="s">
        <v>361</v>
      </c>
      <c r="R1" s="47" t="s">
        <v>361</v>
      </c>
      <c r="S1" s="47" t="s">
        <v>361</v>
      </c>
      <c r="T1" s="47" t="s">
        <v>361</v>
      </c>
      <c r="U1" s="47" t="s">
        <v>361</v>
      </c>
      <c r="V1" s="47" t="s">
        <v>361</v>
      </c>
      <c r="W1" s="47" t="s">
        <v>361</v>
      </c>
      <c r="X1" s="47" t="s">
        <v>361</v>
      </c>
      <c r="Y1" s="47" t="s">
        <v>361</v>
      </c>
      <c r="Z1" s="47" t="s">
        <v>361</v>
      </c>
      <c r="AA1" s="48" t="s">
        <v>361</v>
      </c>
      <c r="AB1" s="46" t="s">
        <v>362</v>
      </c>
      <c r="AC1" s="47" t="s">
        <v>362</v>
      </c>
      <c r="AD1" s="47" t="s">
        <v>362</v>
      </c>
      <c r="AE1" s="47" t="s">
        <v>362</v>
      </c>
      <c r="AF1" s="47" t="s">
        <v>362</v>
      </c>
      <c r="AG1" s="47" t="s">
        <v>362</v>
      </c>
      <c r="AH1" s="47" t="s">
        <v>362</v>
      </c>
      <c r="AI1" s="47" t="s">
        <v>362</v>
      </c>
      <c r="AJ1" s="48" t="s">
        <v>362</v>
      </c>
      <c r="AK1" s="46" t="s">
        <v>363</v>
      </c>
      <c r="AL1" s="47" t="s">
        <v>363</v>
      </c>
      <c r="AM1" s="47" t="s">
        <v>363</v>
      </c>
      <c r="AN1" s="48" t="s">
        <v>363</v>
      </c>
      <c r="AO1" s="46" t="s">
        <v>364</v>
      </c>
      <c r="AP1" s="47" t="s">
        <v>364</v>
      </c>
      <c r="AQ1" s="47" t="s">
        <v>364</v>
      </c>
      <c r="AR1" s="47" t="s">
        <v>364</v>
      </c>
      <c r="AS1" s="47" t="s">
        <v>364</v>
      </c>
      <c r="AT1" s="47" t="s">
        <v>364</v>
      </c>
      <c r="AU1" s="48" t="s">
        <v>364</v>
      </c>
    </row>
    <row r="2" spans="1:49" ht="96" x14ac:dyDescent="0.2">
      <c r="A2" s="14"/>
      <c r="B2" s="49" t="s">
        <v>365</v>
      </c>
      <c r="C2" s="15" t="s">
        <v>366</v>
      </c>
      <c r="D2" s="15" t="s">
        <v>367</v>
      </c>
      <c r="E2" s="15" t="s">
        <v>368</v>
      </c>
      <c r="F2" s="15" t="s">
        <v>369</v>
      </c>
      <c r="G2" s="15" t="s">
        <v>370</v>
      </c>
      <c r="H2" s="15" t="s">
        <v>371</v>
      </c>
      <c r="I2" s="15" t="s">
        <v>372</v>
      </c>
      <c r="J2" s="15" t="s">
        <v>373</v>
      </c>
      <c r="K2" s="15" t="s">
        <v>374</v>
      </c>
      <c r="L2" s="15" t="s">
        <v>375</v>
      </c>
      <c r="M2" s="15" t="s">
        <v>376</v>
      </c>
      <c r="N2" s="15" t="s">
        <v>377</v>
      </c>
      <c r="O2" s="15" t="s">
        <v>378</v>
      </c>
      <c r="P2" s="15" t="s">
        <v>379</v>
      </c>
      <c r="Q2" s="15" t="s">
        <v>380</v>
      </c>
      <c r="R2" s="15" t="s">
        <v>381</v>
      </c>
      <c r="S2" s="15" t="s">
        <v>382</v>
      </c>
      <c r="T2" s="15" t="s">
        <v>383</v>
      </c>
      <c r="U2" s="15" t="s">
        <v>384</v>
      </c>
      <c r="V2" s="15" t="s">
        <v>385</v>
      </c>
      <c r="W2" s="15" t="s">
        <v>386</v>
      </c>
      <c r="X2" s="15" t="s">
        <v>387</v>
      </c>
      <c r="Y2" s="15" t="s">
        <v>388</v>
      </c>
      <c r="Z2" s="15" t="s">
        <v>389</v>
      </c>
      <c r="AA2" s="50" t="s">
        <v>390</v>
      </c>
      <c r="AB2" s="49" t="s">
        <v>391</v>
      </c>
      <c r="AC2" s="15" t="s">
        <v>392</v>
      </c>
      <c r="AD2" s="15" t="s">
        <v>393</v>
      </c>
      <c r="AE2" s="15" t="s">
        <v>394</v>
      </c>
      <c r="AF2" s="15" t="s">
        <v>395</v>
      </c>
      <c r="AG2" s="15" t="s">
        <v>396</v>
      </c>
      <c r="AH2" s="15" t="s">
        <v>397</v>
      </c>
      <c r="AI2" s="15" t="s">
        <v>398</v>
      </c>
      <c r="AJ2" s="50" t="s">
        <v>399</v>
      </c>
      <c r="AK2" s="49" t="s">
        <v>400</v>
      </c>
      <c r="AL2" s="15" t="s">
        <v>401</v>
      </c>
      <c r="AM2" s="15" t="s">
        <v>402</v>
      </c>
      <c r="AN2" s="50" t="s">
        <v>403</v>
      </c>
      <c r="AO2" s="49" t="s">
        <v>404</v>
      </c>
      <c r="AP2" s="15" t="s">
        <v>405</v>
      </c>
      <c r="AQ2" s="15" t="s">
        <v>406</v>
      </c>
      <c r="AR2" s="15" t="s">
        <v>407</v>
      </c>
      <c r="AS2" s="15" t="s">
        <v>408</v>
      </c>
      <c r="AT2" s="15" t="s">
        <v>409</v>
      </c>
      <c r="AU2" s="50" t="s">
        <v>410</v>
      </c>
      <c r="AV2" s="15" t="s">
        <v>129</v>
      </c>
      <c r="AW2" s="15"/>
    </row>
    <row r="3" spans="1:49" x14ac:dyDescent="0.2">
      <c r="A3" s="16"/>
      <c r="B3" s="51" t="s">
        <v>411</v>
      </c>
      <c r="C3" s="16" t="s">
        <v>411</v>
      </c>
      <c r="D3" s="16" t="s">
        <v>411</v>
      </c>
      <c r="E3" s="16" t="s">
        <v>411</v>
      </c>
      <c r="F3" s="16" t="s">
        <v>411</v>
      </c>
      <c r="G3" s="16" t="s">
        <v>411</v>
      </c>
      <c r="H3" s="16" t="s">
        <v>411</v>
      </c>
      <c r="I3" s="16" t="s">
        <v>411</v>
      </c>
      <c r="J3" s="16" t="s">
        <v>411</v>
      </c>
      <c r="K3" s="16" t="s">
        <v>411</v>
      </c>
      <c r="L3" s="16" t="s">
        <v>411</v>
      </c>
      <c r="M3" s="16" t="s">
        <v>411</v>
      </c>
      <c r="N3" s="16" t="s">
        <v>411</v>
      </c>
      <c r="O3" s="16" t="s">
        <v>411</v>
      </c>
      <c r="P3" s="16" t="s">
        <v>411</v>
      </c>
      <c r="Q3" s="16" t="s">
        <v>411</v>
      </c>
      <c r="R3" s="16" t="s">
        <v>411</v>
      </c>
      <c r="S3" s="16" t="s">
        <v>411</v>
      </c>
      <c r="T3" s="16" t="s">
        <v>411</v>
      </c>
      <c r="U3" s="16" t="s">
        <v>411</v>
      </c>
      <c r="V3" s="16" t="s">
        <v>411</v>
      </c>
      <c r="W3" s="16" t="s">
        <v>411</v>
      </c>
      <c r="X3" s="16" t="s">
        <v>411</v>
      </c>
      <c r="Y3" s="16" t="s">
        <v>411</v>
      </c>
      <c r="Z3" s="16" t="s">
        <v>411</v>
      </c>
      <c r="AA3" s="52" t="s">
        <v>411</v>
      </c>
      <c r="AB3" s="51" t="s">
        <v>411</v>
      </c>
      <c r="AC3" s="16" t="s">
        <v>411</v>
      </c>
      <c r="AD3" s="16" t="s">
        <v>411</v>
      </c>
      <c r="AE3" s="16" t="s">
        <v>411</v>
      </c>
      <c r="AF3" s="16" t="s">
        <v>411</v>
      </c>
      <c r="AG3" s="16" t="s">
        <v>411</v>
      </c>
      <c r="AH3" s="16" t="s">
        <v>411</v>
      </c>
      <c r="AI3" s="16" t="s">
        <v>411</v>
      </c>
      <c r="AJ3" s="52" t="s">
        <v>411</v>
      </c>
      <c r="AK3" s="51" t="s">
        <v>411</v>
      </c>
      <c r="AL3" s="16" t="s">
        <v>411</v>
      </c>
      <c r="AM3" s="16" t="s">
        <v>411</v>
      </c>
      <c r="AN3" s="52" t="s">
        <v>411</v>
      </c>
      <c r="AO3" s="51" t="s">
        <v>411</v>
      </c>
      <c r="AP3" s="16" t="s">
        <v>411</v>
      </c>
      <c r="AQ3" s="16" t="s">
        <v>411</v>
      </c>
      <c r="AR3" s="16" t="s">
        <v>411</v>
      </c>
      <c r="AS3" s="16" t="s">
        <v>411</v>
      </c>
      <c r="AT3" s="16" t="s">
        <v>411</v>
      </c>
      <c r="AU3" s="52" t="s">
        <v>411</v>
      </c>
    </row>
    <row r="4" spans="1:49" x14ac:dyDescent="0.2">
      <c r="A4" s="17" t="s">
        <v>412</v>
      </c>
      <c r="B4" s="51">
        <v>11880</v>
      </c>
      <c r="C4" s="16">
        <v>6249</v>
      </c>
      <c r="D4" s="16">
        <v>50104</v>
      </c>
      <c r="E4" s="16">
        <v>1973</v>
      </c>
      <c r="F4" s="16">
        <v>18779</v>
      </c>
      <c r="G4" s="16">
        <v>8297</v>
      </c>
      <c r="H4" s="16">
        <v>23551</v>
      </c>
      <c r="I4" s="16">
        <v>12294</v>
      </c>
      <c r="J4" s="16">
        <v>4482</v>
      </c>
      <c r="K4" s="16">
        <v>62951</v>
      </c>
      <c r="L4" s="16">
        <v>4121</v>
      </c>
      <c r="M4" s="16">
        <v>9190</v>
      </c>
      <c r="N4" s="16">
        <v>1710</v>
      </c>
      <c r="O4" s="16">
        <v>1375</v>
      </c>
      <c r="P4" s="16">
        <v>476</v>
      </c>
      <c r="Q4" s="16">
        <v>519</v>
      </c>
      <c r="R4" s="16">
        <v>3222</v>
      </c>
      <c r="S4" s="16">
        <v>5648</v>
      </c>
      <c r="T4" s="16">
        <v>6862</v>
      </c>
      <c r="U4" s="16">
        <v>1508</v>
      </c>
      <c r="V4" s="16">
        <v>3067</v>
      </c>
      <c r="W4" s="16">
        <v>5991</v>
      </c>
      <c r="X4" s="16">
        <v>832</v>
      </c>
      <c r="Y4" s="16">
        <v>1023</v>
      </c>
      <c r="Z4" s="16">
        <v>2024</v>
      </c>
      <c r="AA4" s="52">
        <v>1351</v>
      </c>
      <c r="AB4" s="51">
        <v>54715</v>
      </c>
      <c r="AC4" s="16">
        <v>15016</v>
      </c>
      <c r="AD4" s="16">
        <v>4063</v>
      </c>
      <c r="AE4" s="16">
        <v>437949</v>
      </c>
      <c r="AF4" s="16">
        <v>401494</v>
      </c>
      <c r="AG4" s="16">
        <v>150169</v>
      </c>
      <c r="AH4" s="16">
        <v>35624</v>
      </c>
      <c r="AI4" s="16">
        <v>500445</v>
      </c>
      <c r="AJ4" s="52">
        <v>62196</v>
      </c>
      <c r="AK4" s="51">
        <v>1094263</v>
      </c>
      <c r="AL4" s="16">
        <v>4772</v>
      </c>
      <c r="AM4" s="16">
        <v>22491</v>
      </c>
      <c r="AN4" s="52">
        <v>5200</v>
      </c>
      <c r="AO4" s="51">
        <v>144021</v>
      </c>
      <c r="AP4" s="16">
        <v>40204</v>
      </c>
      <c r="AQ4" s="16">
        <v>1384</v>
      </c>
      <c r="AR4" s="16">
        <v>902314</v>
      </c>
      <c r="AS4" s="16">
        <v>1089</v>
      </c>
      <c r="AT4" s="16">
        <v>898</v>
      </c>
      <c r="AU4" s="52">
        <v>1284</v>
      </c>
      <c r="AV4" s="18">
        <f>SUM(B4:AU4)</f>
        <v>4129070</v>
      </c>
      <c r="AW4" s="18"/>
    </row>
    <row r="5" spans="1:49" x14ac:dyDescent="0.2">
      <c r="A5" s="17" t="s">
        <v>413</v>
      </c>
      <c r="B5" s="51">
        <v>15571</v>
      </c>
      <c r="C5" s="16">
        <v>6478</v>
      </c>
      <c r="D5" s="16">
        <v>60906</v>
      </c>
      <c r="E5" s="16">
        <v>3302</v>
      </c>
      <c r="F5" s="16">
        <v>24040</v>
      </c>
      <c r="G5" s="16">
        <v>9474</v>
      </c>
      <c r="H5" s="16">
        <v>24670</v>
      </c>
      <c r="I5" s="16">
        <v>13089</v>
      </c>
      <c r="J5" s="16">
        <v>5947</v>
      </c>
      <c r="K5" s="16">
        <v>67742</v>
      </c>
      <c r="L5" s="16">
        <v>5493</v>
      </c>
      <c r="M5" s="16">
        <v>9295</v>
      </c>
      <c r="N5" s="16">
        <v>1818</v>
      </c>
      <c r="O5" s="16">
        <v>1474</v>
      </c>
      <c r="P5" s="16">
        <v>590</v>
      </c>
      <c r="Q5" s="16">
        <v>793</v>
      </c>
      <c r="R5" s="16">
        <v>3134</v>
      </c>
      <c r="S5" s="16">
        <v>4623</v>
      </c>
      <c r="T5" s="16">
        <v>4999</v>
      </c>
      <c r="U5" s="16">
        <v>1789</v>
      </c>
      <c r="V5" s="16">
        <v>3657</v>
      </c>
      <c r="W5" s="16">
        <v>7288</v>
      </c>
      <c r="X5" s="16">
        <v>1205</v>
      </c>
      <c r="Y5" s="16">
        <v>1085</v>
      </c>
      <c r="Z5" s="16">
        <v>2074</v>
      </c>
      <c r="AA5" s="52">
        <v>1414</v>
      </c>
      <c r="AB5" s="51">
        <v>41107</v>
      </c>
      <c r="AC5" s="16">
        <v>15893</v>
      </c>
      <c r="AD5" s="16">
        <v>4562</v>
      </c>
      <c r="AE5" s="16">
        <v>428434</v>
      </c>
      <c r="AF5" s="16">
        <v>375309</v>
      </c>
      <c r="AG5" s="16">
        <v>162898</v>
      </c>
      <c r="AH5" s="16">
        <v>32704</v>
      </c>
      <c r="AI5" s="16">
        <v>482880</v>
      </c>
      <c r="AJ5" s="52">
        <v>60328</v>
      </c>
      <c r="AK5" s="51">
        <v>1117390</v>
      </c>
      <c r="AL5" s="16">
        <v>3715</v>
      </c>
      <c r="AM5" s="16">
        <v>20559</v>
      </c>
      <c r="AN5" s="52">
        <v>18223</v>
      </c>
      <c r="AO5" s="51">
        <v>144161</v>
      </c>
      <c r="AP5" s="16">
        <v>40234</v>
      </c>
      <c r="AQ5" s="16">
        <v>1636</v>
      </c>
      <c r="AR5" s="16">
        <v>893217</v>
      </c>
      <c r="AS5" s="16">
        <v>1600</v>
      </c>
      <c r="AT5" s="16">
        <v>1143</v>
      </c>
      <c r="AU5" s="52">
        <v>1127</v>
      </c>
      <c r="AV5" s="18">
        <f t="shared" ref="AV5:AV7" si="0">SUM(B5:AU5)</f>
        <v>4129070</v>
      </c>
      <c r="AW5" s="18"/>
    </row>
    <row r="6" spans="1:49" x14ac:dyDescent="0.2">
      <c r="A6" s="17" t="s">
        <v>414</v>
      </c>
      <c r="B6" s="51">
        <v>17698</v>
      </c>
      <c r="C6" s="16">
        <v>6151</v>
      </c>
      <c r="D6" s="16">
        <v>70379</v>
      </c>
      <c r="E6" s="16">
        <v>4544</v>
      </c>
      <c r="F6" s="16">
        <v>28242</v>
      </c>
      <c r="G6" s="16">
        <v>10906</v>
      </c>
      <c r="H6" s="16">
        <v>26475</v>
      </c>
      <c r="I6" s="16">
        <v>12130</v>
      </c>
      <c r="J6" s="16">
        <v>6689</v>
      </c>
      <c r="K6" s="16">
        <v>70991</v>
      </c>
      <c r="L6" s="16">
        <v>6415</v>
      </c>
      <c r="M6" s="16">
        <v>9487</v>
      </c>
      <c r="N6" s="16">
        <v>1937</v>
      </c>
      <c r="O6" s="16">
        <v>1471</v>
      </c>
      <c r="P6" s="16">
        <v>655</v>
      </c>
      <c r="Q6" s="16">
        <v>1164</v>
      </c>
      <c r="R6" s="16">
        <v>2924</v>
      </c>
      <c r="S6" s="16">
        <v>3905</v>
      </c>
      <c r="T6" s="16">
        <v>4589</v>
      </c>
      <c r="U6" s="16">
        <v>2219</v>
      </c>
      <c r="V6" s="16">
        <v>4225</v>
      </c>
      <c r="W6" s="16">
        <v>8128</v>
      </c>
      <c r="X6" s="16">
        <v>3151</v>
      </c>
      <c r="Y6" s="16">
        <v>1138</v>
      </c>
      <c r="Z6" s="16">
        <v>1938</v>
      </c>
      <c r="AA6" s="52">
        <v>1449</v>
      </c>
      <c r="AB6" s="51">
        <v>30526</v>
      </c>
      <c r="AC6" s="16">
        <v>15848</v>
      </c>
      <c r="AD6" s="16">
        <v>4372</v>
      </c>
      <c r="AE6" s="16">
        <v>404247</v>
      </c>
      <c r="AF6" s="16">
        <v>360728</v>
      </c>
      <c r="AG6" s="16">
        <v>185762</v>
      </c>
      <c r="AH6" s="16">
        <v>31170</v>
      </c>
      <c r="AI6" s="16">
        <v>473276</v>
      </c>
      <c r="AJ6" s="52">
        <v>60348</v>
      </c>
      <c r="AK6" s="51">
        <v>1091058</v>
      </c>
      <c r="AL6" s="16">
        <v>979</v>
      </c>
      <c r="AM6" s="16">
        <v>39795</v>
      </c>
      <c r="AN6" s="52">
        <v>46114</v>
      </c>
      <c r="AO6" s="51">
        <v>144578</v>
      </c>
      <c r="AP6" s="16">
        <v>41196</v>
      </c>
      <c r="AQ6" s="16">
        <v>1723</v>
      </c>
      <c r="AR6" s="16">
        <v>884153</v>
      </c>
      <c r="AS6" s="16">
        <v>1993</v>
      </c>
      <c r="AT6" s="16">
        <v>1297</v>
      </c>
      <c r="AU6" s="52">
        <v>907</v>
      </c>
      <c r="AV6" s="18">
        <f t="shared" si="0"/>
        <v>4129070</v>
      </c>
      <c r="AW6" s="18"/>
    </row>
    <row r="7" spans="1:49" x14ac:dyDescent="0.2">
      <c r="A7" s="19" t="s">
        <v>415</v>
      </c>
      <c r="B7" s="51">
        <v>19824</v>
      </c>
      <c r="C7" s="16">
        <v>5773</v>
      </c>
      <c r="D7" s="16">
        <v>76597</v>
      </c>
      <c r="E7" s="16">
        <v>5047</v>
      </c>
      <c r="F7" s="16">
        <v>32640</v>
      </c>
      <c r="G7" s="16">
        <v>11320</v>
      </c>
      <c r="H7" s="16">
        <v>27837</v>
      </c>
      <c r="I7" s="16">
        <v>12216</v>
      </c>
      <c r="J7" s="16">
        <v>6981</v>
      </c>
      <c r="K7" s="16">
        <v>72887</v>
      </c>
      <c r="L7" s="16">
        <v>6911</v>
      </c>
      <c r="M7" s="16">
        <v>9494</v>
      </c>
      <c r="N7" s="16">
        <v>1981</v>
      </c>
      <c r="O7" s="16">
        <v>1519</v>
      </c>
      <c r="P7" s="16">
        <v>672</v>
      </c>
      <c r="Q7" s="16">
        <v>1387</v>
      </c>
      <c r="R7" s="16">
        <v>3032</v>
      </c>
      <c r="S7" s="16">
        <v>3138</v>
      </c>
      <c r="T7" s="16">
        <v>4534</v>
      </c>
      <c r="U7" s="16">
        <v>2471</v>
      </c>
      <c r="V7" s="16">
        <v>4558</v>
      </c>
      <c r="W7" s="16">
        <v>8393</v>
      </c>
      <c r="X7" s="16">
        <v>3532</v>
      </c>
      <c r="Y7" s="16">
        <v>1159</v>
      </c>
      <c r="Z7" s="16">
        <v>1764</v>
      </c>
      <c r="AA7" s="52">
        <v>1454</v>
      </c>
      <c r="AB7" s="51">
        <v>27782</v>
      </c>
      <c r="AC7" s="16">
        <v>15683</v>
      </c>
      <c r="AD7" s="16">
        <v>4629</v>
      </c>
      <c r="AE7" s="16">
        <v>389391</v>
      </c>
      <c r="AF7" s="16">
        <v>349962</v>
      </c>
      <c r="AG7" s="16">
        <v>195611</v>
      </c>
      <c r="AH7" s="16">
        <v>29487</v>
      </c>
      <c r="AI7" s="16">
        <v>466777</v>
      </c>
      <c r="AJ7" s="52">
        <v>57408</v>
      </c>
      <c r="AK7" s="51">
        <v>1120087</v>
      </c>
      <c r="AL7" s="16">
        <v>461</v>
      </c>
      <c r="AM7" s="16">
        <v>58706</v>
      </c>
      <c r="AN7" s="52">
        <v>15837</v>
      </c>
      <c r="AO7" s="51">
        <v>144789</v>
      </c>
      <c r="AP7" s="16">
        <v>41860</v>
      </c>
      <c r="AQ7" s="16">
        <v>1886</v>
      </c>
      <c r="AR7" s="16">
        <v>877310</v>
      </c>
      <c r="AS7" s="16">
        <v>2182</v>
      </c>
      <c r="AT7" s="16">
        <v>1313</v>
      </c>
      <c r="AU7" s="52">
        <v>788</v>
      </c>
      <c r="AV7" s="18">
        <f t="shared" si="0"/>
        <v>4129070</v>
      </c>
      <c r="AW7" s="18"/>
    </row>
    <row r="8" spans="1:49" ht="17" thickBot="1" x14ac:dyDescent="0.25">
      <c r="A8" s="20">
        <v>2050</v>
      </c>
      <c r="B8" s="53">
        <v>27434.055757575781</v>
      </c>
      <c r="C8" s="54">
        <v>5440.3648484848454</v>
      </c>
      <c r="D8" s="54">
        <v>102882.5224242425</v>
      </c>
      <c r="E8" s="54">
        <v>8253.618181818194</v>
      </c>
      <c r="F8" s="54">
        <v>45570.526060605996</v>
      </c>
      <c r="G8" s="54">
        <v>14555.757575757571</v>
      </c>
      <c r="H8" s="54">
        <v>31912.461818181851</v>
      </c>
      <c r="I8" s="54">
        <v>11929.92</v>
      </c>
      <c r="J8" s="54">
        <v>9618.2703030302946</v>
      </c>
      <c r="K8" s="54">
        <v>82966.534545454546</v>
      </c>
      <c r="L8" s="54">
        <v>9765.2157575757592</v>
      </c>
      <c r="M8" s="54">
        <v>9848.1672727272708</v>
      </c>
      <c r="N8" s="54">
        <v>2265.378181818181</v>
      </c>
      <c r="O8" s="54">
        <v>1644.672727272728</v>
      </c>
      <c r="P8" s="54">
        <v>883.53454545454588</v>
      </c>
      <c r="Q8" s="54">
        <v>2245.7393939393951</v>
      </c>
      <c r="R8" s="54">
        <v>2727.4860606060588</v>
      </c>
      <c r="S8" s="54">
        <v>785.04484848486027</v>
      </c>
      <c r="T8" s="54">
        <v>1987.192727272748</v>
      </c>
      <c r="U8" s="54">
        <v>3423.7515151515181</v>
      </c>
      <c r="V8" s="54">
        <v>6053.1660606060614</v>
      </c>
      <c r="W8" s="54">
        <v>10957.223030303019</v>
      </c>
      <c r="X8" s="54">
        <v>6518.5939393939634</v>
      </c>
      <c r="Y8" s="54">
        <v>1301.3369696969689</v>
      </c>
      <c r="Z8" s="54">
        <v>1568.92606060606</v>
      </c>
      <c r="AA8" s="55">
        <v>1567.716363636363</v>
      </c>
      <c r="AB8" s="53">
        <v>-1290.305454545422</v>
      </c>
      <c r="AC8" s="54">
        <v>16498.78666666667</v>
      </c>
      <c r="AD8" s="54">
        <v>5053.2375757575765</v>
      </c>
      <c r="AE8" s="54">
        <v>342284.5466666664</v>
      </c>
      <c r="AF8" s="54">
        <v>298611.95878787898</v>
      </c>
      <c r="AG8" s="54">
        <v>242226.22909090901</v>
      </c>
      <c r="AH8" s="54">
        <v>23649.91878787876</v>
      </c>
      <c r="AI8" s="54">
        <v>432886.48363636358</v>
      </c>
      <c r="AJ8" s="55">
        <v>54044.58666666667</v>
      </c>
      <c r="AK8" s="53">
        <v>1126047.9454545451</v>
      </c>
      <c r="AL8" s="54">
        <v>-4305.6375757575734</v>
      </c>
      <c r="AM8" s="54">
        <v>89202</v>
      </c>
      <c r="AN8" s="55">
        <v>50308.47636363632</v>
      </c>
      <c r="AO8" s="53">
        <v>145554.14424242431</v>
      </c>
      <c r="AP8" s="54">
        <v>43390.879999999997</v>
      </c>
      <c r="AQ8" s="54">
        <v>2341.8981818181819</v>
      </c>
      <c r="AR8" s="54">
        <v>853082.707878788</v>
      </c>
      <c r="AS8" s="54">
        <v>3308.3612121212059</v>
      </c>
      <c r="AT8" s="54">
        <v>1775.744242424244</v>
      </c>
      <c r="AU8" s="55">
        <v>290.86060606060352</v>
      </c>
      <c r="AV8" s="18">
        <f>SUM(B8:AU8)</f>
        <v>4129070</v>
      </c>
    </row>
    <row r="10" spans="1:49" ht="17" thickBot="1" x14ac:dyDescent="0.25"/>
    <row r="11" spans="1:49" ht="96" x14ac:dyDescent="0.2">
      <c r="A11" s="113"/>
      <c r="B11" s="114" t="s">
        <v>416</v>
      </c>
      <c r="C11" s="114" t="s">
        <v>417</v>
      </c>
      <c r="D11" s="114" t="s">
        <v>418</v>
      </c>
      <c r="E11" s="114" t="s">
        <v>419</v>
      </c>
      <c r="F11" s="114" t="s">
        <v>420</v>
      </c>
      <c r="G11" s="114" t="s">
        <v>421</v>
      </c>
      <c r="H11" s="114" t="s">
        <v>422</v>
      </c>
      <c r="I11" s="114" t="s">
        <v>423</v>
      </c>
      <c r="J11" s="115" t="s">
        <v>424</v>
      </c>
    </row>
    <row r="12" spans="1:49" x14ac:dyDescent="0.2">
      <c r="A12" s="116" t="s">
        <v>412</v>
      </c>
      <c r="B12" s="18">
        <f>B4+C4+D4+E4+F4+G4+H4+I4+J4+K4+L4+M4+N4+O4+P4+Q4+R4+S4+T4+U4+V4+W4+X4+Y4+Z4+AA4</f>
        <v>249479</v>
      </c>
      <c r="C12" s="18">
        <f>AO4+AP4+AQ4+AR4+AS4+AT4+AU4</f>
        <v>1091194</v>
      </c>
      <c r="D12" s="18">
        <f>AK4+AL4+AM4+AN4</f>
        <v>1126726</v>
      </c>
      <c r="E12" s="18">
        <f>AB4+AC4+AD4</f>
        <v>73794</v>
      </c>
      <c r="F12" s="18">
        <f>AE4</f>
        <v>437949</v>
      </c>
      <c r="G12" s="18">
        <f>AF4</f>
        <v>401494</v>
      </c>
      <c r="H12" s="18">
        <f>AG4</f>
        <v>150169</v>
      </c>
      <c r="I12" s="18">
        <f>AH4+AI4+AJ4</f>
        <v>598265</v>
      </c>
      <c r="J12" s="117">
        <f>G12+H12+I12</f>
        <v>1149928</v>
      </c>
    </row>
    <row r="13" spans="1:49" x14ac:dyDescent="0.2">
      <c r="A13" s="116" t="s">
        <v>413</v>
      </c>
      <c r="B13" s="18">
        <f t="shared" ref="B13:B16" si="1">B5+C5+D5+E5+F5+G5+H5+I5+J5+K5+L5+M5+N5+O5+P5+Q5+R5+S5+T5+U5+V5+W5+X5+Y5+Z5+AA5</f>
        <v>281950</v>
      </c>
      <c r="C13" s="18">
        <f t="shared" ref="C13:C16" si="2">AO5+AP5+AQ5+AR5+AS5+AT5+AU5</f>
        <v>1083118</v>
      </c>
      <c r="D13" s="18">
        <f t="shared" ref="D13:D16" si="3">AK5+AL5+AM5+AN5</f>
        <v>1159887</v>
      </c>
      <c r="E13" s="18">
        <f t="shared" ref="E13:E16" si="4">AB5+AC5+AD5</f>
        <v>61562</v>
      </c>
      <c r="F13" s="18">
        <f t="shared" ref="F13:F16" si="5">AE5</f>
        <v>428434</v>
      </c>
      <c r="G13" s="18">
        <f t="shared" ref="G13:G16" si="6">AF5</f>
        <v>375309</v>
      </c>
      <c r="H13" s="18">
        <f t="shared" ref="H13:H16" si="7">AG5</f>
        <v>162898</v>
      </c>
      <c r="I13" s="18">
        <f t="shared" ref="I13:I16" si="8">AH5+AI5+AJ5</f>
        <v>575912</v>
      </c>
      <c r="J13" s="117">
        <f t="shared" ref="J13:J16" si="9">G13+H13+I13</f>
        <v>1114119</v>
      </c>
    </row>
    <row r="14" spans="1:49" x14ac:dyDescent="0.2">
      <c r="A14" s="116" t="s">
        <v>414</v>
      </c>
      <c r="B14" s="18">
        <f t="shared" si="1"/>
        <v>309000</v>
      </c>
      <c r="C14" s="18">
        <f t="shared" si="2"/>
        <v>1075847</v>
      </c>
      <c r="D14" s="18">
        <f t="shared" si="3"/>
        <v>1177946</v>
      </c>
      <c r="E14" s="18">
        <f t="shared" si="4"/>
        <v>50746</v>
      </c>
      <c r="F14" s="18">
        <f t="shared" si="5"/>
        <v>404247</v>
      </c>
      <c r="G14" s="18">
        <f t="shared" si="6"/>
        <v>360728</v>
      </c>
      <c r="H14" s="18">
        <f t="shared" si="7"/>
        <v>185762</v>
      </c>
      <c r="I14" s="18">
        <f t="shared" si="8"/>
        <v>564794</v>
      </c>
      <c r="J14" s="117">
        <f t="shared" si="9"/>
        <v>1111284</v>
      </c>
    </row>
    <row r="15" spans="1:49" x14ac:dyDescent="0.2">
      <c r="A15" s="118" t="s">
        <v>415</v>
      </c>
      <c r="B15" s="18">
        <f t="shared" si="1"/>
        <v>327121</v>
      </c>
      <c r="C15" s="18">
        <f t="shared" si="2"/>
        <v>1070128</v>
      </c>
      <c r="D15" s="18">
        <f t="shared" si="3"/>
        <v>1195091</v>
      </c>
      <c r="E15" s="18">
        <f t="shared" si="4"/>
        <v>48094</v>
      </c>
      <c r="F15" s="18">
        <f t="shared" si="5"/>
        <v>389391</v>
      </c>
      <c r="G15" s="18">
        <f t="shared" si="6"/>
        <v>349962</v>
      </c>
      <c r="H15" s="18">
        <f t="shared" si="7"/>
        <v>195611</v>
      </c>
      <c r="I15" s="18">
        <f t="shared" si="8"/>
        <v>553672</v>
      </c>
      <c r="J15" s="117">
        <f t="shared" si="9"/>
        <v>1099245</v>
      </c>
    </row>
    <row r="16" spans="1:49" ht="17" thickBot="1" x14ac:dyDescent="0.25">
      <c r="A16" s="119">
        <v>2050</v>
      </c>
      <c r="B16" s="120">
        <f t="shared" si="1"/>
        <v>404107.17696969723</v>
      </c>
      <c r="C16" s="120">
        <f t="shared" si="2"/>
        <v>1049744.5963636364</v>
      </c>
      <c r="D16" s="120">
        <f t="shared" si="3"/>
        <v>1261252.7842424239</v>
      </c>
      <c r="E16" s="120">
        <f t="shared" si="4"/>
        <v>20261.718787878825</v>
      </c>
      <c r="F16" s="120">
        <f t="shared" si="5"/>
        <v>342284.5466666664</v>
      </c>
      <c r="G16" s="120">
        <f t="shared" si="6"/>
        <v>298611.95878787898</v>
      </c>
      <c r="H16" s="120">
        <f t="shared" si="7"/>
        <v>242226.22909090901</v>
      </c>
      <c r="I16" s="120">
        <f t="shared" si="8"/>
        <v>510580.98909090902</v>
      </c>
      <c r="J16" s="121">
        <f t="shared" si="9"/>
        <v>1051419.176969697</v>
      </c>
    </row>
    <row r="22" spans="2:3" x14ac:dyDescent="0.2">
      <c r="B22" s="56"/>
      <c r="C22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8813A-DE3B-6F41-A92E-E3ECE8506171}">
  <dimension ref="A1:U24"/>
  <sheetViews>
    <sheetView zoomScale="119" workbookViewId="0">
      <selection activeCell="B7" sqref="B7"/>
    </sheetView>
  </sheetViews>
  <sheetFormatPr baseColWidth="10" defaultColWidth="11" defaultRowHeight="16" x14ac:dyDescent="0.2"/>
  <cols>
    <col min="1" max="2" width="18.1640625" customWidth="1"/>
  </cols>
  <sheetData>
    <row r="1" spans="1:21" s="1" customFormat="1" ht="80" x14ac:dyDescent="0.2">
      <c r="A1" s="22" t="s">
        <v>141</v>
      </c>
      <c r="B1" s="22"/>
      <c r="C1" s="22" t="s">
        <v>425</v>
      </c>
      <c r="D1" s="22" t="s">
        <v>426</v>
      </c>
      <c r="E1" s="22" t="s">
        <v>427</v>
      </c>
      <c r="F1" s="22" t="s">
        <v>428</v>
      </c>
      <c r="G1" s="22" t="s">
        <v>429</v>
      </c>
      <c r="H1" s="22" t="s">
        <v>430</v>
      </c>
      <c r="I1" s="22" t="s">
        <v>431</v>
      </c>
      <c r="J1" s="22" t="s">
        <v>432</v>
      </c>
      <c r="K1" s="22" t="s">
        <v>433</v>
      </c>
      <c r="L1" s="22" t="s">
        <v>434</v>
      </c>
      <c r="M1" s="22" t="s">
        <v>435</v>
      </c>
      <c r="N1" s="22" t="s">
        <v>436</v>
      </c>
      <c r="O1" s="22" t="s">
        <v>437</v>
      </c>
      <c r="P1" s="22" t="s">
        <v>438</v>
      </c>
      <c r="Q1" s="22" t="s">
        <v>439</v>
      </c>
      <c r="R1" s="22" t="s">
        <v>440</v>
      </c>
      <c r="S1" s="22" t="s">
        <v>441</v>
      </c>
      <c r="T1" s="22" t="s">
        <v>442</v>
      </c>
      <c r="U1" s="22" t="s">
        <v>443</v>
      </c>
    </row>
    <row r="2" spans="1:21" x14ac:dyDescent="0.2">
      <c r="A2" s="21" t="s">
        <v>444</v>
      </c>
      <c r="B2" s="21"/>
      <c r="C2" s="21">
        <v>45.961438000000001</v>
      </c>
      <c r="D2" s="21">
        <v>882</v>
      </c>
      <c r="E2" s="21">
        <v>1120</v>
      </c>
      <c r="F2" s="21">
        <v>83</v>
      </c>
      <c r="G2" s="21">
        <v>888</v>
      </c>
      <c r="H2" s="21">
        <v>889</v>
      </c>
      <c r="I2" s="21">
        <v>26</v>
      </c>
      <c r="J2" s="21">
        <v>26</v>
      </c>
      <c r="K2" s="21">
        <v>0</v>
      </c>
      <c r="L2" s="21">
        <v>1</v>
      </c>
      <c r="M2" s="21">
        <v>-2</v>
      </c>
      <c r="N2" s="21">
        <v>91</v>
      </c>
      <c r="O2" s="21">
        <v>104.27</v>
      </c>
      <c r="P2" s="21">
        <v>756</v>
      </c>
      <c r="Q2" s="21">
        <v>2351617</v>
      </c>
      <c r="R2" s="21">
        <v>23.93</v>
      </c>
      <c r="S2" s="21">
        <v>74471</v>
      </c>
      <c r="T2" s="21">
        <v>3.19</v>
      </c>
      <c r="U2" s="21">
        <v>9925</v>
      </c>
    </row>
    <row r="3" spans="1:21" x14ac:dyDescent="0.2">
      <c r="A3" s="21" t="s">
        <v>77</v>
      </c>
      <c r="B3" s="21"/>
      <c r="C3" s="21">
        <v>93.920334999999994</v>
      </c>
      <c r="D3" s="21">
        <v>448</v>
      </c>
      <c r="E3" s="21">
        <v>36</v>
      </c>
      <c r="F3" s="21">
        <v>7</v>
      </c>
      <c r="G3" s="21">
        <v>75</v>
      </c>
      <c r="H3" s="21">
        <v>400</v>
      </c>
      <c r="I3" s="21">
        <v>24</v>
      </c>
      <c r="J3" s="21">
        <v>20</v>
      </c>
      <c r="K3" s="21">
        <v>0</v>
      </c>
      <c r="L3" s="21">
        <v>1</v>
      </c>
      <c r="M3" s="21">
        <v>-50</v>
      </c>
      <c r="N3" s="21">
        <v>6</v>
      </c>
      <c r="O3" s="21">
        <v>46.93</v>
      </c>
      <c r="P3" s="21">
        <v>87</v>
      </c>
      <c r="Q3" s="21">
        <v>270170</v>
      </c>
      <c r="R3" s="21">
        <v>2.06</v>
      </c>
      <c r="S3" s="21">
        <v>6421</v>
      </c>
      <c r="T3" s="21">
        <v>0.13</v>
      </c>
      <c r="U3" s="21">
        <v>401</v>
      </c>
    </row>
    <row r="4" spans="1:21" x14ac:dyDescent="0.2">
      <c r="A4" s="21" t="s">
        <v>81</v>
      </c>
      <c r="B4" s="21"/>
      <c r="C4" s="21">
        <v>90.782122999999999</v>
      </c>
      <c r="D4" s="21">
        <v>1625</v>
      </c>
      <c r="E4" s="21">
        <v>165</v>
      </c>
      <c r="F4" s="21">
        <v>0</v>
      </c>
      <c r="G4" s="21">
        <v>3</v>
      </c>
      <c r="H4" s="21" t="s">
        <v>207</v>
      </c>
      <c r="I4" s="21" t="s">
        <v>207</v>
      </c>
      <c r="J4" s="21">
        <v>87</v>
      </c>
      <c r="K4" s="21">
        <v>0</v>
      </c>
      <c r="L4" s="21" t="s">
        <v>207</v>
      </c>
      <c r="M4" s="21">
        <v>484</v>
      </c>
      <c r="N4" s="21">
        <v>1215</v>
      </c>
      <c r="O4" s="21" t="s">
        <v>207</v>
      </c>
      <c r="P4" s="21" t="s">
        <v>207</v>
      </c>
      <c r="Q4" s="21" t="s">
        <v>207</v>
      </c>
      <c r="R4" s="21" t="s">
        <v>207</v>
      </c>
      <c r="S4" s="21" t="s">
        <v>207</v>
      </c>
      <c r="T4" s="21" t="s">
        <v>207</v>
      </c>
      <c r="U4" s="21" t="s">
        <v>207</v>
      </c>
    </row>
    <row r="5" spans="1:21" x14ac:dyDescent="0.2">
      <c r="A5" s="21" t="s">
        <v>445</v>
      </c>
      <c r="B5" s="21"/>
      <c r="C5" s="21">
        <v>68.435754000000003</v>
      </c>
      <c r="D5" s="21">
        <v>245</v>
      </c>
      <c r="E5" s="21">
        <v>261</v>
      </c>
      <c r="F5" s="21">
        <v>148</v>
      </c>
      <c r="G5" s="21">
        <v>0</v>
      </c>
      <c r="H5" s="21">
        <v>386</v>
      </c>
      <c r="I5" s="21" t="s">
        <v>207</v>
      </c>
      <c r="J5" s="21">
        <v>0</v>
      </c>
      <c r="K5" s="21">
        <v>0</v>
      </c>
      <c r="L5" s="21">
        <v>4</v>
      </c>
      <c r="M5" s="21">
        <v>-32</v>
      </c>
      <c r="N5" s="21">
        <v>0</v>
      </c>
      <c r="O5" s="21">
        <v>45.25</v>
      </c>
      <c r="P5" s="21">
        <v>438</v>
      </c>
      <c r="Q5" s="21">
        <v>1362544</v>
      </c>
      <c r="R5" s="21">
        <v>0.02</v>
      </c>
      <c r="S5" s="21">
        <v>53</v>
      </c>
      <c r="T5" s="21">
        <v>0</v>
      </c>
      <c r="U5" s="21">
        <v>0</v>
      </c>
    </row>
    <row r="6" spans="1:21" x14ac:dyDescent="0.2">
      <c r="A6" s="21" t="s">
        <v>75</v>
      </c>
      <c r="B6" s="21"/>
      <c r="C6" s="21">
        <v>48.717948999999997</v>
      </c>
      <c r="D6" s="21">
        <v>19</v>
      </c>
      <c r="E6" s="21">
        <v>20</v>
      </c>
      <c r="F6" s="21">
        <v>0</v>
      </c>
      <c r="G6" s="21">
        <v>19</v>
      </c>
      <c r="H6" s="21">
        <v>16</v>
      </c>
      <c r="I6" s="21">
        <v>1</v>
      </c>
      <c r="J6" s="21">
        <v>1</v>
      </c>
      <c r="K6" s="21">
        <v>0</v>
      </c>
      <c r="L6" s="21" t="s">
        <v>207</v>
      </c>
      <c r="M6" s="21">
        <v>1</v>
      </c>
      <c r="N6" s="21">
        <v>1</v>
      </c>
      <c r="O6" s="21">
        <v>1.86</v>
      </c>
      <c r="P6" s="21">
        <v>17</v>
      </c>
      <c r="Q6" s="21">
        <v>54215</v>
      </c>
      <c r="R6" s="21">
        <v>1.1499999999999999</v>
      </c>
      <c r="S6" s="21">
        <v>3577</v>
      </c>
      <c r="T6" s="21">
        <v>0.08</v>
      </c>
      <c r="U6" s="21">
        <v>257</v>
      </c>
    </row>
    <row r="7" spans="1:21" x14ac:dyDescent="0.2">
      <c r="A7" s="21" t="s">
        <v>61</v>
      </c>
      <c r="B7" s="21"/>
      <c r="C7" s="21">
        <v>7.3170729999999997</v>
      </c>
      <c r="D7" s="21">
        <v>3</v>
      </c>
      <c r="E7" s="21">
        <v>39</v>
      </c>
      <c r="F7" s="21">
        <v>1</v>
      </c>
      <c r="G7" s="21" t="s">
        <v>207</v>
      </c>
      <c r="H7" s="21">
        <v>38</v>
      </c>
      <c r="I7" s="21" t="s">
        <v>207</v>
      </c>
      <c r="J7" s="21">
        <v>0</v>
      </c>
      <c r="K7" s="21">
        <v>0</v>
      </c>
      <c r="L7" s="21">
        <v>0</v>
      </c>
      <c r="M7" s="21">
        <v>2</v>
      </c>
      <c r="N7" s="21" t="s">
        <v>207</v>
      </c>
      <c r="O7" s="21">
        <v>4.5</v>
      </c>
      <c r="P7" s="21">
        <v>66</v>
      </c>
      <c r="Q7" s="21">
        <v>206217</v>
      </c>
      <c r="R7" s="21">
        <v>1.72</v>
      </c>
      <c r="S7" s="21">
        <v>5356</v>
      </c>
      <c r="T7" s="21">
        <v>6.02</v>
      </c>
      <c r="U7" s="21">
        <v>18740</v>
      </c>
    </row>
    <row r="8" spans="1:21" x14ac:dyDescent="0.2">
      <c r="A8" s="21" t="s">
        <v>57</v>
      </c>
      <c r="B8" s="21"/>
      <c r="C8" s="21">
        <v>62.264150999999998</v>
      </c>
      <c r="D8" s="21">
        <v>99</v>
      </c>
      <c r="E8" s="21">
        <v>62</v>
      </c>
      <c r="F8" s="21">
        <v>2</v>
      </c>
      <c r="G8" s="21">
        <v>13</v>
      </c>
      <c r="H8" s="21">
        <v>17</v>
      </c>
      <c r="I8" s="21">
        <v>0</v>
      </c>
      <c r="J8" s="21">
        <v>5</v>
      </c>
      <c r="K8" s="21">
        <v>0</v>
      </c>
      <c r="L8" s="21">
        <v>0</v>
      </c>
      <c r="M8" s="21">
        <v>1</v>
      </c>
      <c r="N8" s="21">
        <v>123</v>
      </c>
      <c r="O8" s="21">
        <v>2.0299999999999998</v>
      </c>
      <c r="P8" s="21">
        <v>19</v>
      </c>
      <c r="Q8" s="21">
        <v>57879</v>
      </c>
      <c r="R8" s="21">
        <v>0.8</v>
      </c>
      <c r="S8" s="21">
        <v>2488</v>
      </c>
      <c r="T8" s="21">
        <v>1.54</v>
      </c>
      <c r="U8" s="21">
        <v>4786</v>
      </c>
    </row>
    <row r="9" spans="1:21" x14ac:dyDescent="0.2">
      <c r="A9" s="21" t="s">
        <v>56</v>
      </c>
      <c r="B9" s="21"/>
      <c r="C9" s="21">
        <v>32.677165000000002</v>
      </c>
      <c r="D9" s="21">
        <v>83</v>
      </c>
      <c r="E9" s="21">
        <v>179</v>
      </c>
      <c r="F9" s="21">
        <v>8</v>
      </c>
      <c r="G9" s="21" t="s">
        <v>207</v>
      </c>
      <c r="H9" s="21">
        <v>183</v>
      </c>
      <c r="I9" s="21" t="s">
        <v>207</v>
      </c>
      <c r="J9" s="21" t="s">
        <v>207</v>
      </c>
      <c r="K9" s="21">
        <v>0</v>
      </c>
      <c r="L9" s="21">
        <v>51</v>
      </c>
      <c r="M9" s="21">
        <v>-3</v>
      </c>
      <c r="N9" s="21">
        <v>23</v>
      </c>
      <c r="O9" s="21">
        <v>21.46</v>
      </c>
      <c r="P9" s="21">
        <v>490</v>
      </c>
      <c r="Q9" s="21">
        <v>1524381</v>
      </c>
      <c r="R9" s="21">
        <v>0.05</v>
      </c>
      <c r="S9" s="21">
        <v>151</v>
      </c>
      <c r="T9" s="21">
        <v>55.82</v>
      </c>
      <c r="U9" s="21">
        <v>173699</v>
      </c>
    </row>
    <row r="10" spans="1:21" x14ac:dyDescent="0.2">
      <c r="A10" s="21" t="s">
        <v>71</v>
      </c>
      <c r="B10" s="21"/>
      <c r="C10" s="21">
        <v>51.452784999999999</v>
      </c>
      <c r="D10" s="21">
        <v>425</v>
      </c>
      <c r="E10" s="21">
        <v>408</v>
      </c>
      <c r="F10" s="21">
        <v>7</v>
      </c>
      <c r="G10" s="21">
        <v>0</v>
      </c>
      <c r="H10" s="21">
        <v>791</v>
      </c>
      <c r="I10" s="21" t="s">
        <v>207</v>
      </c>
      <c r="J10" s="21">
        <v>24</v>
      </c>
      <c r="K10" s="21">
        <v>0</v>
      </c>
      <c r="L10" s="21" t="s">
        <v>207</v>
      </c>
      <c r="M10" s="21">
        <v>10</v>
      </c>
      <c r="N10" s="21" t="s">
        <v>207</v>
      </c>
      <c r="O10" s="21">
        <v>92.82</v>
      </c>
      <c r="P10" s="21">
        <v>68</v>
      </c>
      <c r="Q10" s="21">
        <v>212142</v>
      </c>
      <c r="R10" s="21">
        <v>3.24</v>
      </c>
      <c r="S10" s="21">
        <v>10076</v>
      </c>
      <c r="T10" s="21">
        <v>0.66</v>
      </c>
      <c r="U10" s="21">
        <v>2041</v>
      </c>
    </row>
    <row r="11" spans="1:21" x14ac:dyDescent="0.2">
      <c r="A11" s="21" t="s">
        <v>446</v>
      </c>
      <c r="B11" s="21"/>
      <c r="C11" s="21">
        <v>43.564355999999997</v>
      </c>
      <c r="D11" s="21">
        <v>440</v>
      </c>
      <c r="E11" s="21">
        <v>592</v>
      </c>
      <c r="F11" s="21">
        <v>22</v>
      </c>
      <c r="G11" s="21" t="s">
        <v>207</v>
      </c>
      <c r="H11" s="21">
        <v>715</v>
      </c>
      <c r="I11" s="21" t="s">
        <v>207</v>
      </c>
      <c r="J11" s="21">
        <v>34</v>
      </c>
      <c r="K11" s="21">
        <v>0</v>
      </c>
      <c r="L11" s="21" t="s">
        <v>207</v>
      </c>
      <c r="M11" s="21">
        <v>6</v>
      </c>
      <c r="N11" s="21">
        <v>254</v>
      </c>
      <c r="O11" s="21">
        <v>83.82</v>
      </c>
      <c r="P11" s="21">
        <v>129</v>
      </c>
      <c r="Q11" s="21">
        <v>400070</v>
      </c>
      <c r="R11" s="21">
        <v>1.48</v>
      </c>
      <c r="S11" s="21">
        <v>4596</v>
      </c>
      <c r="T11" s="21">
        <v>1.02</v>
      </c>
      <c r="U11" s="21">
        <v>3169</v>
      </c>
    </row>
    <row r="12" spans="1:21" x14ac:dyDescent="0.2">
      <c r="A12" s="21" t="s">
        <v>447</v>
      </c>
      <c r="B12" s="21"/>
      <c r="C12" s="21">
        <v>0</v>
      </c>
      <c r="D12" s="21">
        <v>0</v>
      </c>
      <c r="E12" s="21">
        <v>256</v>
      </c>
      <c r="F12" s="21">
        <v>156</v>
      </c>
      <c r="G12" s="21" t="s">
        <v>207</v>
      </c>
      <c r="H12" s="21">
        <v>67</v>
      </c>
      <c r="I12" s="21" t="s">
        <v>207</v>
      </c>
      <c r="J12" s="21" t="s">
        <v>207</v>
      </c>
      <c r="K12" s="21">
        <v>0</v>
      </c>
      <c r="L12" s="21" t="s">
        <v>207</v>
      </c>
      <c r="M12" s="21">
        <v>-5</v>
      </c>
      <c r="N12" s="21">
        <v>38</v>
      </c>
      <c r="O12" s="21">
        <v>7.86</v>
      </c>
      <c r="P12" s="21">
        <v>15</v>
      </c>
      <c r="Q12" s="21">
        <v>46678</v>
      </c>
      <c r="R12" s="21">
        <v>0.62</v>
      </c>
      <c r="S12" s="21">
        <v>1940</v>
      </c>
      <c r="T12" s="21">
        <v>0.5</v>
      </c>
      <c r="U12" s="21">
        <v>1559</v>
      </c>
    </row>
    <row r="13" spans="1:21" x14ac:dyDescent="0.2">
      <c r="A13" s="21" t="s">
        <v>448</v>
      </c>
      <c r="B13" s="21"/>
      <c r="C13" s="21">
        <v>55.953757000000003</v>
      </c>
      <c r="D13" s="21">
        <v>484</v>
      </c>
      <c r="E13" s="21">
        <v>389</v>
      </c>
      <c r="F13" s="21">
        <v>8</v>
      </c>
      <c r="G13" s="21" t="s">
        <v>207</v>
      </c>
      <c r="H13" s="21">
        <v>812</v>
      </c>
      <c r="I13" s="21" t="s">
        <v>207</v>
      </c>
      <c r="J13" s="21" t="s">
        <v>207</v>
      </c>
      <c r="K13" s="21">
        <v>0</v>
      </c>
      <c r="L13" s="21">
        <v>76</v>
      </c>
      <c r="M13" s="21">
        <v>-23</v>
      </c>
      <c r="N13" s="21" t="s">
        <v>207</v>
      </c>
      <c r="O13" s="21">
        <v>95.23</v>
      </c>
      <c r="P13" s="21">
        <v>163</v>
      </c>
      <c r="Q13" s="21">
        <v>506353</v>
      </c>
      <c r="R13" s="21">
        <v>0.78</v>
      </c>
      <c r="S13" s="21">
        <v>2440</v>
      </c>
      <c r="T13" s="21">
        <v>0</v>
      </c>
      <c r="U13" s="21">
        <v>0</v>
      </c>
    </row>
    <row r="14" spans="1:21" x14ac:dyDescent="0.2">
      <c r="A14" s="21" t="s">
        <v>64</v>
      </c>
      <c r="B14" s="21"/>
      <c r="C14" s="21">
        <v>84.521738999999997</v>
      </c>
      <c r="D14" s="21">
        <v>486</v>
      </c>
      <c r="E14" s="21">
        <v>97</v>
      </c>
      <c r="F14" s="21">
        <v>8</v>
      </c>
      <c r="G14" s="21" t="s">
        <v>207</v>
      </c>
      <c r="H14" s="21">
        <v>591</v>
      </c>
      <c r="I14" s="21" t="s">
        <v>207</v>
      </c>
      <c r="J14" s="21">
        <v>0</v>
      </c>
      <c r="K14" s="21">
        <v>0</v>
      </c>
      <c r="L14" s="21" t="s">
        <v>207</v>
      </c>
      <c r="M14" s="21">
        <v>-16</v>
      </c>
      <c r="N14" s="21">
        <v>0</v>
      </c>
      <c r="O14" s="21">
        <v>69.31</v>
      </c>
      <c r="P14" s="21">
        <v>420</v>
      </c>
      <c r="Q14" s="21">
        <v>1307489</v>
      </c>
      <c r="R14" s="21">
        <v>23.19</v>
      </c>
      <c r="S14" s="21">
        <v>72181</v>
      </c>
      <c r="T14" s="21">
        <v>35.57</v>
      </c>
      <c r="U14" s="21">
        <v>110686</v>
      </c>
    </row>
    <row r="15" spans="1:21" x14ac:dyDescent="0.2">
      <c r="A15" s="21" t="s">
        <v>171</v>
      </c>
      <c r="B15" s="21"/>
      <c r="C15" s="21">
        <v>150</v>
      </c>
      <c r="D15" s="21">
        <v>33</v>
      </c>
      <c r="E15" s="21">
        <v>8</v>
      </c>
      <c r="F15" s="21">
        <v>19</v>
      </c>
      <c r="G15" s="21" t="s">
        <v>207</v>
      </c>
      <c r="H15" s="21">
        <v>20</v>
      </c>
      <c r="I15" s="21" t="s">
        <v>207</v>
      </c>
      <c r="J15" s="21">
        <v>2</v>
      </c>
      <c r="K15" s="21">
        <v>0</v>
      </c>
      <c r="L15" s="21" t="s">
        <v>207</v>
      </c>
      <c r="M15" s="21" t="s">
        <v>207</v>
      </c>
      <c r="N15" s="21" t="s">
        <v>207</v>
      </c>
      <c r="O15" s="21">
        <v>2.4</v>
      </c>
      <c r="P15" s="21">
        <v>7</v>
      </c>
      <c r="Q15" s="21">
        <v>21621</v>
      </c>
      <c r="R15" s="21">
        <v>1.2</v>
      </c>
      <c r="S15" s="21">
        <v>3745</v>
      </c>
      <c r="T15" s="21">
        <v>0.17</v>
      </c>
      <c r="U15" s="21">
        <v>535</v>
      </c>
    </row>
    <row r="16" spans="1:21" x14ac:dyDescent="0.2">
      <c r="A16" s="21" t="s">
        <v>86</v>
      </c>
      <c r="B16" s="21"/>
      <c r="C16" s="21">
        <v>94.690264999999997</v>
      </c>
      <c r="D16" s="21">
        <v>107</v>
      </c>
      <c r="E16" s="21">
        <v>16</v>
      </c>
      <c r="F16" s="21">
        <v>10</v>
      </c>
      <c r="G16" s="21">
        <v>0</v>
      </c>
      <c r="H16" s="21">
        <v>76</v>
      </c>
      <c r="I16" s="21" t="s">
        <v>207</v>
      </c>
      <c r="J16" s="21">
        <v>2</v>
      </c>
      <c r="K16" s="21">
        <v>-2</v>
      </c>
      <c r="L16" s="21">
        <v>1</v>
      </c>
      <c r="M16" s="21">
        <v>0</v>
      </c>
      <c r="N16" s="21">
        <v>37</v>
      </c>
      <c r="O16" s="21">
        <v>8.9</v>
      </c>
      <c r="P16" s="21">
        <v>168</v>
      </c>
      <c r="Q16" s="21">
        <v>522711</v>
      </c>
      <c r="R16" s="21">
        <v>0.13</v>
      </c>
      <c r="S16" s="21">
        <v>420</v>
      </c>
      <c r="T16" s="21">
        <v>18.920000000000002</v>
      </c>
      <c r="U16" s="21">
        <v>58887</v>
      </c>
    </row>
    <row r="17" spans="1:21" x14ac:dyDescent="0.2">
      <c r="A17" s="21" t="s">
        <v>69</v>
      </c>
      <c r="B17" s="21"/>
      <c r="C17" s="21">
        <v>62.886597999999999</v>
      </c>
      <c r="D17" s="21">
        <v>61</v>
      </c>
      <c r="E17" s="21">
        <v>36</v>
      </c>
      <c r="F17" s="21">
        <v>0</v>
      </c>
      <c r="G17" s="21" t="s">
        <v>207</v>
      </c>
      <c r="H17" s="21">
        <v>86</v>
      </c>
      <c r="I17" s="21">
        <v>5</v>
      </c>
      <c r="J17" s="21">
        <v>5</v>
      </c>
      <c r="K17" s="21">
        <v>0</v>
      </c>
      <c r="L17" s="21">
        <v>0</v>
      </c>
      <c r="M17" s="21">
        <v>0</v>
      </c>
      <c r="N17" s="21" t="s">
        <v>207</v>
      </c>
      <c r="O17" s="21">
        <v>10.119999999999999</v>
      </c>
      <c r="P17" s="21">
        <v>40</v>
      </c>
      <c r="Q17" s="21">
        <v>124701</v>
      </c>
      <c r="R17" s="21">
        <v>3.24</v>
      </c>
      <c r="S17" s="21">
        <v>10074</v>
      </c>
      <c r="T17" s="21">
        <v>2.81</v>
      </c>
      <c r="U17" s="21">
        <v>8756</v>
      </c>
    </row>
    <row r="18" spans="1:21" x14ac:dyDescent="0.2">
      <c r="A18" s="21" t="s">
        <v>449</v>
      </c>
      <c r="B18" s="21"/>
      <c r="C18" s="21">
        <v>100.93884799999999</v>
      </c>
      <c r="D18" s="21">
        <v>3978</v>
      </c>
      <c r="E18" s="21">
        <v>521</v>
      </c>
      <c r="F18" s="21">
        <v>558</v>
      </c>
      <c r="G18" s="21">
        <v>684</v>
      </c>
      <c r="H18" s="21">
        <v>2457</v>
      </c>
      <c r="I18" s="21" t="s">
        <v>207</v>
      </c>
      <c r="J18" s="21">
        <v>0</v>
      </c>
      <c r="K18" s="21">
        <v>0</v>
      </c>
      <c r="L18" s="21">
        <v>0</v>
      </c>
      <c r="M18" s="21">
        <v>1</v>
      </c>
      <c r="N18" s="21">
        <v>799</v>
      </c>
      <c r="O18" s="21">
        <v>288.17</v>
      </c>
      <c r="P18" s="21">
        <v>460</v>
      </c>
      <c r="Q18" s="21">
        <v>1430809</v>
      </c>
      <c r="R18" s="21">
        <v>29.18</v>
      </c>
      <c r="S18" s="21">
        <v>90799</v>
      </c>
      <c r="T18" s="21">
        <v>30</v>
      </c>
      <c r="U18" s="21">
        <v>93345</v>
      </c>
    </row>
    <row r="19" spans="1:21" x14ac:dyDescent="0.2">
      <c r="A19" s="21" t="s">
        <v>68</v>
      </c>
      <c r="B19" s="21"/>
      <c r="C19" s="21">
        <v>2.3162340000000001</v>
      </c>
      <c r="D19" s="21">
        <v>3.4</v>
      </c>
      <c r="E19" s="21">
        <v>143.97999999999999</v>
      </c>
      <c r="F19" s="21">
        <v>0.59</v>
      </c>
      <c r="G19" s="21">
        <v>3.58</v>
      </c>
      <c r="H19" s="21">
        <v>143.18</v>
      </c>
      <c r="I19" s="21" t="s">
        <v>207</v>
      </c>
      <c r="J19" s="21" t="s">
        <v>207</v>
      </c>
      <c r="K19" s="21" t="s">
        <v>207</v>
      </c>
      <c r="L19" s="21">
        <v>0.03</v>
      </c>
      <c r="M19" s="21">
        <v>0</v>
      </c>
      <c r="N19" s="21" t="s">
        <v>207</v>
      </c>
      <c r="O19" s="21">
        <v>16.79</v>
      </c>
      <c r="P19" s="21">
        <v>31</v>
      </c>
      <c r="Q19" s="21">
        <v>95040.14</v>
      </c>
      <c r="R19" s="21">
        <v>4.3499999999999996</v>
      </c>
      <c r="S19" s="21">
        <v>13528.69</v>
      </c>
      <c r="T19" s="21">
        <v>1.24</v>
      </c>
      <c r="U19" s="21">
        <v>3851.82</v>
      </c>
    </row>
    <row r="20" spans="1:21" x14ac:dyDescent="0.2">
      <c r="A20" s="21" t="s">
        <v>450</v>
      </c>
      <c r="B20" s="21"/>
      <c r="C20" s="21" t="s">
        <v>207</v>
      </c>
      <c r="D20" s="21" t="s">
        <v>207</v>
      </c>
      <c r="E20" s="21">
        <v>8</v>
      </c>
      <c r="F20" s="21">
        <v>0</v>
      </c>
      <c r="G20" s="21" t="s">
        <v>207</v>
      </c>
      <c r="H20" s="21">
        <v>6</v>
      </c>
      <c r="I20" s="21" t="s">
        <v>207</v>
      </c>
      <c r="J20" s="21" t="s">
        <v>207</v>
      </c>
      <c r="K20" s="21">
        <v>0</v>
      </c>
      <c r="L20" s="21" t="s">
        <v>207</v>
      </c>
      <c r="M20" s="21">
        <v>2</v>
      </c>
      <c r="N20" s="21" t="s">
        <v>207</v>
      </c>
      <c r="O20" s="21">
        <v>0.71</v>
      </c>
      <c r="P20" s="21">
        <v>6</v>
      </c>
      <c r="Q20" s="21">
        <v>19817</v>
      </c>
      <c r="R20" s="21">
        <v>0.22</v>
      </c>
      <c r="S20" s="21">
        <v>683</v>
      </c>
      <c r="T20" s="21">
        <v>0.25</v>
      </c>
      <c r="U20" s="21">
        <v>767</v>
      </c>
    </row>
    <row r="21" spans="1:21" x14ac:dyDescent="0.2">
      <c r="A21" s="21" t="s">
        <v>451</v>
      </c>
      <c r="B21" s="21"/>
      <c r="C21" s="21" t="s">
        <v>207</v>
      </c>
      <c r="D21" s="21" t="s">
        <v>207</v>
      </c>
      <c r="E21" s="21">
        <v>0.1</v>
      </c>
      <c r="F21" s="21">
        <v>0.03</v>
      </c>
      <c r="G21" s="21" t="s">
        <v>207</v>
      </c>
      <c r="H21" s="21">
        <v>0</v>
      </c>
      <c r="I21" s="21" t="s">
        <v>207</v>
      </c>
      <c r="J21" s="21" t="s">
        <v>207</v>
      </c>
      <c r="K21" s="21" t="s">
        <v>207</v>
      </c>
      <c r="L21" s="21">
        <v>7.0000000000000007E-2</v>
      </c>
      <c r="M21" s="21" t="s">
        <v>207</v>
      </c>
      <c r="N21" s="21" t="s">
        <v>207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</row>
    <row r="22" spans="1:21" x14ac:dyDescent="0.2">
      <c r="A22" s="21" t="s">
        <v>452</v>
      </c>
      <c r="B22" s="21"/>
      <c r="C22" s="21" t="s">
        <v>207</v>
      </c>
      <c r="D22" s="21" t="s">
        <v>207</v>
      </c>
      <c r="E22" s="21">
        <v>134</v>
      </c>
      <c r="F22" s="21">
        <v>171</v>
      </c>
      <c r="G22" s="21" t="s">
        <v>207</v>
      </c>
      <c r="H22" s="21">
        <v>0</v>
      </c>
      <c r="I22" s="21" t="s">
        <v>207</v>
      </c>
      <c r="J22" s="21" t="s">
        <v>207</v>
      </c>
      <c r="K22" s="21">
        <v>-53</v>
      </c>
      <c r="L22" s="21" t="s">
        <v>207</v>
      </c>
      <c r="M22" s="21">
        <v>16</v>
      </c>
      <c r="N22" s="21" t="s">
        <v>207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</row>
    <row r="23" spans="1:21" x14ac:dyDescent="0.2">
      <c r="A23" s="21" t="s">
        <v>453</v>
      </c>
      <c r="B23" s="21"/>
      <c r="C23" s="21" t="s">
        <v>207</v>
      </c>
      <c r="D23" s="21" t="s">
        <v>207</v>
      </c>
      <c r="E23" s="21" t="s">
        <v>207</v>
      </c>
      <c r="F23" s="21" t="s">
        <v>207</v>
      </c>
      <c r="G23" s="21" t="s">
        <v>207</v>
      </c>
      <c r="H23" s="21" t="s">
        <v>207</v>
      </c>
      <c r="I23" s="21" t="s">
        <v>207</v>
      </c>
      <c r="J23" s="21" t="s">
        <v>207</v>
      </c>
      <c r="K23" s="21" t="s">
        <v>207</v>
      </c>
      <c r="L23" s="21" t="s">
        <v>207</v>
      </c>
      <c r="M23" s="21" t="s">
        <v>207</v>
      </c>
      <c r="N23" s="21" t="s">
        <v>207</v>
      </c>
      <c r="O23" s="21" t="s">
        <v>207</v>
      </c>
      <c r="P23" s="21">
        <v>2253</v>
      </c>
      <c r="Q23" s="21">
        <v>7012083</v>
      </c>
      <c r="R23" s="21">
        <v>36.07</v>
      </c>
      <c r="S23" s="21">
        <v>112252</v>
      </c>
      <c r="T23" s="21">
        <v>69.2</v>
      </c>
      <c r="U23" s="21">
        <v>215344</v>
      </c>
    </row>
    <row r="24" spans="1:21" x14ac:dyDescent="0.2">
      <c r="A24" s="21" t="s">
        <v>454</v>
      </c>
      <c r="B24" s="21"/>
      <c r="C24" s="21" t="s">
        <v>207</v>
      </c>
      <c r="D24" s="21" t="s">
        <v>207</v>
      </c>
      <c r="E24" s="21" t="s">
        <v>207</v>
      </c>
      <c r="F24" s="21" t="s">
        <v>207</v>
      </c>
      <c r="G24" s="21" t="s">
        <v>207</v>
      </c>
      <c r="H24" s="21" t="s">
        <v>207</v>
      </c>
      <c r="I24" s="21" t="s">
        <v>207</v>
      </c>
      <c r="J24" s="21" t="s">
        <v>207</v>
      </c>
      <c r="K24" s="21" t="s">
        <v>207</v>
      </c>
      <c r="L24" s="21" t="s">
        <v>207</v>
      </c>
      <c r="M24" s="21" t="s">
        <v>207</v>
      </c>
      <c r="N24" s="21" t="s">
        <v>207</v>
      </c>
      <c r="O24" s="21" t="s">
        <v>207</v>
      </c>
      <c r="P24" s="21">
        <v>1125</v>
      </c>
      <c r="Q24" s="21">
        <v>3502371.14</v>
      </c>
      <c r="R24" s="21">
        <v>61.29</v>
      </c>
      <c r="S24" s="21">
        <v>190747.69</v>
      </c>
      <c r="T24" s="21">
        <v>88.71</v>
      </c>
      <c r="U24" s="21">
        <v>276060.82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9FA27-7B16-5F45-8D63-617412214CF0}">
  <dimension ref="A1:N1000"/>
  <sheetViews>
    <sheetView zoomScale="135" workbookViewId="0">
      <selection activeCell="E1" sqref="E1"/>
    </sheetView>
  </sheetViews>
  <sheetFormatPr baseColWidth="10" defaultColWidth="11" defaultRowHeight="16" x14ac:dyDescent="0.2"/>
  <cols>
    <col min="1" max="3" width="13.1640625" customWidth="1"/>
    <col min="4" max="4" width="18.6640625" style="1" customWidth="1"/>
    <col min="5" max="5" width="13.5" customWidth="1"/>
  </cols>
  <sheetData>
    <row r="1" spans="1:14" s="1" customFormat="1" ht="48" x14ac:dyDescent="0.2">
      <c r="A1" s="41" t="s">
        <v>455</v>
      </c>
      <c r="B1" s="41" t="s">
        <v>456</v>
      </c>
      <c r="C1" s="41" t="s">
        <v>457</v>
      </c>
      <c r="D1" s="41" t="s">
        <v>141</v>
      </c>
      <c r="E1" s="151" t="s">
        <v>458</v>
      </c>
      <c r="I1" s="170" t="s">
        <v>141</v>
      </c>
      <c r="J1" s="150" t="s">
        <v>459</v>
      </c>
      <c r="K1" s="150" t="s">
        <v>460</v>
      </c>
      <c r="L1" s="150" t="s">
        <v>461</v>
      </c>
      <c r="M1" s="151" t="s">
        <v>458</v>
      </c>
      <c r="N1" s="41" t="s">
        <v>462</v>
      </c>
    </row>
    <row r="2" spans="1:14" x14ac:dyDescent="0.2">
      <c r="A2" s="21">
        <v>1</v>
      </c>
      <c r="B2" s="21">
        <v>1</v>
      </c>
      <c r="C2" s="21">
        <v>1</v>
      </c>
      <c r="D2" s="23" t="s">
        <v>115</v>
      </c>
      <c r="E2" s="21">
        <f>M2</f>
        <v>64.023878557564615</v>
      </c>
      <c r="I2" s="171" t="s">
        <v>115</v>
      </c>
      <c r="J2" s="157">
        <v>564418</v>
      </c>
      <c r="K2" s="157">
        <v>0.13433445704362035</v>
      </c>
      <c r="L2" s="157">
        <v>640238.78557564609</v>
      </c>
      <c r="M2" s="172">
        <v>64.023878557564615</v>
      </c>
      <c r="N2" s="21">
        <v>11.103999999999999</v>
      </c>
    </row>
    <row r="3" spans="1:14" x14ac:dyDescent="0.2">
      <c r="A3" s="21">
        <v>1</v>
      </c>
      <c r="B3" s="21">
        <v>1</v>
      </c>
      <c r="C3" s="21">
        <v>1</v>
      </c>
      <c r="D3" s="23" t="s">
        <v>121</v>
      </c>
      <c r="E3" s="21">
        <f t="shared" ref="E3:E23" si="0">M3</f>
        <v>7.3357870741482953</v>
      </c>
      <c r="I3" s="171" t="s">
        <v>121</v>
      </c>
      <c r="J3" s="157">
        <v>64715</v>
      </c>
      <c r="K3" s="157">
        <v>0.13355281992556539</v>
      </c>
      <c r="L3" s="157">
        <v>73357.870741482955</v>
      </c>
      <c r="M3" s="172">
        <v>7.3357870741482953</v>
      </c>
      <c r="N3" s="21">
        <v>7.9189999999999996</v>
      </c>
    </row>
    <row r="4" spans="1:14" x14ac:dyDescent="0.2">
      <c r="A4" s="21">
        <v>1</v>
      </c>
      <c r="B4" s="21">
        <v>1</v>
      </c>
      <c r="C4" s="21">
        <v>1</v>
      </c>
      <c r="D4" s="23" t="s">
        <v>122</v>
      </c>
      <c r="E4" s="21">
        <f t="shared" si="0"/>
        <v>6.4709383908045979</v>
      </c>
      <c r="I4" s="171" t="s">
        <v>122</v>
      </c>
      <c r="J4" s="157">
        <v>47964.333333333336</v>
      </c>
      <c r="K4" s="157">
        <v>0.34911463187325259</v>
      </c>
      <c r="L4" s="157">
        <v>64709.38390804598</v>
      </c>
      <c r="M4" s="172">
        <v>6.4709383908045979</v>
      </c>
      <c r="N4" s="21">
        <v>6.2939999999999996</v>
      </c>
    </row>
    <row r="5" spans="1:14" x14ac:dyDescent="0.2">
      <c r="A5" s="21">
        <v>1</v>
      </c>
      <c r="B5" s="21">
        <v>1</v>
      </c>
      <c r="C5" s="21">
        <v>1</v>
      </c>
      <c r="D5" s="23" t="s">
        <v>116</v>
      </c>
      <c r="E5" s="21">
        <f t="shared" si="0"/>
        <v>32.088052916070147</v>
      </c>
      <c r="I5" s="171" t="s">
        <v>116</v>
      </c>
      <c r="J5" s="157">
        <v>238386.06666666668</v>
      </c>
      <c r="K5" s="157">
        <v>0.34605404438081599</v>
      </c>
      <c r="L5" s="157">
        <v>320880.5291607015</v>
      </c>
      <c r="M5" s="172">
        <v>32.088052916070147</v>
      </c>
      <c r="N5" s="21">
        <v>30.087</v>
      </c>
    </row>
    <row r="6" spans="1:14" x14ac:dyDescent="0.2">
      <c r="A6" s="21">
        <v>1</v>
      </c>
      <c r="B6" s="21">
        <v>1</v>
      </c>
      <c r="C6" s="21">
        <v>1</v>
      </c>
      <c r="D6" s="23" t="s">
        <v>262</v>
      </c>
      <c r="E6" s="21">
        <f t="shared" si="0"/>
        <v>27.040952949909762</v>
      </c>
      <c r="I6" s="171" t="s">
        <v>262</v>
      </c>
      <c r="J6" s="157">
        <v>238386.06666666668</v>
      </c>
      <c r="K6" s="157">
        <v>0.13433445704362035</v>
      </c>
      <c r="L6" s="157">
        <v>270409.52949909761</v>
      </c>
      <c r="M6" s="172">
        <v>27.040952949909762</v>
      </c>
      <c r="N6" s="21">
        <v>11.103999999999999</v>
      </c>
    </row>
    <row r="7" spans="1:14" ht="32" x14ac:dyDescent="0.2">
      <c r="A7" s="21">
        <v>1</v>
      </c>
      <c r="B7" s="21">
        <v>1</v>
      </c>
      <c r="C7" s="21">
        <v>1</v>
      </c>
      <c r="D7" s="23" t="s">
        <v>128</v>
      </c>
      <c r="E7" s="21">
        <f t="shared" si="0"/>
        <v>9.6671385432628441</v>
      </c>
      <c r="I7" s="171" t="s">
        <v>128</v>
      </c>
      <c r="J7" s="157">
        <v>85223</v>
      </c>
      <c r="K7" s="157">
        <v>0.13433445704362035</v>
      </c>
      <c r="L7" s="157">
        <v>96671.385432628449</v>
      </c>
      <c r="M7" s="172">
        <v>9.6671385432628441</v>
      </c>
      <c r="N7" s="21">
        <v>11.103999999999999</v>
      </c>
    </row>
    <row r="8" spans="1:14" x14ac:dyDescent="0.2">
      <c r="A8" s="21">
        <v>1</v>
      </c>
      <c r="B8" s="21">
        <v>1</v>
      </c>
      <c r="C8" s="21">
        <v>1</v>
      </c>
      <c r="D8" s="23" t="s">
        <v>123</v>
      </c>
      <c r="E8" s="21">
        <f t="shared" si="0"/>
        <v>14.176879509964628</v>
      </c>
      <c r="I8" s="171" t="s">
        <v>123</v>
      </c>
      <c r="J8" s="157">
        <v>108279</v>
      </c>
      <c r="K8" s="157">
        <v>0.3092916918298681</v>
      </c>
      <c r="L8" s="157">
        <v>141768.79509964629</v>
      </c>
      <c r="M8" s="172">
        <v>14.176879509964628</v>
      </c>
      <c r="N8" s="21">
        <v>15.176</v>
      </c>
    </row>
    <row r="9" spans="1:14" x14ac:dyDescent="0.2">
      <c r="A9" s="21">
        <v>1</v>
      </c>
      <c r="B9" s="21">
        <v>1</v>
      </c>
      <c r="C9" s="21">
        <v>1</v>
      </c>
      <c r="D9" s="23" t="s">
        <v>124</v>
      </c>
      <c r="E9" s="21">
        <f t="shared" si="0"/>
        <v>3.1929495992544266</v>
      </c>
      <c r="I9" s="171" t="s">
        <v>124</v>
      </c>
      <c r="J9" s="157">
        <v>23667</v>
      </c>
      <c r="K9" s="157">
        <v>0.34911463187325259</v>
      </c>
      <c r="L9" s="157">
        <v>31929.495992544267</v>
      </c>
      <c r="M9" s="172">
        <v>3.1929495992544266</v>
      </c>
      <c r="N9" s="21">
        <v>3.871</v>
      </c>
    </row>
    <row r="10" spans="1:14" x14ac:dyDescent="0.2">
      <c r="A10" s="21">
        <v>1</v>
      </c>
      <c r="B10" s="21">
        <v>1</v>
      </c>
      <c r="C10" s="21">
        <v>1</v>
      </c>
      <c r="D10" s="23" t="s">
        <v>108</v>
      </c>
      <c r="E10" s="21">
        <f t="shared" si="0"/>
        <v>1.4705299881235157</v>
      </c>
      <c r="I10" s="171" t="s">
        <v>108</v>
      </c>
      <c r="J10" s="157">
        <v>14175</v>
      </c>
      <c r="K10" s="157">
        <v>3.7410926365795828E-2</v>
      </c>
      <c r="L10" s="157">
        <v>14705.299881235156</v>
      </c>
      <c r="M10" s="172">
        <v>1.4705299881235157</v>
      </c>
      <c r="N10" s="21">
        <v>1.5589999999999999</v>
      </c>
    </row>
    <row r="11" spans="1:14" x14ac:dyDescent="0.2">
      <c r="A11" s="21">
        <v>1</v>
      </c>
      <c r="B11" s="21">
        <v>1</v>
      </c>
      <c r="C11" s="21">
        <v>1</v>
      </c>
      <c r="D11" s="23" t="s">
        <v>125</v>
      </c>
      <c r="E11" s="21">
        <f t="shared" si="0"/>
        <v>7.2015739049394218</v>
      </c>
      <c r="I11" s="171" t="s">
        <v>125</v>
      </c>
      <c r="J11" s="157">
        <v>53380</v>
      </c>
      <c r="K11" s="157">
        <v>0.34911463187325259</v>
      </c>
      <c r="L11" s="157">
        <v>72015.739049394222</v>
      </c>
      <c r="M11" s="172">
        <v>7.2015739049394218</v>
      </c>
      <c r="N11" s="21">
        <v>6.2939999999999996</v>
      </c>
    </row>
    <row r="12" spans="1:14" x14ac:dyDescent="0.2">
      <c r="A12" s="21">
        <v>1</v>
      </c>
      <c r="B12" s="21">
        <v>1</v>
      </c>
      <c r="C12" s="21">
        <v>1</v>
      </c>
      <c r="D12" s="23" t="s">
        <v>118</v>
      </c>
      <c r="E12" s="21">
        <f t="shared" si="0"/>
        <v>15.124932034227369</v>
      </c>
      <c r="I12" s="171" t="s">
        <v>118</v>
      </c>
      <c r="J12" s="157">
        <v>121522</v>
      </c>
      <c r="K12" s="157">
        <v>0.24462500898827935</v>
      </c>
      <c r="L12" s="157">
        <v>151249.32034227368</v>
      </c>
      <c r="M12" s="172">
        <v>15.124932034227369</v>
      </c>
      <c r="N12" s="21">
        <v>34.618000000000002</v>
      </c>
    </row>
    <row r="13" spans="1:14" x14ac:dyDescent="0.2">
      <c r="A13" s="21">
        <v>1</v>
      </c>
      <c r="B13" s="21">
        <v>1</v>
      </c>
      <c r="C13" s="21">
        <v>1</v>
      </c>
      <c r="D13" s="23" t="s">
        <v>110</v>
      </c>
      <c r="E13" s="21">
        <f t="shared" si="0"/>
        <v>4.8133749999999997</v>
      </c>
      <c r="I13" s="171" t="s">
        <v>110</v>
      </c>
      <c r="J13" s="157">
        <v>37835</v>
      </c>
      <c r="K13" s="157">
        <v>0.27220166512488447</v>
      </c>
      <c r="L13" s="157">
        <v>48133.75</v>
      </c>
      <c r="M13" s="172">
        <v>4.8133749999999997</v>
      </c>
      <c r="N13" s="21">
        <v>5.5010000000000003</v>
      </c>
    </row>
    <row r="14" spans="1:14" x14ac:dyDescent="0.2">
      <c r="A14" s="21">
        <v>1</v>
      </c>
      <c r="B14" s="21">
        <v>1</v>
      </c>
      <c r="C14" s="21">
        <v>1</v>
      </c>
      <c r="D14" s="23" t="s">
        <v>106</v>
      </c>
      <c r="E14" s="21">
        <f t="shared" si="0"/>
        <v>56.428857230096511</v>
      </c>
      <c r="I14" s="171" t="s">
        <v>106</v>
      </c>
      <c r="J14" s="157">
        <v>411034</v>
      </c>
      <c r="K14" s="157">
        <v>0.37285132689987932</v>
      </c>
      <c r="L14" s="157">
        <v>564288.57230096508</v>
      </c>
      <c r="M14" s="172">
        <v>56.428857230096511</v>
      </c>
      <c r="N14" s="21">
        <v>72.837999999999994</v>
      </c>
    </row>
    <row r="15" spans="1:14" ht="32" x14ac:dyDescent="0.2">
      <c r="A15" s="21">
        <v>1</v>
      </c>
      <c r="B15" s="21">
        <v>1</v>
      </c>
      <c r="C15" s="21">
        <v>1</v>
      </c>
      <c r="D15" s="23" t="s">
        <v>109</v>
      </c>
      <c r="E15" s="21">
        <f t="shared" si="0"/>
        <v>3.9461151248843662</v>
      </c>
      <c r="I15" s="171" t="s">
        <v>109</v>
      </c>
      <c r="J15" s="157">
        <v>31018</v>
      </c>
      <c r="K15" s="157">
        <v>0.27220166512488447</v>
      </c>
      <c r="L15" s="157">
        <v>39461.151248843664</v>
      </c>
      <c r="M15" s="172">
        <v>3.9461151248843662</v>
      </c>
      <c r="N15" s="21">
        <v>5.5010000000000003</v>
      </c>
    </row>
    <row r="16" spans="1:14" x14ac:dyDescent="0.2">
      <c r="A16" s="21">
        <v>1</v>
      </c>
      <c r="B16" s="21">
        <v>1</v>
      </c>
      <c r="C16" s="21">
        <v>1</v>
      </c>
      <c r="D16" s="23" t="s">
        <v>113</v>
      </c>
      <c r="E16" s="21">
        <f t="shared" si="0"/>
        <v>3.4155892366831409</v>
      </c>
      <c r="I16" s="171" t="s">
        <v>113</v>
      </c>
      <c r="J16" s="157">
        <v>31216</v>
      </c>
      <c r="K16" s="157">
        <v>9.4179022515101588E-2</v>
      </c>
      <c r="L16" s="157">
        <v>34155.892366831409</v>
      </c>
      <c r="M16" s="172">
        <v>3.4155892366831409</v>
      </c>
      <c r="N16" s="21">
        <v>3.9849999999999999</v>
      </c>
    </row>
    <row r="17" spans="1:14" x14ac:dyDescent="0.2">
      <c r="A17" s="21">
        <v>1</v>
      </c>
      <c r="B17" s="21">
        <v>1</v>
      </c>
      <c r="C17" s="21">
        <v>1</v>
      </c>
      <c r="D17" s="23" t="s">
        <v>126</v>
      </c>
      <c r="E17" s="21">
        <f t="shared" si="0"/>
        <v>7.988782292637465</v>
      </c>
      <c r="I17" s="171" t="s">
        <v>126</v>
      </c>
      <c r="J17" s="157">
        <v>59215</v>
      </c>
      <c r="K17" s="157">
        <v>0.34911463187325259</v>
      </c>
      <c r="L17" s="157">
        <v>79887.822926374647</v>
      </c>
      <c r="M17" s="172">
        <v>7.988782292637465</v>
      </c>
      <c r="N17" s="21">
        <v>6.2939999999999996</v>
      </c>
    </row>
    <row r="18" spans="1:14" x14ac:dyDescent="0.2">
      <c r="A18" s="21">
        <v>1</v>
      </c>
      <c r="B18" s="21">
        <v>1</v>
      </c>
      <c r="C18" s="21">
        <v>1</v>
      </c>
      <c r="D18" s="23" t="s">
        <v>111</v>
      </c>
      <c r="E18" s="21">
        <f t="shared" si="0"/>
        <v>3.5762861008325628</v>
      </c>
      <c r="I18" s="171" t="s">
        <v>111</v>
      </c>
      <c r="J18" s="157">
        <v>28111</v>
      </c>
      <c r="K18" s="157">
        <v>0.27220166512488447</v>
      </c>
      <c r="L18" s="157">
        <v>35762.861008325628</v>
      </c>
      <c r="M18" s="172">
        <v>3.5762861008325628</v>
      </c>
      <c r="N18" s="21">
        <v>3.0230000000000001</v>
      </c>
    </row>
    <row r="19" spans="1:14" x14ac:dyDescent="0.2">
      <c r="A19" s="21">
        <v>1</v>
      </c>
      <c r="B19" s="21">
        <v>1</v>
      </c>
      <c r="C19" s="21">
        <v>1</v>
      </c>
      <c r="D19" s="23" t="s">
        <v>107</v>
      </c>
      <c r="E19" s="21">
        <f t="shared" si="0"/>
        <v>107.2018986080349</v>
      </c>
      <c r="I19" s="171" t="s">
        <v>107</v>
      </c>
      <c r="J19" s="157">
        <v>870731</v>
      </c>
      <c r="K19" s="157">
        <v>0.23117126423700179</v>
      </c>
      <c r="L19" s="157">
        <v>1072018.986080349</v>
      </c>
      <c r="M19" s="172">
        <v>107.2018986080349</v>
      </c>
      <c r="N19" s="21">
        <v>140.63300000000001</v>
      </c>
    </row>
    <row r="20" spans="1:14" x14ac:dyDescent="0.2">
      <c r="A20" s="21">
        <v>1</v>
      </c>
      <c r="B20" s="21">
        <v>1</v>
      </c>
      <c r="C20" s="21">
        <v>1</v>
      </c>
      <c r="D20" s="23" t="s">
        <v>114</v>
      </c>
      <c r="E20" s="21">
        <f t="shared" si="0"/>
        <v>3.3292093953185953</v>
      </c>
      <c r="I20" s="171" t="s">
        <v>114</v>
      </c>
      <c r="J20" s="157">
        <v>26051</v>
      </c>
      <c r="K20" s="157">
        <v>0.27795838751625485</v>
      </c>
      <c r="L20" s="157">
        <v>33292.093953185955</v>
      </c>
      <c r="M20" s="172">
        <v>3.3292093953185953</v>
      </c>
      <c r="N20" s="21">
        <v>3.931</v>
      </c>
    </row>
    <row r="21" spans="1:14" ht="32" x14ac:dyDescent="0.2">
      <c r="A21" s="21">
        <v>1</v>
      </c>
      <c r="B21" s="21">
        <v>1</v>
      </c>
      <c r="C21" s="21">
        <v>1</v>
      </c>
      <c r="D21" s="23" t="s">
        <v>119</v>
      </c>
      <c r="E21" s="21">
        <f t="shared" si="0"/>
        <v>237.0930986122097</v>
      </c>
      <c r="I21" s="171" t="s">
        <v>119</v>
      </c>
      <c r="J21" s="157">
        <v>1904936</v>
      </c>
      <c r="K21" s="157">
        <v>0.24462500898827935</v>
      </c>
      <c r="L21" s="157">
        <v>2370930.9861220969</v>
      </c>
      <c r="M21" s="172">
        <v>237.0930986122097</v>
      </c>
      <c r="N21" s="21">
        <v>34.618000000000002</v>
      </c>
    </row>
    <row r="22" spans="1:14" x14ac:dyDescent="0.2">
      <c r="A22" s="21">
        <v>1</v>
      </c>
      <c r="B22" s="21">
        <v>1</v>
      </c>
      <c r="C22" s="21">
        <v>1</v>
      </c>
      <c r="D22" s="23" t="s">
        <v>120</v>
      </c>
      <c r="E22" s="21">
        <f t="shared" si="0"/>
        <v>35.860177246470606</v>
      </c>
      <c r="I22" s="171" t="s">
        <v>120</v>
      </c>
      <c r="J22" s="157">
        <v>288120.33333333331</v>
      </c>
      <c r="K22" s="157">
        <v>0.24462500898827935</v>
      </c>
      <c r="L22" s="157">
        <v>358601.77246470604</v>
      </c>
      <c r="M22" s="172">
        <v>35.860177246470606</v>
      </c>
      <c r="N22" s="21">
        <v>34.618000000000002</v>
      </c>
    </row>
    <row r="23" spans="1:14" ht="17" thickBot="1" x14ac:dyDescent="0.25">
      <c r="A23" s="21">
        <v>1</v>
      </c>
      <c r="B23" s="21">
        <v>1</v>
      </c>
      <c r="C23" s="21">
        <v>1</v>
      </c>
      <c r="D23" s="23" t="s">
        <v>127</v>
      </c>
      <c r="E23" s="21">
        <f t="shared" si="0"/>
        <v>6.503754715969988</v>
      </c>
      <c r="I23" s="173" t="s">
        <v>127</v>
      </c>
      <c r="J23" s="174">
        <v>57763</v>
      </c>
      <c r="K23" s="174">
        <v>0.12593783494105029</v>
      </c>
      <c r="L23" s="174">
        <v>65037.547159699883</v>
      </c>
      <c r="M23" s="175">
        <v>6.503754715969988</v>
      </c>
      <c r="N23" s="21">
        <v>8.4039999999999999</v>
      </c>
    </row>
    <row r="24" spans="1:14" x14ac:dyDescent="0.2">
      <c r="A24" s="21">
        <v>1</v>
      </c>
      <c r="B24" s="21">
        <v>1</v>
      </c>
      <c r="C24" s="21">
        <v>0</v>
      </c>
      <c r="D24" s="23" t="s">
        <v>463</v>
      </c>
    </row>
    <row r="25" spans="1:14" x14ac:dyDescent="0.2">
      <c r="A25" s="21">
        <v>1</v>
      </c>
      <c r="B25" s="21">
        <v>1</v>
      </c>
      <c r="C25" s="21">
        <v>0</v>
      </c>
      <c r="D25" s="23" t="s">
        <v>464</v>
      </c>
    </row>
    <row r="26" spans="1:14" x14ac:dyDescent="0.2">
      <c r="A26" s="21">
        <v>1</v>
      </c>
      <c r="B26" s="21">
        <v>1</v>
      </c>
      <c r="C26" s="21">
        <v>0</v>
      </c>
      <c r="D26" s="23" t="s">
        <v>465</v>
      </c>
    </row>
    <row r="27" spans="1:14" x14ac:dyDescent="0.2">
      <c r="A27" s="21">
        <v>1</v>
      </c>
      <c r="B27" s="21">
        <v>1</v>
      </c>
      <c r="C27" s="21">
        <v>0</v>
      </c>
      <c r="D27" s="23" t="s">
        <v>466</v>
      </c>
    </row>
    <row r="28" spans="1:14" x14ac:dyDescent="0.2">
      <c r="A28" s="21">
        <v>1</v>
      </c>
      <c r="B28" s="21">
        <v>1</v>
      </c>
      <c r="C28" s="21">
        <v>0</v>
      </c>
      <c r="D28" s="23" t="s">
        <v>467</v>
      </c>
    </row>
    <row r="29" spans="1:14" x14ac:dyDescent="0.2">
      <c r="A29" s="21">
        <v>1</v>
      </c>
      <c r="B29" s="21">
        <v>1</v>
      </c>
      <c r="C29" s="21">
        <v>0</v>
      </c>
      <c r="D29" s="23" t="s">
        <v>80</v>
      </c>
    </row>
    <row r="30" spans="1:14" x14ac:dyDescent="0.2">
      <c r="A30" s="21">
        <v>1</v>
      </c>
      <c r="B30" s="21">
        <v>1</v>
      </c>
      <c r="C30" s="21">
        <v>0</v>
      </c>
      <c r="D30" s="23" t="s">
        <v>468</v>
      </c>
    </row>
    <row r="31" spans="1:14" x14ac:dyDescent="0.2">
      <c r="A31" s="21">
        <v>1</v>
      </c>
      <c r="B31" s="21">
        <v>1</v>
      </c>
      <c r="C31" s="21">
        <v>0</v>
      </c>
      <c r="D31" s="23" t="s">
        <v>469</v>
      </c>
    </row>
    <row r="32" spans="1:14" x14ac:dyDescent="0.2">
      <c r="A32" s="21">
        <v>1</v>
      </c>
      <c r="B32" s="21">
        <v>1</v>
      </c>
      <c r="C32" s="21">
        <v>0</v>
      </c>
      <c r="D32" s="23" t="s">
        <v>84</v>
      </c>
    </row>
    <row r="33" spans="1:4" x14ac:dyDescent="0.2">
      <c r="A33" s="21">
        <v>1</v>
      </c>
      <c r="B33" s="21">
        <v>0</v>
      </c>
      <c r="C33" s="21">
        <v>0</v>
      </c>
      <c r="D33" s="23" t="s">
        <v>470</v>
      </c>
    </row>
    <row r="34" spans="1:4" x14ac:dyDescent="0.2">
      <c r="A34" s="21">
        <v>1</v>
      </c>
      <c r="B34" s="21">
        <v>0</v>
      </c>
      <c r="C34" s="21">
        <v>0</v>
      </c>
      <c r="D34" s="23" t="s">
        <v>471</v>
      </c>
    </row>
    <row r="35" spans="1:4" x14ac:dyDescent="0.2">
      <c r="A35" s="21">
        <v>1</v>
      </c>
      <c r="B35" s="21">
        <v>0</v>
      </c>
      <c r="C35" s="21">
        <v>0</v>
      </c>
      <c r="D35" s="23" t="s">
        <v>472</v>
      </c>
    </row>
    <row r="36" spans="1:4" x14ac:dyDescent="0.2">
      <c r="A36" s="21">
        <v>1</v>
      </c>
      <c r="B36" s="21">
        <v>0</v>
      </c>
      <c r="C36" s="21">
        <v>0</v>
      </c>
      <c r="D36" s="23" t="s">
        <v>156</v>
      </c>
    </row>
    <row r="37" spans="1:4" x14ac:dyDescent="0.2">
      <c r="A37" s="21">
        <v>1</v>
      </c>
      <c r="B37" s="21">
        <v>0</v>
      </c>
      <c r="C37" s="21">
        <v>0</v>
      </c>
      <c r="D37" s="23" t="s">
        <v>473</v>
      </c>
    </row>
    <row r="38" spans="1:4" x14ac:dyDescent="0.2">
      <c r="A38" s="21">
        <v>1</v>
      </c>
      <c r="B38" s="21">
        <v>0</v>
      </c>
      <c r="C38" s="21">
        <v>0</v>
      </c>
      <c r="D38" s="23" t="s">
        <v>474</v>
      </c>
    </row>
    <row r="39" spans="1:4" x14ac:dyDescent="0.2">
      <c r="A39" s="21">
        <v>1</v>
      </c>
      <c r="B39" s="21">
        <v>0</v>
      </c>
      <c r="C39" s="21">
        <v>0</v>
      </c>
      <c r="D39" s="23" t="s">
        <v>475</v>
      </c>
    </row>
    <row r="40" spans="1:4" x14ac:dyDescent="0.2">
      <c r="A40" s="21">
        <v>1</v>
      </c>
      <c r="B40" s="21">
        <v>0</v>
      </c>
      <c r="C40" s="21">
        <v>0</v>
      </c>
      <c r="D40" s="23" t="s">
        <v>69</v>
      </c>
    </row>
    <row r="41" spans="1:4" x14ac:dyDescent="0.2">
      <c r="A41" s="21">
        <v>1</v>
      </c>
      <c r="B41" s="21">
        <v>0</v>
      </c>
      <c r="C41" s="21">
        <v>0</v>
      </c>
      <c r="D41" s="23" t="s">
        <v>476</v>
      </c>
    </row>
    <row r="42" spans="1:4" x14ac:dyDescent="0.2">
      <c r="A42" s="21">
        <v>1</v>
      </c>
      <c r="B42" s="21">
        <v>0</v>
      </c>
      <c r="C42" s="21">
        <v>0</v>
      </c>
      <c r="D42" s="23" t="s">
        <v>477</v>
      </c>
    </row>
    <row r="43" spans="1:4" x14ac:dyDescent="0.2">
      <c r="A43" s="21">
        <v>1</v>
      </c>
      <c r="B43" s="21">
        <v>0</v>
      </c>
      <c r="C43" s="21">
        <v>0</v>
      </c>
      <c r="D43" s="23" t="s">
        <v>478</v>
      </c>
    </row>
    <row r="44" spans="1:4" x14ac:dyDescent="0.2">
      <c r="A44" s="21">
        <v>1</v>
      </c>
      <c r="B44" s="21">
        <v>0</v>
      </c>
      <c r="C44" s="21">
        <v>0</v>
      </c>
      <c r="D44" s="23" t="s">
        <v>170</v>
      </c>
    </row>
    <row r="45" spans="1:4" x14ac:dyDescent="0.2">
      <c r="A45" s="21">
        <v>1</v>
      </c>
      <c r="B45" s="21">
        <v>0</v>
      </c>
      <c r="C45" s="21">
        <v>0</v>
      </c>
      <c r="D45" s="23" t="s">
        <v>449</v>
      </c>
    </row>
    <row r="46" spans="1:4" x14ac:dyDescent="0.2">
      <c r="A46" s="21">
        <v>1</v>
      </c>
      <c r="B46" s="21">
        <v>0</v>
      </c>
      <c r="C46" s="21">
        <v>0</v>
      </c>
      <c r="D46" s="23" t="s">
        <v>479</v>
      </c>
    </row>
    <row r="47" spans="1:4" x14ac:dyDescent="0.2">
      <c r="A47" s="21">
        <v>1</v>
      </c>
      <c r="B47" s="21">
        <v>0</v>
      </c>
      <c r="C47" s="21">
        <v>0</v>
      </c>
      <c r="D47" s="23" t="s">
        <v>480</v>
      </c>
    </row>
    <row r="48" spans="1:4" x14ac:dyDescent="0.2">
      <c r="A48" s="21">
        <v>1</v>
      </c>
      <c r="B48" s="21">
        <v>0</v>
      </c>
      <c r="C48" s="21">
        <v>0</v>
      </c>
      <c r="D48" s="23" t="s">
        <v>168</v>
      </c>
    </row>
    <row r="49" spans="1:4" x14ac:dyDescent="0.2">
      <c r="A49" s="21">
        <v>1</v>
      </c>
      <c r="B49" s="21">
        <v>0</v>
      </c>
      <c r="C49" s="21">
        <v>0</v>
      </c>
      <c r="D49" s="23" t="s">
        <v>169</v>
      </c>
    </row>
    <row r="50" spans="1:4" x14ac:dyDescent="0.2">
      <c r="A50" s="21">
        <v>0</v>
      </c>
      <c r="B50" s="21">
        <v>0</v>
      </c>
      <c r="C50" s="21">
        <v>0</v>
      </c>
      <c r="D50" s="23" t="s">
        <v>481</v>
      </c>
    </row>
    <row r="51" spans="1:4" ht="32" x14ac:dyDescent="0.2">
      <c r="A51" s="21">
        <v>0</v>
      </c>
      <c r="B51" s="21">
        <v>0</v>
      </c>
      <c r="C51" s="21">
        <v>0</v>
      </c>
      <c r="D51" s="23" t="s">
        <v>482</v>
      </c>
    </row>
    <row r="52" spans="1:4" x14ac:dyDescent="0.2">
      <c r="A52" s="21">
        <v>0</v>
      </c>
      <c r="B52" s="21">
        <v>0</v>
      </c>
      <c r="C52" s="21">
        <v>0</v>
      </c>
      <c r="D52" s="23" t="s">
        <v>483</v>
      </c>
    </row>
    <row r="53" spans="1:4" x14ac:dyDescent="0.2">
      <c r="A53" s="21">
        <v>0</v>
      </c>
      <c r="B53" s="21">
        <v>0</v>
      </c>
      <c r="C53" s="21">
        <v>0</v>
      </c>
      <c r="D53" s="23" t="s">
        <v>484</v>
      </c>
    </row>
    <row r="54" spans="1:4" x14ac:dyDescent="0.2">
      <c r="A54" s="21">
        <v>0</v>
      </c>
      <c r="B54" s="21">
        <v>0</v>
      </c>
      <c r="C54" s="21">
        <v>0</v>
      </c>
      <c r="D54" s="23" t="s">
        <v>485</v>
      </c>
    </row>
    <row r="55" spans="1:4" x14ac:dyDescent="0.2">
      <c r="A55" s="21">
        <v>0</v>
      </c>
      <c r="B55" s="21">
        <v>0</v>
      </c>
      <c r="C55" s="21">
        <v>0</v>
      </c>
      <c r="D55" s="23" t="s">
        <v>486</v>
      </c>
    </row>
    <row r="56" spans="1:4" x14ac:dyDescent="0.2">
      <c r="A56" s="21">
        <v>0</v>
      </c>
      <c r="B56" s="21">
        <v>0</v>
      </c>
      <c r="C56" s="21">
        <v>0</v>
      </c>
      <c r="D56" s="23" t="s">
        <v>487</v>
      </c>
    </row>
    <row r="57" spans="1:4" x14ac:dyDescent="0.2">
      <c r="A57" s="21">
        <v>0</v>
      </c>
      <c r="B57" s="21">
        <v>0</v>
      </c>
      <c r="C57" s="21">
        <v>0</v>
      </c>
      <c r="D57" s="23" t="s">
        <v>488</v>
      </c>
    </row>
    <row r="58" spans="1:4" ht="32" x14ac:dyDescent="0.2">
      <c r="A58" s="21">
        <v>0</v>
      </c>
      <c r="B58" s="21">
        <v>0</v>
      </c>
      <c r="C58" s="21">
        <v>0</v>
      </c>
      <c r="D58" s="23" t="s">
        <v>489</v>
      </c>
    </row>
    <row r="59" spans="1:4" x14ac:dyDescent="0.2">
      <c r="A59" s="21">
        <v>0</v>
      </c>
      <c r="B59" s="21">
        <v>0</v>
      </c>
      <c r="C59" s="21">
        <v>0</v>
      </c>
      <c r="D59" s="23" t="s">
        <v>490</v>
      </c>
    </row>
    <row r="60" spans="1:4" x14ac:dyDescent="0.2">
      <c r="A60" s="21">
        <v>0</v>
      </c>
      <c r="B60" s="21">
        <v>0</v>
      </c>
      <c r="C60" s="21">
        <v>0</v>
      </c>
      <c r="D60" s="23" t="s">
        <v>491</v>
      </c>
    </row>
    <row r="61" spans="1:4" x14ac:dyDescent="0.2">
      <c r="A61" s="21">
        <v>0</v>
      </c>
      <c r="B61" s="21">
        <v>0</v>
      </c>
      <c r="C61" s="21">
        <v>0</v>
      </c>
      <c r="D61" s="23" t="s">
        <v>492</v>
      </c>
    </row>
    <row r="62" spans="1:4" x14ac:dyDescent="0.2">
      <c r="A62" s="21">
        <v>0</v>
      </c>
      <c r="B62" s="21">
        <v>0</v>
      </c>
      <c r="C62" s="21">
        <v>0</v>
      </c>
      <c r="D62" s="23" t="s">
        <v>493</v>
      </c>
    </row>
    <row r="63" spans="1:4" x14ac:dyDescent="0.2">
      <c r="A63" s="21">
        <v>0</v>
      </c>
      <c r="B63" s="21">
        <v>0</v>
      </c>
      <c r="C63" s="21">
        <v>0</v>
      </c>
      <c r="D63" s="23" t="s">
        <v>494</v>
      </c>
    </row>
    <row r="64" spans="1:4" x14ac:dyDescent="0.2">
      <c r="A64" s="21">
        <v>0</v>
      </c>
      <c r="B64" s="21">
        <v>0</v>
      </c>
      <c r="C64" s="21">
        <v>0</v>
      </c>
      <c r="D64" s="23" t="s">
        <v>495</v>
      </c>
    </row>
    <row r="65" spans="1:4" x14ac:dyDescent="0.2">
      <c r="A65" s="21">
        <v>0</v>
      </c>
      <c r="B65" s="21">
        <v>0</v>
      </c>
      <c r="C65" s="21">
        <v>0</v>
      </c>
      <c r="D65" s="23" t="s">
        <v>496</v>
      </c>
    </row>
    <row r="66" spans="1:4" x14ac:dyDescent="0.2">
      <c r="A66" s="21">
        <v>0</v>
      </c>
      <c r="B66" s="21">
        <v>0</v>
      </c>
      <c r="C66" s="21">
        <v>0</v>
      </c>
      <c r="D66" s="23" t="s">
        <v>497</v>
      </c>
    </row>
    <row r="67" spans="1:4" x14ac:dyDescent="0.2">
      <c r="A67" s="21">
        <v>0</v>
      </c>
      <c r="B67" s="21">
        <v>0</v>
      </c>
      <c r="C67" s="21">
        <v>0</v>
      </c>
      <c r="D67" s="23" t="s">
        <v>498</v>
      </c>
    </row>
    <row r="68" spans="1:4" ht="32" x14ac:dyDescent="0.2">
      <c r="A68" s="21">
        <v>0</v>
      </c>
      <c r="B68" s="21">
        <v>0</v>
      </c>
      <c r="C68" s="21">
        <v>0</v>
      </c>
      <c r="D68" s="23" t="s">
        <v>499</v>
      </c>
    </row>
    <row r="69" spans="1:4" x14ac:dyDescent="0.2">
      <c r="A69" s="21">
        <v>0</v>
      </c>
      <c r="B69" s="21">
        <v>0</v>
      </c>
      <c r="C69" s="21">
        <v>0</v>
      </c>
      <c r="D69" s="23" t="s">
        <v>500</v>
      </c>
    </row>
    <row r="70" spans="1:4" x14ac:dyDescent="0.2">
      <c r="A70" s="21">
        <v>0</v>
      </c>
      <c r="B70" s="21">
        <v>0</v>
      </c>
      <c r="C70" s="21">
        <v>0</v>
      </c>
      <c r="D70" s="23" t="s">
        <v>501</v>
      </c>
    </row>
    <row r="71" spans="1:4" ht="32" x14ac:dyDescent="0.2">
      <c r="A71" s="21">
        <v>0</v>
      </c>
      <c r="B71" s="21">
        <v>0</v>
      </c>
      <c r="C71" s="21">
        <v>0</v>
      </c>
      <c r="D71" s="23" t="s">
        <v>502</v>
      </c>
    </row>
    <row r="72" spans="1:4" x14ac:dyDescent="0.2">
      <c r="A72" s="21">
        <v>0</v>
      </c>
      <c r="B72" s="21">
        <v>0</v>
      </c>
      <c r="C72" s="21">
        <v>0</v>
      </c>
      <c r="D72" s="23" t="s">
        <v>503</v>
      </c>
    </row>
    <row r="73" spans="1:4" x14ac:dyDescent="0.2">
      <c r="A73" s="21">
        <v>0</v>
      </c>
      <c r="B73" s="21">
        <v>0</v>
      </c>
      <c r="C73" s="21">
        <v>0</v>
      </c>
      <c r="D73" s="23" t="s">
        <v>452</v>
      </c>
    </row>
    <row r="74" spans="1:4" x14ac:dyDescent="0.2">
      <c r="A74" s="21">
        <v>0</v>
      </c>
      <c r="B74" s="21">
        <v>0</v>
      </c>
      <c r="C74" s="21">
        <v>0</v>
      </c>
      <c r="D74" s="23" t="s">
        <v>504</v>
      </c>
    </row>
    <row r="75" spans="1:4" x14ac:dyDescent="0.2">
      <c r="A75" s="21">
        <v>0</v>
      </c>
      <c r="B75" s="21">
        <v>0</v>
      </c>
      <c r="C75" s="21">
        <v>0</v>
      </c>
      <c r="D75" s="23" t="s">
        <v>505</v>
      </c>
    </row>
    <row r="76" spans="1:4" x14ac:dyDescent="0.2">
      <c r="A76" s="21">
        <v>0</v>
      </c>
      <c r="B76" s="21">
        <v>0</v>
      </c>
      <c r="C76" s="21">
        <v>0</v>
      </c>
      <c r="D76" s="23" t="s">
        <v>506</v>
      </c>
    </row>
    <row r="77" spans="1:4" ht="32" x14ac:dyDescent="0.2">
      <c r="A77" s="21">
        <v>0</v>
      </c>
      <c r="B77" s="21"/>
      <c r="C77" s="21">
        <v>0</v>
      </c>
      <c r="D77" s="23" t="s">
        <v>507</v>
      </c>
    </row>
    <row r="78" spans="1:4" x14ac:dyDescent="0.2">
      <c r="A78" s="21">
        <v>0</v>
      </c>
      <c r="B78" s="21">
        <v>0</v>
      </c>
      <c r="C78" s="21">
        <v>0</v>
      </c>
      <c r="D78" s="23" t="s">
        <v>508</v>
      </c>
    </row>
    <row r="79" spans="1:4" x14ac:dyDescent="0.2">
      <c r="A79" s="21">
        <v>0</v>
      </c>
      <c r="B79" s="21">
        <v>0</v>
      </c>
      <c r="C79" s="21">
        <v>0</v>
      </c>
      <c r="D79" s="23" t="s">
        <v>509</v>
      </c>
    </row>
    <row r="80" spans="1:4" x14ac:dyDescent="0.2">
      <c r="A80" s="21">
        <v>0</v>
      </c>
      <c r="B80" s="21">
        <v>0</v>
      </c>
      <c r="C80" s="21">
        <v>0</v>
      </c>
      <c r="D80" s="23" t="s">
        <v>510</v>
      </c>
    </row>
    <row r="81" spans="1:4" x14ac:dyDescent="0.2">
      <c r="A81" s="21">
        <v>0</v>
      </c>
      <c r="B81" s="21">
        <v>0</v>
      </c>
      <c r="C81" s="21">
        <v>0</v>
      </c>
      <c r="D81" s="23" t="s">
        <v>511</v>
      </c>
    </row>
    <row r="82" spans="1:4" x14ac:dyDescent="0.2">
      <c r="A82" s="21">
        <v>0</v>
      </c>
      <c r="B82" s="21">
        <v>0</v>
      </c>
      <c r="C82" s="21">
        <v>0</v>
      </c>
      <c r="D82" s="23" t="s">
        <v>512</v>
      </c>
    </row>
    <row r="83" spans="1:4" x14ac:dyDescent="0.2">
      <c r="A83" s="21">
        <v>0</v>
      </c>
      <c r="B83" s="21">
        <v>0</v>
      </c>
      <c r="C83" s="21">
        <v>0</v>
      </c>
      <c r="D83" s="23" t="s">
        <v>513</v>
      </c>
    </row>
    <row r="84" spans="1:4" x14ac:dyDescent="0.2">
      <c r="A84" s="21">
        <v>0</v>
      </c>
      <c r="B84" s="21">
        <v>0</v>
      </c>
      <c r="C84" s="21">
        <v>0</v>
      </c>
      <c r="D84" s="23" t="s">
        <v>514</v>
      </c>
    </row>
    <row r="85" spans="1:4" ht="32" x14ac:dyDescent="0.2">
      <c r="A85" s="21">
        <v>0</v>
      </c>
      <c r="B85" s="21">
        <v>0</v>
      </c>
      <c r="C85" s="21">
        <v>0</v>
      </c>
      <c r="D85" s="23" t="s">
        <v>515</v>
      </c>
    </row>
    <row r="86" spans="1:4" x14ac:dyDescent="0.2">
      <c r="A86" s="21">
        <v>0</v>
      </c>
      <c r="B86" s="21">
        <v>0</v>
      </c>
      <c r="C86" s="21">
        <v>0</v>
      </c>
      <c r="D86" s="23" t="s">
        <v>516</v>
      </c>
    </row>
    <row r="87" spans="1:4" x14ac:dyDescent="0.2">
      <c r="A87" s="21">
        <v>0</v>
      </c>
      <c r="B87" s="21">
        <v>0</v>
      </c>
      <c r="C87" s="21">
        <v>0</v>
      </c>
      <c r="D87" s="23" t="s">
        <v>283</v>
      </c>
    </row>
    <row r="88" spans="1:4" x14ac:dyDescent="0.2">
      <c r="A88" s="21">
        <v>0</v>
      </c>
      <c r="B88" s="21">
        <v>0</v>
      </c>
      <c r="C88" s="21">
        <v>0</v>
      </c>
      <c r="D88" s="23" t="s">
        <v>517</v>
      </c>
    </row>
    <row r="89" spans="1:4" x14ac:dyDescent="0.2">
      <c r="A89" s="21">
        <v>0</v>
      </c>
      <c r="B89" s="21">
        <v>0</v>
      </c>
      <c r="C89" s="21">
        <v>0</v>
      </c>
      <c r="D89" s="23" t="s">
        <v>518</v>
      </c>
    </row>
    <row r="90" spans="1:4" x14ac:dyDescent="0.2">
      <c r="A90" s="21">
        <v>0</v>
      </c>
      <c r="B90" s="21">
        <v>0</v>
      </c>
      <c r="C90" s="21">
        <v>0</v>
      </c>
      <c r="D90" s="23" t="s">
        <v>519</v>
      </c>
    </row>
    <row r="91" spans="1:4" x14ac:dyDescent="0.2">
      <c r="A91" s="21">
        <v>0</v>
      </c>
      <c r="B91" s="21">
        <v>0</v>
      </c>
      <c r="C91" s="21">
        <v>0</v>
      </c>
      <c r="D91" s="23" t="s">
        <v>520</v>
      </c>
    </row>
    <row r="92" spans="1:4" x14ac:dyDescent="0.2">
      <c r="A92" s="21">
        <v>0</v>
      </c>
      <c r="B92" s="21">
        <v>0</v>
      </c>
      <c r="C92" s="21">
        <v>0</v>
      </c>
      <c r="D92" s="23" t="s">
        <v>521</v>
      </c>
    </row>
    <row r="93" spans="1:4" x14ac:dyDescent="0.2">
      <c r="A93" s="21">
        <v>0</v>
      </c>
      <c r="B93" s="21">
        <v>0</v>
      </c>
      <c r="C93" s="21">
        <v>0</v>
      </c>
      <c r="D93" s="23" t="s">
        <v>522</v>
      </c>
    </row>
    <row r="94" spans="1:4" x14ac:dyDescent="0.2">
      <c r="A94" s="21">
        <v>0</v>
      </c>
      <c r="B94" s="21">
        <v>0</v>
      </c>
      <c r="C94" s="21">
        <v>0</v>
      </c>
      <c r="D94" s="23" t="s">
        <v>523</v>
      </c>
    </row>
    <row r="95" spans="1:4" x14ac:dyDescent="0.2">
      <c r="A95" s="21">
        <v>0</v>
      </c>
      <c r="B95" s="21">
        <v>0</v>
      </c>
      <c r="C95" s="21">
        <v>0</v>
      </c>
      <c r="D95" s="23" t="s">
        <v>524</v>
      </c>
    </row>
    <row r="96" spans="1:4" x14ac:dyDescent="0.2">
      <c r="A96" s="21">
        <v>0</v>
      </c>
      <c r="B96" s="21">
        <v>0</v>
      </c>
      <c r="C96" s="21">
        <v>0</v>
      </c>
      <c r="D96" s="23" t="s">
        <v>525</v>
      </c>
    </row>
    <row r="97" spans="1:4" x14ac:dyDescent="0.2">
      <c r="A97" s="21"/>
      <c r="B97" s="21"/>
      <c r="C97" s="21"/>
      <c r="D97" s="23"/>
    </row>
    <row r="98" spans="1:4" x14ac:dyDescent="0.2">
      <c r="A98" s="21"/>
      <c r="B98" s="21"/>
      <c r="C98" s="21"/>
      <c r="D98" s="23"/>
    </row>
    <row r="99" spans="1:4" x14ac:dyDescent="0.2">
      <c r="A99" s="21"/>
      <c r="B99" s="21"/>
      <c r="C99" s="21"/>
      <c r="D99" s="23"/>
    </row>
    <row r="100" spans="1:4" x14ac:dyDescent="0.2">
      <c r="A100" s="21"/>
      <c r="B100" s="21"/>
      <c r="C100" s="21"/>
      <c r="D100" s="23"/>
    </row>
    <row r="101" spans="1:4" x14ac:dyDescent="0.2">
      <c r="A101" s="21"/>
      <c r="B101" s="21"/>
      <c r="C101" s="21"/>
      <c r="D101" s="23"/>
    </row>
    <row r="102" spans="1:4" x14ac:dyDescent="0.2">
      <c r="A102" s="21"/>
      <c r="B102" s="21"/>
      <c r="C102" s="21"/>
      <c r="D102" s="23"/>
    </row>
    <row r="103" spans="1:4" x14ac:dyDescent="0.2">
      <c r="A103" s="21"/>
      <c r="B103" s="21"/>
      <c r="C103" s="21"/>
      <c r="D103" s="23"/>
    </row>
    <row r="104" spans="1:4" x14ac:dyDescent="0.2">
      <c r="A104" s="21"/>
      <c r="B104" s="21"/>
      <c r="C104" s="21"/>
      <c r="D104" s="23"/>
    </row>
    <row r="105" spans="1:4" x14ac:dyDescent="0.2">
      <c r="A105" s="21"/>
      <c r="B105" s="21"/>
      <c r="C105" s="21"/>
      <c r="D105" s="23"/>
    </row>
    <row r="106" spans="1:4" x14ac:dyDescent="0.2">
      <c r="A106" s="21"/>
      <c r="B106" s="21"/>
      <c r="C106" s="21"/>
      <c r="D106" s="23"/>
    </row>
    <row r="107" spans="1:4" x14ac:dyDescent="0.2">
      <c r="A107" s="21"/>
      <c r="B107" s="21"/>
      <c r="C107" s="21"/>
      <c r="D107" s="23"/>
    </row>
    <row r="108" spans="1:4" x14ac:dyDescent="0.2">
      <c r="A108" s="21"/>
      <c r="B108" s="21"/>
      <c r="C108" s="21"/>
      <c r="D108" s="23"/>
    </row>
    <row r="109" spans="1:4" x14ac:dyDescent="0.2">
      <c r="A109" s="21"/>
      <c r="B109" s="21"/>
      <c r="C109" s="21"/>
      <c r="D109" s="23"/>
    </row>
    <row r="110" spans="1:4" x14ac:dyDescent="0.2">
      <c r="A110" s="21"/>
      <c r="B110" s="21"/>
      <c r="C110" s="21"/>
      <c r="D110" s="23"/>
    </row>
    <row r="111" spans="1:4" x14ac:dyDescent="0.2">
      <c r="A111" s="21"/>
      <c r="B111" s="21"/>
      <c r="C111" s="21"/>
      <c r="D111" s="23"/>
    </row>
    <row r="112" spans="1:4" x14ac:dyDescent="0.2">
      <c r="A112" s="21"/>
      <c r="B112" s="21"/>
      <c r="C112" s="21"/>
      <c r="D112" s="23"/>
    </row>
    <row r="113" spans="1:4" x14ac:dyDescent="0.2">
      <c r="A113" s="21"/>
      <c r="B113" s="21"/>
      <c r="C113" s="21"/>
      <c r="D113" s="23"/>
    </row>
    <row r="114" spans="1:4" x14ac:dyDescent="0.2">
      <c r="A114" s="21"/>
      <c r="B114" s="21"/>
      <c r="C114" s="21"/>
      <c r="D114" s="23"/>
    </row>
    <row r="115" spans="1:4" x14ac:dyDescent="0.2">
      <c r="A115" s="21"/>
      <c r="B115" s="21"/>
      <c r="C115" s="21"/>
      <c r="D115" s="23"/>
    </row>
    <row r="116" spans="1:4" x14ac:dyDescent="0.2">
      <c r="A116" s="21"/>
      <c r="B116" s="21"/>
      <c r="C116" s="21"/>
      <c r="D116" s="23"/>
    </row>
    <row r="117" spans="1:4" x14ac:dyDescent="0.2">
      <c r="A117" s="21"/>
      <c r="B117" s="21"/>
      <c r="C117" s="21"/>
      <c r="D117" s="23"/>
    </row>
    <row r="118" spans="1:4" x14ac:dyDescent="0.2">
      <c r="A118" s="21"/>
      <c r="B118" s="21"/>
      <c r="C118" s="21"/>
      <c r="D118" s="23"/>
    </row>
    <row r="119" spans="1:4" x14ac:dyDescent="0.2">
      <c r="A119" s="21"/>
      <c r="B119" s="21"/>
      <c r="C119" s="21"/>
      <c r="D119" s="23"/>
    </row>
    <row r="120" spans="1:4" x14ac:dyDescent="0.2">
      <c r="A120" s="21"/>
      <c r="B120" s="21"/>
      <c r="C120" s="21"/>
      <c r="D120" s="23"/>
    </row>
    <row r="121" spans="1:4" x14ac:dyDescent="0.2">
      <c r="A121" s="21"/>
      <c r="B121" s="21"/>
      <c r="C121" s="21"/>
      <c r="D121" s="23"/>
    </row>
    <row r="122" spans="1:4" x14ac:dyDescent="0.2">
      <c r="A122" s="21"/>
      <c r="B122" s="21"/>
      <c r="C122" s="21"/>
      <c r="D122" s="23"/>
    </row>
    <row r="123" spans="1:4" x14ac:dyDescent="0.2">
      <c r="A123" s="21"/>
      <c r="B123" s="21"/>
      <c r="C123" s="21"/>
      <c r="D123" s="23"/>
    </row>
    <row r="124" spans="1:4" x14ac:dyDescent="0.2">
      <c r="A124" s="21"/>
      <c r="B124" s="21"/>
      <c r="C124" s="21"/>
      <c r="D124" s="23"/>
    </row>
    <row r="125" spans="1:4" x14ac:dyDescent="0.2">
      <c r="A125" s="21"/>
      <c r="B125" s="21"/>
      <c r="C125" s="21"/>
      <c r="D125" s="23"/>
    </row>
    <row r="126" spans="1:4" x14ac:dyDescent="0.2">
      <c r="A126" s="21"/>
      <c r="B126" s="21"/>
      <c r="C126" s="21"/>
      <c r="D126" s="23"/>
    </row>
    <row r="127" spans="1:4" x14ac:dyDescent="0.2">
      <c r="A127" s="21"/>
      <c r="B127" s="21"/>
      <c r="C127" s="21"/>
      <c r="D127" s="23"/>
    </row>
    <row r="128" spans="1:4" x14ac:dyDescent="0.2">
      <c r="A128" s="21"/>
      <c r="B128" s="21"/>
      <c r="C128" s="21"/>
      <c r="D128" s="23"/>
    </row>
    <row r="129" spans="1:4" x14ac:dyDescent="0.2">
      <c r="A129" s="21"/>
      <c r="B129" s="21"/>
      <c r="C129" s="21"/>
      <c r="D129" s="23"/>
    </row>
    <row r="130" spans="1:4" x14ac:dyDescent="0.2">
      <c r="A130" s="21"/>
      <c r="B130" s="21"/>
      <c r="C130" s="21"/>
      <c r="D130" s="23"/>
    </row>
    <row r="131" spans="1:4" x14ac:dyDescent="0.2">
      <c r="A131" s="21"/>
      <c r="B131" s="21"/>
      <c r="C131" s="21"/>
      <c r="D131" s="23"/>
    </row>
    <row r="132" spans="1:4" x14ac:dyDescent="0.2">
      <c r="A132" s="21"/>
      <c r="B132" s="21"/>
      <c r="C132" s="21"/>
      <c r="D132" s="23"/>
    </row>
    <row r="133" spans="1:4" x14ac:dyDescent="0.2">
      <c r="A133" s="21"/>
      <c r="B133" s="21"/>
      <c r="C133" s="21"/>
      <c r="D133" s="23"/>
    </row>
    <row r="134" spans="1:4" x14ac:dyDescent="0.2">
      <c r="A134" s="21"/>
      <c r="B134" s="21"/>
      <c r="C134" s="21"/>
      <c r="D134" s="23"/>
    </row>
    <row r="135" spans="1:4" x14ac:dyDescent="0.2">
      <c r="A135" s="21"/>
      <c r="B135" s="21"/>
      <c r="C135" s="21"/>
      <c r="D135" s="23"/>
    </row>
    <row r="136" spans="1:4" x14ac:dyDescent="0.2">
      <c r="A136" s="21"/>
      <c r="B136" s="21"/>
      <c r="C136" s="21"/>
      <c r="D136" s="23"/>
    </row>
    <row r="137" spans="1:4" x14ac:dyDescent="0.2">
      <c r="A137" s="21"/>
      <c r="B137" s="21"/>
      <c r="C137" s="21"/>
      <c r="D137" s="23"/>
    </row>
    <row r="138" spans="1:4" x14ac:dyDescent="0.2">
      <c r="A138" s="21"/>
      <c r="B138" s="21"/>
      <c r="C138" s="21"/>
      <c r="D138" s="23"/>
    </row>
    <row r="139" spans="1:4" x14ac:dyDescent="0.2">
      <c r="A139" s="21"/>
      <c r="B139" s="21"/>
      <c r="C139" s="21"/>
      <c r="D139" s="23"/>
    </row>
    <row r="140" spans="1:4" x14ac:dyDescent="0.2">
      <c r="A140" s="21"/>
      <c r="B140" s="21"/>
      <c r="C140" s="21"/>
      <c r="D140" s="23"/>
    </row>
    <row r="141" spans="1:4" x14ac:dyDescent="0.2">
      <c r="A141" s="21"/>
      <c r="B141" s="21"/>
      <c r="C141" s="21"/>
      <c r="D141" s="23"/>
    </row>
    <row r="142" spans="1:4" x14ac:dyDescent="0.2">
      <c r="A142" s="21"/>
      <c r="B142" s="21"/>
      <c r="C142" s="21"/>
      <c r="D142" s="23"/>
    </row>
    <row r="143" spans="1:4" x14ac:dyDescent="0.2">
      <c r="A143" s="21"/>
      <c r="B143" s="21"/>
      <c r="C143" s="21"/>
      <c r="D143" s="23"/>
    </row>
    <row r="144" spans="1:4" x14ac:dyDescent="0.2">
      <c r="A144" s="21"/>
      <c r="B144" s="21"/>
      <c r="C144" s="21"/>
      <c r="D144" s="23"/>
    </row>
    <row r="145" spans="1:4" x14ac:dyDescent="0.2">
      <c r="A145" s="21"/>
      <c r="B145" s="21"/>
      <c r="C145" s="21"/>
      <c r="D145" s="23"/>
    </row>
    <row r="146" spans="1:4" x14ac:dyDescent="0.2">
      <c r="A146" s="21"/>
      <c r="B146" s="21"/>
      <c r="C146" s="21"/>
      <c r="D146" s="23"/>
    </row>
    <row r="147" spans="1:4" x14ac:dyDescent="0.2">
      <c r="A147" s="21"/>
      <c r="B147" s="21"/>
      <c r="C147" s="21"/>
      <c r="D147" s="23"/>
    </row>
    <row r="148" spans="1:4" x14ac:dyDescent="0.2">
      <c r="A148" s="21"/>
      <c r="B148" s="21"/>
      <c r="C148" s="21"/>
      <c r="D148" s="23"/>
    </row>
    <row r="149" spans="1:4" x14ac:dyDescent="0.2">
      <c r="A149" s="21"/>
      <c r="B149" s="21"/>
      <c r="C149" s="21"/>
      <c r="D149" s="23"/>
    </row>
    <row r="150" spans="1:4" x14ac:dyDescent="0.2">
      <c r="A150" s="21"/>
      <c r="B150" s="21"/>
      <c r="C150" s="21"/>
      <c r="D150" s="23"/>
    </row>
    <row r="151" spans="1:4" x14ac:dyDescent="0.2">
      <c r="A151" s="21"/>
      <c r="B151" s="21"/>
      <c r="C151" s="21"/>
      <c r="D151" s="23"/>
    </row>
    <row r="152" spans="1:4" x14ac:dyDescent="0.2">
      <c r="A152" s="21"/>
      <c r="B152" s="21"/>
      <c r="C152" s="21"/>
      <c r="D152" s="23"/>
    </row>
    <row r="153" spans="1:4" x14ac:dyDescent="0.2">
      <c r="A153" s="21"/>
      <c r="B153" s="21"/>
      <c r="C153" s="21"/>
      <c r="D153" s="23"/>
    </row>
    <row r="154" spans="1:4" x14ac:dyDescent="0.2">
      <c r="A154" s="21"/>
      <c r="B154" s="21"/>
      <c r="C154" s="21"/>
      <c r="D154" s="23"/>
    </row>
    <row r="155" spans="1:4" x14ac:dyDescent="0.2">
      <c r="A155" s="21"/>
      <c r="B155" s="21"/>
      <c r="C155" s="21"/>
      <c r="D155" s="23"/>
    </row>
    <row r="156" spans="1:4" x14ac:dyDescent="0.2">
      <c r="A156" s="21"/>
      <c r="B156" s="21"/>
      <c r="C156" s="21"/>
      <c r="D156" s="23"/>
    </row>
    <row r="157" spans="1:4" x14ac:dyDescent="0.2">
      <c r="A157" s="21"/>
      <c r="B157" s="21"/>
      <c r="C157" s="21"/>
      <c r="D157" s="23"/>
    </row>
    <row r="158" spans="1:4" x14ac:dyDescent="0.2">
      <c r="A158" s="21"/>
      <c r="B158" s="21"/>
      <c r="C158" s="21"/>
      <c r="D158" s="23"/>
    </row>
    <row r="159" spans="1:4" x14ac:dyDescent="0.2">
      <c r="A159" s="21"/>
      <c r="B159" s="21"/>
      <c r="C159" s="21"/>
      <c r="D159" s="23"/>
    </row>
    <row r="160" spans="1:4" x14ac:dyDescent="0.2">
      <c r="A160" s="21"/>
      <c r="B160" s="21"/>
      <c r="C160" s="21"/>
      <c r="D160" s="23"/>
    </row>
    <row r="161" spans="1:4" x14ac:dyDescent="0.2">
      <c r="A161" s="21"/>
      <c r="B161" s="21"/>
      <c r="C161" s="21"/>
      <c r="D161" s="23"/>
    </row>
    <row r="162" spans="1:4" x14ac:dyDescent="0.2">
      <c r="A162" s="21"/>
      <c r="B162" s="21"/>
      <c r="C162" s="21"/>
      <c r="D162" s="23"/>
    </row>
    <row r="163" spans="1:4" x14ac:dyDescent="0.2">
      <c r="A163" s="21"/>
      <c r="B163" s="21"/>
      <c r="C163" s="21"/>
      <c r="D163" s="23"/>
    </row>
    <row r="164" spans="1:4" x14ac:dyDescent="0.2">
      <c r="A164" s="21"/>
      <c r="B164" s="21"/>
      <c r="C164" s="21"/>
      <c r="D164" s="23"/>
    </row>
    <row r="165" spans="1:4" x14ac:dyDescent="0.2">
      <c r="A165" s="21"/>
      <c r="B165" s="21"/>
      <c r="C165" s="21"/>
      <c r="D165" s="23"/>
    </row>
    <row r="166" spans="1:4" x14ac:dyDescent="0.2">
      <c r="A166" s="21"/>
      <c r="B166" s="21"/>
      <c r="C166" s="21"/>
      <c r="D166" s="23"/>
    </row>
    <row r="167" spans="1:4" x14ac:dyDescent="0.2">
      <c r="A167" s="21"/>
      <c r="B167" s="21"/>
      <c r="C167" s="21"/>
      <c r="D167" s="23"/>
    </row>
    <row r="168" spans="1:4" x14ac:dyDescent="0.2">
      <c r="A168" s="21"/>
      <c r="B168" s="21"/>
      <c r="C168" s="21"/>
      <c r="D168" s="23"/>
    </row>
    <row r="169" spans="1:4" x14ac:dyDescent="0.2">
      <c r="A169" s="21"/>
      <c r="B169" s="21"/>
      <c r="C169" s="21"/>
      <c r="D169" s="23"/>
    </row>
    <row r="170" spans="1:4" x14ac:dyDescent="0.2">
      <c r="A170" s="21"/>
      <c r="B170" s="21"/>
      <c r="C170" s="21"/>
      <c r="D170" s="23"/>
    </row>
    <row r="171" spans="1:4" x14ac:dyDescent="0.2">
      <c r="A171" s="21"/>
      <c r="B171" s="21"/>
      <c r="C171" s="21"/>
      <c r="D171" s="23"/>
    </row>
    <row r="172" spans="1:4" x14ac:dyDescent="0.2">
      <c r="A172" s="21"/>
      <c r="B172" s="21"/>
      <c r="C172" s="21"/>
      <c r="D172" s="23"/>
    </row>
    <row r="173" spans="1:4" x14ac:dyDescent="0.2">
      <c r="A173" s="21"/>
      <c r="B173" s="21"/>
      <c r="C173" s="21"/>
      <c r="D173" s="23"/>
    </row>
    <row r="174" spans="1:4" x14ac:dyDescent="0.2">
      <c r="A174" s="21"/>
      <c r="B174" s="21"/>
      <c r="C174" s="21"/>
      <c r="D174" s="23"/>
    </row>
    <row r="175" spans="1:4" x14ac:dyDescent="0.2">
      <c r="A175" s="21"/>
      <c r="B175" s="21"/>
      <c r="C175" s="21"/>
      <c r="D175" s="23"/>
    </row>
    <row r="176" spans="1:4" x14ac:dyDescent="0.2">
      <c r="A176" s="21"/>
      <c r="B176" s="21"/>
      <c r="C176" s="21"/>
      <c r="D176" s="23"/>
    </row>
    <row r="177" spans="1:4" x14ac:dyDescent="0.2">
      <c r="A177" s="21"/>
      <c r="B177" s="21"/>
      <c r="C177" s="21"/>
      <c r="D177" s="23"/>
    </row>
    <row r="178" spans="1:4" x14ac:dyDescent="0.2">
      <c r="A178" s="21"/>
      <c r="B178" s="21"/>
      <c r="C178" s="21"/>
      <c r="D178" s="23"/>
    </row>
    <row r="179" spans="1:4" x14ac:dyDescent="0.2">
      <c r="A179" s="21"/>
      <c r="B179" s="21"/>
      <c r="C179" s="21"/>
      <c r="D179" s="23"/>
    </row>
    <row r="180" spans="1:4" x14ac:dyDescent="0.2">
      <c r="A180" s="21"/>
      <c r="B180" s="21"/>
      <c r="C180" s="21"/>
      <c r="D180" s="23"/>
    </row>
    <row r="181" spans="1:4" x14ac:dyDescent="0.2">
      <c r="A181" s="21"/>
      <c r="B181" s="21"/>
      <c r="C181" s="21"/>
      <c r="D181" s="23"/>
    </row>
    <row r="182" spans="1:4" x14ac:dyDescent="0.2">
      <c r="A182" s="21"/>
      <c r="B182" s="21"/>
      <c r="C182" s="21"/>
      <c r="D182" s="23"/>
    </row>
    <row r="183" spans="1:4" x14ac:dyDescent="0.2">
      <c r="A183" s="21"/>
      <c r="B183" s="21"/>
      <c r="C183" s="21"/>
      <c r="D183" s="23"/>
    </row>
    <row r="184" spans="1:4" x14ac:dyDescent="0.2">
      <c r="A184" s="21"/>
      <c r="B184" s="21"/>
      <c r="C184" s="21"/>
      <c r="D184" s="23"/>
    </row>
    <row r="185" spans="1:4" x14ac:dyDescent="0.2">
      <c r="A185" s="21"/>
      <c r="B185" s="21"/>
      <c r="C185" s="21"/>
      <c r="D185" s="23"/>
    </row>
    <row r="186" spans="1:4" x14ac:dyDescent="0.2">
      <c r="A186" s="21"/>
      <c r="B186" s="21"/>
      <c r="C186" s="21"/>
      <c r="D186" s="23"/>
    </row>
    <row r="187" spans="1:4" x14ac:dyDescent="0.2">
      <c r="A187" s="21"/>
      <c r="B187" s="21"/>
      <c r="C187" s="21"/>
      <c r="D187" s="23"/>
    </row>
    <row r="188" spans="1:4" x14ac:dyDescent="0.2">
      <c r="A188" s="21"/>
      <c r="B188" s="21"/>
      <c r="C188" s="21"/>
      <c r="D188" s="23"/>
    </row>
    <row r="189" spans="1:4" x14ac:dyDescent="0.2">
      <c r="A189" s="21"/>
      <c r="B189" s="21"/>
      <c r="C189" s="21"/>
      <c r="D189" s="23"/>
    </row>
    <row r="190" spans="1:4" x14ac:dyDescent="0.2">
      <c r="A190" s="21"/>
      <c r="B190" s="21"/>
      <c r="C190" s="21"/>
      <c r="D190" s="23"/>
    </row>
    <row r="191" spans="1:4" x14ac:dyDescent="0.2">
      <c r="A191" s="21"/>
      <c r="B191" s="21"/>
      <c r="C191" s="21"/>
      <c r="D191" s="23"/>
    </row>
    <row r="192" spans="1:4" x14ac:dyDescent="0.2">
      <c r="A192" s="21"/>
      <c r="B192" s="21"/>
      <c r="C192" s="21"/>
      <c r="D192" s="23"/>
    </row>
    <row r="193" spans="1:4" x14ac:dyDescent="0.2">
      <c r="A193" s="21"/>
      <c r="B193" s="21"/>
      <c r="C193" s="21"/>
      <c r="D193" s="23"/>
    </row>
    <row r="194" spans="1:4" x14ac:dyDescent="0.2">
      <c r="A194" s="21"/>
      <c r="B194" s="21"/>
      <c r="C194" s="21"/>
      <c r="D194" s="23"/>
    </row>
    <row r="195" spans="1:4" x14ac:dyDescent="0.2">
      <c r="A195" s="21"/>
      <c r="B195" s="21"/>
      <c r="C195" s="21"/>
      <c r="D195" s="23"/>
    </row>
    <row r="196" spans="1:4" x14ac:dyDescent="0.2">
      <c r="A196" s="21"/>
      <c r="B196" s="21"/>
      <c r="C196" s="21"/>
      <c r="D196" s="23"/>
    </row>
    <row r="197" spans="1:4" x14ac:dyDescent="0.2">
      <c r="A197" s="21"/>
      <c r="B197" s="21"/>
      <c r="C197" s="21"/>
      <c r="D197" s="23"/>
    </row>
    <row r="198" spans="1:4" x14ac:dyDescent="0.2">
      <c r="A198" s="21"/>
      <c r="B198" s="21"/>
      <c r="C198" s="21"/>
      <c r="D198" s="23"/>
    </row>
    <row r="199" spans="1:4" x14ac:dyDescent="0.2">
      <c r="A199" s="21"/>
      <c r="B199" s="21"/>
      <c r="C199" s="21"/>
      <c r="D199" s="23"/>
    </row>
    <row r="200" spans="1:4" x14ac:dyDescent="0.2">
      <c r="A200" s="21"/>
      <c r="B200" s="21"/>
      <c r="C200" s="21"/>
      <c r="D200" s="23"/>
    </row>
    <row r="201" spans="1:4" x14ac:dyDescent="0.2">
      <c r="A201" s="21"/>
      <c r="B201" s="21"/>
      <c r="C201" s="21"/>
      <c r="D201" s="23"/>
    </row>
    <row r="202" spans="1:4" x14ac:dyDescent="0.2">
      <c r="A202" s="21"/>
      <c r="B202" s="21"/>
      <c r="C202" s="21"/>
      <c r="D202" s="23"/>
    </row>
    <row r="203" spans="1:4" x14ac:dyDescent="0.2">
      <c r="A203" s="21"/>
      <c r="B203" s="21"/>
      <c r="C203" s="21"/>
      <c r="D203" s="23"/>
    </row>
    <row r="204" spans="1:4" x14ac:dyDescent="0.2">
      <c r="A204" s="21"/>
      <c r="B204" s="21"/>
      <c r="C204" s="21"/>
      <c r="D204" s="23"/>
    </row>
    <row r="205" spans="1:4" x14ac:dyDescent="0.2">
      <c r="A205" s="21"/>
      <c r="B205" s="21"/>
      <c r="C205" s="21"/>
      <c r="D205" s="23"/>
    </row>
    <row r="206" spans="1:4" x14ac:dyDescent="0.2">
      <c r="A206" s="21"/>
      <c r="B206" s="21"/>
      <c r="C206" s="21"/>
      <c r="D206" s="23"/>
    </row>
    <row r="207" spans="1:4" x14ac:dyDescent="0.2">
      <c r="A207" s="21"/>
      <c r="B207" s="21"/>
      <c r="C207" s="21"/>
      <c r="D207" s="23"/>
    </row>
    <row r="208" spans="1:4" x14ac:dyDescent="0.2">
      <c r="A208" s="21"/>
      <c r="B208" s="21"/>
      <c r="C208" s="21"/>
      <c r="D208" s="23"/>
    </row>
    <row r="209" spans="1:4" x14ac:dyDescent="0.2">
      <c r="A209" s="21"/>
      <c r="B209" s="21"/>
      <c r="C209" s="21"/>
      <c r="D209" s="23"/>
    </row>
    <row r="210" spans="1:4" x14ac:dyDescent="0.2">
      <c r="A210" s="21"/>
      <c r="B210" s="21"/>
      <c r="C210" s="21"/>
      <c r="D210" s="23"/>
    </row>
    <row r="211" spans="1:4" x14ac:dyDescent="0.2">
      <c r="A211" s="21"/>
      <c r="B211" s="21"/>
      <c r="C211" s="21"/>
      <c r="D211" s="23"/>
    </row>
    <row r="212" spans="1:4" x14ac:dyDescent="0.2">
      <c r="A212" s="21"/>
      <c r="B212" s="21"/>
      <c r="C212" s="21"/>
      <c r="D212" s="23"/>
    </row>
    <row r="213" spans="1:4" x14ac:dyDescent="0.2">
      <c r="A213" s="21"/>
      <c r="B213" s="21"/>
      <c r="C213" s="21"/>
      <c r="D213" s="23"/>
    </row>
    <row r="214" spans="1:4" x14ac:dyDescent="0.2">
      <c r="A214" s="21"/>
      <c r="B214" s="21"/>
      <c r="C214" s="21"/>
      <c r="D214" s="23"/>
    </row>
    <row r="215" spans="1:4" x14ac:dyDescent="0.2">
      <c r="A215" s="21"/>
      <c r="B215" s="21"/>
      <c r="C215" s="21"/>
      <c r="D215" s="23"/>
    </row>
    <row r="216" spans="1:4" x14ac:dyDescent="0.2">
      <c r="A216" s="21"/>
      <c r="B216" s="21"/>
      <c r="C216" s="21"/>
      <c r="D216" s="23"/>
    </row>
    <row r="217" spans="1:4" x14ac:dyDescent="0.2">
      <c r="A217" s="21"/>
      <c r="B217" s="21"/>
      <c r="C217" s="21"/>
      <c r="D217" s="23"/>
    </row>
    <row r="218" spans="1:4" x14ac:dyDescent="0.2">
      <c r="A218" s="21"/>
      <c r="B218" s="21"/>
      <c r="C218" s="21"/>
      <c r="D218" s="23"/>
    </row>
    <row r="219" spans="1:4" x14ac:dyDescent="0.2">
      <c r="A219" s="21"/>
      <c r="B219" s="21"/>
      <c r="C219" s="21"/>
      <c r="D219" s="23"/>
    </row>
    <row r="220" spans="1:4" x14ac:dyDescent="0.2">
      <c r="A220" s="21"/>
      <c r="B220" s="21"/>
      <c r="C220" s="21"/>
      <c r="D220" s="23"/>
    </row>
    <row r="221" spans="1:4" x14ac:dyDescent="0.2">
      <c r="A221" s="21"/>
      <c r="B221" s="21"/>
      <c r="C221" s="21"/>
      <c r="D221" s="23"/>
    </row>
    <row r="222" spans="1:4" x14ac:dyDescent="0.2">
      <c r="A222" s="21"/>
      <c r="B222" s="21"/>
      <c r="C222" s="21"/>
      <c r="D222" s="23"/>
    </row>
    <row r="223" spans="1:4" x14ac:dyDescent="0.2">
      <c r="A223" s="21"/>
      <c r="B223" s="21"/>
      <c r="C223" s="21"/>
      <c r="D223" s="23"/>
    </row>
    <row r="224" spans="1:4" x14ac:dyDescent="0.2">
      <c r="A224" s="21"/>
      <c r="B224" s="21"/>
      <c r="C224" s="21"/>
      <c r="D224" s="23"/>
    </row>
    <row r="225" spans="1:4" x14ac:dyDescent="0.2">
      <c r="A225" s="21"/>
      <c r="B225" s="21"/>
      <c r="C225" s="21"/>
      <c r="D225" s="23"/>
    </row>
    <row r="226" spans="1:4" x14ac:dyDescent="0.2">
      <c r="A226" s="21"/>
      <c r="B226" s="21"/>
      <c r="C226" s="21"/>
      <c r="D226" s="23"/>
    </row>
    <row r="227" spans="1:4" x14ac:dyDescent="0.2">
      <c r="A227" s="21"/>
      <c r="B227" s="21"/>
      <c r="C227" s="21"/>
      <c r="D227" s="23"/>
    </row>
    <row r="228" spans="1:4" x14ac:dyDescent="0.2">
      <c r="A228" s="21"/>
      <c r="B228" s="21"/>
      <c r="C228" s="21"/>
      <c r="D228" s="23"/>
    </row>
    <row r="229" spans="1:4" x14ac:dyDescent="0.2">
      <c r="A229" s="21"/>
      <c r="B229" s="21"/>
      <c r="C229" s="21"/>
      <c r="D229" s="23"/>
    </row>
    <row r="230" spans="1:4" x14ac:dyDescent="0.2">
      <c r="A230" s="21"/>
      <c r="B230" s="21"/>
      <c r="C230" s="21"/>
      <c r="D230" s="23"/>
    </row>
    <row r="231" spans="1:4" x14ac:dyDescent="0.2">
      <c r="A231" s="21"/>
      <c r="B231" s="21"/>
      <c r="C231" s="21"/>
      <c r="D231" s="23"/>
    </row>
    <row r="232" spans="1:4" x14ac:dyDescent="0.2">
      <c r="A232" s="21"/>
      <c r="B232" s="21"/>
      <c r="C232" s="21"/>
      <c r="D232" s="23"/>
    </row>
    <row r="233" spans="1:4" x14ac:dyDescent="0.2">
      <c r="A233" s="21"/>
      <c r="B233" s="21"/>
      <c r="C233" s="21"/>
      <c r="D233" s="23"/>
    </row>
    <row r="234" spans="1:4" x14ac:dyDescent="0.2">
      <c r="A234" s="21"/>
      <c r="B234" s="21"/>
      <c r="C234" s="21"/>
      <c r="D234" s="23"/>
    </row>
    <row r="235" spans="1:4" x14ac:dyDescent="0.2">
      <c r="A235" s="21"/>
      <c r="B235" s="21"/>
      <c r="C235" s="21"/>
      <c r="D235" s="23"/>
    </row>
    <row r="236" spans="1:4" x14ac:dyDescent="0.2">
      <c r="A236" s="21"/>
      <c r="B236" s="21"/>
      <c r="C236" s="21"/>
      <c r="D236" s="23"/>
    </row>
    <row r="237" spans="1:4" x14ac:dyDescent="0.2">
      <c r="A237" s="21"/>
      <c r="B237" s="21"/>
      <c r="C237" s="21"/>
      <c r="D237" s="23"/>
    </row>
    <row r="238" spans="1:4" x14ac:dyDescent="0.2">
      <c r="A238" s="21"/>
      <c r="B238" s="21"/>
      <c r="C238" s="21"/>
      <c r="D238" s="23"/>
    </row>
    <row r="239" spans="1:4" x14ac:dyDescent="0.2">
      <c r="A239" s="21"/>
      <c r="B239" s="21"/>
      <c r="C239" s="21"/>
      <c r="D239" s="23"/>
    </row>
    <row r="240" spans="1:4" x14ac:dyDescent="0.2">
      <c r="A240" s="21"/>
      <c r="B240" s="21"/>
      <c r="C240" s="21"/>
      <c r="D240" s="23"/>
    </row>
    <row r="241" spans="1:4" x14ac:dyDescent="0.2">
      <c r="A241" s="21"/>
      <c r="B241" s="21"/>
      <c r="C241" s="21"/>
      <c r="D241" s="23"/>
    </row>
    <row r="242" spans="1:4" x14ac:dyDescent="0.2">
      <c r="A242" s="21"/>
      <c r="B242" s="21"/>
      <c r="C242" s="21"/>
      <c r="D242" s="23"/>
    </row>
    <row r="243" spans="1:4" x14ac:dyDescent="0.2">
      <c r="A243" s="21"/>
      <c r="B243" s="21"/>
      <c r="C243" s="21"/>
      <c r="D243" s="23"/>
    </row>
    <row r="244" spans="1:4" x14ac:dyDescent="0.2">
      <c r="A244" s="21"/>
      <c r="B244" s="21"/>
      <c r="C244" s="21"/>
      <c r="D244" s="23"/>
    </row>
    <row r="245" spans="1:4" x14ac:dyDescent="0.2">
      <c r="A245" s="21"/>
      <c r="B245" s="21"/>
      <c r="C245" s="21"/>
      <c r="D245" s="23"/>
    </row>
    <row r="246" spans="1:4" x14ac:dyDescent="0.2">
      <c r="A246" s="21"/>
      <c r="B246" s="21"/>
      <c r="C246" s="21"/>
      <c r="D246" s="23"/>
    </row>
    <row r="247" spans="1:4" x14ac:dyDescent="0.2">
      <c r="A247" s="21"/>
      <c r="B247" s="21"/>
      <c r="C247" s="21"/>
      <c r="D247" s="23"/>
    </row>
    <row r="248" spans="1:4" x14ac:dyDescent="0.2">
      <c r="A248" s="21"/>
      <c r="B248" s="21"/>
      <c r="C248" s="21"/>
      <c r="D248" s="23"/>
    </row>
    <row r="249" spans="1:4" x14ac:dyDescent="0.2">
      <c r="A249" s="21"/>
      <c r="B249" s="21"/>
      <c r="C249" s="21"/>
      <c r="D249" s="23"/>
    </row>
    <row r="250" spans="1:4" x14ac:dyDescent="0.2">
      <c r="A250" s="21"/>
      <c r="B250" s="21"/>
      <c r="C250" s="21"/>
      <c r="D250" s="23"/>
    </row>
    <row r="251" spans="1:4" x14ac:dyDescent="0.2">
      <c r="A251" s="21"/>
      <c r="B251" s="21"/>
      <c r="C251" s="21"/>
      <c r="D251" s="23"/>
    </row>
    <row r="252" spans="1:4" x14ac:dyDescent="0.2">
      <c r="A252" s="21"/>
      <c r="B252" s="21"/>
      <c r="C252" s="21"/>
      <c r="D252" s="23"/>
    </row>
    <row r="253" spans="1:4" x14ac:dyDescent="0.2">
      <c r="A253" s="21"/>
      <c r="B253" s="21"/>
      <c r="C253" s="21"/>
      <c r="D253" s="23"/>
    </row>
    <row r="254" spans="1:4" x14ac:dyDescent="0.2">
      <c r="A254" s="21"/>
      <c r="B254" s="21"/>
      <c r="C254" s="21"/>
      <c r="D254" s="23"/>
    </row>
    <row r="255" spans="1:4" x14ac:dyDescent="0.2">
      <c r="A255" s="21"/>
      <c r="B255" s="21"/>
      <c r="C255" s="21"/>
      <c r="D255" s="23"/>
    </row>
    <row r="256" spans="1:4" x14ac:dyDescent="0.2">
      <c r="A256" s="21"/>
      <c r="B256" s="21"/>
      <c r="C256" s="21"/>
      <c r="D256" s="23"/>
    </row>
    <row r="257" spans="1:4" x14ac:dyDescent="0.2">
      <c r="A257" s="21"/>
      <c r="B257" s="21"/>
      <c r="C257" s="21"/>
      <c r="D257" s="23"/>
    </row>
    <row r="258" spans="1:4" x14ac:dyDescent="0.2">
      <c r="A258" s="21"/>
      <c r="B258" s="21"/>
      <c r="C258" s="21"/>
      <c r="D258" s="23"/>
    </row>
    <row r="259" spans="1:4" x14ac:dyDescent="0.2">
      <c r="A259" s="21"/>
      <c r="B259" s="21"/>
      <c r="C259" s="21"/>
      <c r="D259" s="23"/>
    </row>
    <row r="260" spans="1:4" x14ac:dyDescent="0.2">
      <c r="A260" s="21"/>
      <c r="B260" s="21"/>
      <c r="C260" s="21"/>
      <c r="D260" s="23"/>
    </row>
    <row r="261" spans="1:4" x14ac:dyDescent="0.2">
      <c r="A261" s="21"/>
      <c r="B261" s="21"/>
      <c r="C261" s="21"/>
      <c r="D261" s="23"/>
    </row>
    <row r="262" spans="1:4" x14ac:dyDescent="0.2">
      <c r="A262" s="21"/>
      <c r="B262" s="21"/>
      <c r="C262" s="21"/>
      <c r="D262" s="23"/>
    </row>
    <row r="263" spans="1:4" x14ac:dyDescent="0.2">
      <c r="A263" s="21"/>
      <c r="B263" s="21"/>
      <c r="C263" s="21"/>
      <c r="D263" s="23"/>
    </row>
    <row r="264" spans="1:4" x14ac:dyDescent="0.2">
      <c r="A264" s="21"/>
      <c r="B264" s="21"/>
      <c r="C264" s="21"/>
      <c r="D264" s="23"/>
    </row>
    <row r="265" spans="1:4" x14ac:dyDescent="0.2">
      <c r="A265" s="21"/>
      <c r="B265" s="21"/>
      <c r="C265" s="21"/>
      <c r="D265" s="23"/>
    </row>
    <row r="266" spans="1:4" x14ac:dyDescent="0.2">
      <c r="A266" s="21"/>
      <c r="B266" s="21"/>
      <c r="C266" s="21"/>
      <c r="D266" s="23"/>
    </row>
    <row r="267" spans="1:4" x14ac:dyDescent="0.2">
      <c r="A267" s="21"/>
      <c r="B267" s="21"/>
      <c r="C267" s="21"/>
      <c r="D267" s="23"/>
    </row>
    <row r="268" spans="1:4" x14ac:dyDescent="0.2">
      <c r="A268" s="21"/>
      <c r="B268" s="21"/>
      <c r="C268" s="21"/>
      <c r="D268" s="23"/>
    </row>
    <row r="269" spans="1:4" x14ac:dyDescent="0.2">
      <c r="A269" s="21"/>
      <c r="B269" s="21"/>
      <c r="C269" s="21"/>
      <c r="D269" s="23"/>
    </row>
    <row r="270" spans="1:4" x14ac:dyDescent="0.2">
      <c r="A270" s="21"/>
      <c r="B270" s="21"/>
      <c r="C270" s="21"/>
      <c r="D270" s="23"/>
    </row>
    <row r="271" spans="1:4" x14ac:dyDescent="0.2">
      <c r="A271" s="21"/>
      <c r="B271" s="21"/>
      <c r="C271" s="21"/>
      <c r="D271" s="23"/>
    </row>
    <row r="272" spans="1:4" x14ac:dyDescent="0.2">
      <c r="A272" s="21"/>
      <c r="B272" s="21"/>
      <c r="C272" s="21"/>
      <c r="D272" s="23"/>
    </row>
    <row r="273" spans="1:4" x14ac:dyDescent="0.2">
      <c r="A273" s="21"/>
      <c r="B273" s="21"/>
      <c r="C273" s="21"/>
      <c r="D273" s="23"/>
    </row>
    <row r="274" spans="1:4" x14ac:dyDescent="0.2">
      <c r="A274" s="21"/>
      <c r="B274" s="21"/>
      <c r="C274" s="21"/>
      <c r="D274" s="23"/>
    </row>
    <row r="275" spans="1:4" x14ac:dyDescent="0.2">
      <c r="A275" s="21"/>
      <c r="B275" s="21"/>
      <c r="C275" s="21"/>
      <c r="D275" s="23"/>
    </row>
    <row r="276" spans="1:4" x14ac:dyDescent="0.2">
      <c r="A276" s="21"/>
      <c r="B276" s="21"/>
      <c r="C276" s="21"/>
      <c r="D276" s="23"/>
    </row>
    <row r="277" spans="1:4" x14ac:dyDescent="0.2">
      <c r="A277" s="21"/>
      <c r="B277" s="21"/>
      <c r="C277" s="21"/>
      <c r="D277" s="23"/>
    </row>
    <row r="278" spans="1:4" x14ac:dyDescent="0.2">
      <c r="A278" s="21"/>
      <c r="B278" s="21"/>
      <c r="C278" s="21"/>
      <c r="D278" s="23"/>
    </row>
    <row r="279" spans="1:4" x14ac:dyDescent="0.2">
      <c r="A279" s="21"/>
      <c r="B279" s="21"/>
      <c r="C279" s="21"/>
      <c r="D279" s="23"/>
    </row>
    <row r="280" spans="1:4" x14ac:dyDescent="0.2">
      <c r="A280" s="21"/>
      <c r="B280" s="21"/>
      <c r="C280" s="21"/>
      <c r="D280" s="23"/>
    </row>
    <row r="281" spans="1:4" x14ac:dyDescent="0.2">
      <c r="A281" s="21"/>
      <c r="B281" s="21"/>
      <c r="C281" s="21"/>
      <c r="D281" s="23"/>
    </row>
    <row r="282" spans="1:4" x14ac:dyDescent="0.2">
      <c r="A282" s="21"/>
      <c r="B282" s="21"/>
      <c r="C282" s="21"/>
      <c r="D282" s="23"/>
    </row>
    <row r="283" spans="1:4" x14ac:dyDescent="0.2">
      <c r="A283" s="21"/>
      <c r="B283" s="21"/>
      <c r="C283" s="21"/>
      <c r="D283" s="23"/>
    </row>
    <row r="284" spans="1:4" x14ac:dyDescent="0.2">
      <c r="A284" s="21"/>
      <c r="B284" s="21"/>
      <c r="C284" s="21"/>
      <c r="D284" s="23"/>
    </row>
    <row r="285" spans="1:4" x14ac:dyDescent="0.2">
      <c r="A285" s="21"/>
      <c r="B285" s="21"/>
      <c r="C285" s="21"/>
      <c r="D285" s="23"/>
    </row>
    <row r="286" spans="1:4" x14ac:dyDescent="0.2">
      <c r="A286" s="21"/>
      <c r="B286" s="21"/>
      <c r="C286" s="21"/>
      <c r="D286" s="23"/>
    </row>
    <row r="287" spans="1:4" x14ac:dyDescent="0.2">
      <c r="A287" s="21"/>
      <c r="B287" s="21"/>
      <c r="C287" s="21"/>
      <c r="D287" s="23"/>
    </row>
    <row r="288" spans="1:4" x14ac:dyDescent="0.2">
      <c r="A288" s="21"/>
      <c r="B288" s="21"/>
      <c r="C288" s="21"/>
      <c r="D288" s="23"/>
    </row>
    <row r="289" spans="1:4" x14ac:dyDescent="0.2">
      <c r="A289" s="21"/>
      <c r="B289" s="21"/>
      <c r="C289" s="21"/>
      <c r="D289" s="23"/>
    </row>
    <row r="290" spans="1:4" x14ac:dyDescent="0.2">
      <c r="A290" s="21"/>
      <c r="B290" s="21"/>
      <c r="C290" s="21"/>
      <c r="D290" s="23"/>
    </row>
    <row r="291" spans="1:4" x14ac:dyDescent="0.2">
      <c r="A291" s="21"/>
      <c r="B291" s="21"/>
      <c r="C291" s="21"/>
      <c r="D291" s="23"/>
    </row>
    <row r="292" spans="1:4" x14ac:dyDescent="0.2">
      <c r="A292" s="21"/>
      <c r="B292" s="21"/>
      <c r="C292" s="21"/>
      <c r="D292" s="23"/>
    </row>
    <row r="293" spans="1:4" x14ac:dyDescent="0.2">
      <c r="A293" s="21"/>
      <c r="B293" s="21"/>
      <c r="C293" s="21"/>
      <c r="D293" s="23"/>
    </row>
    <row r="294" spans="1:4" x14ac:dyDescent="0.2">
      <c r="A294" s="21"/>
      <c r="B294" s="21"/>
      <c r="C294" s="21"/>
      <c r="D294" s="23"/>
    </row>
    <row r="295" spans="1:4" x14ac:dyDescent="0.2">
      <c r="A295" s="21"/>
      <c r="B295" s="21"/>
      <c r="C295" s="21"/>
      <c r="D295" s="23"/>
    </row>
    <row r="296" spans="1:4" x14ac:dyDescent="0.2">
      <c r="A296" s="21"/>
      <c r="B296" s="21"/>
      <c r="C296" s="21"/>
      <c r="D296" s="23"/>
    </row>
    <row r="297" spans="1:4" x14ac:dyDescent="0.2">
      <c r="A297" s="21"/>
      <c r="B297" s="21"/>
      <c r="C297" s="21"/>
      <c r="D297" s="23"/>
    </row>
    <row r="298" spans="1:4" x14ac:dyDescent="0.2">
      <c r="A298" s="21"/>
      <c r="B298" s="21"/>
      <c r="C298" s="21"/>
      <c r="D298" s="23"/>
    </row>
    <row r="299" spans="1:4" x14ac:dyDescent="0.2">
      <c r="A299" s="21"/>
      <c r="B299" s="21"/>
      <c r="C299" s="21"/>
      <c r="D299" s="23"/>
    </row>
    <row r="300" spans="1:4" x14ac:dyDescent="0.2">
      <c r="A300" s="21"/>
      <c r="B300" s="21"/>
      <c r="C300" s="21"/>
      <c r="D300" s="23"/>
    </row>
    <row r="301" spans="1:4" x14ac:dyDescent="0.2">
      <c r="A301" s="21"/>
      <c r="B301" s="21"/>
      <c r="C301" s="21"/>
      <c r="D301" s="23"/>
    </row>
    <row r="302" spans="1:4" x14ac:dyDescent="0.2">
      <c r="A302" s="21"/>
      <c r="B302" s="21"/>
      <c r="C302" s="21"/>
      <c r="D302" s="23"/>
    </row>
    <row r="303" spans="1:4" x14ac:dyDescent="0.2">
      <c r="A303" s="21"/>
      <c r="B303" s="21"/>
      <c r="C303" s="21"/>
      <c r="D303" s="23"/>
    </row>
    <row r="304" spans="1:4" x14ac:dyDescent="0.2">
      <c r="A304" s="21"/>
      <c r="B304" s="21"/>
      <c r="C304" s="21"/>
      <c r="D304" s="23"/>
    </row>
    <row r="305" spans="1:4" x14ac:dyDescent="0.2">
      <c r="A305" s="21"/>
      <c r="B305" s="21"/>
      <c r="C305" s="21"/>
      <c r="D305" s="23"/>
    </row>
    <row r="306" spans="1:4" x14ac:dyDescent="0.2">
      <c r="A306" s="21"/>
      <c r="B306" s="21"/>
      <c r="C306" s="21"/>
      <c r="D306" s="23"/>
    </row>
    <row r="307" spans="1:4" x14ac:dyDescent="0.2">
      <c r="A307" s="21"/>
      <c r="B307" s="21"/>
      <c r="C307" s="21"/>
      <c r="D307" s="23"/>
    </row>
    <row r="308" spans="1:4" x14ac:dyDescent="0.2">
      <c r="A308" s="21"/>
      <c r="B308" s="21"/>
      <c r="C308" s="21"/>
      <c r="D308" s="23"/>
    </row>
    <row r="309" spans="1:4" x14ac:dyDescent="0.2">
      <c r="A309" s="21"/>
      <c r="B309" s="21"/>
      <c r="C309" s="21"/>
      <c r="D309" s="23"/>
    </row>
    <row r="310" spans="1:4" x14ac:dyDescent="0.2">
      <c r="A310" s="21"/>
      <c r="B310" s="21"/>
      <c r="C310" s="21"/>
      <c r="D310" s="23"/>
    </row>
    <row r="311" spans="1:4" x14ac:dyDescent="0.2">
      <c r="A311" s="21"/>
      <c r="B311" s="21"/>
      <c r="C311" s="21"/>
      <c r="D311" s="23"/>
    </row>
    <row r="312" spans="1:4" x14ac:dyDescent="0.2">
      <c r="A312" s="21"/>
      <c r="B312" s="21"/>
      <c r="C312" s="21"/>
      <c r="D312" s="23"/>
    </row>
    <row r="313" spans="1:4" x14ac:dyDescent="0.2">
      <c r="A313" s="21"/>
      <c r="B313" s="21"/>
      <c r="C313" s="21"/>
      <c r="D313" s="23"/>
    </row>
    <row r="314" spans="1:4" x14ac:dyDescent="0.2">
      <c r="A314" s="21"/>
      <c r="B314" s="21"/>
      <c r="C314" s="21"/>
      <c r="D314" s="23"/>
    </row>
    <row r="315" spans="1:4" x14ac:dyDescent="0.2">
      <c r="A315" s="21"/>
      <c r="B315" s="21"/>
      <c r="C315" s="21"/>
      <c r="D315" s="23"/>
    </row>
    <row r="316" spans="1:4" x14ac:dyDescent="0.2">
      <c r="A316" s="21"/>
      <c r="B316" s="21"/>
      <c r="C316" s="21"/>
      <c r="D316" s="23"/>
    </row>
    <row r="317" spans="1:4" x14ac:dyDescent="0.2">
      <c r="A317" s="21"/>
      <c r="B317" s="21"/>
      <c r="C317" s="21"/>
      <c r="D317" s="23"/>
    </row>
    <row r="318" spans="1:4" x14ac:dyDescent="0.2">
      <c r="A318" s="21"/>
      <c r="B318" s="21"/>
      <c r="C318" s="21"/>
      <c r="D318" s="23"/>
    </row>
    <row r="319" spans="1:4" x14ac:dyDescent="0.2">
      <c r="A319" s="21"/>
      <c r="B319" s="21"/>
      <c r="C319" s="21"/>
      <c r="D319" s="23"/>
    </row>
    <row r="320" spans="1:4" x14ac:dyDescent="0.2">
      <c r="A320" s="21"/>
      <c r="B320" s="21"/>
      <c r="C320" s="21"/>
      <c r="D320" s="23"/>
    </row>
    <row r="321" spans="1:4" x14ac:dyDescent="0.2">
      <c r="A321" s="21"/>
      <c r="B321" s="21"/>
      <c r="C321" s="21"/>
      <c r="D321" s="23"/>
    </row>
    <row r="322" spans="1:4" x14ac:dyDescent="0.2">
      <c r="A322" s="21"/>
      <c r="B322" s="21"/>
      <c r="C322" s="21"/>
      <c r="D322" s="23"/>
    </row>
    <row r="323" spans="1:4" x14ac:dyDescent="0.2">
      <c r="A323" s="21"/>
      <c r="B323" s="21"/>
      <c r="C323" s="21"/>
      <c r="D323" s="23"/>
    </row>
    <row r="324" spans="1:4" x14ac:dyDescent="0.2">
      <c r="A324" s="21"/>
      <c r="B324" s="21"/>
      <c r="C324" s="21"/>
      <c r="D324" s="23"/>
    </row>
    <row r="325" spans="1:4" x14ac:dyDescent="0.2">
      <c r="A325" s="21"/>
      <c r="B325" s="21"/>
      <c r="C325" s="21"/>
      <c r="D325" s="23"/>
    </row>
    <row r="326" spans="1:4" x14ac:dyDescent="0.2">
      <c r="A326" s="21"/>
      <c r="B326" s="21"/>
      <c r="C326" s="21"/>
      <c r="D326" s="23"/>
    </row>
    <row r="327" spans="1:4" x14ac:dyDescent="0.2">
      <c r="A327" s="21"/>
      <c r="B327" s="21"/>
      <c r="C327" s="21"/>
      <c r="D327" s="23"/>
    </row>
    <row r="328" spans="1:4" x14ac:dyDescent="0.2">
      <c r="A328" s="21"/>
      <c r="B328" s="21"/>
      <c r="C328" s="21"/>
      <c r="D328" s="23"/>
    </row>
    <row r="329" spans="1:4" x14ac:dyDescent="0.2">
      <c r="A329" s="21"/>
      <c r="B329" s="21"/>
      <c r="C329" s="21"/>
      <c r="D329" s="23"/>
    </row>
    <row r="330" spans="1:4" x14ac:dyDescent="0.2">
      <c r="A330" s="21"/>
      <c r="B330" s="21"/>
      <c r="C330" s="21"/>
      <c r="D330" s="23"/>
    </row>
    <row r="331" spans="1:4" x14ac:dyDescent="0.2">
      <c r="A331" s="21"/>
      <c r="B331" s="21"/>
      <c r="C331" s="21"/>
      <c r="D331" s="23"/>
    </row>
    <row r="332" spans="1:4" x14ac:dyDescent="0.2">
      <c r="A332" s="21"/>
      <c r="B332" s="21"/>
      <c r="C332" s="21"/>
      <c r="D332" s="23"/>
    </row>
    <row r="333" spans="1:4" x14ac:dyDescent="0.2">
      <c r="A333" s="21"/>
      <c r="B333" s="21"/>
      <c r="C333" s="21"/>
      <c r="D333" s="23"/>
    </row>
    <row r="334" spans="1:4" x14ac:dyDescent="0.2">
      <c r="A334" s="21"/>
      <c r="B334" s="21"/>
      <c r="C334" s="21"/>
      <c r="D334" s="23"/>
    </row>
    <row r="335" spans="1:4" x14ac:dyDescent="0.2">
      <c r="A335" s="21"/>
      <c r="B335" s="21"/>
      <c r="C335" s="21"/>
      <c r="D335" s="23"/>
    </row>
    <row r="336" spans="1:4" x14ac:dyDescent="0.2">
      <c r="A336" s="21"/>
      <c r="B336" s="21"/>
      <c r="C336" s="21"/>
      <c r="D336" s="23"/>
    </row>
    <row r="337" spans="1:4" x14ac:dyDescent="0.2">
      <c r="A337" s="21"/>
      <c r="B337" s="21"/>
      <c r="C337" s="21"/>
      <c r="D337" s="23"/>
    </row>
    <row r="338" spans="1:4" x14ac:dyDescent="0.2">
      <c r="A338" s="21"/>
      <c r="B338" s="21"/>
      <c r="C338" s="21"/>
      <c r="D338" s="23"/>
    </row>
    <row r="339" spans="1:4" x14ac:dyDescent="0.2">
      <c r="A339" s="21"/>
      <c r="B339" s="21"/>
      <c r="C339" s="21"/>
      <c r="D339" s="23"/>
    </row>
    <row r="340" spans="1:4" x14ac:dyDescent="0.2">
      <c r="A340" s="21"/>
      <c r="B340" s="21"/>
      <c r="C340" s="21"/>
      <c r="D340" s="23"/>
    </row>
    <row r="341" spans="1:4" x14ac:dyDescent="0.2">
      <c r="A341" s="21"/>
      <c r="B341" s="21"/>
      <c r="C341" s="21"/>
      <c r="D341" s="23"/>
    </row>
    <row r="342" spans="1:4" x14ac:dyDescent="0.2">
      <c r="A342" s="21"/>
      <c r="B342" s="21"/>
      <c r="C342" s="21"/>
      <c r="D342" s="23"/>
    </row>
    <row r="343" spans="1:4" x14ac:dyDescent="0.2">
      <c r="A343" s="21"/>
      <c r="B343" s="21"/>
      <c r="C343" s="21"/>
      <c r="D343" s="23"/>
    </row>
    <row r="344" spans="1:4" x14ac:dyDescent="0.2">
      <c r="A344" s="21"/>
      <c r="B344" s="21"/>
      <c r="C344" s="21"/>
      <c r="D344" s="23"/>
    </row>
    <row r="345" spans="1:4" x14ac:dyDescent="0.2">
      <c r="A345" s="21"/>
      <c r="B345" s="21"/>
      <c r="C345" s="21"/>
      <c r="D345" s="23"/>
    </row>
    <row r="346" spans="1:4" x14ac:dyDescent="0.2">
      <c r="A346" s="21"/>
      <c r="B346" s="21"/>
      <c r="C346" s="21"/>
      <c r="D346" s="23"/>
    </row>
    <row r="347" spans="1:4" x14ac:dyDescent="0.2">
      <c r="A347" s="21"/>
      <c r="B347" s="21"/>
      <c r="C347" s="21"/>
      <c r="D347" s="23"/>
    </row>
    <row r="348" spans="1:4" x14ac:dyDescent="0.2">
      <c r="A348" s="21"/>
      <c r="B348" s="21"/>
      <c r="C348" s="21"/>
      <c r="D348" s="23"/>
    </row>
    <row r="349" spans="1:4" x14ac:dyDescent="0.2">
      <c r="A349" s="21"/>
      <c r="B349" s="21"/>
      <c r="C349" s="21"/>
      <c r="D349" s="23"/>
    </row>
    <row r="350" spans="1:4" x14ac:dyDescent="0.2">
      <c r="A350" s="21"/>
      <c r="B350" s="21"/>
      <c r="C350" s="21"/>
      <c r="D350" s="23"/>
    </row>
    <row r="351" spans="1:4" x14ac:dyDescent="0.2">
      <c r="A351" s="21"/>
      <c r="B351" s="21"/>
      <c r="C351" s="21"/>
      <c r="D351" s="23"/>
    </row>
    <row r="352" spans="1:4" x14ac:dyDescent="0.2">
      <c r="A352" s="21"/>
      <c r="B352" s="21"/>
      <c r="C352" s="21"/>
      <c r="D352" s="23"/>
    </row>
    <row r="353" spans="1:4" x14ac:dyDescent="0.2">
      <c r="A353" s="21"/>
      <c r="B353" s="21"/>
      <c r="C353" s="21"/>
      <c r="D353" s="23"/>
    </row>
    <row r="354" spans="1:4" x14ac:dyDescent="0.2">
      <c r="A354" s="21"/>
      <c r="B354" s="21"/>
      <c r="C354" s="21"/>
      <c r="D354" s="23"/>
    </row>
    <row r="355" spans="1:4" x14ac:dyDescent="0.2">
      <c r="A355" s="21"/>
      <c r="B355" s="21"/>
      <c r="C355" s="21"/>
      <c r="D355" s="23"/>
    </row>
    <row r="356" spans="1:4" x14ac:dyDescent="0.2">
      <c r="A356" s="21"/>
      <c r="B356" s="21"/>
      <c r="C356" s="21"/>
      <c r="D356" s="23"/>
    </row>
    <row r="357" spans="1:4" x14ac:dyDescent="0.2">
      <c r="A357" s="21"/>
      <c r="B357" s="21"/>
      <c r="C357" s="21"/>
      <c r="D357" s="23"/>
    </row>
    <row r="358" spans="1:4" x14ac:dyDescent="0.2">
      <c r="A358" s="21"/>
      <c r="B358" s="21"/>
      <c r="C358" s="21"/>
      <c r="D358" s="23"/>
    </row>
    <row r="359" spans="1:4" x14ac:dyDescent="0.2">
      <c r="A359" s="21"/>
      <c r="B359" s="21"/>
      <c r="C359" s="21"/>
      <c r="D359" s="23"/>
    </row>
    <row r="360" spans="1:4" x14ac:dyDescent="0.2">
      <c r="A360" s="21"/>
      <c r="B360" s="21"/>
      <c r="C360" s="21"/>
      <c r="D360" s="23"/>
    </row>
    <row r="361" spans="1:4" x14ac:dyDescent="0.2">
      <c r="A361" s="21"/>
      <c r="B361" s="21"/>
      <c r="C361" s="21"/>
      <c r="D361" s="23"/>
    </row>
    <row r="362" spans="1:4" x14ac:dyDescent="0.2">
      <c r="A362" s="21"/>
      <c r="B362" s="21"/>
      <c r="C362" s="21"/>
      <c r="D362" s="23"/>
    </row>
    <row r="363" spans="1:4" x14ac:dyDescent="0.2">
      <c r="A363" s="21"/>
      <c r="B363" s="21"/>
      <c r="C363" s="21"/>
      <c r="D363" s="23"/>
    </row>
    <row r="364" spans="1:4" x14ac:dyDescent="0.2">
      <c r="A364" s="21"/>
      <c r="B364" s="21"/>
      <c r="C364" s="21"/>
      <c r="D364" s="23"/>
    </row>
    <row r="365" spans="1:4" x14ac:dyDescent="0.2">
      <c r="A365" s="21"/>
      <c r="B365" s="21"/>
      <c r="C365" s="21"/>
      <c r="D365" s="23"/>
    </row>
    <row r="366" spans="1:4" x14ac:dyDescent="0.2">
      <c r="A366" s="21"/>
      <c r="B366" s="21"/>
      <c r="C366" s="21"/>
      <c r="D366" s="23"/>
    </row>
    <row r="367" spans="1:4" x14ac:dyDescent="0.2">
      <c r="A367" s="21"/>
      <c r="B367" s="21"/>
      <c r="C367" s="21"/>
      <c r="D367" s="23"/>
    </row>
    <row r="368" spans="1:4" x14ac:dyDescent="0.2">
      <c r="A368" s="21"/>
      <c r="B368" s="21"/>
      <c r="C368" s="21"/>
      <c r="D368" s="23"/>
    </row>
    <row r="369" spans="1:4" x14ac:dyDescent="0.2">
      <c r="A369" s="21"/>
      <c r="B369" s="21"/>
      <c r="C369" s="21"/>
      <c r="D369" s="23"/>
    </row>
    <row r="370" spans="1:4" x14ac:dyDescent="0.2">
      <c r="A370" s="21"/>
      <c r="B370" s="21"/>
      <c r="C370" s="21"/>
      <c r="D370" s="23"/>
    </row>
    <row r="371" spans="1:4" x14ac:dyDescent="0.2">
      <c r="A371" s="21"/>
      <c r="B371" s="21"/>
      <c r="C371" s="21"/>
      <c r="D371" s="23"/>
    </row>
    <row r="372" spans="1:4" x14ac:dyDescent="0.2">
      <c r="A372" s="21"/>
      <c r="B372" s="21"/>
      <c r="C372" s="21"/>
      <c r="D372" s="23"/>
    </row>
    <row r="373" spans="1:4" x14ac:dyDescent="0.2">
      <c r="A373" s="21"/>
      <c r="B373" s="21"/>
      <c r="C373" s="21"/>
      <c r="D373" s="23"/>
    </row>
    <row r="374" spans="1:4" x14ac:dyDescent="0.2">
      <c r="A374" s="21"/>
      <c r="B374" s="21"/>
      <c r="C374" s="21"/>
      <c r="D374" s="23"/>
    </row>
    <row r="375" spans="1:4" x14ac:dyDescent="0.2">
      <c r="A375" s="21"/>
      <c r="B375" s="21"/>
      <c r="C375" s="21"/>
      <c r="D375" s="23"/>
    </row>
    <row r="376" spans="1:4" x14ac:dyDescent="0.2">
      <c r="A376" s="21"/>
      <c r="B376" s="21"/>
      <c r="C376" s="21"/>
      <c r="D376" s="23"/>
    </row>
    <row r="377" spans="1:4" x14ac:dyDescent="0.2">
      <c r="A377" s="21"/>
      <c r="B377" s="21"/>
      <c r="C377" s="21"/>
      <c r="D377" s="23"/>
    </row>
    <row r="378" spans="1:4" x14ac:dyDescent="0.2">
      <c r="A378" s="21"/>
      <c r="B378" s="21"/>
      <c r="C378" s="21"/>
      <c r="D378" s="23"/>
    </row>
    <row r="379" spans="1:4" x14ac:dyDescent="0.2">
      <c r="A379" s="21"/>
      <c r="B379" s="21"/>
      <c r="C379" s="21"/>
      <c r="D379" s="23"/>
    </row>
    <row r="380" spans="1:4" x14ac:dyDescent="0.2">
      <c r="A380" s="21"/>
      <c r="B380" s="21"/>
      <c r="C380" s="21"/>
      <c r="D380" s="23"/>
    </row>
    <row r="381" spans="1:4" x14ac:dyDescent="0.2">
      <c r="A381" s="21"/>
      <c r="B381" s="21"/>
      <c r="C381" s="21"/>
      <c r="D381" s="23"/>
    </row>
    <row r="382" spans="1:4" x14ac:dyDescent="0.2">
      <c r="A382" s="21"/>
      <c r="B382" s="21"/>
      <c r="C382" s="21"/>
      <c r="D382" s="23"/>
    </row>
    <row r="383" spans="1:4" x14ac:dyDescent="0.2">
      <c r="A383" s="21"/>
      <c r="B383" s="21"/>
      <c r="C383" s="21"/>
      <c r="D383" s="23"/>
    </row>
    <row r="384" spans="1:4" x14ac:dyDescent="0.2">
      <c r="A384" s="21"/>
      <c r="B384" s="21"/>
      <c r="C384" s="21"/>
      <c r="D384" s="23"/>
    </row>
    <row r="385" spans="1:4" x14ac:dyDescent="0.2">
      <c r="A385" s="21"/>
      <c r="B385" s="21"/>
      <c r="C385" s="21"/>
      <c r="D385" s="23"/>
    </row>
    <row r="386" spans="1:4" x14ac:dyDescent="0.2">
      <c r="A386" s="21"/>
      <c r="B386" s="21"/>
      <c r="C386" s="21"/>
      <c r="D386" s="23"/>
    </row>
    <row r="387" spans="1:4" x14ac:dyDescent="0.2">
      <c r="A387" s="21"/>
      <c r="B387" s="21"/>
      <c r="C387" s="21"/>
      <c r="D387" s="23"/>
    </row>
    <row r="388" spans="1:4" x14ac:dyDescent="0.2">
      <c r="A388" s="21"/>
      <c r="B388" s="21"/>
      <c r="C388" s="21"/>
      <c r="D388" s="23"/>
    </row>
    <row r="389" spans="1:4" x14ac:dyDescent="0.2">
      <c r="A389" s="21"/>
      <c r="B389" s="21"/>
      <c r="C389" s="21"/>
      <c r="D389" s="23"/>
    </row>
    <row r="390" spans="1:4" x14ac:dyDescent="0.2">
      <c r="A390" s="21"/>
      <c r="B390" s="21"/>
      <c r="C390" s="21"/>
      <c r="D390" s="23"/>
    </row>
    <row r="391" spans="1:4" x14ac:dyDescent="0.2">
      <c r="A391" s="21"/>
      <c r="B391" s="21"/>
      <c r="C391" s="21"/>
      <c r="D391" s="23"/>
    </row>
    <row r="392" spans="1:4" x14ac:dyDescent="0.2">
      <c r="A392" s="21"/>
      <c r="B392" s="21"/>
      <c r="C392" s="21"/>
      <c r="D392" s="23"/>
    </row>
    <row r="393" spans="1:4" x14ac:dyDescent="0.2">
      <c r="A393" s="21"/>
      <c r="B393" s="21"/>
      <c r="C393" s="21"/>
      <c r="D393" s="23"/>
    </row>
    <row r="394" spans="1:4" x14ac:dyDescent="0.2">
      <c r="A394" s="21"/>
      <c r="B394" s="21"/>
      <c r="C394" s="21"/>
      <c r="D394" s="23"/>
    </row>
    <row r="395" spans="1:4" x14ac:dyDescent="0.2">
      <c r="A395" s="21"/>
      <c r="B395" s="21"/>
      <c r="C395" s="21"/>
      <c r="D395" s="23"/>
    </row>
    <row r="396" spans="1:4" x14ac:dyDescent="0.2">
      <c r="A396" s="21"/>
      <c r="B396" s="21"/>
      <c r="C396" s="21"/>
      <c r="D396" s="23"/>
    </row>
    <row r="397" spans="1:4" x14ac:dyDescent="0.2">
      <c r="A397" s="21"/>
      <c r="B397" s="21"/>
      <c r="C397" s="21"/>
      <c r="D397" s="23"/>
    </row>
    <row r="398" spans="1:4" x14ac:dyDescent="0.2">
      <c r="A398" s="21"/>
      <c r="B398" s="21"/>
      <c r="C398" s="21"/>
      <c r="D398" s="23"/>
    </row>
    <row r="399" spans="1:4" x14ac:dyDescent="0.2">
      <c r="A399" s="21"/>
      <c r="B399" s="21"/>
      <c r="C399" s="21"/>
      <c r="D399" s="23"/>
    </row>
    <row r="400" spans="1:4" x14ac:dyDescent="0.2">
      <c r="A400" s="21"/>
      <c r="B400" s="21"/>
      <c r="C400" s="21"/>
      <c r="D400" s="23"/>
    </row>
    <row r="401" spans="1:4" x14ac:dyDescent="0.2">
      <c r="A401" s="21"/>
      <c r="B401" s="21"/>
      <c r="C401" s="21"/>
      <c r="D401" s="23"/>
    </row>
    <row r="402" spans="1:4" x14ac:dyDescent="0.2">
      <c r="A402" s="21"/>
      <c r="B402" s="21"/>
      <c r="C402" s="21"/>
      <c r="D402" s="23"/>
    </row>
    <row r="403" spans="1:4" x14ac:dyDescent="0.2">
      <c r="A403" s="21"/>
      <c r="B403" s="21"/>
      <c r="C403" s="21"/>
      <c r="D403" s="23"/>
    </row>
    <row r="404" spans="1:4" x14ac:dyDescent="0.2">
      <c r="A404" s="21"/>
      <c r="B404" s="21"/>
      <c r="C404" s="21"/>
      <c r="D404" s="23"/>
    </row>
    <row r="405" spans="1:4" x14ac:dyDescent="0.2">
      <c r="A405" s="21"/>
      <c r="B405" s="21"/>
      <c r="C405" s="21"/>
      <c r="D405" s="23"/>
    </row>
    <row r="406" spans="1:4" x14ac:dyDescent="0.2">
      <c r="A406" s="21"/>
      <c r="B406" s="21"/>
      <c r="C406" s="21"/>
      <c r="D406" s="23"/>
    </row>
    <row r="407" spans="1:4" x14ac:dyDescent="0.2">
      <c r="A407" s="21"/>
      <c r="B407" s="21"/>
      <c r="C407" s="21"/>
      <c r="D407" s="23"/>
    </row>
    <row r="408" spans="1:4" x14ac:dyDescent="0.2">
      <c r="A408" s="21"/>
      <c r="B408" s="21"/>
      <c r="C408" s="21"/>
      <c r="D408" s="23"/>
    </row>
    <row r="409" spans="1:4" x14ac:dyDescent="0.2">
      <c r="A409" s="21"/>
      <c r="B409" s="21"/>
      <c r="C409" s="21"/>
      <c r="D409" s="23"/>
    </row>
    <row r="410" spans="1:4" x14ac:dyDescent="0.2">
      <c r="A410" s="21"/>
      <c r="B410" s="21"/>
      <c r="C410" s="21"/>
      <c r="D410" s="23"/>
    </row>
    <row r="411" spans="1:4" x14ac:dyDescent="0.2">
      <c r="A411" s="21"/>
      <c r="B411" s="21"/>
      <c r="C411" s="21"/>
      <c r="D411" s="23"/>
    </row>
    <row r="412" spans="1:4" x14ac:dyDescent="0.2">
      <c r="A412" s="21"/>
      <c r="B412" s="21"/>
      <c r="C412" s="21"/>
      <c r="D412" s="23"/>
    </row>
    <row r="413" spans="1:4" x14ac:dyDescent="0.2">
      <c r="A413" s="21"/>
      <c r="B413" s="21"/>
      <c r="C413" s="21"/>
      <c r="D413" s="23"/>
    </row>
    <row r="414" spans="1:4" x14ac:dyDescent="0.2">
      <c r="A414" s="21"/>
      <c r="B414" s="21"/>
      <c r="C414" s="21"/>
      <c r="D414" s="23"/>
    </row>
    <row r="415" spans="1:4" x14ac:dyDescent="0.2">
      <c r="A415" s="21"/>
      <c r="B415" s="21"/>
      <c r="C415" s="21"/>
      <c r="D415" s="23"/>
    </row>
    <row r="416" spans="1:4" x14ac:dyDescent="0.2">
      <c r="A416" s="21"/>
      <c r="B416" s="21"/>
      <c r="C416" s="21"/>
      <c r="D416" s="23"/>
    </row>
    <row r="417" spans="1:4" x14ac:dyDescent="0.2">
      <c r="A417" s="21"/>
      <c r="B417" s="21"/>
      <c r="C417" s="21"/>
      <c r="D417" s="23"/>
    </row>
    <row r="418" spans="1:4" x14ac:dyDescent="0.2">
      <c r="A418" s="21"/>
      <c r="B418" s="21"/>
      <c r="C418" s="21"/>
      <c r="D418" s="23"/>
    </row>
    <row r="419" spans="1:4" x14ac:dyDescent="0.2">
      <c r="A419" s="21"/>
      <c r="B419" s="21"/>
      <c r="C419" s="21"/>
      <c r="D419" s="23"/>
    </row>
    <row r="420" spans="1:4" x14ac:dyDescent="0.2">
      <c r="A420" s="21"/>
      <c r="B420" s="21"/>
      <c r="C420" s="21"/>
      <c r="D420" s="23"/>
    </row>
    <row r="421" spans="1:4" x14ac:dyDescent="0.2">
      <c r="A421" s="21"/>
      <c r="B421" s="21"/>
      <c r="C421" s="21"/>
      <c r="D421" s="23"/>
    </row>
    <row r="422" spans="1:4" x14ac:dyDescent="0.2">
      <c r="A422" s="21"/>
      <c r="B422" s="21"/>
      <c r="C422" s="21"/>
      <c r="D422" s="23"/>
    </row>
    <row r="423" spans="1:4" x14ac:dyDescent="0.2">
      <c r="A423" s="21"/>
      <c r="B423" s="21"/>
      <c r="C423" s="21"/>
      <c r="D423" s="23"/>
    </row>
    <row r="424" spans="1:4" x14ac:dyDescent="0.2">
      <c r="A424" s="21"/>
      <c r="B424" s="21"/>
      <c r="C424" s="21"/>
      <c r="D424" s="23"/>
    </row>
    <row r="425" spans="1:4" x14ac:dyDescent="0.2">
      <c r="A425" s="21"/>
      <c r="B425" s="21"/>
      <c r="C425" s="21"/>
      <c r="D425" s="23"/>
    </row>
    <row r="426" spans="1:4" x14ac:dyDescent="0.2">
      <c r="A426" s="21"/>
      <c r="B426" s="21"/>
      <c r="C426" s="21"/>
      <c r="D426" s="23"/>
    </row>
    <row r="427" spans="1:4" x14ac:dyDescent="0.2">
      <c r="A427" s="21"/>
      <c r="B427" s="21"/>
      <c r="C427" s="21"/>
      <c r="D427" s="23"/>
    </row>
    <row r="428" spans="1:4" x14ac:dyDescent="0.2">
      <c r="A428" s="21"/>
      <c r="B428" s="21"/>
      <c r="C428" s="21"/>
      <c r="D428" s="23"/>
    </row>
    <row r="429" spans="1:4" x14ac:dyDescent="0.2">
      <c r="A429" s="21"/>
      <c r="B429" s="21"/>
      <c r="C429" s="21"/>
      <c r="D429" s="23"/>
    </row>
    <row r="430" spans="1:4" x14ac:dyDescent="0.2">
      <c r="A430" s="21"/>
      <c r="B430" s="21"/>
      <c r="C430" s="21"/>
      <c r="D430" s="23"/>
    </row>
    <row r="431" spans="1:4" x14ac:dyDescent="0.2">
      <c r="A431" s="21"/>
      <c r="B431" s="21"/>
      <c r="C431" s="21"/>
      <c r="D431" s="23"/>
    </row>
    <row r="432" spans="1:4" x14ac:dyDescent="0.2">
      <c r="A432" s="21"/>
      <c r="B432" s="21"/>
      <c r="C432" s="21"/>
      <c r="D432" s="23"/>
    </row>
    <row r="433" spans="1:4" x14ac:dyDescent="0.2">
      <c r="A433" s="21"/>
      <c r="B433" s="21"/>
      <c r="C433" s="21"/>
      <c r="D433" s="23"/>
    </row>
    <row r="434" spans="1:4" x14ac:dyDescent="0.2">
      <c r="A434" s="21"/>
      <c r="B434" s="21"/>
      <c r="C434" s="21"/>
      <c r="D434" s="23"/>
    </row>
    <row r="435" spans="1:4" x14ac:dyDescent="0.2">
      <c r="A435" s="21"/>
      <c r="B435" s="21"/>
      <c r="C435" s="21"/>
      <c r="D435" s="23"/>
    </row>
    <row r="436" spans="1:4" x14ac:dyDescent="0.2">
      <c r="A436" s="21"/>
      <c r="B436" s="21"/>
      <c r="C436" s="21"/>
      <c r="D436" s="23"/>
    </row>
    <row r="437" spans="1:4" x14ac:dyDescent="0.2">
      <c r="A437" s="21"/>
      <c r="B437" s="21"/>
      <c r="C437" s="21"/>
      <c r="D437" s="23"/>
    </row>
    <row r="438" spans="1:4" x14ac:dyDescent="0.2">
      <c r="A438" s="21"/>
      <c r="B438" s="21"/>
      <c r="C438" s="21"/>
      <c r="D438" s="23"/>
    </row>
    <row r="439" spans="1:4" x14ac:dyDescent="0.2">
      <c r="A439" s="21"/>
      <c r="B439" s="21"/>
      <c r="C439" s="21"/>
      <c r="D439" s="23"/>
    </row>
    <row r="440" spans="1:4" x14ac:dyDescent="0.2">
      <c r="A440" s="21"/>
      <c r="B440" s="21"/>
      <c r="C440" s="21"/>
      <c r="D440" s="23"/>
    </row>
    <row r="441" spans="1:4" x14ac:dyDescent="0.2">
      <c r="A441" s="21"/>
      <c r="B441" s="21"/>
      <c r="C441" s="21"/>
      <c r="D441" s="23"/>
    </row>
    <row r="442" spans="1:4" x14ac:dyDescent="0.2">
      <c r="A442" s="21"/>
      <c r="B442" s="21"/>
      <c r="C442" s="21"/>
      <c r="D442" s="23"/>
    </row>
    <row r="443" spans="1:4" x14ac:dyDescent="0.2">
      <c r="A443" s="21"/>
      <c r="B443" s="21"/>
      <c r="C443" s="21"/>
      <c r="D443" s="23"/>
    </row>
    <row r="444" spans="1:4" x14ac:dyDescent="0.2">
      <c r="A444" s="21"/>
      <c r="B444" s="21"/>
      <c r="C444" s="21"/>
      <c r="D444" s="23"/>
    </row>
    <row r="445" spans="1:4" x14ac:dyDescent="0.2">
      <c r="A445" s="21"/>
      <c r="B445" s="21"/>
      <c r="C445" s="21"/>
      <c r="D445" s="23"/>
    </row>
    <row r="446" spans="1:4" x14ac:dyDescent="0.2">
      <c r="A446" s="21"/>
      <c r="B446" s="21"/>
      <c r="C446" s="21"/>
      <c r="D446" s="23"/>
    </row>
    <row r="447" spans="1:4" x14ac:dyDescent="0.2">
      <c r="A447" s="21"/>
      <c r="B447" s="21"/>
      <c r="C447" s="21"/>
      <c r="D447" s="23"/>
    </row>
    <row r="448" spans="1:4" x14ac:dyDescent="0.2">
      <c r="A448" s="21"/>
      <c r="B448" s="21"/>
      <c r="C448" s="21"/>
      <c r="D448" s="23"/>
    </row>
    <row r="449" spans="1:4" x14ac:dyDescent="0.2">
      <c r="A449" s="21"/>
      <c r="B449" s="21"/>
      <c r="C449" s="21"/>
      <c r="D449" s="23"/>
    </row>
    <row r="450" spans="1:4" x14ac:dyDescent="0.2">
      <c r="A450" s="21"/>
      <c r="B450" s="21"/>
      <c r="C450" s="21"/>
      <c r="D450" s="23"/>
    </row>
    <row r="451" spans="1:4" x14ac:dyDescent="0.2">
      <c r="A451" s="21"/>
      <c r="B451" s="21"/>
      <c r="C451" s="21"/>
      <c r="D451" s="23"/>
    </row>
    <row r="452" spans="1:4" x14ac:dyDescent="0.2">
      <c r="A452" s="21"/>
      <c r="B452" s="21"/>
      <c r="C452" s="21"/>
      <c r="D452" s="23"/>
    </row>
    <row r="453" spans="1:4" x14ac:dyDescent="0.2">
      <c r="A453" s="21"/>
      <c r="B453" s="21"/>
      <c r="C453" s="21"/>
      <c r="D453" s="23"/>
    </row>
    <row r="454" spans="1:4" x14ac:dyDescent="0.2">
      <c r="A454" s="21"/>
      <c r="B454" s="21"/>
      <c r="C454" s="21"/>
      <c r="D454" s="23"/>
    </row>
    <row r="455" spans="1:4" x14ac:dyDescent="0.2">
      <c r="A455" s="21"/>
      <c r="B455" s="21"/>
      <c r="C455" s="21"/>
      <c r="D455" s="23"/>
    </row>
    <row r="456" spans="1:4" x14ac:dyDescent="0.2">
      <c r="A456" s="21"/>
      <c r="B456" s="21"/>
      <c r="C456" s="21"/>
      <c r="D456" s="23"/>
    </row>
    <row r="457" spans="1:4" x14ac:dyDescent="0.2">
      <c r="A457" s="21"/>
      <c r="B457" s="21"/>
      <c r="C457" s="21"/>
      <c r="D457" s="23"/>
    </row>
    <row r="458" spans="1:4" x14ac:dyDescent="0.2">
      <c r="A458" s="21"/>
      <c r="B458" s="21"/>
      <c r="C458" s="21"/>
      <c r="D458" s="23"/>
    </row>
    <row r="459" spans="1:4" x14ac:dyDescent="0.2">
      <c r="A459" s="21"/>
      <c r="B459" s="21"/>
      <c r="C459" s="21"/>
      <c r="D459" s="23"/>
    </row>
    <row r="460" spans="1:4" x14ac:dyDescent="0.2">
      <c r="A460" s="21"/>
      <c r="B460" s="21"/>
      <c r="C460" s="21"/>
      <c r="D460" s="23"/>
    </row>
    <row r="461" spans="1:4" x14ac:dyDescent="0.2">
      <c r="A461" s="21"/>
      <c r="B461" s="21"/>
      <c r="C461" s="21"/>
      <c r="D461" s="23"/>
    </row>
    <row r="462" spans="1:4" x14ac:dyDescent="0.2">
      <c r="A462" s="21"/>
      <c r="B462" s="21"/>
      <c r="C462" s="21"/>
      <c r="D462" s="23"/>
    </row>
    <row r="463" spans="1:4" x14ac:dyDescent="0.2">
      <c r="A463" s="21"/>
      <c r="B463" s="21"/>
      <c r="C463" s="21"/>
      <c r="D463" s="23"/>
    </row>
    <row r="464" spans="1:4" x14ac:dyDescent="0.2">
      <c r="A464" s="21"/>
      <c r="B464" s="21"/>
      <c r="C464" s="21"/>
      <c r="D464" s="23"/>
    </row>
    <row r="465" spans="1:4" x14ac:dyDescent="0.2">
      <c r="A465" s="21"/>
      <c r="B465" s="21"/>
      <c r="C465" s="21"/>
      <c r="D465" s="23"/>
    </row>
    <row r="466" spans="1:4" x14ac:dyDescent="0.2">
      <c r="A466" s="21"/>
      <c r="B466" s="21"/>
      <c r="C466" s="21"/>
      <c r="D466" s="23"/>
    </row>
    <row r="467" spans="1:4" x14ac:dyDescent="0.2">
      <c r="A467" s="21"/>
      <c r="B467" s="21"/>
      <c r="C467" s="21"/>
      <c r="D467" s="23"/>
    </row>
    <row r="468" spans="1:4" x14ac:dyDescent="0.2">
      <c r="A468" s="21"/>
      <c r="B468" s="21"/>
      <c r="C468" s="21"/>
      <c r="D468" s="23"/>
    </row>
    <row r="469" spans="1:4" x14ac:dyDescent="0.2">
      <c r="A469" s="21"/>
      <c r="B469" s="21"/>
      <c r="C469" s="21"/>
      <c r="D469" s="23"/>
    </row>
    <row r="470" spans="1:4" x14ac:dyDescent="0.2">
      <c r="A470" s="21"/>
      <c r="B470" s="21"/>
      <c r="C470" s="21"/>
      <c r="D470" s="23"/>
    </row>
    <row r="471" spans="1:4" x14ac:dyDescent="0.2">
      <c r="A471" s="21"/>
      <c r="B471" s="21"/>
      <c r="C471" s="21"/>
      <c r="D471" s="23"/>
    </row>
    <row r="472" spans="1:4" x14ac:dyDescent="0.2">
      <c r="A472" s="21"/>
      <c r="B472" s="21"/>
      <c r="C472" s="21"/>
      <c r="D472" s="23"/>
    </row>
    <row r="473" spans="1:4" x14ac:dyDescent="0.2">
      <c r="A473" s="21"/>
      <c r="B473" s="21"/>
      <c r="C473" s="21"/>
      <c r="D473" s="23"/>
    </row>
    <row r="474" spans="1:4" x14ac:dyDescent="0.2">
      <c r="A474" s="21"/>
      <c r="B474" s="21"/>
      <c r="C474" s="21"/>
      <c r="D474" s="23"/>
    </row>
    <row r="475" spans="1:4" x14ac:dyDescent="0.2">
      <c r="A475" s="21"/>
      <c r="B475" s="21"/>
      <c r="C475" s="21"/>
      <c r="D475" s="23"/>
    </row>
    <row r="476" spans="1:4" x14ac:dyDescent="0.2">
      <c r="A476" s="21"/>
      <c r="B476" s="21"/>
      <c r="C476" s="21"/>
      <c r="D476" s="23"/>
    </row>
    <row r="477" spans="1:4" x14ac:dyDescent="0.2">
      <c r="A477" s="21"/>
      <c r="B477" s="21"/>
      <c r="C477" s="21"/>
      <c r="D477" s="23"/>
    </row>
    <row r="478" spans="1:4" x14ac:dyDescent="0.2">
      <c r="A478" s="21"/>
      <c r="B478" s="21"/>
      <c r="C478" s="21"/>
      <c r="D478" s="23"/>
    </row>
    <row r="479" spans="1:4" x14ac:dyDescent="0.2">
      <c r="A479" s="21"/>
      <c r="B479" s="21"/>
      <c r="C479" s="21"/>
      <c r="D479" s="23"/>
    </row>
    <row r="480" spans="1:4" x14ac:dyDescent="0.2">
      <c r="A480" s="21"/>
      <c r="B480" s="21"/>
      <c r="C480" s="21"/>
      <c r="D480" s="23"/>
    </row>
    <row r="481" spans="1:4" x14ac:dyDescent="0.2">
      <c r="A481" s="21"/>
      <c r="B481" s="21"/>
      <c r="C481" s="21"/>
      <c r="D481" s="23"/>
    </row>
    <row r="482" spans="1:4" x14ac:dyDescent="0.2">
      <c r="A482" s="21"/>
      <c r="B482" s="21"/>
      <c r="C482" s="21"/>
      <c r="D482" s="23"/>
    </row>
    <row r="483" spans="1:4" x14ac:dyDescent="0.2">
      <c r="A483" s="21"/>
      <c r="B483" s="21"/>
      <c r="C483" s="21"/>
      <c r="D483" s="23"/>
    </row>
    <row r="484" spans="1:4" x14ac:dyDescent="0.2">
      <c r="A484" s="21"/>
      <c r="B484" s="21"/>
      <c r="C484" s="21"/>
      <c r="D484" s="23"/>
    </row>
    <row r="485" spans="1:4" x14ac:dyDescent="0.2">
      <c r="A485" s="21"/>
      <c r="B485" s="21"/>
      <c r="C485" s="21"/>
      <c r="D485" s="23"/>
    </row>
    <row r="486" spans="1:4" x14ac:dyDescent="0.2">
      <c r="A486" s="21"/>
      <c r="B486" s="21"/>
      <c r="C486" s="21"/>
      <c r="D486" s="23"/>
    </row>
    <row r="487" spans="1:4" x14ac:dyDescent="0.2">
      <c r="A487" s="21"/>
      <c r="B487" s="21"/>
      <c r="C487" s="21"/>
      <c r="D487" s="23"/>
    </row>
    <row r="488" spans="1:4" x14ac:dyDescent="0.2">
      <c r="A488" s="21"/>
      <c r="B488" s="21"/>
      <c r="C488" s="21"/>
      <c r="D488" s="23"/>
    </row>
    <row r="489" spans="1:4" x14ac:dyDescent="0.2">
      <c r="A489" s="21"/>
      <c r="B489" s="21"/>
      <c r="C489" s="21"/>
      <c r="D489" s="23"/>
    </row>
    <row r="490" spans="1:4" x14ac:dyDescent="0.2">
      <c r="A490" s="21"/>
      <c r="B490" s="21"/>
      <c r="C490" s="21"/>
      <c r="D490" s="23"/>
    </row>
    <row r="491" spans="1:4" x14ac:dyDescent="0.2">
      <c r="A491" s="21"/>
      <c r="B491" s="21"/>
      <c r="C491" s="21"/>
      <c r="D491" s="23"/>
    </row>
    <row r="492" spans="1:4" x14ac:dyDescent="0.2">
      <c r="A492" s="21"/>
      <c r="B492" s="21"/>
      <c r="C492" s="21"/>
      <c r="D492" s="23"/>
    </row>
    <row r="493" spans="1:4" x14ac:dyDescent="0.2">
      <c r="A493" s="21"/>
      <c r="B493" s="21"/>
      <c r="C493" s="21"/>
      <c r="D493" s="23"/>
    </row>
    <row r="494" spans="1:4" x14ac:dyDescent="0.2">
      <c r="A494" s="21"/>
      <c r="B494" s="21"/>
      <c r="C494" s="21"/>
      <c r="D494" s="23"/>
    </row>
    <row r="495" spans="1:4" x14ac:dyDescent="0.2">
      <c r="A495" s="21"/>
      <c r="B495" s="21"/>
      <c r="C495" s="21"/>
      <c r="D495" s="23"/>
    </row>
    <row r="496" spans="1:4" x14ac:dyDescent="0.2">
      <c r="A496" s="21"/>
      <c r="B496" s="21"/>
      <c r="C496" s="21"/>
      <c r="D496" s="23"/>
    </row>
    <row r="497" spans="1:4" x14ac:dyDescent="0.2">
      <c r="A497" s="21"/>
      <c r="B497" s="21"/>
      <c r="C497" s="21"/>
      <c r="D497" s="23"/>
    </row>
    <row r="498" spans="1:4" x14ac:dyDescent="0.2">
      <c r="A498" s="21"/>
      <c r="B498" s="21"/>
      <c r="C498" s="21"/>
      <c r="D498" s="23"/>
    </row>
    <row r="499" spans="1:4" x14ac:dyDescent="0.2">
      <c r="A499" s="21"/>
      <c r="B499" s="21"/>
      <c r="C499" s="21"/>
      <c r="D499" s="23"/>
    </row>
    <row r="500" spans="1:4" x14ac:dyDescent="0.2">
      <c r="A500" s="21"/>
      <c r="B500" s="21"/>
      <c r="C500" s="21"/>
      <c r="D500" s="23"/>
    </row>
    <row r="501" spans="1:4" x14ac:dyDescent="0.2">
      <c r="A501" s="21"/>
      <c r="B501" s="21"/>
      <c r="C501" s="21"/>
      <c r="D501" s="23"/>
    </row>
    <row r="502" spans="1:4" x14ac:dyDescent="0.2">
      <c r="A502" s="21"/>
      <c r="B502" s="21"/>
      <c r="C502" s="21"/>
      <c r="D502" s="23"/>
    </row>
    <row r="503" spans="1:4" x14ac:dyDescent="0.2">
      <c r="A503" s="21"/>
      <c r="B503" s="21"/>
      <c r="C503" s="21"/>
      <c r="D503" s="23"/>
    </row>
    <row r="504" spans="1:4" x14ac:dyDescent="0.2">
      <c r="A504" s="21"/>
      <c r="B504" s="21"/>
      <c r="C504" s="21"/>
      <c r="D504" s="23"/>
    </row>
    <row r="505" spans="1:4" x14ac:dyDescent="0.2">
      <c r="A505" s="21"/>
      <c r="B505" s="21"/>
      <c r="C505" s="21"/>
      <c r="D505" s="23"/>
    </row>
    <row r="506" spans="1:4" x14ac:dyDescent="0.2">
      <c r="A506" s="21"/>
      <c r="B506" s="21"/>
      <c r="C506" s="21"/>
      <c r="D506" s="23"/>
    </row>
    <row r="507" spans="1:4" x14ac:dyDescent="0.2">
      <c r="A507" s="21"/>
      <c r="B507" s="21"/>
      <c r="C507" s="21"/>
      <c r="D507" s="23"/>
    </row>
    <row r="508" spans="1:4" x14ac:dyDescent="0.2">
      <c r="A508" s="21"/>
      <c r="B508" s="21"/>
      <c r="C508" s="21"/>
      <c r="D508" s="23"/>
    </row>
    <row r="509" spans="1:4" x14ac:dyDescent="0.2">
      <c r="A509" s="21"/>
      <c r="B509" s="21"/>
      <c r="C509" s="21"/>
      <c r="D509" s="23"/>
    </row>
    <row r="510" spans="1:4" x14ac:dyDescent="0.2">
      <c r="A510" s="21"/>
      <c r="B510" s="21"/>
      <c r="C510" s="21"/>
      <c r="D510" s="23"/>
    </row>
    <row r="511" spans="1:4" x14ac:dyDescent="0.2">
      <c r="A511" s="21"/>
      <c r="B511" s="21"/>
      <c r="C511" s="21"/>
      <c r="D511" s="23"/>
    </row>
    <row r="512" spans="1:4" x14ac:dyDescent="0.2">
      <c r="A512" s="21"/>
      <c r="B512" s="21"/>
      <c r="C512" s="21"/>
      <c r="D512" s="23"/>
    </row>
    <row r="513" spans="1:4" x14ac:dyDescent="0.2">
      <c r="A513" s="21"/>
      <c r="B513" s="21"/>
      <c r="C513" s="21"/>
      <c r="D513" s="23"/>
    </row>
    <row r="514" spans="1:4" x14ac:dyDescent="0.2">
      <c r="A514" s="21"/>
      <c r="B514" s="21"/>
      <c r="C514" s="21"/>
      <c r="D514" s="23"/>
    </row>
    <row r="515" spans="1:4" x14ac:dyDescent="0.2">
      <c r="A515" s="21"/>
      <c r="B515" s="21"/>
      <c r="C515" s="21"/>
      <c r="D515" s="23"/>
    </row>
    <row r="516" spans="1:4" x14ac:dyDescent="0.2">
      <c r="A516" s="21"/>
      <c r="B516" s="21"/>
      <c r="C516" s="21"/>
      <c r="D516" s="23"/>
    </row>
    <row r="517" spans="1:4" x14ac:dyDescent="0.2">
      <c r="A517" s="21"/>
      <c r="B517" s="21"/>
      <c r="C517" s="21"/>
      <c r="D517" s="23"/>
    </row>
    <row r="518" spans="1:4" x14ac:dyDescent="0.2">
      <c r="A518" s="21"/>
      <c r="B518" s="21"/>
      <c r="C518" s="21"/>
      <c r="D518" s="23"/>
    </row>
    <row r="519" spans="1:4" x14ac:dyDescent="0.2">
      <c r="A519" s="21"/>
      <c r="B519" s="21"/>
      <c r="C519" s="21"/>
      <c r="D519" s="23"/>
    </row>
    <row r="520" spans="1:4" x14ac:dyDescent="0.2">
      <c r="A520" s="21"/>
      <c r="B520" s="21"/>
      <c r="C520" s="21"/>
      <c r="D520" s="23"/>
    </row>
    <row r="521" spans="1:4" x14ac:dyDescent="0.2">
      <c r="A521" s="21"/>
      <c r="B521" s="21"/>
      <c r="C521" s="21"/>
      <c r="D521" s="23"/>
    </row>
    <row r="522" spans="1:4" x14ac:dyDescent="0.2">
      <c r="A522" s="21"/>
      <c r="B522" s="21"/>
      <c r="C522" s="21"/>
      <c r="D522" s="23"/>
    </row>
    <row r="523" spans="1:4" x14ac:dyDescent="0.2">
      <c r="A523" s="21"/>
      <c r="B523" s="21"/>
      <c r="C523" s="21"/>
      <c r="D523" s="23"/>
    </row>
    <row r="524" spans="1:4" x14ac:dyDescent="0.2">
      <c r="A524" s="21"/>
      <c r="B524" s="21"/>
      <c r="C524" s="21"/>
      <c r="D524" s="23"/>
    </row>
    <row r="525" spans="1:4" x14ac:dyDescent="0.2">
      <c r="A525" s="21"/>
      <c r="B525" s="21"/>
      <c r="C525" s="21"/>
      <c r="D525" s="23"/>
    </row>
    <row r="526" spans="1:4" x14ac:dyDescent="0.2">
      <c r="A526" s="21"/>
      <c r="B526" s="21"/>
      <c r="C526" s="21"/>
      <c r="D526" s="23"/>
    </row>
    <row r="527" spans="1:4" x14ac:dyDescent="0.2">
      <c r="A527" s="21"/>
      <c r="B527" s="21"/>
      <c r="C527" s="21"/>
      <c r="D527" s="23"/>
    </row>
    <row r="528" spans="1:4" x14ac:dyDescent="0.2">
      <c r="A528" s="21"/>
      <c r="B528" s="21"/>
      <c r="C528" s="21"/>
      <c r="D528" s="23"/>
    </row>
    <row r="529" spans="1:4" x14ac:dyDescent="0.2">
      <c r="A529" s="21"/>
      <c r="B529" s="21"/>
      <c r="C529" s="21"/>
      <c r="D529" s="23"/>
    </row>
    <row r="530" spans="1:4" x14ac:dyDescent="0.2">
      <c r="A530" s="21"/>
      <c r="B530" s="21"/>
      <c r="C530" s="21"/>
      <c r="D530" s="23"/>
    </row>
    <row r="531" spans="1:4" x14ac:dyDescent="0.2">
      <c r="A531" s="21"/>
      <c r="B531" s="21"/>
      <c r="C531" s="21"/>
      <c r="D531" s="23"/>
    </row>
    <row r="532" spans="1:4" x14ac:dyDescent="0.2">
      <c r="A532" s="21"/>
      <c r="B532" s="21"/>
      <c r="C532" s="21"/>
      <c r="D532" s="23"/>
    </row>
    <row r="533" spans="1:4" x14ac:dyDescent="0.2">
      <c r="A533" s="21"/>
      <c r="B533" s="21"/>
      <c r="C533" s="21"/>
      <c r="D533" s="23"/>
    </row>
    <row r="534" spans="1:4" x14ac:dyDescent="0.2">
      <c r="A534" s="21"/>
      <c r="B534" s="21"/>
      <c r="C534" s="21"/>
      <c r="D534" s="23"/>
    </row>
    <row r="535" spans="1:4" x14ac:dyDescent="0.2">
      <c r="A535" s="21"/>
      <c r="B535" s="21"/>
      <c r="C535" s="21"/>
      <c r="D535" s="23"/>
    </row>
    <row r="536" spans="1:4" x14ac:dyDescent="0.2">
      <c r="A536" s="21"/>
      <c r="B536" s="21"/>
      <c r="C536" s="21"/>
      <c r="D536" s="23"/>
    </row>
    <row r="537" spans="1:4" x14ac:dyDescent="0.2">
      <c r="A537" s="21"/>
      <c r="B537" s="21"/>
      <c r="C537" s="21"/>
      <c r="D537" s="23"/>
    </row>
    <row r="538" spans="1:4" x14ac:dyDescent="0.2">
      <c r="A538" s="21"/>
      <c r="B538" s="21"/>
      <c r="C538" s="21"/>
      <c r="D538" s="23"/>
    </row>
    <row r="539" spans="1:4" x14ac:dyDescent="0.2">
      <c r="A539" s="21"/>
      <c r="B539" s="21"/>
      <c r="C539" s="21"/>
      <c r="D539" s="23"/>
    </row>
    <row r="540" spans="1:4" x14ac:dyDescent="0.2">
      <c r="A540" s="21"/>
      <c r="B540" s="21"/>
      <c r="C540" s="21"/>
      <c r="D540" s="23"/>
    </row>
    <row r="541" spans="1:4" x14ac:dyDescent="0.2">
      <c r="A541" s="21"/>
      <c r="B541" s="21"/>
      <c r="C541" s="21"/>
      <c r="D541" s="23"/>
    </row>
    <row r="542" spans="1:4" x14ac:dyDescent="0.2">
      <c r="A542" s="21"/>
      <c r="B542" s="21"/>
      <c r="C542" s="21"/>
      <c r="D542" s="23"/>
    </row>
    <row r="543" spans="1:4" x14ac:dyDescent="0.2">
      <c r="A543" s="21"/>
      <c r="B543" s="21"/>
      <c r="C543" s="21"/>
      <c r="D543" s="23"/>
    </row>
    <row r="544" spans="1:4" x14ac:dyDescent="0.2">
      <c r="A544" s="21"/>
      <c r="B544" s="21"/>
      <c r="C544" s="21"/>
      <c r="D544" s="23"/>
    </row>
    <row r="545" spans="1:4" x14ac:dyDescent="0.2">
      <c r="A545" s="21"/>
      <c r="B545" s="21"/>
      <c r="C545" s="21"/>
      <c r="D545" s="23"/>
    </row>
    <row r="546" spans="1:4" x14ac:dyDescent="0.2">
      <c r="A546" s="21"/>
      <c r="B546" s="21"/>
      <c r="C546" s="21"/>
      <c r="D546" s="23"/>
    </row>
    <row r="547" spans="1:4" x14ac:dyDescent="0.2">
      <c r="A547" s="21"/>
      <c r="B547" s="21"/>
      <c r="C547" s="21"/>
      <c r="D547" s="23"/>
    </row>
    <row r="548" spans="1:4" x14ac:dyDescent="0.2">
      <c r="A548" s="21"/>
      <c r="B548" s="21"/>
      <c r="C548" s="21"/>
      <c r="D548" s="23"/>
    </row>
    <row r="549" spans="1:4" x14ac:dyDescent="0.2">
      <c r="A549" s="21"/>
      <c r="B549" s="21"/>
      <c r="C549" s="21"/>
      <c r="D549" s="23"/>
    </row>
    <row r="550" spans="1:4" x14ac:dyDescent="0.2">
      <c r="A550" s="21"/>
      <c r="B550" s="21"/>
      <c r="C550" s="21"/>
      <c r="D550" s="23"/>
    </row>
    <row r="551" spans="1:4" x14ac:dyDescent="0.2">
      <c r="A551" s="21"/>
      <c r="B551" s="21"/>
      <c r="C551" s="21"/>
      <c r="D551" s="23"/>
    </row>
    <row r="552" spans="1:4" x14ac:dyDescent="0.2">
      <c r="A552" s="21"/>
      <c r="B552" s="21"/>
      <c r="C552" s="21"/>
      <c r="D552" s="23"/>
    </row>
    <row r="553" spans="1:4" x14ac:dyDescent="0.2">
      <c r="A553" s="21"/>
      <c r="B553" s="21"/>
      <c r="C553" s="21"/>
      <c r="D553" s="23"/>
    </row>
    <row r="554" spans="1:4" x14ac:dyDescent="0.2">
      <c r="A554" s="21"/>
      <c r="B554" s="21"/>
      <c r="C554" s="21"/>
      <c r="D554" s="23"/>
    </row>
    <row r="555" spans="1:4" x14ac:dyDescent="0.2">
      <c r="A555" s="21"/>
      <c r="B555" s="21"/>
      <c r="C555" s="21"/>
      <c r="D555" s="23"/>
    </row>
    <row r="556" spans="1:4" x14ac:dyDescent="0.2">
      <c r="A556" s="21"/>
      <c r="B556" s="21"/>
      <c r="C556" s="21"/>
      <c r="D556" s="23"/>
    </row>
    <row r="557" spans="1:4" x14ac:dyDescent="0.2">
      <c r="A557" s="21"/>
      <c r="B557" s="21"/>
      <c r="C557" s="21"/>
      <c r="D557" s="23"/>
    </row>
    <row r="558" spans="1:4" x14ac:dyDescent="0.2">
      <c r="A558" s="21"/>
      <c r="B558" s="21"/>
      <c r="C558" s="21"/>
      <c r="D558" s="23"/>
    </row>
    <row r="559" spans="1:4" x14ac:dyDescent="0.2">
      <c r="A559" s="21"/>
      <c r="B559" s="21"/>
      <c r="C559" s="21"/>
      <c r="D559" s="23"/>
    </row>
    <row r="560" spans="1:4" x14ac:dyDescent="0.2">
      <c r="A560" s="21"/>
      <c r="B560" s="21"/>
      <c r="C560" s="21"/>
      <c r="D560" s="23"/>
    </row>
    <row r="561" spans="1:4" x14ac:dyDescent="0.2">
      <c r="A561" s="21"/>
      <c r="B561" s="21"/>
      <c r="C561" s="21"/>
      <c r="D561" s="23"/>
    </row>
    <row r="562" spans="1:4" x14ac:dyDescent="0.2">
      <c r="A562" s="21"/>
      <c r="B562" s="21"/>
      <c r="C562" s="21"/>
      <c r="D562" s="23"/>
    </row>
    <row r="563" spans="1:4" x14ac:dyDescent="0.2">
      <c r="A563" s="21"/>
      <c r="B563" s="21"/>
      <c r="C563" s="21"/>
      <c r="D563" s="23"/>
    </row>
    <row r="564" spans="1:4" x14ac:dyDescent="0.2">
      <c r="A564" s="21"/>
      <c r="B564" s="21"/>
      <c r="C564" s="21"/>
      <c r="D564" s="23"/>
    </row>
    <row r="565" spans="1:4" x14ac:dyDescent="0.2">
      <c r="A565" s="21"/>
      <c r="B565" s="21"/>
      <c r="C565" s="21"/>
      <c r="D565" s="23"/>
    </row>
    <row r="566" spans="1:4" x14ac:dyDescent="0.2">
      <c r="A566" s="21"/>
      <c r="B566" s="21"/>
      <c r="C566" s="21"/>
      <c r="D566" s="23"/>
    </row>
    <row r="567" spans="1:4" x14ac:dyDescent="0.2">
      <c r="A567" s="21"/>
      <c r="B567" s="21"/>
      <c r="C567" s="21"/>
      <c r="D567" s="23"/>
    </row>
    <row r="568" spans="1:4" x14ac:dyDescent="0.2">
      <c r="A568" s="21"/>
      <c r="B568" s="21"/>
      <c r="C568" s="21"/>
      <c r="D568" s="23"/>
    </row>
    <row r="569" spans="1:4" x14ac:dyDescent="0.2">
      <c r="A569" s="21"/>
      <c r="B569" s="21"/>
      <c r="C569" s="21"/>
      <c r="D569" s="23"/>
    </row>
    <row r="570" spans="1:4" x14ac:dyDescent="0.2">
      <c r="A570" s="21"/>
      <c r="B570" s="21"/>
      <c r="C570" s="21"/>
      <c r="D570" s="23"/>
    </row>
    <row r="571" spans="1:4" x14ac:dyDescent="0.2">
      <c r="A571" s="21"/>
      <c r="B571" s="21"/>
      <c r="C571" s="21"/>
      <c r="D571" s="23"/>
    </row>
    <row r="572" spans="1:4" x14ac:dyDescent="0.2">
      <c r="A572" s="21"/>
      <c r="B572" s="21"/>
      <c r="C572" s="21"/>
      <c r="D572" s="23"/>
    </row>
    <row r="573" spans="1:4" x14ac:dyDescent="0.2">
      <c r="A573" s="21"/>
      <c r="B573" s="21"/>
      <c r="C573" s="21"/>
      <c r="D573" s="23"/>
    </row>
    <row r="574" spans="1:4" x14ac:dyDescent="0.2">
      <c r="A574" s="21"/>
      <c r="B574" s="21"/>
      <c r="C574" s="21"/>
      <c r="D574" s="23"/>
    </row>
    <row r="575" spans="1:4" x14ac:dyDescent="0.2">
      <c r="A575" s="21"/>
      <c r="B575" s="21"/>
      <c r="C575" s="21"/>
      <c r="D575" s="23"/>
    </row>
    <row r="576" spans="1:4" x14ac:dyDescent="0.2">
      <c r="A576" s="21"/>
      <c r="B576" s="21"/>
      <c r="C576" s="21"/>
      <c r="D576" s="23"/>
    </row>
    <row r="577" spans="1:4" x14ac:dyDescent="0.2">
      <c r="A577" s="21"/>
      <c r="B577" s="21"/>
      <c r="C577" s="21"/>
      <c r="D577" s="23"/>
    </row>
    <row r="578" spans="1:4" x14ac:dyDescent="0.2">
      <c r="A578" s="21"/>
      <c r="B578" s="21"/>
      <c r="C578" s="21"/>
      <c r="D578" s="23"/>
    </row>
    <row r="579" spans="1:4" x14ac:dyDescent="0.2">
      <c r="A579" s="21"/>
      <c r="B579" s="21"/>
      <c r="C579" s="21"/>
      <c r="D579" s="23"/>
    </row>
    <row r="580" spans="1:4" x14ac:dyDescent="0.2">
      <c r="A580" s="21"/>
      <c r="B580" s="21"/>
      <c r="C580" s="21"/>
      <c r="D580" s="23"/>
    </row>
    <row r="581" spans="1:4" x14ac:dyDescent="0.2">
      <c r="A581" s="21"/>
      <c r="B581" s="21"/>
      <c r="C581" s="21"/>
      <c r="D581" s="23"/>
    </row>
    <row r="582" spans="1:4" x14ac:dyDescent="0.2">
      <c r="A582" s="21"/>
      <c r="B582" s="21"/>
      <c r="C582" s="21"/>
      <c r="D582" s="23"/>
    </row>
    <row r="583" spans="1:4" x14ac:dyDescent="0.2">
      <c r="A583" s="21"/>
      <c r="B583" s="21"/>
      <c r="C583" s="21"/>
      <c r="D583" s="23"/>
    </row>
    <row r="584" spans="1:4" x14ac:dyDescent="0.2">
      <c r="A584" s="21"/>
      <c r="B584" s="21"/>
      <c r="C584" s="21"/>
      <c r="D584" s="23"/>
    </row>
    <row r="585" spans="1:4" x14ac:dyDescent="0.2">
      <c r="A585" s="21"/>
      <c r="B585" s="21"/>
      <c r="C585" s="21"/>
      <c r="D585" s="23"/>
    </row>
    <row r="586" spans="1:4" x14ac:dyDescent="0.2">
      <c r="A586" s="21"/>
      <c r="B586" s="21"/>
      <c r="C586" s="21"/>
      <c r="D586" s="23"/>
    </row>
    <row r="587" spans="1:4" x14ac:dyDescent="0.2">
      <c r="A587" s="21"/>
      <c r="B587" s="21"/>
      <c r="C587" s="21"/>
      <c r="D587" s="23"/>
    </row>
    <row r="588" spans="1:4" x14ac:dyDescent="0.2">
      <c r="A588" s="21"/>
      <c r="B588" s="21"/>
      <c r="C588" s="21"/>
      <c r="D588" s="23"/>
    </row>
    <row r="589" spans="1:4" x14ac:dyDescent="0.2">
      <c r="A589" s="21"/>
      <c r="B589" s="21"/>
      <c r="C589" s="21"/>
      <c r="D589" s="23"/>
    </row>
    <row r="590" spans="1:4" x14ac:dyDescent="0.2">
      <c r="A590" s="21"/>
      <c r="B590" s="21"/>
      <c r="C590" s="21"/>
      <c r="D590" s="23"/>
    </row>
    <row r="591" spans="1:4" x14ac:dyDescent="0.2">
      <c r="A591" s="21"/>
      <c r="B591" s="21"/>
      <c r="C591" s="21"/>
      <c r="D591" s="23"/>
    </row>
    <row r="592" spans="1:4" x14ac:dyDescent="0.2">
      <c r="A592" s="21"/>
      <c r="B592" s="21"/>
      <c r="C592" s="21"/>
      <c r="D592" s="23"/>
    </row>
    <row r="593" spans="1:4" x14ac:dyDescent="0.2">
      <c r="A593" s="21"/>
      <c r="B593" s="21"/>
      <c r="C593" s="21"/>
      <c r="D593" s="23"/>
    </row>
    <row r="594" spans="1:4" x14ac:dyDescent="0.2">
      <c r="A594" s="21"/>
      <c r="B594" s="21"/>
      <c r="C594" s="21"/>
      <c r="D594" s="23"/>
    </row>
    <row r="595" spans="1:4" x14ac:dyDescent="0.2">
      <c r="A595" s="21"/>
      <c r="B595" s="21"/>
      <c r="C595" s="21"/>
      <c r="D595" s="23"/>
    </row>
    <row r="596" spans="1:4" x14ac:dyDescent="0.2">
      <c r="A596" s="21"/>
      <c r="B596" s="21"/>
      <c r="C596" s="21"/>
      <c r="D596" s="23"/>
    </row>
    <row r="597" spans="1:4" x14ac:dyDescent="0.2">
      <c r="A597" s="21"/>
      <c r="B597" s="21"/>
      <c r="C597" s="21"/>
      <c r="D597" s="23"/>
    </row>
    <row r="598" spans="1:4" x14ac:dyDescent="0.2">
      <c r="A598" s="21"/>
      <c r="B598" s="21"/>
      <c r="C598" s="21"/>
      <c r="D598" s="23"/>
    </row>
    <row r="599" spans="1:4" x14ac:dyDescent="0.2">
      <c r="A599" s="21"/>
      <c r="B599" s="21"/>
      <c r="C599" s="21"/>
      <c r="D599" s="23"/>
    </row>
    <row r="600" spans="1:4" x14ac:dyDescent="0.2">
      <c r="A600" s="21"/>
      <c r="B600" s="21"/>
      <c r="C600" s="21"/>
      <c r="D600" s="23"/>
    </row>
    <row r="601" spans="1:4" x14ac:dyDescent="0.2">
      <c r="A601" s="21"/>
      <c r="B601" s="21"/>
      <c r="C601" s="21"/>
      <c r="D601" s="23"/>
    </row>
    <row r="602" spans="1:4" x14ac:dyDescent="0.2">
      <c r="A602" s="21"/>
      <c r="B602" s="21"/>
      <c r="C602" s="21"/>
      <c r="D602" s="23"/>
    </row>
    <row r="603" spans="1:4" x14ac:dyDescent="0.2">
      <c r="A603" s="21"/>
      <c r="B603" s="21"/>
      <c r="C603" s="21"/>
      <c r="D603" s="23"/>
    </row>
    <row r="604" spans="1:4" x14ac:dyDescent="0.2">
      <c r="A604" s="21"/>
      <c r="B604" s="21"/>
      <c r="C604" s="21"/>
      <c r="D604" s="23"/>
    </row>
    <row r="605" spans="1:4" x14ac:dyDescent="0.2">
      <c r="A605" s="21"/>
      <c r="B605" s="21"/>
      <c r="C605" s="21"/>
      <c r="D605" s="23"/>
    </row>
    <row r="606" spans="1:4" x14ac:dyDescent="0.2">
      <c r="A606" s="21"/>
      <c r="B606" s="21"/>
      <c r="C606" s="21"/>
      <c r="D606" s="23"/>
    </row>
    <row r="607" spans="1:4" x14ac:dyDescent="0.2">
      <c r="A607" s="21"/>
      <c r="B607" s="21"/>
      <c r="C607" s="21"/>
      <c r="D607" s="23"/>
    </row>
    <row r="608" spans="1:4" x14ac:dyDescent="0.2">
      <c r="A608" s="21"/>
      <c r="B608" s="21"/>
      <c r="C608" s="21"/>
      <c r="D608" s="23"/>
    </row>
    <row r="609" spans="1:4" x14ac:dyDescent="0.2">
      <c r="A609" s="21"/>
      <c r="B609" s="21"/>
      <c r="C609" s="21"/>
      <c r="D609" s="23"/>
    </row>
    <row r="610" spans="1:4" x14ac:dyDescent="0.2">
      <c r="A610" s="21"/>
      <c r="B610" s="21"/>
      <c r="C610" s="21"/>
      <c r="D610" s="23"/>
    </row>
    <row r="611" spans="1:4" x14ac:dyDescent="0.2">
      <c r="A611" s="21"/>
      <c r="B611" s="21"/>
      <c r="C611" s="21"/>
      <c r="D611" s="23"/>
    </row>
    <row r="612" spans="1:4" x14ac:dyDescent="0.2">
      <c r="A612" s="21"/>
      <c r="B612" s="21"/>
      <c r="C612" s="21"/>
      <c r="D612" s="23"/>
    </row>
    <row r="613" spans="1:4" x14ac:dyDescent="0.2">
      <c r="A613" s="21"/>
      <c r="B613" s="21"/>
      <c r="C613" s="21"/>
      <c r="D613" s="23"/>
    </row>
    <row r="614" spans="1:4" x14ac:dyDescent="0.2">
      <c r="A614" s="21"/>
      <c r="B614" s="21"/>
      <c r="C614" s="21"/>
      <c r="D614" s="23"/>
    </row>
    <row r="615" spans="1:4" x14ac:dyDescent="0.2">
      <c r="A615" s="21"/>
      <c r="B615" s="21"/>
      <c r="C615" s="21"/>
      <c r="D615" s="23"/>
    </row>
    <row r="616" spans="1:4" x14ac:dyDescent="0.2">
      <c r="A616" s="21"/>
      <c r="B616" s="21"/>
      <c r="C616" s="21"/>
      <c r="D616" s="23"/>
    </row>
    <row r="617" spans="1:4" x14ac:dyDescent="0.2">
      <c r="A617" s="21"/>
      <c r="B617" s="21"/>
      <c r="C617" s="21"/>
      <c r="D617" s="23"/>
    </row>
    <row r="618" spans="1:4" x14ac:dyDescent="0.2">
      <c r="A618" s="21"/>
      <c r="B618" s="21"/>
      <c r="C618" s="21"/>
      <c r="D618" s="23"/>
    </row>
    <row r="619" spans="1:4" x14ac:dyDescent="0.2">
      <c r="A619" s="21"/>
      <c r="B619" s="21"/>
      <c r="C619" s="21"/>
      <c r="D619" s="23"/>
    </row>
    <row r="620" spans="1:4" x14ac:dyDescent="0.2">
      <c r="A620" s="21"/>
      <c r="B620" s="21"/>
      <c r="C620" s="21"/>
      <c r="D620" s="23"/>
    </row>
    <row r="621" spans="1:4" x14ac:dyDescent="0.2">
      <c r="A621" s="21"/>
      <c r="B621" s="21"/>
      <c r="C621" s="21"/>
      <c r="D621" s="23"/>
    </row>
    <row r="622" spans="1:4" x14ac:dyDescent="0.2">
      <c r="A622" s="21"/>
      <c r="B622" s="21"/>
      <c r="C622" s="21"/>
      <c r="D622" s="23"/>
    </row>
    <row r="623" spans="1:4" x14ac:dyDescent="0.2">
      <c r="A623" s="21"/>
      <c r="B623" s="21"/>
      <c r="C623" s="21"/>
      <c r="D623" s="23"/>
    </row>
    <row r="624" spans="1:4" x14ac:dyDescent="0.2">
      <c r="A624" s="21"/>
      <c r="B624" s="21"/>
      <c r="C624" s="21"/>
      <c r="D624" s="23"/>
    </row>
    <row r="625" spans="1:4" x14ac:dyDescent="0.2">
      <c r="A625" s="21"/>
      <c r="B625" s="21"/>
      <c r="C625" s="21"/>
      <c r="D625" s="23"/>
    </row>
    <row r="626" spans="1:4" x14ac:dyDescent="0.2">
      <c r="A626" s="21"/>
      <c r="B626" s="21"/>
      <c r="C626" s="21"/>
      <c r="D626" s="23"/>
    </row>
    <row r="627" spans="1:4" x14ac:dyDescent="0.2">
      <c r="A627" s="21"/>
      <c r="B627" s="21"/>
      <c r="C627" s="21"/>
      <c r="D627" s="23"/>
    </row>
    <row r="628" spans="1:4" x14ac:dyDescent="0.2">
      <c r="A628" s="21"/>
      <c r="B628" s="21"/>
      <c r="C628" s="21"/>
      <c r="D628" s="23"/>
    </row>
    <row r="629" spans="1:4" x14ac:dyDescent="0.2">
      <c r="A629" s="21"/>
      <c r="B629" s="21"/>
      <c r="C629" s="21"/>
      <c r="D629" s="23"/>
    </row>
    <row r="630" spans="1:4" x14ac:dyDescent="0.2">
      <c r="A630" s="21"/>
      <c r="B630" s="21"/>
      <c r="C630" s="21"/>
      <c r="D630" s="23"/>
    </row>
    <row r="631" spans="1:4" x14ac:dyDescent="0.2">
      <c r="A631" s="21"/>
      <c r="B631" s="21"/>
      <c r="C631" s="21"/>
      <c r="D631" s="23"/>
    </row>
    <row r="632" spans="1:4" x14ac:dyDescent="0.2">
      <c r="A632" s="21"/>
      <c r="B632" s="21"/>
      <c r="C632" s="21"/>
      <c r="D632" s="23"/>
    </row>
    <row r="633" spans="1:4" x14ac:dyDescent="0.2">
      <c r="A633" s="21"/>
      <c r="B633" s="21"/>
      <c r="C633" s="21"/>
      <c r="D633" s="23"/>
    </row>
    <row r="634" spans="1:4" x14ac:dyDescent="0.2">
      <c r="A634" s="21"/>
      <c r="B634" s="21"/>
      <c r="C634" s="21"/>
      <c r="D634" s="23"/>
    </row>
    <row r="635" spans="1:4" x14ac:dyDescent="0.2">
      <c r="A635" s="21"/>
      <c r="B635" s="21"/>
      <c r="C635" s="21"/>
      <c r="D635" s="23"/>
    </row>
    <row r="636" spans="1:4" x14ac:dyDescent="0.2">
      <c r="A636" s="21"/>
      <c r="B636" s="21"/>
      <c r="C636" s="21"/>
      <c r="D636" s="23"/>
    </row>
    <row r="637" spans="1:4" x14ac:dyDescent="0.2">
      <c r="A637" s="21"/>
      <c r="B637" s="21"/>
      <c r="C637" s="21"/>
      <c r="D637" s="23"/>
    </row>
    <row r="638" spans="1:4" x14ac:dyDescent="0.2">
      <c r="A638" s="21"/>
      <c r="B638" s="21"/>
      <c r="C638" s="21"/>
      <c r="D638" s="23"/>
    </row>
    <row r="639" spans="1:4" x14ac:dyDescent="0.2">
      <c r="A639" s="21"/>
      <c r="B639" s="21"/>
      <c r="C639" s="21"/>
      <c r="D639" s="23"/>
    </row>
    <row r="640" spans="1:4" x14ac:dyDescent="0.2">
      <c r="A640" s="21"/>
      <c r="B640" s="21"/>
      <c r="C640" s="21"/>
      <c r="D640" s="23"/>
    </row>
    <row r="641" spans="1:4" x14ac:dyDescent="0.2">
      <c r="A641" s="21"/>
      <c r="B641" s="21"/>
      <c r="C641" s="21"/>
      <c r="D641" s="23"/>
    </row>
    <row r="642" spans="1:4" x14ac:dyDescent="0.2">
      <c r="A642" s="21"/>
      <c r="B642" s="21"/>
      <c r="C642" s="21"/>
      <c r="D642" s="23"/>
    </row>
    <row r="643" spans="1:4" x14ac:dyDescent="0.2">
      <c r="A643" s="21"/>
      <c r="B643" s="21"/>
      <c r="C643" s="21"/>
      <c r="D643" s="23"/>
    </row>
    <row r="644" spans="1:4" x14ac:dyDescent="0.2">
      <c r="A644" s="21"/>
      <c r="B644" s="21"/>
      <c r="C644" s="21"/>
      <c r="D644" s="23"/>
    </row>
    <row r="645" spans="1:4" x14ac:dyDescent="0.2">
      <c r="A645" s="21"/>
      <c r="B645" s="21"/>
      <c r="C645" s="21"/>
      <c r="D645" s="23"/>
    </row>
    <row r="646" spans="1:4" x14ac:dyDescent="0.2">
      <c r="A646" s="21"/>
      <c r="B646" s="21"/>
      <c r="C646" s="21"/>
      <c r="D646" s="23"/>
    </row>
    <row r="647" spans="1:4" x14ac:dyDescent="0.2">
      <c r="A647" s="21"/>
      <c r="B647" s="21"/>
      <c r="C647" s="21"/>
      <c r="D647" s="23"/>
    </row>
    <row r="648" spans="1:4" x14ac:dyDescent="0.2">
      <c r="A648" s="21"/>
      <c r="B648" s="21"/>
      <c r="C648" s="21"/>
      <c r="D648" s="23"/>
    </row>
    <row r="649" spans="1:4" x14ac:dyDescent="0.2">
      <c r="A649" s="21"/>
      <c r="B649" s="21"/>
      <c r="C649" s="21"/>
      <c r="D649" s="23"/>
    </row>
    <row r="650" spans="1:4" x14ac:dyDescent="0.2">
      <c r="A650" s="21"/>
      <c r="B650" s="21"/>
      <c r="C650" s="21"/>
      <c r="D650" s="23"/>
    </row>
    <row r="651" spans="1:4" x14ac:dyDescent="0.2">
      <c r="A651" s="21"/>
      <c r="B651" s="21"/>
      <c r="C651" s="21"/>
      <c r="D651" s="23"/>
    </row>
    <row r="652" spans="1:4" x14ac:dyDescent="0.2">
      <c r="A652" s="21"/>
      <c r="B652" s="21"/>
      <c r="C652" s="21"/>
      <c r="D652" s="23"/>
    </row>
    <row r="653" spans="1:4" x14ac:dyDescent="0.2">
      <c r="A653" s="21"/>
      <c r="B653" s="21"/>
      <c r="C653" s="21"/>
      <c r="D653" s="23"/>
    </row>
    <row r="654" spans="1:4" x14ac:dyDescent="0.2">
      <c r="A654" s="21"/>
      <c r="B654" s="21"/>
      <c r="C654" s="21"/>
      <c r="D654" s="23"/>
    </row>
    <row r="655" spans="1:4" x14ac:dyDescent="0.2">
      <c r="A655" s="21"/>
      <c r="B655" s="21"/>
      <c r="C655" s="21"/>
      <c r="D655" s="23"/>
    </row>
    <row r="656" spans="1:4" x14ac:dyDescent="0.2">
      <c r="A656" s="21"/>
      <c r="B656" s="21"/>
      <c r="C656" s="21"/>
      <c r="D656" s="23"/>
    </row>
    <row r="657" spans="1:4" x14ac:dyDescent="0.2">
      <c r="A657" s="21"/>
      <c r="B657" s="21"/>
      <c r="C657" s="21"/>
      <c r="D657" s="23"/>
    </row>
    <row r="658" spans="1:4" x14ac:dyDescent="0.2">
      <c r="A658" s="21"/>
      <c r="B658" s="21"/>
      <c r="C658" s="21"/>
      <c r="D658" s="23"/>
    </row>
    <row r="659" spans="1:4" x14ac:dyDescent="0.2">
      <c r="A659" s="21"/>
      <c r="B659" s="21"/>
      <c r="C659" s="21"/>
      <c r="D659" s="23"/>
    </row>
    <row r="660" spans="1:4" x14ac:dyDescent="0.2">
      <c r="A660" s="21"/>
      <c r="B660" s="21"/>
      <c r="C660" s="21"/>
      <c r="D660" s="23"/>
    </row>
    <row r="661" spans="1:4" x14ac:dyDescent="0.2">
      <c r="A661" s="21"/>
      <c r="B661" s="21"/>
      <c r="C661" s="21"/>
      <c r="D661" s="23"/>
    </row>
    <row r="662" spans="1:4" x14ac:dyDescent="0.2">
      <c r="A662" s="21"/>
      <c r="B662" s="21"/>
      <c r="C662" s="21"/>
      <c r="D662" s="23"/>
    </row>
    <row r="663" spans="1:4" x14ac:dyDescent="0.2">
      <c r="A663" s="21"/>
      <c r="B663" s="21"/>
      <c r="C663" s="21"/>
      <c r="D663" s="23"/>
    </row>
    <row r="664" spans="1:4" x14ac:dyDescent="0.2">
      <c r="A664" s="21"/>
      <c r="B664" s="21"/>
      <c r="C664" s="21"/>
      <c r="D664" s="23"/>
    </row>
    <row r="665" spans="1:4" x14ac:dyDescent="0.2">
      <c r="A665" s="21"/>
      <c r="B665" s="21"/>
      <c r="C665" s="21"/>
      <c r="D665" s="23"/>
    </row>
    <row r="666" spans="1:4" x14ac:dyDescent="0.2">
      <c r="A666" s="21"/>
      <c r="B666" s="21"/>
      <c r="C666" s="21"/>
      <c r="D666" s="23"/>
    </row>
    <row r="667" spans="1:4" x14ac:dyDescent="0.2">
      <c r="A667" s="21"/>
      <c r="B667" s="21"/>
      <c r="C667" s="21"/>
      <c r="D667" s="23"/>
    </row>
    <row r="668" spans="1:4" x14ac:dyDescent="0.2">
      <c r="A668" s="21"/>
      <c r="B668" s="21"/>
      <c r="C668" s="21"/>
      <c r="D668" s="23"/>
    </row>
    <row r="669" spans="1:4" x14ac:dyDescent="0.2">
      <c r="A669" s="21"/>
      <c r="B669" s="21"/>
      <c r="C669" s="21"/>
      <c r="D669" s="23"/>
    </row>
    <row r="670" spans="1:4" x14ac:dyDescent="0.2">
      <c r="A670" s="21"/>
      <c r="B670" s="21"/>
      <c r="C670" s="21"/>
      <c r="D670" s="23"/>
    </row>
    <row r="671" spans="1:4" x14ac:dyDescent="0.2">
      <c r="A671" s="21"/>
      <c r="B671" s="21"/>
      <c r="C671" s="21"/>
      <c r="D671" s="23"/>
    </row>
    <row r="672" spans="1:4" x14ac:dyDescent="0.2">
      <c r="A672" s="21"/>
      <c r="B672" s="21"/>
      <c r="C672" s="21"/>
      <c r="D672" s="23"/>
    </row>
    <row r="673" spans="1:4" x14ac:dyDescent="0.2">
      <c r="A673" s="21"/>
      <c r="B673" s="21"/>
      <c r="C673" s="21"/>
      <c r="D673" s="23"/>
    </row>
    <row r="674" spans="1:4" x14ac:dyDescent="0.2">
      <c r="A674" s="21"/>
      <c r="B674" s="21"/>
      <c r="C674" s="21"/>
      <c r="D674" s="23"/>
    </row>
    <row r="675" spans="1:4" x14ac:dyDescent="0.2">
      <c r="A675" s="21"/>
      <c r="B675" s="21"/>
      <c r="C675" s="21"/>
      <c r="D675" s="23"/>
    </row>
    <row r="676" spans="1:4" x14ac:dyDescent="0.2">
      <c r="A676" s="21"/>
      <c r="B676" s="21"/>
      <c r="C676" s="21"/>
      <c r="D676" s="23"/>
    </row>
    <row r="677" spans="1:4" x14ac:dyDescent="0.2">
      <c r="A677" s="21"/>
      <c r="B677" s="21"/>
      <c r="C677" s="21"/>
      <c r="D677" s="23"/>
    </row>
    <row r="678" spans="1:4" x14ac:dyDescent="0.2">
      <c r="A678" s="21"/>
      <c r="B678" s="21"/>
      <c r="C678" s="21"/>
      <c r="D678" s="23"/>
    </row>
    <row r="679" spans="1:4" x14ac:dyDescent="0.2">
      <c r="A679" s="21"/>
      <c r="B679" s="21"/>
      <c r="C679" s="21"/>
      <c r="D679" s="23"/>
    </row>
    <row r="680" spans="1:4" x14ac:dyDescent="0.2">
      <c r="A680" s="21"/>
      <c r="B680" s="21"/>
      <c r="C680" s="21"/>
      <c r="D680" s="23"/>
    </row>
    <row r="681" spans="1:4" x14ac:dyDescent="0.2">
      <c r="A681" s="21"/>
      <c r="B681" s="21"/>
      <c r="C681" s="21"/>
      <c r="D681" s="23"/>
    </row>
    <row r="682" spans="1:4" x14ac:dyDescent="0.2">
      <c r="A682" s="21"/>
      <c r="B682" s="21"/>
      <c r="C682" s="21"/>
      <c r="D682" s="23"/>
    </row>
    <row r="683" spans="1:4" x14ac:dyDescent="0.2">
      <c r="A683" s="21"/>
      <c r="B683" s="21"/>
      <c r="C683" s="21"/>
      <c r="D683" s="23"/>
    </row>
    <row r="684" spans="1:4" x14ac:dyDescent="0.2">
      <c r="A684" s="21"/>
      <c r="B684" s="21"/>
      <c r="C684" s="21"/>
      <c r="D684" s="23"/>
    </row>
    <row r="685" spans="1:4" x14ac:dyDescent="0.2">
      <c r="A685" s="21"/>
      <c r="B685" s="21"/>
      <c r="C685" s="21"/>
      <c r="D685" s="23"/>
    </row>
    <row r="686" spans="1:4" x14ac:dyDescent="0.2">
      <c r="A686" s="21"/>
      <c r="B686" s="21"/>
      <c r="C686" s="21"/>
      <c r="D686" s="23"/>
    </row>
    <row r="687" spans="1:4" x14ac:dyDescent="0.2">
      <c r="A687" s="21"/>
      <c r="B687" s="21"/>
      <c r="C687" s="21"/>
      <c r="D687" s="23"/>
    </row>
    <row r="688" spans="1:4" x14ac:dyDescent="0.2">
      <c r="A688" s="21"/>
      <c r="B688" s="21"/>
      <c r="C688" s="21"/>
      <c r="D688" s="23"/>
    </row>
    <row r="689" spans="1:4" x14ac:dyDescent="0.2">
      <c r="A689" s="21"/>
      <c r="B689" s="21"/>
      <c r="C689" s="21"/>
      <c r="D689" s="23"/>
    </row>
    <row r="690" spans="1:4" x14ac:dyDescent="0.2">
      <c r="A690" s="21"/>
      <c r="B690" s="21"/>
      <c r="C690" s="21"/>
      <c r="D690" s="23"/>
    </row>
    <row r="691" spans="1:4" x14ac:dyDescent="0.2">
      <c r="A691" s="21"/>
      <c r="B691" s="21"/>
      <c r="C691" s="21"/>
      <c r="D691" s="23"/>
    </row>
    <row r="692" spans="1:4" x14ac:dyDescent="0.2">
      <c r="A692" s="21"/>
      <c r="B692" s="21"/>
      <c r="C692" s="21"/>
      <c r="D692" s="23"/>
    </row>
    <row r="693" spans="1:4" x14ac:dyDescent="0.2">
      <c r="A693" s="21"/>
      <c r="B693" s="21"/>
      <c r="C693" s="21"/>
      <c r="D693" s="23"/>
    </row>
    <row r="694" spans="1:4" x14ac:dyDescent="0.2">
      <c r="A694" s="21"/>
      <c r="B694" s="21"/>
      <c r="C694" s="21"/>
      <c r="D694" s="23"/>
    </row>
    <row r="695" spans="1:4" x14ac:dyDescent="0.2">
      <c r="A695" s="21"/>
      <c r="B695" s="21"/>
      <c r="C695" s="21"/>
      <c r="D695" s="23"/>
    </row>
    <row r="696" spans="1:4" x14ac:dyDescent="0.2">
      <c r="A696" s="21"/>
      <c r="B696" s="21"/>
      <c r="C696" s="21"/>
      <c r="D696" s="23"/>
    </row>
    <row r="697" spans="1:4" x14ac:dyDescent="0.2">
      <c r="A697" s="21"/>
      <c r="B697" s="21"/>
      <c r="C697" s="21"/>
      <c r="D697" s="23"/>
    </row>
    <row r="698" spans="1:4" x14ac:dyDescent="0.2">
      <c r="A698" s="21"/>
      <c r="B698" s="21"/>
      <c r="C698" s="21"/>
      <c r="D698" s="23"/>
    </row>
    <row r="699" spans="1:4" x14ac:dyDescent="0.2">
      <c r="A699" s="21"/>
      <c r="B699" s="21"/>
      <c r="C699" s="21"/>
      <c r="D699" s="23"/>
    </row>
    <row r="700" spans="1:4" x14ac:dyDescent="0.2">
      <c r="A700" s="21"/>
      <c r="B700" s="21"/>
      <c r="C700" s="21"/>
      <c r="D700" s="23"/>
    </row>
    <row r="701" spans="1:4" x14ac:dyDescent="0.2">
      <c r="A701" s="21"/>
      <c r="B701" s="21"/>
      <c r="C701" s="21"/>
      <c r="D701" s="23"/>
    </row>
    <row r="702" spans="1:4" x14ac:dyDescent="0.2">
      <c r="A702" s="21"/>
      <c r="B702" s="21"/>
      <c r="C702" s="21"/>
      <c r="D702" s="23"/>
    </row>
    <row r="703" spans="1:4" x14ac:dyDescent="0.2">
      <c r="A703" s="21"/>
      <c r="B703" s="21"/>
      <c r="C703" s="21"/>
      <c r="D703" s="23"/>
    </row>
    <row r="704" spans="1:4" x14ac:dyDescent="0.2">
      <c r="A704" s="21"/>
      <c r="B704" s="21"/>
      <c r="C704" s="21"/>
      <c r="D704" s="23"/>
    </row>
    <row r="705" spans="1:4" x14ac:dyDescent="0.2">
      <c r="A705" s="21"/>
      <c r="B705" s="21"/>
      <c r="C705" s="21"/>
      <c r="D705" s="23"/>
    </row>
    <row r="706" spans="1:4" x14ac:dyDescent="0.2">
      <c r="A706" s="21"/>
      <c r="B706" s="21"/>
      <c r="C706" s="21"/>
      <c r="D706" s="23"/>
    </row>
    <row r="707" spans="1:4" x14ac:dyDescent="0.2">
      <c r="A707" s="21"/>
      <c r="B707" s="21"/>
      <c r="C707" s="21"/>
      <c r="D707" s="23"/>
    </row>
    <row r="708" spans="1:4" x14ac:dyDescent="0.2">
      <c r="A708" s="21"/>
      <c r="B708" s="21"/>
      <c r="C708" s="21"/>
      <c r="D708" s="23"/>
    </row>
    <row r="709" spans="1:4" x14ac:dyDescent="0.2">
      <c r="A709" s="21"/>
      <c r="B709" s="21"/>
      <c r="C709" s="21"/>
      <c r="D709" s="23"/>
    </row>
    <row r="710" spans="1:4" x14ac:dyDescent="0.2">
      <c r="A710" s="21"/>
      <c r="B710" s="21"/>
      <c r="C710" s="21"/>
      <c r="D710" s="23"/>
    </row>
    <row r="711" spans="1:4" x14ac:dyDescent="0.2">
      <c r="A711" s="21"/>
      <c r="B711" s="21"/>
      <c r="C711" s="21"/>
      <c r="D711" s="23"/>
    </row>
    <row r="712" spans="1:4" x14ac:dyDescent="0.2">
      <c r="A712" s="21"/>
      <c r="B712" s="21"/>
      <c r="C712" s="21"/>
      <c r="D712" s="23"/>
    </row>
    <row r="713" spans="1:4" x14ac:dyDescent="0.2">
      <c r="A713" s="21"/>
      <c r="B713" s="21"/>
      <c r="C713" s="21"/>
      <c r="D713" s="23"/>
    </row>
    <row r="714" spans="1:4" x14ac:dyDescent="0.2">
      <c r="A714" s="21"/>
      <c r="B714" s="21"/>
      <c r="C714" s="21"/>
      <c r="D714" s="23"/>
    </row>
    <row r="715" spans="1:4" x14ac:dyDescent="0.2">
      <c r="A715" s="21"/>
      <c r="B715" s="21"/>
      <c r="C715" s="21"/>
      <c r="D715" s="23"/>
    </row>
    <row r="716" spans="1:4" x14ac:dyDescent="0.2">
      <c r="A716" s="21"/>
      <c r="B716" s="21"/>
      <c r="C716" s="21"/>
      <c r="D716" s="23"/>
    </row>
    <row r="717" spans="1:4" x14ac:dyDescent="0.2">
      <c r="A717" s="21"/>
      <c r="B717" s="21"/>
      <c r="C717" s="21"/>
      <c r="D717" s="23"/>
    </row>
    <row r="718" spans="1:4" x14ac:dyDescent="0.2">
      <c r="A718" s="21"/>
      <c r="B718" s="21"/>
      <c r="C718" s="21"/>
      <c r="D718" s="23"/>
    </row>
    <row r="719" spans="1:4" x14ac:dyDescent="0.2">
      <c r="A719" s="21"/>
      <c r="B719" s="21"/>
      <c r="C719" s="21"/>
      <c r="D719" s="23"/>
    </row>
    <row r="720" spans="1:4" x14ac:dyDescent="0.2">
      <c r="A720" s="21"/>
      <c r="B720" s="21"/>
      <c r="C720" s="21"/>
      <c r="D720" s="23"/>
    </row>
    <row r="721" spans="1:4" x14ac:dyDescent="0.2">
      <c r="A721" s="21"/>
      <c r="B721" s="21"/>
      <c r="C721" s="21"/>
      <c r="D721" s="23"/>
    </row>
    <row r="722" spans="1:4" x14ac:dyDescent="0.2">
      <c r="A722" s="21"/>
      <c r="B722" s="21"/>
      <c r="C722" s="21"/>
      <c r="D722" s="23"/>
    </row>
    <row r="723" spans="1:4" x14ac:dyDescent="0.2">
      <c r="A723" s="21"/>
      <c r="B723" s="21"/>
      <c r="C723" s="21"/>
      <c r="D723" s="23"/>
    </row>
    <row r="724" spans="1:4" x14ac:dyDescent="0.2">
      <c r="A724" s="21"/>
      <c r="B724" s="21"/>
      <c r="C724" s="21"/>
      <c r="D724" s="23"/>
    </row>
    <row r="725" spans="1:4" x14ac:dyDescent="0.2">
      <c r="A725" s="21"/>
      <c r="B725" s="21"/>
      <c r="C725" s="21"/>
      <c r="D725" s="23"/>
    </row>
    <row r="726" spans="1:4" x14ac:dyDescent="0.2">
      <c r="A726" s="21"/>
      <c r="B726" s="21"/>
      <c r="C726" s="21"/>
      <c r="D726" s="23"/>
    </row>
    <row r="727" spans="1:4" x14ac:dyDescent="0.2">
      <c r="A727" s="21"/>
      <c r="B727" s="21"/>
      <c r="C727" s="21"/>
      <c r="D727" s="23"/>
    </row>
    <row r="728" spans="1:4" x14ac:dyDescent="0.2">
      <c r="A728" s="21"/>
      <c r="B728" s="21"/>
      <c r="C728" s="21"/>
      <c r="D728" s="23"/>
    </row>
    <row r="729" spans="1:4" x14ac:dyDescent="0.2">
      <c r="A729" s="21"/>
      <c r="B729" s="21"/>
      <c r="C729" s="21"/>
      <c r="D729" s="23"/>
    </row>
    <row r="730" spans="1:4" x14ac:dyDescent="0.2">
      <c r="A730" s="21"/>
      <c r="B730" s="21"/>
      <c r="C730" s="21"/>
      <c r="D730" s="23"/>
    </row>
    <row r="731" spans="1:4" x14ac:dyDescent="0.2">
      <c r="A731" s="21"/>
      <c r="B731" s="21"/>
      <c r="C731" s="21"/>
      <c r="D731" s="23"/>
    </row>
    <row r="732" spans="1:4" x14ac:dyDescent="0.2">
      <c r="A732" s="21"/>
      <c r="B732" s="21"/>
      <c r="C732" s="21"/>
      <c r="D732" s="23"/>
    </row>
    <row r="733" spans="1:4" x14ac:dyDescent="0.2">
      <c r="A733" s="21"/>
      <c r="B733" s="21"/>
      <c r="C733" s="21"/>
      <c r="D733" s="23"/>
    </row>
    <row r="734" spans="1:4" x14ac:dyDescent="0.2">
      <c r="A734" s="21"/>
      <c r="B734" s="21"/>
      <c r="C734" s="21"/>
      <c r="D734" s="23"/>
    </row>
    <row r="735" spans="1:4" x14ac:dyDescent="0.2">
      <c r="A735" s="21"/>
      <c r="B735" s="21"/>
      <c r="C735" s="21"/>
      <c r="D735" s="23"/>
    </row>
    <row r="736" spans="1:4" x14ac:dyDescent="0.2">
      <c r="A736" s="21"/>
      <c r="B736" s="21"/>
      <c r="C736" s="21"/>
      <c r="D736" s="23"/>
    </row>
    <row r="737" spans="1:4" x14ac:dyDescent="0.2">
      <c r="A737" s="21"/>
      <c r="B737" s="21"/>
      <c r="C737" s="21"/>
      <c r="D737" s="23"/>
    </row>
    <row r="738" spans="1:4" x14ac:dyDescent="0.2">
      <c r="A738" s="21"/>
      <c r="B738" s="21"/>
      <c r="C738" s="21"/>
      <c r="D738" s="23"/>
    </row>
    <row r="739" spans="1:4" x14ac:dyDescent="0.2">
      <c r="A739" s="21"/>
      <c r="B739" s="21"/>
      <c r="C739" s="21"/>
      <c r="D739" s="23"/>
    </row>
    <row r="740" spans="1:4" x14ac:dyDescent="0.2">
      <c r="A740" s="21"/>
      <c r="B740" s="21"/>
      <c r="C740" s="21"/>
      <c r="D740" s="23"/>
    </row>
    <row r="741" spans="1:4" x14ac:dyDescent="0.2">
      <c r="A741" s="21"/>
      <c r="B741" s="21"/>
      <c r="C741" s="21"/>
      <c r="D741" s="23"/>
    </row>
    <row r="742" spans="1:4" x14ac:dyDescent="0.2">
      <c r="A742" s="21"/>
      <c r="B742" s="21"/>
      <c r="C742" s="21"/>
      <c r="D742" s="23"/>
    </row>
    <row r="743" spans="1:4" x14ac:dyDescent="0.2">
      <c r="A743" s="21"/>
      <c r="B743" s="21"/>
      <c r="C743" s="21"/>
      <c r="D743" s="23"/>
    </row>
    <row r="744" spans="1:4" x14ac:dyDescent="0.2">
      <c r="A744" s="21"/>
      <c r="B744" s="21"/>
      <c r="C744" s="21"/>
      <c r="D744" s="23"/>
    </row>
    <row r="745" spans="1:4" x14ac:dyDescent="0.2">
      <c r="A745" s="21"/>
      <c r="B745" s="21"/>
      <c r="C745" s="21"/>
      <c r="D745" s="23"/>
    </row>
    <row r="746" spans="1:4" x14ac:dyDescent="0.2">
      <c r="A746" s="21"/>
      <c r="B746" s="21"/>
      <c r="C746" s="21"/>
      <c r="D746" s="23"/>
    </row>
    <row r="747" spans="1:4" x14ac:dyDescent="0.2">
      <c r="A747" s="21"/>
      <c r="B747" s="21"/>
      <c r="C747" s="21"/>
      <c r="D747" s="23"/>
    </row>
    <row r="748" spans="1:4" x14ac:dyDescent="0.2">
      <c r="A748" s="21"/>
      <c r="B748" s="21"/>
      <c r="C748" s="21"/>
      <c r="D748" s="23"/>
    </row>
    <row r="749" spans="1:4" x14ac:dyDescent="0.2">
      <c r="A749" s="21"/>
      <c r="B749" s="21"/>
      <c r="C749" s="21"/>
      <c r="D749" s="23"/>
    </row>
    <row r="750" spans="1:4" x14ac:dyDescent="0.2">
      <c r="A750" s="21"/>
      <c r="B750" s="21"/>
      <c r="C750" s="21"/>
      <c r="D750" s="23"/>
    </row>
    <row r="751" spans="1:4" x14ac:dyDescent="0.2">
      <c r="A751" s="21"/>
      <c r="B751" s="21"/>
      <c r="C751" s="21"/>
      <c r="D751" s="23"/>
    </row>
    <row r="752" spans="1:4" x14ac:dyDescent="0.2">
      <c r="A752" s="21"/>
      <c r="B752" s="21"/>
      <c r="C752" s="21"/>
      <c r="D752" s="23"/>
    </row>
    <row r="753" spans="1:4" x14ac:dyDescent="0.2">
      <c r="A753" s="21"/>
      <c r="B753" s="21"/>
      <c r="C753" s="21"/>
      <c r="D753" s="23"/>
    </row>
    <row r="754" spans="1:4" x14ac:dyDescent="0.2">
      <c r="A754" s="21"/>
      <c r="B754" s="21"/>
      <c r="C754" s="21"/>
      <c r="D754" s="23"/>
    </row>
    <row r="755" spans="1:4" x14ac:dyDescent="0.2">
      <c r="A755" s="21"/>
      <c r="B755" s="21"/>
      <c r="C755" s="21"/>
      <c r="D755" s="23"/>
    </row>
    <row r="756" spans="1:4" x14ac:dyDescent="0.2">
      <c r="A756" s="21"/>
      <c r="B756" s="21"/>
      <c r="C756" s="21"/>
      <c r="D756" s="23"/>
    </row>
    <row r="757" spans="1:4" x14ac:dyDescent="0.2">
      <c r="A757" s="21"/>
      <c r="B757" s="21"/>
      <c r="C757" s="21"/>
      <c r="D757" s="23"/>
    </row>
    <row r="758" spans="1:4" x14ac:dyDescent="0.2">
      <c r="A758" s="21"/>
      <c r="B758" s="21"/>
      <c r="C758" s="21"/>
      <c r="D758" s="23"/>
    </row>
    <row r="759" spans="1:4" x14ac:dyDescent="0.2">
      <c r="A759" s="21"/>
      <c r="B759" s="21"/>
      <c r="C759" s="21"/>
      <c r="D759" s="23"/>
    </row>
    <row r="760" spans="1:4" x14ac:dyDescent="0.2">
      <c r="A760" s="21"/>
      <c r="B760" s="21"/>
      <c r="C760" s="21"/>
      <c r="D760" s="23"/>
    </row>
    <row r="761" spans="1:4" x14ac:dyDescent="0.2">
      <c r="A761" s="21"/>
      <c r="B761" s="21"/>
      <c r="C761" s="21"/>
      <c r="D761" s="23"/>
    </row>
    <row r="762" spans="1:4" x14ac:dyDescent="0.2">
      <c r="A762" s="21"/>
      <c r="B762" s="21"/>
      <c r="C762" s="21"/>
      <c r="D762" s="23"/>
    </row>
    <row r="763" spans="1:4" x14ac:dyDescent="0.2">
      <c r="A763" s="21"/>
      <c r="B763" s="21"/>
      <c r="C763" s="21"/>
      <c r="D763" s="23"/>
    </row>
    <row r="764" spans="1:4" x14ac:dyDescent="0.2">
      <c r="A764" s="21"/>
      <c r="B764" s="21"/>
      <c r="C764" s="21"/>
      <c r="D764" s="23"/>
    </row>
    <row r="765" spans="1:4" x14ac:dyDescent="0.2">
      <c r="A765" s="21"/>
      <c r="B765" s="21"/>
      <c r="C765" s="21"/>
      <c r="D765" s="23"/>
    </row>
    <row r="766" spans="1:4" x14ac:dyDescent="0.2">
      <c r="A766" s="21"/>
      <c r="B766" s="21"/>
      <c r="C766" s="21"/>
      <c r="D766" s="23"/>
    </row>
    <row r="767" spans="1:4" x14ac:dyDescent="0.2">
      <c r="A767" s="21"/>
      <c r="B767" s="21"/>
      <c r="C767" s="21"/>
      <c r="D767" s="23"/>
    </row>
    <row r="768" spans="1:4" x14ac:dyDescent="0.2">
      <c r="A768" s="21"/>
      <c r="B768" s="21"/>
      <c r="C768" s="21"/>
      <c r="D768" s="23"/>
    </row>
    <row r="769" spans="1:4" x14ac:dyDescent="0.2">
      <c r="A769" s="21"/>
      <c r="B769" s="21"/>
      <c r="C769" s="21"/>
      <c r="D769" s="23"/>
    </row>
    <row r="770" spans="1:4" x14ac:dyDescent="0.2">
      <c r="A770" s="21"/>
      <c r="B770" s="21"/>
      <c r="C770" s="21"/>
      <c r="D770" s="23"/>
    </row>
    <row r="771" spans="1:4" x14ac:dyDescent="0.2">
      <c r="A771" s="21"/>
      <c r="B771" s="21"/>
      <c r="C771" s="21"/>
      <c r="D771" s="23"/>
    </row>
    <row r="772" spans="1:4" x14ac:dyDescent="0.2">
      <c r="A772" s="21"/>
      <c r="B772" s="21"/>
      <c r="C772" s="21"/>
      <c r="D772" s="23"/>
    </row>
    <row r="773" spans="1:4" x14ac:dyDescent="0.2">
      <c r="A773" s="21"/>
      <c r="B773" s="21"/>
      <c r="C773" s="21"/>
      <c r="D773" s="23"/>
    </row>
    <row r="774" spans="1:4" x14ac:dyDescent="0.2">
      <c r="A774" s="21"/>
      <c r="B774" s="21"/>
      <c r="C774" s="21"/>
      <c r="D774" s="23"/>
    </row>
    <row r="775" spans="1:4" x14ac:dyDescent="0.2">
      <c r="A775" s="21"/>
      <c r="B775" s="21"/>
      <c r="C775" s="21"/>
      <c r="D775" s="23"/>
    </row>
    <row r="776" spans="1:4" x14ac:dyDescent="0.2">
      <c r="A776" s="21"/>
      <c r="B776" s="21"/>
      <c r="C776" s="21"/>
      <c r="D776" s="23"/>
    </row>
    <row r="777" spans="1:4" x14ac:dyDescent="0.2">
      <c r="A777" s="21"/>
      <c r="B777" s="21"/>
      <c r="C777" s="21"/>
      <c r="D777" s="23"/>
    </row>
    <row r="778" spans="1:4" x14ac:dyDescent="0.2">
      <c r="A778" s="21"/>
      <c r="B778" s="21"/>
      <c r="C778" s="21"/>
      <c r="D778" s="23"/>
    </row>
    <row r="779" spans="1:4" x14ac:dyDescent="0.2">
      <c r="A779" s="21"/>
      <c r="B779" s="21"/>
      <c r="C779" s="21"/>
      <c r="D779" s="23"/>
    </row>
    <row r="780" spans="1:4" x14ac:dyDescent="0.2">
      <c r="A780" s="21"/>
      <c r="B780" s="21"/>
      <c r="C780" s="21"/>
      <c r="D780" s="23"/>
    </row>
    <row r="781" spans="1:4" x14ac:dyDescent="0.2">
      <c r="A781" s="21"/>
      <c r="B781" s="21"/>
      <c r="C781" s="21"/>
      <c r="D781" s="23"/>
    </row>
    <row r="782" spans="1:4" x14ac:dyDescent="0.2">
      <c r="A782" s="21"/>
      <c r="B782" s="21"/>
      <c r="C782" s="21"/>
      <c r="D782" s="23"/>
    </row>
    <row r="783" spans="1:4" x14ac:dyDescent="0.2">
      <c r="A783" s="21"/>
      <c r="B783" s="21"/>
      <c r="C783" s="21"/>
      <c r="D783" s="23"/>
    </row>
    <row r="784" spans="1:4" x14ac:dyDescent="0.2">
      <c r="A784" s="21"/>
      <c r="B784" s="21"/>
      <c r="C784" s="21"/>
      <c r="D784" s="23"/>
    </row>
    <row r="785" spans="1:4" x14ac:dyDescent="0.2">
      <c r="A785" s="21"/>
      <c r="B785" s="21"/>
      <c r="C785" s="21"/>
      <c r="D785" s="23"/>
    </row>
    <row r="786" spans="1:4" x14ac:dyDescent="0.2">
      <c r="A786" s="21"/>
      <c r="B786" s="21"/>
      <c r="C786" s="21"/>
      <c r="D786" s="23"/>
    </row>
    <row r="787" spans="1:4" x14ac:dyDescent="0.2">
      <c r="A787" s="21"/>
      <c r="B787" s="21"/>
      <c r="C787" s="21"/>
      <c r="D787" s="23"/>
    </row>
    <row r="788" spans="1:4" x14ac:dyDescent="0.2">
      <c r="A788" s="21"/>
      <c r="B788" s="21"/>
      <c r="C788" s="21"/>
      <c r="D788" s="23"/>
    </row>
    <row r="789" spans="1:4" x14ac:dyDescent="0.2">
      <c r="A789" s="21"/>
      <c r="B789" s="21"/>
      <c r="C789" s="21"/>
      <c r="D789" s="23"/>
    </row>
    <row r="790" spans="1:4" x14ac:dyDescent="0.2">
      <c r="A790" s="21"/>
      <c r="B790" s="21"/>
      <c r="C790" s="21"/>
      <c r="D790" s="23"/>
    </row>
    <row r="791" spans="1:4" x14ac:dyDescent="0.2">
      <c r="A791" s="21"/>
      <c r="B791" s="21"/>
      <c r="C791" s="21"/>
      <c r="D791" s="23"/>
    </row>
    <row r="792" spans="1:4" x14ac:dyDescent="0.2">
      <c r="A792" s="21"/>
      <c r="B792" s="21"/>
      <c r="C792" s="21"/>
      <c r="D792" s="23"/>
    </row>
    <row r="793" spans="1:4" x14ac:dyDescent="0.2">
      <c r="A793" s="21"/>
      <c r="B793" s="21"/>
      <c r="C793" s="21"/>
      <c r="D793" s="23"/>
    </row>
    <row r="794" spans="1:4" x14ac:dyDescent="0.2">
      <c r="A794" s="21"/>
      <c r="B794" s="21"/>
      <c r="C794" s="21"/>
      <c r="D794" s="23"/>
    </row>
    <row r="795" spans="1:4" x14ac:dyDescent="0.2">
      <c r="A795" s="21"/>
      <c r="B795" s="21"/>
      <c r="C795" s="21"/>
      <c r="D795" s="23"/>
    </row>
    <row r="796" spans="1:4" x14ac:dyDescent="0.2">
      <c r="A796" s="21"/>
      <c r="B796" s="21"/>
      <c r="C796" s="21"/>
      <c r="D796" s="23"/>
    </row>
    <row r="797" spans="1:4" x14ac:dyDescent="0.2">
      <c r="A797" s="21"/>
      <c r="B797" s="21"/>
      <c r="C797" s="21"/>
      <c r="D797" s="23"/>
    </row>
    <row r="798" spans="1:4" x14ac:dyDescent="0.2">
      <c r="A798" s="21"/>
      <c r="B798" s="21"/>
      <c r="C798" s="21"/>
      <c r="D798" s="23"/>
    </row>
    <row r="799" spans="1:4" x14ac:dyDescent="0.2">
      <c r="A799" s="21"/>
      <c r="B799" s="21"/>
      <c r="C799" s="21"/>
      <c r="D799" s="23"/>
    </row>
    <row r="800" spans="1:4" x14ac:dyDescent="0.2">
      <c r="A800" s="21"/>
      <c r="B800" s="21"/>
      <c r="C800" s="21"/>
      <c r="D800" s="23"/>
    </row>
    <row r="801" spans="1:4" x14ac:dyDescent="0.2">
      <c r="A801" s="21"/>
      <c r="B801" s="21"/>
      <c r="C801" s="21"/>
      <c r="D801" s="23"/>
    </row>
    <row r="802" spans="1:4" x14ac:dyDescent="0.2">
      <c r="A802" s="21"/>
      <c r="B802" s="21"/>
      <c r="C802" s="21"/>
      <c r="D802" s="23"/>
    </row>
    <row r="803" spans="1:4" x14ac:dyDescent="0.2">
      <c r="A803" s="21"/>
      <c r="B803" s="21"/>
      <c r="C803" s="21"/>
      <c r="D803" s="23"/>
    </row>
    <row r="804" spans="1:4" x14ac:dyDescent="0.2">
      <c r="A804" s="21"/>
      <c r="B804" s="21"/>
      <c r="C804" s="21"/>
      <c r="D804" s="23"/>
    </row>
    <row r="805" spans="1:4" x14ac:dyDescent="0.2">
      <c r="A805" s="21"/>
      <c r="B805" s="21"/>
      <c r="C805" s="21"/>
      <c r="D805" s="23"/>
    </row>
    <row r="806" spans="1:4" x14ac:dyDescent="0.2">
      <c r="A806" s="21"/>
      <c r="B806" s="21"/>
      <c r="C806" s="21"/>
      <c r="D806" s="23"/>
    </row>
    <row r="807" spans="1:4" x14ac:dyDescent="0.2">
      <c r="A807" s="21"/>
      <c r="B807" s="21"/>
      <c r="C807" s="21"/>
      <c r="D807" s="23"/>
    </row>
    <row r="808" spans="1:4" x14ac:dyDescent="0.2">
      <c r="A808" s="21"/>
      <c r="B808" s="21"/>
      <c r="C808" s="21"/>
      <c r="D808" s="23"/>
    </row>
    <row r="809" spans="1:4" x14ac:dyDescent="0.2">
      <c r="A809" s="21"/>
      <c r="B809" s="21"/>
      <c r="C809" s="21"/>
      <c r="D809" s="23"/>
    </row>
    <row r="810" spans="1:4" x14ac:dyDescent="0.2">
      <c r="A810" s="21"/>
      <c r="B810" s="21"/>
      <c r="C810" s="21"/>
      <c r="D810" s="23"/>
    </row>
    <row r="811" spans="1:4" x14ac:dyDescent="0.2">
      <c r="A811" s="21"/>
      <c r="B811" s="21"/>
      <c r="C811" s="21"/>
      <c r="D811" s="23"/>
    </row>
    <row r="812" spans="1:4" x14ac:dyDescent="0.2">
      <c r="A812" s="21"/>
      <c r="B812" s="21"/>
      <c r="C812" s="21"/>
      <c r="D812" s="23"/>
    </row>
    <row r="813" spans="1:4" x14ac:dyDescent="0.2">
      <c r="A813" s="21"/>
      <c r="B813" s="21"/>
      <c r="C813" s="21"/>
      <c r="D813" s="23"/>
    </row>
    <row r="814" spans="1:4" x14ac:dyDescent="0.2">
      <c r="A814" s="21"/>
      <c r="B814" s="21"/>
      <c r="C814" s="21"/>
      <c r="D814" s="23"/>
    </row>
    <row r="815" spans="1:4" x14ac:dyDescent="0.2">
      <c r="A815" s="21"/>
      <c r="B815" s="21"/>
      <c r="C815" s="21"/>
      <c r="D815" s="23"/>
    </row>
    <row r="816" spans="1:4" x14ac:dyDescent="0.2">
      <c r="A816" s="21"/>
      <c r="B816" s="21"/>
      <c r="C816" s="21"/>
      <c r="D816" s="23"/>
    </row>
    <row r="817" spans="1:4" x14ac:dyDescent="0.2">
      <c r="A817" s="21"/>
      <c r="B817" s="21"/>
      <c r="C817" s="21"/>
      <c r="D817" s="23"/>
    </row>
    <row r="818" spans="1:4" x14ac:dyDescent="0.2">
      <c r="A818" s="21"/>
      <c r="B818" s="21"/>
      <c r="C818" s="21"/>
      <c r="D818" s="23"/>
    </row>
    <row r="819" spans="1:4" x14ac:dyDescent="0.2">
      <c r="A819" s="21"/>
      <c r="B819" s="21"/>
      <c r="C819" s="21"/>
      <c r="D819" s="23"/>
    </row>
    <row r="820" spans="1:4" x14ac:dyDescent="0.2">
      <c r="A820" s="21"/>
      <c r="B820" s="21"/>
      <c r="C820" s="21"/>
      <c r="D820" s="23"/>
    </row>
    <row r="821" spans="1:4" x14ac:dyDescent="0.2">
      <c r="A821" s="21"/>
      <c r="B821" s="21"/>
      <c r="C821" s="21"/>
      <c r="D821" s="23"/>
    </row>
    <row r="822" spans="1:4" x14ac:dyDescent="0.2">
      <c r="A822" s="21"/>
      <c r="B822" s="21"/>
      <c r="C822" s="21"/>
      <c r="D822" s="23"/>
    </row>
    <row r="823" spans="1:4" x14ac:dyDescent="0.2">
      <c r="A823" s="21"/>
      <c r="B823" s="21"/>
      <c r="C823" s="21"/>
      <c r="D823" s="23"/>
    </row>
    <row r="824" spans="1:4" x14ac:dyDescent="0.2">
      <c r="A824" s="21"/>
      <c r="B824" s="21"/>
      <c r="C824" s="21"/>
      <c r="D824" s="23"/>
    </row>
    <row r="825" spans="1:4" x14ac:dyDescent="0.2">
      <c r="A825" s="21"/>
      <c r="B825" s="21"/>
      <c r="C825" s="21"/>
      <c r="D825" s="23"/>
    </row>
    <row r="826" spans="1:4" x14ac:dyDescent="0.2">
      <c r="A826" s="21"/>
      <c r="B826" s="21"/>
      <c r="C826" s="21"/>
      <c r="D826" s="23"/>
    </row>
    <row r="827" spans="1:4" x14ac:dyDescent="0.2">
      <c r="A827" s="21"/>
      <c r="B827" s="21"/>
      <c r="C827" s="21"/>
      <c r="D827" s="23"/>
    </row>
    <row r="828" spans="1:4" x14ac:dyDescent="0.2">
      <c r="A828" s="21"/>
      <c r="B828" s="21"/>
      <c r="C828" s="21"/>
      <c r="D828" s="23"/>
    </row>
    <row r="829" spans="1:4" x14ac:dyDescent="0.2">
      <c r="A829" s="21"/>
      <c r="B829" s="21"/>
      <c r="C829" s="21"/>
      <c r="D829" s="23"/>
    </row>
    <row r="830" spans="1:4" x14ac:dyDescent="0.2">
      <c r="A830" s="21"/>
      <c r="B830" s="21"/>
      <c r="C830" s="21"/>
      <c r="D830" s="23"/>
    </row>
    <row r="831" spans="1:4" x14ac:dyDescent="0.2">
      <c r="A831" s="21"/>
      <c r="B831" s="21"/>
      <c r="C831" s="21"/>
      <c r="D831" s="23"/>
    </row>
    <row r="832" spans="1:4" x14ac:dyDescent="0.2">
      <c r="A832" s="21"/>
      <c r="B832" s="21"/>
      <c r="C832" s="21"/>
      <c r="D832" s="23"/>
    </row>
    <row r="833" spans="1:4" x14ac:dyDescent="0.2">
      <c r="A833" s="21"/>
      <c r="B833" s="21"/>
      <c r="C833" s="21"/>
      <c r="D833" s="23"/>
    </row>
    <row r="834" spans="1:4" x14ac:dyDescent="0.2">
      <c r="A834" s="21"/>
      <c r="B834" s="21"/>
      <c r="C834" s="21"/>
      <c r="D834" s="23"/>
    </row>
    <row r="835" spans="1:4" x14ac:dyDescent="0.2">
      <c r="A835" s="21"/>
      <c r="B835" s="21"/>
      <c r="C835" s="21"/>
      <c r="D835" s="23"/>
    </row>
    <row r="836" spans="1:4" x14ac:dyDescent="0.2">
      <c r="A836" s="21"/>
      <c r="B836" s="21"/>
      <c r="C836" s="21"/>
      <c r="D836" s="23"/>
    </row>
    <row r="837" spans="1:4" x14ac:dyDescent="0.2">
      <c r="A837" s="21"/>
      <c r="B837" s="21"/>
      <c r="C837" s="21"/>
      <c r="D837" s="23"/>
    </row>
    <row r="838" spans="1:4" x14ac:dyDescent="0.2">
      <c r="A838" s="21"/>
      <c r="B838" s="21"/>
      <c r="C838" s="21"/>
      <c r="D838" s="23"/>
    </row>
    <row r="839" spans="1:4" x14ac:dyDescent="0.2">
      <c r="A839" s="21"/>
      <c r="B839" s="21"/>
      <c r="C839" s="21"/>
      <c r="D839" s="23"/>
    </row>
    <row r="840" spans="1:4" x14ac:dyDescent="0.2">
      <c r="A840" s="21"/>
      <c r="B840" s="21"/>
      <c r="C840" s="21"/>
      <c r="D840" s="23"/>
    </row>
    <row r="841" spans="1:4" x14ac:dyDescent="0.2">
      <c r="A841" s="21"/>
      <c r="B841" s="21"/>
      <c r="C841" s="21"/>
      <c r="D841" s="23"/>
    </row>
    <row r="842" spans="1:4" x14ac:dyDescent="0.2">
      <c r="A842" s="21"/>
      <c r="B842" s="21"/>
      <c r="C842" s="21"/>
      <c r="D842" s="23"/>
    </row>
    <row r="843" spans="1:4" x14ac:dyDescent="0.2">
      <c r="A843" s="21"/>
      <c r="B843" s="21"/>
      <c r="C843" s="21"/>
      <c r="D843" s="23"/>
    </row>
    <row r="844" spans="1:4" x14ac:dyDescent="0.2">
      <c r="A844" s="21"/>
      <c r="B844" s="21"/>
      <c r="C844" s="21"/>
      <c r="D844" s="23"/>
    </row>
    <row r="845" spans="1:4" x14ac:dyDescent="0.2">
      <c r="A845" s="21"/>
      <c r="B845" s="21"/>
      <c r="C845" s="21"/>
      <c r="D845" s="23"/>
    </row>
    <row r="846" spans="1:4" x14ac:dyDescent="0.2">
      <c r="A846" s="21"/>
      <c r="B846" s="21"/>
      <c r="C846" s="21"/>
      <c r="D846" s="23"/>
    </row>
    <row r="847" spans="1:4" x14ac:dyDescent="0.2">
      <c r="A847" s="21"/>
      <c r="B847" s="21"/>
      <c r="C847" s="21"/>
      <c r="D847" s="23"/>
    </row>
    <row r="848" spans="1:4" x14ac:dyDescent="0.2">
      <c r="A848" s="21"/>
      <c r="B848" s="21"/>
      <c r="C848" s="21"/>
      <c r="D848" s="23"/>
    </row>
    <row r="849" spans="1:4" x14ac:dyDescent="0.2">
      <c r="A849" s="21"/>
      <c r="B849" s="21"/>
      <c r="C849" s="21"/>
      <c r="D849" s="23"/>
    </row>
    <row r="850" spans="1:4" x14ac:dyDescent="0.2">
      <c r="A850" s="21"/>
      <c r="B850" s="21"/>
      <c r="C850" s="21"/>
      <c r="D850" s="23"/>
    </row>
    <row r="851" spans="1:4" x14ac:dyDescent="0.2">
      <c r="A851" s="21"/>
      <c r="B851" s="21"/>
      <c r="C851" s="21"/>
      <c r="D851" s="23"/>
    </row>
    <row r="852" spans="1:4" x14ac:dyDescent="0.2">
      <c r="A852" s="21"/>
      <c r="B852" s="21"/>
      <c r="C852" s="21"/>
      <c r="D852" s="23"/>
    </row>
    <row r="853" spans="1:4" x14ac:dyDescent="0.2">
      <c r="A853" s="21"/>
      <c r="B853" s="21"/>
      <c r="C853" s="21"/>
      <c r="D853" s="23"/>
    </row>
    <row r="854" spans="1:4" x14ac:dyDescent="0.2">
      <c r="A854" s="21"/>
      <c r="B854" s="21"/>
      <c r="C854" s="21"/>
      <c r="D854" s="23"/>
    </row>
    <row r="855" spans="1:4" x14ac:dyDescent="0.2">
      <c r="A855" s="21"/>
      <c r="B855" s="21"/>
      <c r="C855" s="21"/>
      <c r="D855" s="23"/>
    </row>
    <row r="856" spans="1:4" x14ac:dyDescent="0.2">
      <c r="A856" s="21"/>
      <c r="B856" s="21"/>
      <c r="C856" s="21"/>
      <c r="D856" s="23"/>
    </row>
    <row r="857" spans="1:4" x14ac:dyDescent="0.2">
      <c r="A857" s="21"/>
      <c r="B857" s="21"/>
      <c r="C857" s="21"/>
      <c r="D857" s="23"/>
    </row>
    <row r="858" spans="1:4" x14ac:dyDescent="0.2">
      <c r="A858" s="21"/>
      <c r="B858" s="21"/>
      <c r="C858" s="21"/>
      <c r="D858" s="23"/>
    </row>
    <row r="859" spans="1:4" x14ac:dyDescent="0.2">
      <c r="A859" s="21"/>
      <c r="B859" s="21"/>
      <c r="C859" s="21"/>
      <c r="D859" s="23"/>
    </row>
    <row r="860" spans="1:4" x14ac:dyDescent="0.2">
      <c r="A860" s="21"/>
      <c r="B860" s="21"/>
      <c r="C860" s="21"/>
      <c r="D860" s="23"/>
    </row>
    <row r="861" spans="1:4" x14ac:dyDescent="0.2">
      <c r="A861" s="21"/>
      <c r="B861" s="21"/>
      <c r="C861" s="21"/>
      <c r="D861" s="23"/>
    </row>
    <row r="862" spans="1:4" x14ac:dyDescent="0.2">
      <c r="A862" s="21"/>
      <c r="B862" s="21"/>
      <c r="C862" s="21"/>
      <c r="D862" s="23"/>
    </row>
    <row r="863" spans="1:4" x14ac:dyDescent="0.2">
      <c r="A863" s="21"/>
      <c r="B863" s="21"/>
      <c r="C863" s="21"/>
      <c r="D863" s="23"/>
    </row>
    <row r="864" spans="1:4" x14ac:dyDescent="0.2">
      <c r="A864" s="21"/>
      <c r="B864" s="21"/>
      <c r="C864" s="21"/>
      <c r="D864" s="23"/>
    </row>
    <row r="865" spans="1:4" x14ac:dyDescent="0.2">
      <c r="A865" s="21"/>
      <c r="B865" s="21"/>
      <c r="C865" s="21"/>
      <c r="D865" s="23"/>
    </row>
    <row r="866" spans="1:4" x14ac:dyDescent="0.2">
      <c r="A866" s="21"/>
      <c r="B866" s="21"/>
      <c r="C866" s="21"/>
      <c r="D866" s="23"/>
    </row>
    <row r="867" spans="1:4" x14ac:dyDescent="0.2">
      <c r="A867" s="21"/>
      <c r="B867" s="21"/>
      <c r="C867" s="21"/>
      <c r="D867" s="23"/>
    </row>
    <row r="868" spans="1:4" x14ac:dyDescent="0.2">
      <c r="A868" s="21"/>
      <c r="B868" s="21"/>
      <c r="C868" s="21"/>
      <c r="D868" s="23"/>
    </row>
    <row r="869" spans="1:4" x14ac:dyDescent="0.2">
      <c r="A869" s="21"/>
      <c r="B869" s="21"/>
      <c r="C869" s="21"/>
      <c r="D869" s="23"/>
    </row>
    <row r="870" spans="1:4" x14ac:dyDescent="0.2">
      <c r="A870" s="21"/>
      <c r="B870" s="21"/>
      <c r="C870" s="21"/>
      <c r="D870" s="23"/>
    </row>
    <row r="871" spans="1:4" x14ac:dyDescent="0.2">
      <c r="A871" s="21"/>
      <c r="B871" s="21"/>
      <c r="C871" s="21"/>
      <c r="D871" s="23"/>
    </row>
    <row r="872" spans="1:4" x14ac:dyDescent="0.2">
      <c r="A872" s="21"/>
      <c r="B872" s="21"/>
      <c r="C872" s="21"/>
      <c r="D872" s="23"/>
    </row>
    <row r="873" spans="1:4" x14ac:dyDescent="0.2">
      <c r="A873" s="21"/>
      <c r="B873" s="21"/>
      <c r="C873" s="21"/>
      <c r="D873" s="23"/>
    </row>
    <row r="874" spans="1:4" x14ac:dyDescent="0.2">
      <c r="A874" s="21"/>
      <c r="B874" s="21"/>
      <c r="C874" s="21"/>
      <c r="D874" s="23"/>
    </row>
    <row r="875" spans="1:4" x14ac:dyDescent="0.2">
      <c r="A875" s="21"/>
      <c r="B875" s="21"/>
      <c r="C875" s="21"/>
      <c r="D875" s="23"/>
    </row>
    <row r="876" spans="1:4" x14ac:dyDescent="0.2">
      <c r="A876" s="21"/>
      <c r="B876" s="21"/>
      <c r="C876" s="21"/>
      <c r="D876" s="23"/>
    </row>
    <row r="877" spans="1:4" x14ac:dyDescent="0.2">
      <c r="A877" s="21"/>
      <c r="B877" s="21"/>
      <c r="C877" s="21"/>
      <c r="D877" s="23"/>
    </row>
    <row r="878" spans="1:4" x14ac:dyDescent="0.2">
      <c r="A878" s="21"/>
      <c r="B878" s="21"/>
      <c r="C878" s="21"/>
      <c r="D878" s="23"/>
    </row>
    <row r="879" spans="1:4" x14ac:dyDescent="0.2">
      <c r="A879" s="21"/>
      <c r="B879" s="21"/>
      <c r="C879" s="21"/>
      <c r="D879" s="23"/>
    </row>
    <row r="880" spans="1:4" x14ac:dyDescent="0.2">
      <c r="A880" s="21"/>
      <c r="B880" s="21"/>
      <c r="C880" s="21"/>
      <c r="D880" s="23"/>
    </row>
    <row r="881" spans="1:4" x14ac:dyDescent="0.2">
      <c r="A881" s="21"/>
      <c r="B881" s="21"/>
      <c r="C881" s="21"/>
      <c r="D881" s="23"/>
    </row>
    <row r="882" spans="1:4" x14ac:dyDescent="0.2">
      <c r="A882" s="21"/>
      <c r="B882" s="21"/>
      <c r="C882" s="21"/>
      <c r="D882" s="23"/>
    </row>
    <row r="883" spans="1:4" x14ac:dyDescent="0.2">
      <c r="A883" s="21"/>
      <c r="B883" s="21"/>
      <c r="C883" s="21"/>
      <c r="D883" s="23"/>
    </row>
    <row r="884" spans="1:4" x14ac:dyDescent="0.2">
      <c r="A884" s="21"/>
      <c r="B884" s="21"/>
      <c r="C884" s="21"/>
      <c r="D884" s="23"/>
    </row>
    <row r="885" spans="1:4" x14ac:dyDescent="0.2">
      <c r="A885" s="21"/>
      <c r="B885" s="21"/>
      <c r="C885" s="21"/>
      <c r="D885" s="23"/>
    </row>
    <row r="886" spans="1:4" x14ac:dyDescent="0.2">
      <c r="A886" s="21"/>
      <c r="B886" s="21"/>
      <c r="C886" s="21"/>
      <c r="D886" s="23"/>
    </row>
    <row r="887" spans="1:4" x14ac:dyDescent="0.2">
      <c r="A887" s="21"/>
      <c r="B887" s="21"/>
      <c r="C887" s="21"/>
      <c r="D887" s="23"/>
    </row>
    <row r="888" spans="1:4" x14ac:dyDescent="0.2">
      <c r="A888" s="21"/>
      <c r="B888" s="21"/>
      <c r="C888" s="21"/>
      <c r="D888" s="23"/>
    </row>
    <row r="889" spans="1:4" x14ac:dyDescent="0.2">
      <c r="A889" s="21"/>
      <c r="B889" s="21"/>
      <c r="C889" s="21"/>
      <c r="D889" s="23"/>
    </row>
    <row r="890" spans="1:4" x14ac:dyDescent="0.2">
      <c r="A890" s="21"/>
      <c r="B890" s="21"/>
      <c r="C890" s="21"/>
      <c r="D890" s="23"/>
    </row>
    <row r="891" spans="1:4" x14ac:dyDescent="0.2">
      <c r="A891" s="21"/>
      <c r="B891" s="21"/>
      <c r="C891" s="21"/>
      <c r="D891" s="23"/>
    </row>
    <row r="892" spans="1:4" x14ac:dyDescent="0.2">
      <c r="A892" s="21"/>
      <c r="B892" s="21"/>
      <c r="C892" s="21"/>
      <c r="D892" s="23"/>
    </row>
    <row r="893" spans="1:4" x14ac:dyDescent="0.2">
      <c r="A893" s="21"/>
      <c r="B893" s="21"/>
      <c r="C893" s="21"/>
      <c r="D893" s="23"/>
    </row>
    <row r="894" spans="1:4" x14ac:dyDescent="0.2">
      <c r="A894" s="21"/>
      <c r="B894" s="21"/>
      <c r="C894" s="21"/>
      <c r="D894" s="23"/>
    </row>
    <row r="895" spans="1:4" x14ac:dyDescent="0.2">
      <c r="A895" s="21"/>
      <c r="B895" s="21"/>
      <c r="C895" s="21"/>
      <c r="D895" s="23"/>
    </row>
    <row r="896" spans="1:4" x14ac:dyDescent="0.2">
      <c r="A896" s="21"/>
      <c r="B896" s="21"/>
      <c r="C896" s="21"/>
      <c r="D896" s="23"/>
    </row>
    <row r="897" spans="1:4" x14ac:dyDescent="0.2">
      <c r="A897" s="21"/>
      <c r="B897" s="21"/>
      <c r="C897" s="21"/>
      <c r="D897" s="23"/>
    </row>
    <row r="898" spans="1:4" x14ac:dyDescent="0.2">
      <c r="A898" s="21"/>
      <c r="B898" s="21"/>
      <c r="C898" s="21"/>
      <c r="D898" s="23"/>
    </row>
    <row r="899" spans="1:4" x14ac:dyDescent="0.2">
      <c r="A899" s="21"/>
      <c r="B899" s="21"/>
      <c r="C899" s="21"/>
      <c r="D899" s="23"/>
    </row>
    <row r="900" spans="1:4" x14ac:dyDescent="0.2">
      <c r="A900" s="21"/>
      <c r="B900" s="21"/>
      <c r="C900" s="21"/>
      <c r="D900" s="23"/>
    </row>
    <row r="901" spans="1:4" x14ac:dyDescent="0.2">
      <c r="A901" s="21"/>
      <c r="B901" s="21"/>
      <c r="C901" s="21"/>
      <c r="D901" s="23"/>
    </row>
    <row r="902" spans="1:4" x14ac:dyDescent="0.2">
      <c r="A902" s="21"/>
      <c r="B902" s="21"/>
      <c r="C902" s="21"/>
      <c r="D902" s="23"/>
    </row>
    <row r="903" spans="1:4" x14ac:dyDescent="0.2">
      <c r="A903" s="21"/>
      <c r="B903" s="21"/>
      <c r="C903" s="21"/>
      <c r="D903" s="23"/>
    </row>
    <row r="904" spans="1:4" x14ac:dyDescent="0.2">
      <c r="A904" s="21"/>
      <c r="B904" s="21"/>
      <c r="C904" s="21"/>
      <c r="D904" s="23"/>
    </row>
    <row r="905" spans="1:4" x14ac:dyDescent="0.2">
      <c r="A905" s="21"/>
      <c r="B905" s="21"/>
      <c r="C905" s="21"/>
      <c r="D905" s="23"/>
    </row>
    <row r="906" spans="1:4" x14ac:dyDescent="0.2">
      <c r="A906" s="21"/>
      <c r="B906" s="21"/>
      <c r="C906" s="21"/>
      <c r="D906" s="23"/>
    </row>
    <row r="907" spans="1:4" x14ac:dyDescent="0.2">
      <c r="A907" s="21"/>
      <c r="B907" s="21"/>
      <c r="C907" s="21"/>
      <c r="D907" s="23"/>
    </row>
    <row r="908" spans="1:4" x14ac:dyDescent="0.2">
      <c r="A908" s="21"/>
      <c r="B908" s="21"/>
      <c r="C908" s="21"/>
      <c r="D908" s="23"/>
    </row>
    <row r="909" spans="1:4" x14ac:dyDescent="0.2">
      <c r="A909" s="21"/>
      <c r="B909" s="21"/>
      <c r="C909" s="21"/>
      <c r="D909" s="23"/>
    </row>
    <row r="910" spans="1:4" x14ac:dyDescent="0.2">
      <c r="A910" s="21"/>
      <c r="B910" s="21"/>
      <c r="C910" s="21"/>
      <c r="D910" s="23"/>
    </row>
    <row r="911" spans="1:4" x14ac:dyDescent="0.2">
      <c r="A911" s="21"/>
      <c r="B911" s="21"/>
      <c r="C911" s="21"/>
      <c r="D911" s="23"/>
    </row>
    <row r="912" spans="1:4" x14ac:dyDescent="0.2">
      <c r="A912" s="21"/>
      <c r="B912" s="21"/>
      <c r="C912" s="21"/>
      <c r="D912" s="23"/>
    </row>
    <row r="913" spans="1:4" x14ac:dyDescent="0.2">
      <c r="A913" s="21"/>
      <c r="B913" s="21"/>
      <c r="C913" s="21"/>
      <c r="D913" s="23"/>
    </row>
    <row r="914" spans="1:4" x14ac:dyDescent="0.2">
      <c r="A914" s="21"/>
      <c r="B914" s="21"/>
      <c r="C914" s="21"/>
      <c r="D914" s="23"/>
    </row>
    <row r="915" spans="1:4" x14ac:dyDescent="0.2">
      <c r="A915" s="21"/>
      <c r="B915" s="21"/>
      <c r="C915" s="21"/>
      <c r="D915" s="23"/>
    </row>
    <row r="916" spans="1:4" x14ac:dyDescent="0.2">
      <c r="A916" s="21"/>
      <c r="B916" s="21"/>
      <c r="C916" s="21"/>
      <c r="D916" s="23"/>
    </row>
    <row r="917" spans="1:4" x14ac:dyDescent="0.2">
      <c r="A917" s="21"/>
      <c r="B917" s="21"/>
      <c r="C917" s="21"/>
      <c r="D917" s="23"/>
    </row>
    <row r="918" spans="1:4" x14ac:dyDescent="0.2">
      <c r="A918" s="21"/>
      <c r="B918" s="21"/>
      <c r="C918" s="21"/>
      <c r="D918" s="23"/>
    </row>
    <row r="919" spans="1:4" x14ac:dyDescent="0.2">
      <c r="A919" s="21"/>
      <c r="B919" s="21"/>
      <c r="C919" s="21"/>
      <c r="D919" s="23"/>
    </row>
    <row r="920" spans="1:4" x14ac:dyDescent="0.2">
      <c r="A920" s="21"/>
      <c r="B920" s="21"/>
      <c r="C920" s="21"/>
      <c r="D920" s="23"/>
    </row>
    <row r="921" spans="1:4" x14ac:dyDescent="0.2">
      <c r="A921" s="21"/>
      <c r="B921" s="21"/>
      <c r="C921" s="21"/>
      <c r="D921" s="23"/>
    </row>
    <row r="922" spans="1:4" x14ac:dyDescent="0.2">
      <c r="A922" s="21"/>
      <c r="B922" s="21"/>
      <c r="C922" s="21"/>
      <c r="D922" s="23"/>
    </row>
    <row r="923" spans="1:4" x14ac:dyDescent="0.2">
      <c r="A923" s="21"/>
      <c r="B923" s="21"/>
      <c r="C923" s="21"/>
      <c r="D923" s="23"/>
    </row>
    <row r="924" spans="1:4" x14ac:dyDescent="0.2">
      <c r="A924" s="21"/>
      <c r="B924" s="21"/>
      <c r="C924" s="21"/>
      <c r="D924" s="23"/>
    </row>
    <row r="925" spans="1:4" x14ac:dyDescent="0.2">
      <c r="A925" s="21"/>
      <c r="B925" s="21"/>
      <c r="C925" s="21"/>
      <c r="D925" s="23"/>
    </row>
    <row r="926" spans="1:4" x14ac:dyDescent="0.2">
      <c r="A926" s="21"/>
      <c r="B926" s="21"/>
      <c r="C926" s="21"/>
      <c r="D926" s="23"/>
    </row>
    <row r="927" spans="1:4" x14ac:dyDescent="0.2">
      <c r="A927" s="21"/>
      <c r="B927" s="21"/>
      <c r="C927" s="21"/>
      <c r="D927" s="23"/>
    </row>
    <row r="928" spans="1:4" x14ac:dyDescent="0.2">
      <c r="A928" s="21"/>
      <c r="B928" s="21"/>
      <c r="C928" s="21"/>
      <c r="D928" s="23"/>
    </row>
    <row r="929" spans="1:4" x14ac:dyDescent="0.2">
      <c r="A929" s="21"/>
      <c r="B929" s="21"/>
      <c r="C929" s="21"/>
      <c r="D929" s="23"/>
    </row>
    <row r="930" spans="1:4" x14ac:dyDescent="0.2">
      <c r="A930" s="21"/>
      <c r="B930" s="21"/>
      <c r="C930" s="21"/>
      <c r="D930" s="23"/>
    </row>
    <row r="931" spans="1:4" x14ac:dyDescent="0.2">
      <c r="A931" s="21"/>
      <c r="B931" s="21"/>
      <c r="C931" s="21"/>
      <c r="D931" s="23"/>
    </row>
    <row r="932" spans="1:4" x14ac:dyDescent="0.2">
      <c r="A932" s="21"/>
      <c r="B932" s="21"/>
      <c r="C932" s="21"/>
      <c r="D932" s="23"/>
    </row>
    <row r="933" spans="1:4" x14ac:dyDescent="0.2">
      <c r="A933" s="21"/>
      <c r="B933" s="21"/>
      <c r="C933" s="21"/>
      <c r="D933" s="23"/>
    </row>
    <row r="934" spans="1:4" x14ac:dyDescent="0.2">
      <c r="A934" s="21"/>
      <c r="B934" s="21"/>
      <c r="C934" s="21"/>
      <c r="D934" s="23"/>
    </row>
    <row r="935" spans="1:4" x14ac:dyDescent="0.2">
      <c r="A935" s="21"/>
      <c r="B935" s="21"/>
      <c r="C935" s="21"/>
      <c r="D935" s="23"/>
    </row>
    <row r="936" spans="1:4" x14ac:dyDescent="0.2">
      <c r="A936" s="21"/>
      <c r="B936" s="21"/>
      <c r="C936" s="21"/>
      <c r="D936" s="23"/>
    </row>
    <row r="937" spans="1:4" x14ac:dyDescent="0.2">
      <c r="A937" s="21"/>
      <c r="B937" s="21"/>
      <c r="C937" s="21"/>
      <c r="D937" s="23"/>
    </row>
    <row r="938" spans="1:4" x14ac:dyDescent="0.2">
      <c r="A938" s="21"/>
      <c r="B938" s="21"/>
      <c r="C938" s="21"/>
      <c r="D938" s="23"/>
    </row>
    <row r="939" spans="1:4" x14ac:dyDescent="0.2">
      <c r="A939" s="21"/>
      <c r="B939" s="21"/>
      <c r="C939" s="21"/>
      <c r="D939" s="23"/>
    </row>
    <row r="940" spans="1:4" x14ac:dyDescent="0.2">
      <c r="A940" s="21"/>
      <c r="B940" s="21"/>
      <c r="C940" s="21"/>
      <c r="D940" s="23"/>
    </row>
    <row r="941" spans="1:4" x14ac:dyDescent="0.2">
      <c r="A941" s="21"/>
      <c r="B941" s="21"/>
      <c r="C941" s="21"/>
      <c r="D941" s="23"/>
    </row>
    <row r="942" spans="1:4" x14ac:dyDescent="0.2">
      <c r="A942" s="21"/>
      <c r="B942" s="21"/>
      <c r="C942" s="21"/>
      <c r="D942" s="23"/>
    </row>
    <row r="943" spans="1:4" x14ac:dyDescent="0.2">
      <c r="A943" s="21"/>
      <c r="B943" s="21"/>
      <c r="C943" s="21"/>
      <c r="D943" s="23"/>
    </row>
    <row r="944" spans="1:4" x14ac:dyDescent="0.2">
      <c r="A944" s="21"/>
      <c r="B944" s="21"/>
      <c r="C944" s="21"/>
      <c r="D944" s="23"/>
    </row>
    <row r="945" spans="1:4" x14ac:dyDescent="0.2">
      <c r="A945" s="21"/>
      <c r="B945" s="21"/>
      <c r="C945" s="21"/>
      <c r="D945" s="23"/>
    </row>
    <row r="946" spans="1:4" x14ac:dyDescent="0.2">
      <c r="A946" s="21"/>
      <c r="B946" s="21"/>
      <c r="C946" s="21"/>
      <c r="D946" s="23"/>
    </row>
    <row r="947" spans="1:4" x14ac:dyDescent="0.2">
      <c r="A947" s="21"/>
      <c r="B947" s="21"/>
      <c r="C947" s="21"/>
      <c r="D947" s="23"/>
    </row>
    <row r="948" spans="1:4" x14ac:dyDescent="0.2">
      <c r="A948" s="21"/>
      <c r="B948" s="21"/>
      <c r="C948" s="21"/>
      <c r="D948" s="23"/>
    </row>
    <row r="949" spans="1:4" x14ac:dyDescent="0.2">
      <c r="A949" s="21"/>
      <c r="B949" s="21"/>
      <c r="C949" s="21"/>
      <c r="D949" s="23"/>
    </row>
    <row r="950" spans="1:4" x14ac:dyDescent="0.2">
      <c r="A950" s="21"/>
      <c r="B950" s="21"/>
      <c r="C950" s="21"/>
      <c r="D950" s="23"/>
    </row>
    <row r="951" spans="1:4" x14ac:dyDescent="0.2">
      <c r="A951" s="21"/>
      <c r="B951" s="21"/>
      <c r="C951" s="21"/>
      <c r="D951" s="23"/>
    </row>
    <row r="952" spans="1:4" x14ac:dyDescent="0.2">
      <c r="A952" s="21"/>
      <c r="B952" s="21"/>
      <c r="C952" s="21"/>
      <c r="D952" s="23"/>
    </row>
    <row r="953" spans="1:4" x14ac:dyDescent="0.2">
      <c r="A953" s="21"/>
      <c r="B953" s="21"/>
      <c r="C953" s="21"/>
      <c r="D953" s="23"/>
    </row>
    <row r="954" spans="1:4" x14ac:dyDescent="0.2">
      <c r="A954" s="21"/>
      <c r="B954" s="21"/>
      <c r="C954" s="21"/>
      <c r="D954" s="23"/>
    </row>
    <row r="955" spans="1:4" x14ac:dyDescent="0.2">
      <c r="A955" s="21"/>
      <c r="B955" s="21"/>
      <c r="C955" s="21"/>
      <c r="D955" s="23"/>
    </row>
    <row r="956" spans="1:4" x14ac:dyDescent="0.2">
      <c r="A956" s="21"/>
      <c r="B956" s="21"/>
      <c r="C956" s="21"/>
      <c r="D956" s="23"/>
    </row>
    <row r="957" spans="1:4" x14ac:dyDescent="0.2">
      <c r="A957" s="21"/>
      <c r="B957" s="21"/>
      <c r="C957" s="21"/>
      <c r="D957" s="23"/>
    </row>
    <row r="958" spans="1:4" x14ac:dyDescent="0.2">
      <c r="A958" s="21"/>
      <c r="B958" s="21"/>
      <c r="C958" s="21"/>
      <c r="D958" s="23"/>
    </row>
    <row r="959" spans="1:4" x14ac:dyDescent="0.2">
      <c r="A959" s="21"/>
      <c r="B959" s="21"/>
      <c r="C959" s="21"/>
      <c r="D959" s="23"/>
    </row>
    <row r="960" spans="1:4" x14ac:dyDescent="0.2">
      <c r="A960" s="21"/>
      <c r="B960" s="21"/>
      <c r="C960" s="21"/>
      <c r="D960" s="23"/>
    </row>
    <row r="961" spans="1:4" x14ac:dyDescent="0.2">
      <c r="A961" s="21"/>
      <c r="B961" s="21"/>
      <c r="C961" s="21"/>
      <c r="D961" s="23"/>
    </row>
    <row r="962" spans="1:4" x14ac:dyDescent="0.2">
      <c r="A962" s="21"/>
      <c r="B962" s="21"/>
      <c r="C962" s="21"/>
      <c r="D962" s="23"/>
    </row>
    <row r="963" spans="1:4" x14ac:dyDescent="0.2">
      <c r="A963" s="21"/>
      <c r="B963" s="21"/>
      <c r="C963" s="21"/>
      <c r="D963" s="23"/>
    </row>
    <row r="964" spans="1:4" x14ac:dyDescent="0.2">
      <c r="A964" s="21"/>
      <c r="B964" s="21"/>
      <c r="C964" s="21"/>
      <c r="D964" s="23"/>
    </row>
    <row r="965" spans="1:4" x14ac:dyDescent="0.2">
      <c r="A965" s="21"/>
      <c r="B965" s="21"/>
      <c r="C965" s="21"/>
      <c r="D965" s="23"/>
    </row>
    <row r="966" spans="1:4" x14ac:dyDescent="0.2">
      <c r="A966" s="21"/>
      <c r="B966" s="21"/>
      <c r="C966" s="21"/>
      <c r="D966" s="23"/>
    </row>
    <row r="967" spans="1:4" x14ac:dyDescent="0.2">
      <c r="A967" s="21"/>
      <c r="B967" s="21"/>
      <c r="C967" s="21"/>
      <c r="D967" s="23"/>
    </row>
    <row r="968" spans="1:4" x14ac:dyDescent="0.2">
      <c r="A968" s="21"/>
      <c r="B968" s="21"/>
      <c r="C968" s="21"/>
      <c r="D968" s="23"/>
    </row>
    <row r="969" spans="1:4" x14ac:dyDescent="0.2">
      <c r="A969" s="21"/>
      <c r="B969" s="21"/>
      <c r="C969" s="21"/>
      <c r="D969" s="23"/>
    </row>
    <row r="970" spans="1:4" x14ac:dyDescent="0.2">
      <c r="A970" s="21"/>
      <c r="B970" s="21"/>
      <c r="C970" s="21"/>
      <c r="D970" s="23"/>
    </row>
    <row r="971" spans="1:4" x14ac:dyDescent="0.2">
      <c r="A971" s="21"/>
      <c r="B971" s="21"/>
      <c r="C971" s="21"/>
      <c r="D971" s="23"/>
    </row>
    <row r="972" spans="1:4" x14ac:dyDescent="0.2">
      <c r="A972" s="21"/>
      <c r="B972" s="21"/>
      <c r="C972" s="21"/>
      <c r="D972" s="23"/>
    </row>
    <row r="973" spans="1:4" x14ac:dyDescent="0.2">
      <c r="A973" s="21"/>
      <c r="B973" s="21"/>
      <c r="C973" s="21"/>
      <c r="D973" s="23"/>
    </row>
    <row r="974" spans="1:4" x14ac:dyDescent="0.2">
      <c r="A974" s="21"/>
      <c r="B974" s="21"/>
      <c r="C974" s="21"/>
      <c r="D974" s="23"/>
    </row>
    <row r="975" spans="1:4" x14ac:dyDescent="0.2">
      <c r="A975" s="21"/>
      <c r="B975" s="21"/>
      <c r="C975" s="21"/>
      <c r="D975" s="23"/>
    </row>
    <row r="976" spans="1:4" x14ac:dyDescent="0.2">
      <c r="A976" s="21"/>
      <c r="B976" s="21"/>
      <c r="C976" s="21"/>
      <c r="D976" s="23"/>
    </row>
    <row r="977" spans="1:4" x14ac:dyDescent="0.2">
      <c r="A977" s="21"/>
      <c r="B977" s="21"/>
      <c r="C977" s="21"/>
      <c r="D977" s="23"/>
    </row>
    <row r="978" spans="1:4" x14ac:dyDescent="0.2">
      <c r="A978" s="21"/>
      <c r="B978" s="21"/>
      <c r="C978" s="21"/>
      <c r="D978" s="23"/>
    </row>
    <row r="979" spans="1:4" x14ac:dyDescent="0.2">
      <c r="A979" s="21"/>
      <c r="B979" s="21"/>
      <c r="C979" s="21"/>
      <c r="D979" s="23"/>
    </row>
    <row r="980" spans="1:4" x14ac:dyDescent="0.2">
      <c r="A980" s="21"/>
      <c r="B980" s="21"/>
      <c r="C980" s="21"/>
      <c r="D980" s="23"/>
    </row>
    <row r="981" spans="1:4" x14ac:dyDescent="0.2">
      <c r="A981" s="21"/>
      <c r="B981" s="21"/>
      <c r="C981" s="21"/>
      <c r="D981" s="23"/>
    </row>
    <row r="982" spans="1:4" x14ac:dyDescent="0.2">
      <c r="A982" s="21"/>
      <c r="B982" s="21"/>
      <c r="C982" s="21"/>
      <c r="D982" s="23"/>
    </row>
    <row r="983" spans="1:4" x14ac:dyDescent="0.2">
      <c r="A983" s="21"/>
      <c r="B983" s="21"/>
      <c r="C983" s="21"/>
      <c r="D983" s="23"/>
    </row>
    <row r="984" spans="1:4" x14ac:dyDescent="0.2">
      <c r="A984" s="21"/>
      <c r="B984" s="21"/>
      <c r="C984" s="21"/>
      <c r="D984" s="23"/>
    </row>
    <row r="985" spans="1:4" x14ac:dyDescent="0.2">
      <c r="A985" s="21"/>
      <c r="B985" s="21"/>
      <c r="C985" s="21"/>
      <c r="D985" s="23"/>
    </row>
    <row r="986" spans="1:4" x14ac:dyDescent="0.2">
      <c r="A986" s="21"/>
      <c r="B986" s="21"/>
      <c r="C986" s="21"/>
      <c r="D986" s="23"/>
    </row>
    <row r="987" spans="1:4" x14ac:dyDescent="0.2">
      <c r="A987" s="21"/>
      <c r="B987" s="21"/>
      <c r="C987" s="21"/>
      <c r="D987" s="23"/>
    </row>
    <row r="988" spans="1:4" x14ac:dyDescent="0.2">
      <c r="A988" s="21"/>
      <c r="B988" s="21"/>
      <c r="C988" s="21"/>
      <c r="D988" s="23"/>
    </row>
    <row r="989" spans="1:4" x14ac:dyDescent="0.2">
      <c r="A989" s="21"/>
      <c r="B989" s="21"/>
      <c r="C989" s="21"/>
      <c r="D989" s="23"/>
    </row>
    <row r="990" spans="1:4" x14ac:dyDescent="0.2">
      <c r="A990" s="21"/>
      <c r="B990" s="21"/>
      <c r="C990" s="21"/>
      <c r="D990" s="23"/>
    </row>
    <row r="991" spans="1:4" x14ac:dyDescent="0.2">
      <c r="A991" s="21"/>
      <c r="B991" s="21"/>
      <c r="C991" s="21"/>
      <c r="D991" s="23"/>
    </row>
    <row r="992" spans="1:4" x14ac:dyDescent="0.2">
      <c r="A992" s="21"/>
      <c r="B992" s="21"/>
      <c r="C992" s="21"/>
      <c r="D992" s="23"/>
    </row>
    <row r="993" spans="1:4" x14ac:dyDescent="0.2">
      <c r="A993" s="21"/>
      <c r="B993" s="21"/>
      <c r="C993" s="21"/>
      <c r="D993" s="23"/>
    </row>
    <row r="994" spans="1:4" x14ac:dyDescent="0.2">
      <c r="A994" s="21"/>
      <c r="B994" s="21"/>
      <c r="C994" s="21"/>
      <c r="D994" s="23"/>
    </row>
    <row r="995" spans="1:4" x14ac:dyDescent="0.2">
      <c r="A995" s="21"/>
      <c r="B995" s="21"/>
      <c r="C995" s="21"/>
      <c r="D995" s="23"/>
    </row>
    <row r="996" spans="1:4" x14ac:dyDescent="0.2">
      <c r="A996" s="21"/>
      <c r="B996" s="21"/>
      <c r="C996" s="21"/>
      <c r="D996" s="23"/>
    </row>
    <row r="997" spans="1:4" x14ac:dyDescent="0.2">
      <c r="A997" s="21"/>
      <c r="B997" s="21"/>
      <c r="C997" s="21"/>
      <c r="D997" s="23"/>
    </row>
    <row r="998" spans="1:4" x14ac:dyDescent="0.2">
      <c r="A998" s="21"/>
      <c r="B998" s="21"/>
      <c r="C998" s="21"/>
      <c r="D998" s="23"/>
    </row>
    <row r="999" spans="1:4" x14ac:dyDescent="0.2">
      <c r="A999" s="21"/>
      <c r="B999" s="21"/>
      <c r="C999" s="21"/>
      <c r="D999" s="23"/>
    </row>
    <row r="1000" spans="1:4" x14ac:dyDescent="0.2">
      <c r="A1000" s="21"/>
      <c r="B1000" s="21"/>
      <c r="C1000" s="21"/>
      <c r="D1000" s="23"/>
    </row>
  </sheetData>
  <sortState xmlns:xlrd2="http://schemas.microsoft.com/office/spreadsheetml/2017/richdata2" ref="A2:E1000">
    <sortCondition descending="1" ref="C2:C1000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8FF5D-6E3E-EC45-B315-EA2F5658807C}">
  <dimension ref="A1:N77"/>
  <sheetViews>
    <sheetView topLeftCell="A18" zoomScale="110" workbookViewId="0">
      <selection activeCell="E4" sqref="E4"/>
    </sheetView>
  </sheetViews>
  <sheetFormatPr baseColWidth="10" defaultColWidth="11" defaultRowHeight="16" x14ac:dyDescent="0.2"/>
  <cols>
    <col min="2" max="2" width="11" customWidth="1"/>
    <col min="7" max="7" width="33.5" customWidth="1"/>
    <col min="8" max="8" width="23.33203125" style="1" customWidth="1"/>
    <col min="9" max="11" width="13" style="141" customWidth="1"/>
    <col min="12" max="12" width="12.5" style="141" customWidth="1"/>
    <col min="13" max="13" width="12.33203125" style="141" customWidth="1"/>
    <col min="14" max="14" width="12.33203125" customWidth="1"/>
  </cols>
  <sheetData>
    <row r="1" spans="1:14" ht="96" x14ac:dyDescent="0.2">
      <c r="A1" s="149" t="s">
        <v>141</v>
      </c>
      <c r="E1" s="150" t="s">
        <v>526</v>
      </c>
      <c r="F1" s="151" t="s">
        <v>527</v>
      </c>
      <c r="H1" s="29" t="s">
        <v>141</v>
      </c>
      <c r="I1" s="144" t="s">
        <v>528</v>
      </c>
      <c r="J1" s="144" t="s">
        <v>529</v>
      </c>
      <c r="K1" s="144" t="s">
        <v>530</v>
      </c>
      <c r="L1" s="144" t="s">
        <v>531</v>
      </c>
      <c r="M1" s="144" t="s">
        <v>532</v>
      </c>
      <c r="N1" s="29" t="s">
        <v>533</v>
      </c>
    </row>
    <row r="2" spans="1:14" ht="32" x14ac:dyDescent="0.2">
      <c r="A2" s="152" t="s">
        <v>534</v>
      </c>
      <c r="B2" s="153">
        <v>31</v>
      </c>
      <c r="C2" s="153">
        <v>69</v>
      </c>
      <c r="D2" s="153">
        <v>0.69</v>
      </c>
      <c r="E2" s="141">
        <v>80.956955122262116</v>
      </c>
      <c r="F2" s="154">
        <f>D2*E2</f>
        <v>55.860299034360857</v>
      </c>
      <c r="G2" s="1"/>
      <c r="H2" s="143"/>
      <c r="I2" s="145" t="s">
        <v>535</v>
      </c>
      <c r="J2" s="145" t="s">
        <v>536</v>
      </c>
      <c r="K2" s="146"/>
      <c r="L2" s="145" t="s">
        <v>535</v>
      </c>
      <c r="M2" s="145" t="s">
        <v>535</v>
      </c>
      <c r="N2" s="143"/>
    </row>
    <row r="3" spans="1:14" ht="51" x14ac:dyDescent="0.2">
      <c r="A3" s="155" t="s">
        <v>534</v>
      </c>
      <c r="B3" s="156">
        <v>31</v>
      </c>
      <c r="C3" s="156">
        <v>69</v>
      </c>
      <c r="D3" s="156">
        <v>0.69</v>
      </c>
      <c r="E3">
        <v>69.943528198004273</v>
      </c>
      <c r="F3" s="82">
        <f>D3*E3</f>
        <v>48.261034456622944</v>
      </c>
      <c r="G3" s="1"/>
      <c r="H3" s="148" t="s">
        <v>537</v>
      </c>
      <c r="I3" s="141">
        <v>1057</v>
      </c>
      <c r="L3" s="141">
        <v>21</v>
      </c>
      <c r="M3" s="141">
        <v>503333</v>
      </c>
      <c r="N3" s="141">
        <f>I3/L3</f>
        <v>50.333333333333336</v>
      </c>
    </row>
    <row r="4" spans="1:14" ht="17" x14ac:dyDescent="0.2">
      <c r="A4" s="155" t="s">
        <v>538</v>
      </c>
      <c r="B4" s="156">
        <v>31</v>
      </c>
      <c r="C4" s="156">
        <v>69</v>
      </c>
      <c r="D4" s="156">
        <v>0.69</v>
      </c>
      <c r="E4">
        <v>6.5672469654822887</v>
      </c>
      <c r="F4" s="82">
        <f>D4*E4</f>
        <v>4.5314004061827786</v>
      </c>
      <c r="G4" s="1"/>
      <c r="H4" s="148" t="s">
        <v>539</v>
      </c>
      <c r="I4" s="141">
        <v>959.81</v>
      </c>
      <c r="L4" s="141">
        <v>461</v>
      </c>
      <c r="M4" s="141">
        <v>20820</v>
      </c>
      <c r="N4" s="141">
        <f t="shared" ref="N4:N66" si="0">I4/L4</f>
        <v>2.0820173535791757</v>
      </c>
    </row>
    <row r="5" spans="1:14" ht="17" x14ac:dyDescent="0.2">
      <c r="A5" s="155" t="s">
        <v>85</v>
      </c>
      <c r="B5" s="156">
        <v>22</v>
      </c>
      <c r="C5" s="156">
        <v>78</v>
      </c>
      <c r="D5" s="156">
        <v>0.78</v>
      </c>
      <c r="E5">
        <v>9.7355945870175056</v>
      </c>
      <c r="F5" s="82">
        <f>D5*E5</f>
        <v>7.5937637778736544</v>
      </c>
      <c r="G5" s="1"/>
      <c r="H5" s="148" t="s">
        <v>107</v>
      </c>
      <c r="I5" s="141">
        <v>1263462</v>
      </c>
      <c r="J5" s="141">
        <v>1625</v>
      </c>
      <c r="K5" s="147">
        <f>100*(J5*1000-I5)/(J5*1000)</f>
        <v>22.248492307692306</v>
      </c>
      <c r="L5" s="147">
        <v>18578</v>
      </c>
      <c r="M5" s="141">
        <v>680085</v>
      </c>
      <c r="N5" s="141">
        <f t="shared" si="0"/>
        <v>68.008504682958332</v>
      </c>
    </row>
    <row r="6" spans="1:14" ht="17" x14ac:dyDescent="0.2">
      <c r="A6" s="155" t="s">
        <v>540</v>
      </c>
      <c r="B6" s="156">
        <v>11</v>
      </c>
      <c r="C6" s="156">
        <v>89</v>
      </c>
      <c r="D6" s="156">
        <v>0.89</v>
      </c>
      <c r="E6">
        <v>9.8935067374180008</v>
      </c>
      <c r="F6" s="82">
        <f>D6*E6</f>
        <v>8.8052209963020207</v>
      </c>
      <c r="G6" s="1"/>
      <c r="H6" s="148" t="s">
        <v>541</v>
      </c>
      <c r="I6" s="141">
        <v>511446</v>
      </c>
      <c r="J6" s="141">
        <v>497</v>
      </c>
      <c r="K6" s="147">
        <f>100*(J6*1000-I6)/(J6*1000)</f>
        <v>-2.9066398390342054</v>
      </c>
      <c r="L6" s="141">
        <v>87725</v>
      </c>
      <c r="M6" s="141">
        <v>58301</v>
      </c>
      <c r="N6" s="141">
        <f t="shared" si="0"/>
        <v>5.8301054431461958</v>
      </c>
    </row>
    <row r="7" spans="1:14" ht="17" x14ac:dyDescent="0.2">
      <c r="A7" s="155" t="s">
        <v>542</v>
      </c>
      <c r="B7" s="157"/>
      <c r="C7" s="157"/>
      <c r="D7" s="157"/>
      <c r="F7" s="82">
        <v>4.0086000000000004</v>
      </c>
      <c r="G7" s="1"/>
      <c r="H7" s="148" t="s">
        <v>543</v>
      </c>
      <c r="I7" s="141">
        <v>447600</v>
      </c>
      <c r="J7" s="141">
        <v>448</v>
      </c>
      <c r="K7" s="147">
        <f t="shared" ref="K7:K24" si="1">100*(J7*1000-I7)/(J7*1000)</f>
        <v>8.9285714285714288E-2</v>
      </c>
      <c r="L7" s="147">
        <v>11107</v>
      </c>
      <c r="M7" s="141">
        <v>402989</v>
      </c>
      <c r="N7" s="141">
        <f t="shared" si="0"/>
        <v>40.298910596920862</v>
      </c>
    </row>
    <row r="8" spans="1:14" ht="17" x14ac:dyDescent="0.2">
      <c r="A8" s="155" t="s">
        <v>125</v>
      </c>
      <c r="B8" s="156">
        <v>15</v>
      </c>
      <c r="C8" s="156">
        <v>85</v>
      </c>
      <c r="D8" s="156">
        <v>0.85</v>
      </c>
      <c r="E8">
        <v>5.2720812335215372</v>
      </c>
      <c r="F8" s="82">
        <f t="shared" ref="F8:F19" si="2">D8*E8</f>
        <v>4.4812690484933064</v>
      </c>
      <c r="G8" s="1"/>
      <c r="H8" s="148" t="s">
        <v>534</v>
      </c>
      <c r="I8" s="141">
        <v>296778</v>
      </c>
      <c r="J8" s="141">
        <v>222</v>
      </c>
      <c r="K8" s="147">
        <f t="shared" si="1"/>
        <v>-33.683783783783781</v>
      </c>
      <c r="L8" s="141">
        <v>3786</v>
      </c>
      <c r="M8" s="141">
        <v>783883</v>
      </c>
      <c r="N8" s="141">
        <f t="shared" si="0"/>
        <v>78.388272583201271</v>
      </c>
    </row>
    <row r="9" spans="1:14" ht="64" x14ac:dyDescent="0.2">
      <c r="A9" s="155" t="s">
        <v>544</v>
      </c>
      <c r="B9" s="156">
        <v>23</v>
      </c>
      <c r="C9" s="156">
        <v>77</v>
      </c>
      <c r="D9" s="156">
        <v>0.77</v>
      </c>
      <c r="E9">
        <v>45.074246814988733</v>
      </c>
      <c r="F9" s="82">
        <f t="shared" si="2"/>
        <v>34.707170047541325</v>
      </c>
      <c r="G9" s="1"/>
      <c r="H9" s="148" t="s">
        <v>534</v>
      </c>
      <c r="I9" s="141">
        <v>296778</v>
      </c>
      <c r="J9" s="141">
        <v>222</v>
      </c>
      <c r="K9" s="147">
        <f t="shared" si="1"/>
        <v>-33.683783783783781</v>
      </c>
      <c r="L9" s="147">
        <v>4382.1499999999996</v>
      </c>
      <c r="M9" s="141">
        <v>783883</v>
      </c>
      <c r="N9" s="141">
        <f t="shared" si="0"/>
        <v>67.724290587953405</v>
      </c>
    </row>
    <row r="10" spans="1:14" ht="48" x14ac:dyDescent="0.2">
      <c r="A10" s="155" t="s">
        <v>545</v>
      </c>
      <c r="B10" s="156">
        <v>23</v>
      </c>
      <c r="C10" s="156">
        <v>77</v>
      </c>
      <c r="D10" s="156">
        <v>0.77</v>
      </c>
      <c r="E10">
        <v>15.054733630705682</v>
      </c>
      <c r="F10" s="82">
        <f t="shared" si="2"/>
        <v>11.592144895643376</v>
      </c>
      <c r="G10" s="1"/>
      <c r="H10" s="148" t="s">
        <v>538</v>
      </c>
      <c r="I10" s="141">
        <v>180948</v>
      </c>
      <c r="J10" s="141">
        <v>182</v>
      </c>
      <c r="K10" s="147">
        <f t="shared" si="1"/>
        <v>0.57802197802197797</v>
      </c>
      <c r="L10" s="147">
        <v>27897</v>
      </c>
      <c r="M10" s="141">
        <v>64863</v>
      </c>
      <c r="N10" s="141">
        <f t="shared" si="0"/>
        <v>6.4862888482632544</v>
      </c>
    </row>
    <row r="11" spans="1:14" ht="17" x14ac:dyDescent="0.2">
      <c r="A11" s="155" t="s">
        <v>546</v>
      </c>
      <c r="B11" s="156">
        <v>15</v>
      </c>
      <c r="C11" s="156">
        <v>85</v>
      </c>
      <c r="D11" s="156">
        <v>0.85</v>
      </c>
      <c r="E11">
        <v>3.266555367876844</v>
      </c>
      <c r="F11" s="82">
        <f t="shared" si="2"/>
        <v>2.7765720626953172</v>
      </c>
      <c r="G11" s="1"/>
      <c r="H11" s="148" t="s">
        <v>85</v>
      </c>
      <c r="I11" s="141">
        <v>140742</v>
      </c>
      <c r="J11" s="141">
        <v>141</v>
      </c>
      <c r="K11" s="147">
        <f t="shared" si="1"/>
        <v>0.18297872340425531</v>
      </c>
      <c r="L11" s="147">
        <v>14712</v>
      </c>
      <c r="M11" s="141">
        <v>95665</v>
      </c>
      <c r="N11" s="141">
        <f t="shared" si="0"/>
        <v>9.5664763458401296</v>
      </c>
    </row>
    <row r="12" spans="1:14" ht="17" x14ac:dyDescent="0.2">
      <c r="A12" s="155" t="s">
        <v>543</v>
      </c>
      <c r="B12" s="156">
        <v>22</v>
      </c>
      <c r="C12" s="156">
        <v>78</v>
      </c>
      <c r="D12" s="156">
        <v>0.78</v>
      </c>
      <c r="E12">
        <v>40.958275743321025</v>
      </c>
      <c r="F12" s="82">
        <f t="shared" si="2"/>
        <v>31.947455079790402</v>
      </c>
      <c r="G12" s="1"/>
      <c r="H12" s="148" t="s">
        <v>540</v>
      </c>
      <c r="I12" s="141">
        <v>134853</v>
      </c>
      <c r="J12" s="141">
        <v>135</v>
      </c>
      <c r="K12" s="147">
        <f t="shared" si="1"/>
        <v>0.10888888888888888</v>
      </c>
      <c r="L12" s="141">
        <v>13794</v>
      </c>
      <c r="M12" s="141">
        <v>97762</v>
      </c>
      <c r="N12" s="141">
        <f t="shared" si="0"/>
        <v>9.776207046541975</v>
      </c>
    </row>
    <row r="13" spans="1:14" ht="32" x14ac:dyDescent="0.2">
      <c r="A13" s="155" t="s">
        <v>547</v>
      </c>
      <c r="B13" s="156">
        <v>18</v>
      </c>
      <c r="C13" s="156">
        <v>82</v>
      </c>
      <c r="D13" s="156">
        <v>0.82</v>
      </c>
      <c r="E13">
        <v>3.4053358509467979</v>
      </c>
      <c r="F13" s="82">
        <f t="shared" si="2"/>
        <v>2.7923753977763743</v>
      </c>
      <c r="G13" s="1"/>
      <c r="H13" s="148" t="s">
        <v>547</v>
      </c>
      <c r="I13" s="141">
        <v>77478</v>
      </c>
      <c r="J13" s="141">
        <v>78</v>
      </c>
      <c r="K13" s="147">
        <f>100*(J13*1000-I13)/(J13*1000)</f>
        <v>0.66923076923076918</v>
      </c>
      <c r="L13" s="141">
        <v>22811</v>
      </c>
      <c r="M13" s="141">
        <v>33965</v>
      </c>
      <c r="N13" s="141">
        <f t="shared" si="0"/>
        <v>3.3965192231817984</v>
      </c>
    </row>
    <row r="14" spans="1:14" ht="17" x14ac:dyDescent="0.2">
      <c r="A14" s="155" t="s">
        <v>548</v>
      </c>
      <c r="B14" s="156">
        <v>24</v>
      </c>
      <c r="C14" s="156">
        <v>76</v>
      </c>
      <c r="D14" s="156">
        <v>0.76</v>
      </c>
      <c r="E14">
        <v>5.7535623264627356</v>
      </c>
      <c r="F14" s="82">
        <f t="shared" si="2"/>
        <v>4.372707368111679</v>
      </c>
      <c r="G14" s="1"/>
      <c r="H14" s="148" t="s">
        <v>549</v>
      </c>
      <c r="I14" s="141">
        <v>43996</v>
      </c>
      <c r="J14" s="141">
        <v>43</v>
      </c>
      <c r="K14" s="147">
        <f t="shared" si="1"/>
        <v>-2.3162790697674418</v>
      </c>
      <c r="L14" s="141">
        <v>188</v>
      </c>
      <c r="M14" s="141">
        <v>2340213</v>
      </c>
      <c r="N14" s="141">
        <f t="shared" si="0"/>
        <v>234.02127659574469</v>
      </c>
    </row>
    <row r="15" spans="1:14" ht="34" x14ac:dyDescent="0.2">
      <c r="A15" s="155" t="s">
        <v>550</v>
      </c>
      <c r="B15" s="156">
        <v>0</v>
      </c>
      <c r="C15" s="156">
        <v>100</v>
      </c>
      <c r="D15" s="156">
        <v>1</v>
      </c>
      <c r="E15">
        <v>2.0766240977234869</v>
      </c>
      <c r="F15" s="82">
        <f t="shared" si="2"/>
        <v>2.0766240977234869</v>
      </c>
      <c r="G15" s="1"/>
      <c r="H15" s="148" t="s">
        <v>544</v>
      </c>
      <c r="I15" s="141">
        <v>42877</v>
      </c>
      <c r="J15" s="141">
        <v>38</v>
      </c>
      <c r="K15" s="147">
        <f t="shared" si="1"/>
        <v>-12.83421052631579</v>
      </c>
      <c r="L15" s="141">
        <v>969</v>
      </c>
      <c r="M15" s="141">
        <v>442487</v>
      </c>
      <c r="N15" s="141">
        <f t="shared" si="0"/>
        <v>44.248710010319918</v>
      </c>
    </row>
    <row r="16" spans="1:14" ht="17" x14ac:dyDescent="0.2">
      <c r="A16" s="155" t="s">
        <v>107</v>
      </c>
      <c r="B16" s="156">
        <v>-5</v>
      </c>
      <c r="C16" s="156">
        <v>105</v>
      </c>
      <c r="D16" s="156">
        <v>1.05</v>
      </c>
      <c r="E16">
        <v>67.995360106225363</v>
      </c>
      <c r="F16" s="82">
        <f t="shared" si="2"/>
        <v>71.395128111536636</v>
      </c>
      <c r="G16" s="1"/>
      <c r="H16" s="148" t="s">
        <v>114</v>
      </c>
      <c r="I16" s="141">
        <v>16513</v>
      </c>
      <c r="J16" s="141">
        <v>17</v>
      </c>
      <c r="K16" s="147">
        <f t="shared" si="1"/>
        <v>2.8647058823529412</v>
      </c>
      <c r="L16" s="147">
        <v>5386</v>
      </c>
      <c r="M16" s="141">
        <v>30659</v>
      </c>
      <c r="N16" s="141">
        <f t="shared" si="0"/>
        <v>3.0659116227255847</v>
      </c>
    </row>
    <row r="17" spans="1:14" ht="32" x14ac:dyDescent="0.2">
      <c r="A17" s="155" t="s">
        <v>114</v>
      </c>
      <c r="B17" s="156">
        <v>23</v>
      </c>
      <c r="C17" s="156">
        <v>77</v>
      </c>
      <c r="D17" s="156">
        <v>0.77</v>
      </c>
      <c r="E17">
        <v>3.0951180421474596</v>
      </c>
      <c r="F17" s="82">
        <f t="shared" si="2"/>
        <v>2.3832408924535438</v>
      </c>
      <c r="G17" s="1"/>
      <c r="H17" s="148" t="s">
        <v>551</v>
      </c>
      <c r="I17" s="141">
        <f>I18+I21</f>
        <v>19657</v>
      </c>
      <c r="J17" s="141">
        <v>16</v>
      </c>
      <c r="K17" s="147">
        <f t="shared" si="1"/>
        <v>-22.856249999999999</v>
      </c>
      <c r="L17" s="141">
        <f t="shared" ref="L17:M17" si="3">L18+L21</f>
        <v>5339</v>
      </c>
      <c r="M17" s="141">
        <f t="shared" si="3"/>
        <v>88018</v>
      </c>
      <c r="N17" s="141">
        <f t="shared" si="0"/>
        <v>3.6817756134107511</v>
      </c>
    </row>
    <row r="18" spans="1:14" ht="34" x14ac:dyDescent="0.2">
      <c r="A18" s="155" t="s">
        <v>549</v>
      </c>
      <c r="B18" s="156">
        <v>19</v>
      </c>
      <c r="C18" s="156">
        <v>81</v>
      </c>
      <c r="D18" s="156">
        <v>0.81</v>
      </c>
      <c r="E18">
        <v>241.85600507415108</v>
      </c>
      <c r="F18" s="82">
        <f t="shared" si="2"/>
        <v>195.9033641100624</v>
      </c>
      <c r="G18" s="1"/>
      <c r="H18" s="148" t="s">
        <v>552</v>
      </c>
      <c r="I18" s="141">
        <v>13651</v>
      </c>
      <c r="L18" s="141">
        <v>4267</v>
      </c>
      <c r="M18" s="141">
        <v>31992</v>
      </c>
      <c r="N18" s="141">
        <f t="shared" si="0"/>
        <v>3.1992031872509958</v>
      </c>
    </row>
    <row r="19" spans="1:14" ht="18" thickBot="1" x14ac:dyDescent="0.25">
      <c r="A19" s="158" t="s">
        <v>541</v>
      </c>
      <c r="B19" s="159">
        <v>21</v>
      </c>
      <c r="C19" s="159">
        <v>79</v>
      </c>
      <c r="D19" s="159">
        <v>0.79</v>
      </c>
      <c r="E19" s="54">
        <v>5.9243194889475381</v>
      </c>
      <c r="F19" s="55">
        <f t="shared" si="2"/>
        <v>4.6802123962685549</v>
      </c>
      <c r="G19" s="1"/>
      <c r="H19" s="148" t="s">
        <v>548</v>
      </c>
      <c r="I19" s="141">
        <v>10112</v>
      </c>
      <c r="J19" s="141">
        <v>10</v>
      </c>
      <c r="K19" s="147">
        <f t="shared" si="1"/>
        <v>-1.1200000000000001</v>
      </c>
      <c r="L19" s="147">
        <v>1855</v>
      </c>
      <c r="M19" s="141">
        <v>54512</v>
      </c>
      <c r="N19" s="141">
        <f t="shared" si="0"/>
        <v>5.4512129380053906</v>
      </c>
    </row>
    <row r="20" spans="1:14" ht="18" thickBot="1" x14ac:dyDescent="0.25">
      <c r="A20" s="142"/>
      <c r="H20" s="148" t="s">
        <v>125</v>
      </c>
      <c r="I20" s="141">
        <v>8256</v>
      </c>
      <c r="J20" s="141">
        <v>8</v>
      </c>
      <c r="K20" s="147">
        <f t="shared" si="1"/>
        <v>-3.2</v>
      </c>
      <c r="L20" s="147">
        <v>1628</v>
      </c>
      <c r="M20" s="141">
        <v>50713</v>
      </c>
      <c r="N20" s="141">
        <f t="shared" si="0"/>
        <v>5.0712530712530715</v>
      </c>
    </row>
    <row r="21" spans="1:14" ht="96" x14ac:dyDescent="0.2">
      <c r="A21" s="65" t="s">
        <v>553</v>
      </c>
      <c r="B21" s="150" t="s">
        <v>554</v>
      </c>
      <c r="C21" s="150" t="s">
        <v>555</v>
      </c>
      <c r="D21" s="150" t="s">
        <v>556</v>
      </c>
      <c r="E21" s="134" t="s">
        <v>557</v>
      </c>
      <c r="F21" s="160" t="s">
        <v>527</v>
      </c>
      <c r="H21" s="148" t="s">
        <v>558</v>
      </c>
      <c r="I21" s="141">
        <v>6006</v>
      </c>
      <c r="L21" s="141">
        <v>1072</v>
      </c>
      <c r="M21" s="141">
        <v>56026</v>
      </c>
      <c r="N21" s="141">
        <f t="shared" si="0"/>
        <v>5.6026119402985071</v>
      </c>
    </row>
    <row r="22" spans="1:14" ht="17" x14ac:dyDescent="0.2">
      <c r="A22" s="161" t="s">
        <v>559</v>
      </c>
      <c r="B22">
        <f>AVERAGE(B4,B6,B8,B14,B19)</f>
        <v>20.399999999999999</v>
      </c>
      <c r="C22">
        <f>AVERAGE(C4,C6,C8,C14,C19)</f>
        <v>79.599999999999994</v>
      </c>
      <c r="D22">
        <f>AVERAGE(D4,D6,D8,D14,D19)</f>
        <v>0.79600000000000004</v>
      </c>
      <c r="E22">
        <f>AVERAGE(N29,N58,N45)</f>
        <v>4.3714945672477237</v>
      </c>
      <c r="F22" s="82">
        <f>D22*E22</f>
        <v>3.4797096755291883</v>
      </c>
      <c r="H22" s="148" t="s">
        <v>550</v>
      </c>
      <c r="I22" s="141">
        <v>3740</v>
      </c>
      <c r="J22" s="141">
        <v>4</v>
      </c>
      <c r="K22" s="147">
        <f t="shared" si="1"/>
        <v>6.5</v>
      </c>
      <c r="L22" s="147">
        <v>1801</v>
      </c>
      <c r="M22" s="141">
        <v>20766</v>
      </c>
      <c r="N22" s="141">
        <f t="shared" si="0"/>
        <v>2.0766240977234869</v>
      </c>
    </row>
    <row r="23" spans="1:14" ht="17" x14ac:dyDescent="0.2">
      <c r="A23" s="163" t="s">
        <v>560</v>
      </c>
      <c r="B23">
        <f>AVERAGE(B11,B15)</f>
        <v>7.5</v>
      </c>
      <c r="C23">
        <f>AVERAGE(C11,C15)</f>
        <v>92.5</v>
      </c>
      <c r="D23">
        <f>AVERAGE(D11,D15)</f>
        <v>0.92500000000000004</v>
      </c>
      <c r="E23">
        <f>AVERAGE(N43,N50)</f>
        <v>2.7417410345650168</v>
      </c>
      <c r="F23" s="82">
        <f t="shared" ref="F23:F26" si="4">D23*E23</f>
        <v>2.5361104569726405</v>
      </c>
      <c r="H23" s="148" t="s">
        <v>545</v>
      </c>
      <c r="I23" s="141">
        <v>2675</v>
      </c>
      <c r="L23" s="141">
        <v>181</v>
      </c>
      <c r="M23" s="141">
        <v>147790</v>
      </c>
      <c r="N23" s="141">
        <f t="shared" si="0"/>
        <v>14.779005524861878</v>
      </c>
    </row>
    <row r="24" spans="1:14" ht="17" x14ac:dyDescent="0.2">
      <c r="A24" s="165" t="s">
        <v>561</v>
      </c>
      <c r="B24">
        <f>AVERAGE(B3,B5)</f>
        <v>26.5</v>
      </c>
      <c r="C24">
        <f>AVERAGE(C3,C5)</f>
        <v>73.5</v>
      </c>
      <c r="D24">
        <f>AVERAGE(D3,D5)</f>
        <v>0.73499999999999999</v>
      </c>
      <c r="E24">
        <f>AVERAGE(N27,N34,N37,N39,N40,N42,N47,N48,N49,N52,N54,N57,N59,N63,N65)</f>
        <v>23.181932167750112</v>
      </c>
      <c r="F24" s="82">
        <f t="shared" si="4"/>
        <v>17.038720143296331</v>
      </c>
      <c r="H24" s="148" t="s">
        <v>542</v>
      </c>
      <c r="I24" s="141">
        <v>934</v>
      </c>
      <c r="J24" s="141">
        <v>1</v>
      </c>
      <c r="K24" s="147">
        <f t="shared" si="1"/>
        <v>6.6</v>
      </c>
      <c r="L24" s="147">
        <v>233</v>
      </c>
      <c r="M24" s="141">
        <v>40086</v>
      </c>
      <c r="N24" s="141">
        <f t="shared" si="0"/>
        <v>4.0085836909871242</v>
      </c>
    </row>
    <row r="25" spans="1:14" ht="32" x14ac:dyDescent="0.2">
      <c r="A25" s="167" t="s">
        <v>562</v>
      </c>
      <c r="B25">
        <f>AVERAGE(B9,B18)</f>
        <v>21</v>
      </c>
      <c r="C25">
        <f>AVERAGE(C9,C18)</f>
        <v>79</v>
      </c>
      <c r="D25">
        <f>AVERAGE(D9,D18)</f>
        <v>0.79</v>
      </c>
      <c r="E25">
        <f>AVERAGE(N25,N26,N28,N30,N31,N32,N33,N35,N36,N46,N64)</f>
        <v>29.932192092521586</v>
      </c>
      <c r="F25" s="82">
        <f t="shared" si="4"/>
        <v>23.646431753092052</v>
      </c>
      <c r="H25" s="140" t="s">
        <v>563</v>
      </c>
      <c r="I25" s="141">
        <v>69961</v>
      </c>
      <c r="L25" s="141">
        <v>2109</v>
      </c>
      <c r="M25" s="141">
        <v>331726</v>
      </c>
      <c r="N25">
        <f t="shared" si="0"/>
        <v>33.172593646277853</v>
      </c>
    </row>
    <row r="26" spans="1:14" ht="18" thickBot="1" x14ac:dyDescent="0.25">
      <c r="A26" s="168" t="s">
        <v>564</v>
      </c>
      <c r="B26" s="54">
        <v>0</v>
      </c>
      <c r="C26" s="54">
        <v>100</v>
      </c>
      <c r="D26" s="54">
        <v>1</v>
      </c>
      <c r="E26" s="54">
        <f>AVERAGE(N44,N55)</f>
        <v>1.1533468677494199</v>
      </c>
      <c r="F26" s="55">
        <f t="shared" si="4"/>
        <v>1.1533468677494199</v>
      </c>
      <c r="H26" s="140" t="s">
        <v>565</v>
      </c>
      <c r="I26" s="141">
        <v>63035</v>
      </c>
      <c r="L26" s="141">
        <v>3305</v>
      </c>
      <c r="M26" s="141">
        <v>190726</v>
      </c>
      <c r="N26">
        <f t="shared" si="0"/>
        <v>19.072617246596067</v>
      </c>
    </row>
    <row r="27" spans="1:14" ht="17" x14ac:dyDescent="0.2">
      <c r="H27" s="166" t="s">
        <v>566</v>
      </c>
      <c r="I27" s="141">
        <v>58131</v>
      </c>
      <c r="L27" s="141">
        <v>783</v>
      </c>
      <c r="M27" s="141">
        <v>742414</v>
      </c>
      <c r="N27">
        <f t="shared" si="0"/>
        <v>74.241379310344826</v>
      </c>
    </row>
    <row r="28" spans="1:14" ht="34" x14ac:dyDescent="0.2">
      <c r="H28" s="140" t="s">
        <v>567</v>
      </c>
      <c r="I28" s="141">
        <v>53919</v>
      </c>
      <c r="L28" s="141">
        <v>2262</v>
      </c>
      <c r="M28" s="141">
        <v>238369</v>
      </c>
      <c r="N28">
        <f t="shared" si="0"/>
        <v>23.836870026525197</v>
      </c>
    </row>
    <row r="29" spans="1:14" ht="17" x14ac:dyDescent="0.2">
      <c r="H29" s="162" t="s">
        <v>568</v>
      </c>
      <c r="I29" s="141">
        <v>47342</v>
      </c>
      <c r="L29" s="141">
        <v>7960</v>
      </c>
      <c r="M29" s="141">
        <v>59475</v>
      </c>
      <c r="N29">
        <f t="shared" si="0"/>
        <v>5.9474874371859299</v>
      </c>
    </row>
    <row r="30" spans="1:14" ht="17" x14ac:dyDescent="0.2">
      <c r="H30" s="140" t="s">
        <v>569</v>
      </c>
      <c r="I30" s="141">
        <v>32480</v>
      </c>
      <c r="L30" s="141">
        <v>1083</v>
      </c>
      <c r="M30" s="141">
        <v>299908</v>
      </c>
      <c r="N30">
        <f t="shared" si="0"/>
        <v>29.990766389658358</v>
      </c>
    </row>
    <row r="31" spans="1:14" ht="34" x14ac:dyDescent="0.2">
      <c r="H31" s="140" t="s">
        <v>570</v>
      </c>
      <c r="I31" s="141">
        <v>15905</v>
      </c>
      <c r="L31" s="141">
        <v>710</v>
      </c>
      <c r="M31" s="141">
        <v>224014</v>
      </c>
      <c r="N31">
        <f t="shared" si="0"/>
        <v>22.401408450704224</v>
      </c>
    </row>
    <row r="32" spans="1:14" ht="17" x14ac:dyDescent="0.2">
      <c r="H32" s="140" t="s">
        <v>571</v>
      </c>
      <c r="I32" s="141">
        <v>15767</v>
      </c>
      <c r="L32" s="141">
        <v>953</v>
      </c>
      <c r="M32" s="141">
        <v>165446</v>
      </c>
      <c r="N32">
        <f t="shared" si="0"/>
        <v>16.544596012591814</v>
      </c>
    </row>
    <row r="33" spans="8:14" ht="17" x14ac:dyDescent="0.2">
      <c r="H33" s="140" t="s">
        <v>572</v>
      </c>
      <c r="I33" s="141">
        <v>14555</v>
      </c>
      <c r="L33" s="141">
        <v>1482</v>
      </c>
      <c r="M33" s="141">
        <v>98212</v>
      </c>
      <c r="N33">
        <f t="shared" si="0"/>
        <v>9.8211875843454788</v>
      </c>
    </row>
    <row r="34" spans="8:14" ht="17" x14ac:dyDescent="0.2">
      <c r="H34" s="166" t="s">
        <v>573</v>
      </c>
      <c r="I34" s="141">
        <v>14263</v>
      </c>
      <c r="L34" s="141">
        <v>323</v>
      </c>
      <c r="M34" s="141">
        <v>441579</v>
      </c>
      <c r="N34">
        <f t="shared" si="0"/>
        <v>44.157894736842103</v>
      </c>
    </row>
    <row r="35" spans="8:14" ht="17" x14ac:dyDescent="0.2">
      <c r="H35" s="140" t="s">
        <v>574</v>
      </c>
      <c r="I35" s="141">
        <v>13511</v>
      </c>
      <c r="L35" s="141">
        <v>92</v>
      </c>
      <c r="M35" s="141">
        <v>1468587</v>
      </c>
      <c r="N35">
        <f t="shared" si="0"/>
        <v>146.85869565217391</v>
      </c>
    </row>
    <row r="36" spans="8:14" ht="34" x14ac:dyDescent="0.2">
      <c r="H36" s="140" t="s">
        <v>575</v>
      </c>
      <c r="I36" s="141">
        <v>11791</v>
      </c>
      <c r="L36" s="141">
        <v>461</v>
      </c>
      <c r="M36" s="141">
        <v>255770</v>
      </c>
      <c r="N36">
        <f t="shared" si="0"/>
        <v>25.577006507592191</v>
      </c>
    </row>
    <row r="37" spans="8:14" ht="17" x14ac:dyDescent="0.2">
      <c r="H37" s="166" t="s">
        <v>576</v>
      </c>
      <c r="I37" s="141">
        <v>11391</v>
      </c>
      <c r="L37" s="141">
        <v>587</v>
      </c>
      <c r="M37" s="141">
        <v>194055</v>
      </c>
      <c r="N37">
        <f t="shared" si="0"/>
        <v>19.405451448040886</v>
      </c>
    </row>
    <row r="38" spans="8:14" ht="17" x14ac:dyDescent="0.2">
      <c r="H38" s="1" t="s">
        <v>577</v>
      </c>
      <c r="I38" s="141">
        <v>9869</v>
      </c>
      <c r="L38" s="141">
        <v>1218</v>
      </c>
      <c r="M38" s="141">
        <v>81026</v>
      </c>
      <c r="N38">
        <f t="shared" si="0"/>
        <v>8.1026272577996714</v>
      </c>
    </row>
    <row r="39" spans="8:14" ht="17" x14ac:dyDescent="0.2">
      <c r="H39" s="166" t="s">
        <v>578</v>
      </c>
      <c r="I39" s="141">
        <v>9393</v>
      </c>
      <c r="L39" s="141">
        <v>739</v>
      </c>
      <c r="M39" s="141">
        <v>127104</v>
      </c>
      <c r="N39">
        <f t="shared" si="0"/>
        <v>12.71041948579161</v>
      </c>
    </row>
    <row r="40" spans="8:14" ht="17" x14ac:dyDescent="0.2">
      <c r="H40" s="166" t="s">
        <v>579</v>
      </c>
      <c r="I40" s="141">
        <v>8209</v>
      </c>
      <c r="L40" s="141">
        <v>512</v>
      </c>
      <c r="M40" s="141">
        <v>160332</v>
      </c>
      <c r="N40">
        <f t="shared" si="0"/>
        <v>16.033203125</v>
      </c>
    </row>
    <row r="41" spans="8:14" ht="17" x14ac:dyDescent="0.2">
      <c r="H41" s="1" t="s">
        <v>580</v>
      </c>
      <c r="I41" s="141">
        <v>7376</v>
      </c>
      <c r="N41" t="e">
        <f t="shared" si="0"/>
        <v>#DIV/0!</v>
      </c>
    </row>
    <row r="42" spans="8:14" ht="17" x14ac:dyDescent="0.2">
      <c r="H42" s="166" t="s">
        <v>581</v>
      </c>
      <c r="I42" s="141">
        <v>3808</v>
      </c>
      <c r="L42" s="141">
        <v>202</v>
      </c>
      <c r="M42" s="141">
        <v>188515</v>
      </c>
      <c r="N42">
        <f t="shared" si="0"/>
        <v>18.85148514851485</v>
      </c>
    </row>
    <row r="43" spans="8:14" ht="34" x14ac:dyDescent="0.2">
      <c r="H43" s="164" t="s">
        <v>582</v>
      </c>
      <c r="I43" s="141">
        <v>2614</v>
      </c>
      <c r="L43" s="141">
        <v>1003</v>
      </c>
      <c r="M43" s="141">
        <v>26062</v>
      </c>
      <c r="N43">
        <f t="shared" si="0"/>
        <v>2.6061814556331009</v>
      </c>
    </row>
    <row r="44" spans="8:14" ht="17" x14ac:dyDescent="0.2">
      <c r="H44" s="169" t="s">
        <v>583</v>
      </c>
      <c r="I44" s="141">
        <v>2451</v>
      </c>
      <c r="L44" s="141">
        <v>1724</v>
      </c>
      <c r="M44" s="141">
        <v>14220</v>
      </c>
      <c r="N44">
        <f t="shared" si="0"/>
        <v>1.4216937354988399</v>
      </c>
    </row>
    <row r="45" spans="8:14" ht="17" x14ac:dyDescent="0.2">
      <c r="H45" s="162" t="s">
        <v>584</v>
      </c>
      <c r="I45" s="141">
        <v>1120</v>
      </c>
      <c r="L45" s="141">
        <v>222</v>
      </c>
      <c r="M45" s="141">
        <v>50450</v>
      </c>
      <c r="N45">
        <f t="shared" si="0"/>
        <v>5.045045045045045</v>
      </c>
    </row>
    <row r="46" spans="8:14" ht="17" x14ac:dyDescent="0.2">
      <c r="H46" s="140" t="s">
        <v>585</v>
      </c>
      <c r="I46" s="141">
        <v>712</v>
      </c>
      <c r="L46" s="141">
        <v>393</v>
      </c>
      <c r="M46" s="141">
        <v>18117</v>
      </c>
      <c r="N46">
        <f t="shared" si="0"/>
        <v>1.8117048346055979</v>
      </c>
    </row>
    <row r="47" spans="8:14" ht="17" x14ac:dyDescent="0.2">
      <c r="H47" s="166" t="s">
        <v>586</v>
      </c>
      <c r="I47" s="141">
        <v>694</v>
      </c>
      <c r="L47" s="141">
        <v>11</v>
      </c>
      <c r="M47" s="141">
        <v>630909</v>
      </c>
      <c r="N47">
        <f t="shared" si="0"/>
        <v>63.090909090909093</v>
      </c>
    </row>
    <row r="48" spans="8:14" ht="17" x14ac:dyDescent="0.2">
      <c r="H48" s="166" t="s">
        <v>587</v>
      </c>
      <c r="I48" s="141">
        <v>530</v>
      </c>
      <c r="L48" s="141">
        <v>48</v>
      </c>
      <c r="M48" s="141">
        <v>110417</v>
      </c>
      <c r="N48">
        <f t="shared" si="0"/>
        <v>11.041666666666666</v>
      </c>
    </row>
    <row r="49" spans="8:14" ht="17" x14ac:dyDescent="0.2">
      <c r="H49" s="166" t="s">
        <v>588</v>
      </c>
      <c r="I49" s="141">
        <v>474</v>
      </c>
      <c r="L49" s="141">
        <v>19</v>
      </c>
      <c r="M49" s="141">
        <v>249474</v>
      </c>
      <c r="N49">
        <f t="shared" si="0"/>
        <v>24.94736842105263</v>
      </c>
    </row>
    <row r="50" spans="8:14" ht="17" x14ac:dyDescent="0.2">
      <c r="H50" s="164" t="s">
        <v>589</v>
      </c>
      <c r="I50" s="141">
        <v>469</v>
      </c>
      <c r="L50" s="147">
        <v>163</v>
      </c>
      <c r="M50" s="141">
        <v>28773</v>
      </c>
      <c r="N50">
        <f t="shared" si="0"/>
        <v>2.8773006134969323</v>
      </c>
    </row>
    <row r="51" spans="8:14" ht="17" x14ac:dyDescent="0.2">
      <c r="H51" s="1" t="s">
        <v>590</v>
      </c>
      <c r="I51" s="141">
        <v>457</v>
      </c>
      <c r="L51" s="141">
        <v>203</v>
      </c>
      <c r="M51" s="141">
        <v>22512</v>
      </c>
      <c r="N51">
        <f t="shared" si="0"/>
        <v>2.2512315270935961</v>
      </c>
    </row>
    <row r="52" spans="8:14" ht="17" x14ac:dyDescent="0.2">
      <c r="H52" s="166" t="s">
        <v>591</v>
      </c>
      <c r="I52" s="141">
        <v>366</v>
      </c>
      <c r="L52" s="141">
        <v>93</v>
      </c>
      <c r="M52" s="141">
        <v>39355</v>
      </c>
      <c r="N52">
        <f t="shared" si="0"/>
        <v>3.935483870967742</v>
      </c>
    </row>
    <row r="53" spans="8:14" ht="17" x14ac:dyDescent="0.2">
      <c r="H53" s="1" t="s">
        <v>592</v>
      </c>
      <c r="I53" s="141">
        <v>340</v>
      </c>
      <c r="L53" s="141">
        <v>174</v>
      </c>
      <c r="M53" s="141">
        <v>19540</v>
      </c>
      <c r="N53">
        <f t="shared" si="0"/>
        <v>1.9540229885057472</v>
      </c>
    </row>
    <row r="54" spans="8:14" ht="17" x14ac:dyDescent="0.2">
      <c r="H54" s="166" t="s">
        <v>593</v>
      </c>
      <c r="I54" s="141">
        <v>204</v>
      </c>
      <c r="L54" s="141">
        <v>11</v>
      </c>
      <c r="M54" s="141">
        <v>185455</v>
      </c>
      <c r="N54">
        <f t="shared" si="0"/>
        <v>18.545454545454547</v>
      </c>
    </row>
    <row r="55" spans="8:14" ht="17" x14ac:dyDescent="0.2">
      <c r="H55" s="169" t="s">
        <v>594</v>
      </c>
      <c r="I55" s="141">
        <v>177</v>
      </c>
      <c r="L55" s="141">
        <v>200</v>
      </c>
      <c r="M55" s="141">
        <v>8850</v>
      </c>
      <c r="N55">
        <f t="shared" si="0"/>
        <v>0.88500000000000001</v>
      </c>
    </row>
    <row r="56" spans="8:14" ht="17" x14ac:dyDescent="0.2">
      <c r="H56" s="1" t="s">
        <v>595</v>
      </c>
      <c r="I56" s="141">
        <v>154</v>
      </c>
      <c r="L56" s="141">
        <v>131</v>
      </c>
      <c r="M56" s="141">
        <v>11756</v>
      </c>
      <c r="N56">
        <f t="shared" si="0"/>
        <v>1.1755725190839694</v>
      </c>
    </row>
    <row r="57" spans="8:14" ht="34" x14ac:dyDescent="0.2">
      <c r="H57" s="166" t="s">
        <v>596</v>
      </c>
      <c r="I57" s="141">
        <v>130.54</v>
      </c>
      <c r="L57" s="141">
        <v>25</v>
      </c>
      <c r="M57" s="141">
        <v>51345</v>
      </c>
      <c r="N57">
        <f t="shared" si="0"/>
        <v>5.2215999999999996</v>
      </c>
    </row>
    <row r="58" spans="8:14" ht="17" x14ac:dyDescent="0.2">
      <c r="H58" s="162" t="s">
        <v>597</v>
      </c>
      <c r="I58" s="141">
        <v>87</v>
      </c>
      <c r="L58" s="141">
        <v>41</v>
      </c>
      <c r="M58" s="141">
        <v>21220</v>
      </c>
      <c r="N58">
        <f t="shared" si="0"/>
        <v>2.1219512195121952</v>
      </c>
    </row>
    <row r="59" spans="8:14" ht="17" x14ac:dyDescent="0.2">
      <c r="H59" s="166" t="s">
        <v>598</v>
      </c>
      <c r="I59" s="141">
        <v>64</v>
      </c>
      <c r="L59" s="141">
        <v>6</v>
      </c>
      <c r="M59" s="141">
        <v>106667</v>
      </c>
      <c r="N59">
        <f t="shared" si="0"/>
        <v>10.666666666666666</v>
      </c>
    </row>
    <row r="60" spans="8:14" ht="17" x14ac:dyDescent="0.2">
      <c r="H60" s="1" t="s">
        <v>599</v>
      </c>
      <c r="I60" s="141">
        <v>51</v>
      </c>
      <c r="L60" s="141">
        <v>49</v>
      </c>
      <c r="M60" s="141">
        <v>10408</v>
      </c>
      <c r="N60">
        <f t="shared" si="0"/>
        <v>1.0408163265306123</v>
      </c>
    </row>
    <row r="61" spans="8:14" ht="34" x14ac:dyDescent="0.2">
      <c r="H61" s="1" t="s">
        <v>600</v>
      </c>
      <c r="I61" s="141">
        <v>46</v>
      </c>
      <c r="L61" s="141">
        <v>27</v>
      </c>
      <c r="M61" s="141">
        <v>17037</v>
      </c>
      <c r="N61">
        <f t="shared" si="0"/>
        <v>1.7037037037037037</v>
      </c>
    </row>
    <row r="62" spans="8:14" ht="17" x14ac:dyDescent="0.2">
      <c r="H62" s="1" t="s">
        <v>601</v>
      </c>
      <c r="I62" s="141">
        <v>29</v>
      </c>
      <c r="L62" s="141">
        <v>20</v>
      </c>
      <c r="M62" s="141">
        <v>14500</v>
      </c>
      <c r="N62">
        <f t="shared" si="0"/>
        <v>1.45</v>
      </c>
    </row>
    <row r="63" spans="8:14" ht="17" x14ac:dyDescent="0.2">
      <c r="H63" s="166" t="s">
        <v>602</v>
      </c>
      <c r="I63" s="141">
        <v>24.38</v>
      </c>
      <c r="L63" s="141">
        <v>1</v>
      </c>
      <c r="M63" s="141">
        <v>248336</v>
      </c>
      <c r="N63">
        <f t="shared" si="0"/>
        <v>24.38</v>
      </c>
    </row>
    <row r="64" spans="8:14" ht="17" x14ac:dyDescent="0.2">
      <c r="H64" s="140" t="s">
        <v>603</v>
      </c>
      <c r="I64" s="141">
        <v>1</v>
      </c>
      <c r="L64" s="141">
        <v>6</v>
      </c>
      <c r="M64" s="141">
        <v>1667</v>
      </c>
      <c r="N64">
        <f t="shared" si="0"/>
        <v>0.16666666666666666</v>
      </c>
    </row>
    <row r="65" spans="8:14" ht="34" x14ac:dyDescent="0.2">
      <c r="H65" s="166" t="s">
        <v>604</v>
      </c>
      <c r="I65" s="141">
        <v>1</v>
      </c>
      <c r="L65" s="141">
        <v>2</v>
      </c>
      <c r="M65" s="141">
        <v>5000</v>
      </c>
      <c r="N65">
        <f t="shared" si="0"/>
        <v>0.5</v>
      </c>
    </row>
    <row r="66" spans="8:14" ht="17" x14ac:dyDescent="0.2">
      <c r="H66" s="1" t="s">
        <v>605</v>
      </c>
      <c r="I66" s="141">
        <v>0</v>
      </c>
      <c r="L66" s="141">
        <v>0</v>
      </c>
      <c r="N66" t="e">
        <f t="shared" si="0"/>
        <v>#DIV/0!</v>
      </c>
    </row>
    <row r="68" spans="8:14" x14ac:dyDescent="0.2">
      <c r="I68" s="141" t="s">
        <v>606</v>
      </c>
      <c r="L68" s="141">
        <f>SUM(L3:L66)</f>
        <v>257546.15</v>
      </c>
    </row>
    <row r="69" spans="8:14" x14ac:dyDescent="0.2">
      <c r="I69" s="141" t="s">
        <v>607</v>
      </c>
      <c r="L69" s="141">
        <v>143506</v>
      </c>
    </row>
    <row r="70" spans="8:14" x14ac:dyDescent="0.2">
      <c r="I70" s="141" t="s">
        <v>608</v>
      </c>
      <c r="L70" s="141">
        <v>60253</v>
      </c>
    </row>
    <row r="71" spans="8:14" x14ac:dyDescent="0.2">
      <c r="I71" s="141" t="s">
        <v>609</v>
      </c>
      <c r="L71" s="141">
        <v>30133</v>
      </c>
    </row>
    <row r="72" spans="8:14" x14ac:dyDescent="0.2">
      <c r="I72" s="141" t="s">
        <v>610</v>
      </c>
      <c r="L72" s="141">
        <v>12127</v>
      </c>
    </row>
    <row r="77" spans="8:14" x14ac:dyDescent="0.2">
      <c r="L77" s="141">
        <f>SUM(L68:L72)</f>
        <v>503565.15</v>
      </c>
    </row>
  </sheetData>
  <sortState xmlns:xlrd2="http://schemas.microsoft.com/office/spreadsheetml/2017/richdata2" ref="A2:F19">
    <sortCondition ref="A2:A19"/>
  </sortState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F53E8-55DA-B146-957A-F06E4CE9A9BD}">
  <dimension ref="A1:Q26"/>
  <sheetViews>
    <sheetView zoomScale="125" workbookViewId="0">
      <selection activeCell="J29" sqref="J29"/>
    </sheetView>
  </sheetViews>
  <sheetFormatPr baseColWidth="10" defaultColWidth="11" defaultRowHeight="16" x14ac:dyDescent="0.2"/>
  <cols>
    <col min="1" max="1" width="14.1640625" customWidth="1"/>
    <col min="14" max="14" width="19.6640625" customWidth="1"/>
    <col min="15" max="15" width="17.6640625" customWidth="1"/>
  </cols>
  <sheetData>
    <row r="1" spans="1:17" s="1" customFormat="1" ht="51" x14ac:dyDescent="0.2">
      <c r="A1" s="5" t="s">
        <v>247</v>
      </c>
      <c r="B1" s="5" t="s">
        <v>147</v>
      </c>
      <c r="C1" s="5" t="s">
        <v>150</v>
      </c>
      <c r="D1" s="5" t="s">
        <v>152</v>
      </c>
      <c r="E1" s="5" t="s">
        <v>154</v>
      </c>
      <c r="F1" s="5" t="s">
        <v>183</v>
      </c>
      <c r="G1" s="5" t="s">
        <v>185</v>
      </c>
      <c r="H1" s="5" t="s">
        <v>163</v>
      </c>
      <c r="I1" s="5" t="s">
        <v>611</v>
      </c>
      <c r="J1" s="5" t="s">
        <v>222</v>
      </c>
      <c r="K1" s="5" t="s">
        <v>165</v>
      </c>
      <c r="L1" s="5" t="s">
        <v>612</v>
      </c>
      <c r="M1" s="5"/>
      <c r="O1" s="7" t="s">
        <v>136</v>
      </c>
    </row>
    <row r="2" spans="1:17" ht="17" x14ac:dyDescent="0.2">
      <c r="A2" s="6">
        <v>1999</v>
      </c>
      <c r="B2" s="6">
        <v>6.0593000000000001E-2</v>
      </c>
      <c r="C2" s="6">
        <v>0.284578</v>
      </c>
      <c r="D2" s="6">
        <v>6.5126000000000003E-2</v>
      </c>
      <c r="E2" s="6">
        <v>6.8472000000000005E-2</v>
      </c>
      <c r="F2" s="6">
        <v>0.143764</v>
      </c>
      <c r="G2" s="6">
        <v>0.17305699999999999</v>
      </c>
      <c r="H2" s="6">
        <v>1.1011E-2</v>
      </c>
      <c r="I2" s="6">
        <v>2.7335000000000002E-2</v>
      </c>
      <c r="J2" s="6">
        <v>2.7085999999999999E-2</v>
      </c>
      <c r="K2" s="6">
        <v>5.9221000000000003E-2</v>
      </c>
      <c r="L2" s="6">
        <v>7.6829999999999997E-3</v>
      </c>
      <c r="M2" s="6"/>
      <c r="N2" s="7" t="s">
        <v>147</v>
      </c>
      <c r="O2" s="1">
        <f>B26</f>
        <v>0.16270999999999999</v>
      </c>
      <c r="P2" s="1"/>
      <c r="Q2" s="1"/>
    </row>
    <row r="3" spans="1:17" ht="17" x14ac:dyDescent="0.2">
      <c r="A3" s="6">
        <v>2000</v>
      </c>
      <c r="B3" s="6">
        <v>6.2001000000000001E-2</v>
      </c>
      <c r="C3" s="6">
        <v>0.27668100000000001</v>
      </c>
      <c r="D3" s="6">
        <v>6.8221000000000004E-2</v>
      </c>
      <c r="E3" s="6">
        <v>7.0938000000000001E-2</v>
      </c>
      <c r="F3" s="6">
        <v>0.14847199999999999</v>
      </c>
      <c r="G3" s="6">
        <v>0.18240500000000001</v>
      </c>
      <c r="H3" s="6">
        <v>9.8770000000000004E-3</v>
      </c>
      <c r="I3" s="6">
        <v>3.1338999999999999E-2</v>
      </c>
      <c r="J3" s="6">
        <v>3.0778E-2</v>
      </c>
      <c r="K3" s="6">
        <v>7.2452000000000003E-2</v>
      </c>
      <c r="L3" s="6">
        <v>8.3859999999999994E-3</v>
      </c>
      <c r="M3" s="6"/>
      <c r="N3" s="7" t="s">
        <v>150</v>
      </c>
      <c r="O3" s="1">
        <f>C26</f>
        <v>0.24565699999999999</v>
      </c>
      <c r="P3" s="1"/>
      <c r="Q3" s="1"/>
    </row>
    <row r="4" spans="1:17" ht="34" x14ac:dyDescent="0.2">
      <c r="A4" s="6">
        <v>2001</v>
      </c>
      <c r="B4" s="6">
        <v>7.3227E-2</v>
      </c>
      <c r="C4" s="6">
        <v>0.26846999999999999</v>
      </c>
      <c r="D4" s="6">
        <v>7.6289999999999997E-2</v>
      </c>
      <c r="E4" s="6">
        <v>8.3904000000000006E-2</v>
      </c>
      <c r="F4" s="6">
        <v>0.15790199999999999</v>
      </c>
      <c r="G4" s="6">
        <v>0.19814499999999999</v>
      </c>
      <c r="H4" s="6">
        <v>9.8420000000000001E-3</v>
      </c>
      <c r="I4" s="6">
        <v>3.848E-2</v>
      </c>
      <c r="J4" s="6">
        <v>3.8095999999999998E-2</v>
      </c>
      <c r="K4" s="6">
        <v>8.2768999999999995E-2</v>
      </c>
      <c r="L4" s="6">
        <v>1.1941999999999999E-2</v>
      </c>
      <c r="M4" s="6"/>
      <c r="N4" s="7" t="s">
        <v>152</v>
      </c>
      <c r="O4" s="1">
        <f>D26</f>
        <v>0.180946</v>
      </c>
      <c r="P4" s="1"/>
      <c r="Q4" s="1"/>
    </row>
    <row r="5" spans="1:17" ht="17" x14ac:dyDescent="0.2">
      <c r="A5" s="6">
        <v>2002</v>
      </c>
      <c r="B5" s="6">
        <v>7.8805E-2</v>
      </c>
      <c r="C5" s="6">
        <v>0.26948699999999998</v>
      </c>
      <c r="D5" s="6">
        <v>8.5235000000000005E-2</v>
      </c>
      <c r="E5" s="6">
        <v>9.3051999999999996E-2</v>
      </c>
      <c r="F5" s="6">
        <v>0.17837600000000001</v>
      </c>
      <c r="G5" s="6">
        <v>0.207979</v>
      </c>
      <c r="H5" s="6">
        <v>9.7280000000000005E-3</v>
      </c>
      <c r="I5" s="6">
        <v>4.3316E-2</v>
      </c>
      <c r="J5" s="6">
        <v>4.2887000000000002E-2</v>
      </c>
      <c r="K5" s="6">
        <v>9.6779000000000004E-2</v>
      </c>
      <c r="L5" s="6">
        <v>1.2548E-2</v>
      </c>
      <c r="M5" s="6"/>
      <c r="N5" s="7" t="s">
        <v>154</v>
      </c>
      <c r="O5" s="1">
        <f>E26</f>
        <v>0.22975599999999999</v>
      </c>
      <c r="P5" s="1"/>
      <c r="Q5" s="1"/>
    </row>
    <row r="6" spans="1:17" ht="17" x14ac:dyDescent="0.2">
      <c r="A6" s="6">
        <v>2003</v>
      </c>
      <c r="B6" s="6">
        <v>8.2327999999999998E-2</v>
      </c>
      <c r="C6" s="6">
        <v>0.26648699999999997</v>
      </c>
      <c r="D6" s="6">
        <v>9.2351000000000003E-2</v>
      </c>
      <c r="E6" s="6">
        <v>0.10016</v>
      </c>
      <c r="F6" s="6">
        <v>0.192329</v>
      </c>
      <c r="G6" s="6">
        <v>0.215591</v>
      </c>
      <c r="H6" s="6">
        <v>1.1547E-2</v>
      </c>
      <c r="I6" s="6">
        <v>4.3694999999999998E-2</v>
      </c>
      <c r="J6" s="6">
        <v>4.3139999999999998E-2</v>
      </c>
      <c r="K6" s="6">
        <v>0.100295</v>
      </c>
      <c r="L6" s="6">
        <v>1.1279000000000001E-2</v>
      </c>
      <c r="M6" s="6"/>
      <c r="N6" s="7" t="s">
        <v>183</v>
      </c>
      <c r="O6" s="1">
        <f>F26</f>
        <v>0.385299</v>
      </c>
      <c r="P6" s="1"/>
      <c r="Q6" s="1"/>
    </row>
    <row r="7" spans="1:17" ht="17" x14ac:dyDescent="0.2">
      <c r="A7" s="6">
        <v>2004</v>
      </c>
      <c r="B7" s="6">
        <v>8.4950999999999999E-2</v>
      </c>
      <c r="C7" s="6">
        <v>0.26199800000000001</v>
      </c>
      <c r="D7" s="6">
        <v>9.5954999999999999E-2</v>
      </c>
      <c r="E7" s="6">
        <v>0.104966</v>
      </c>
      <c r="F7" s="6">
        <v>0.204762</v>
      </c>
      <c r="G7" s="6">
        <v>0.22567599999999999</v>
      </c>
      <c r="H7" s="6">
        <v>1.2239999999999999E-2</v>
      </c>
      <c r="I7" s="6">
        <v>4.9319000000000002E-2</v>
      </c>
      <c r="J7" s="6">
        <v>4.8647999999999997E-2</v>
      </c>
      <c r="K7" s="6">
        <v>0.11496199999999999</v>
      </c>
      <c r="L7" s="6">
        <v>1.3231E-2</v>
      </c>
      <c r="M7" s="6"/>
      <c r="N7" s="7" t="s">
        <v>185</v>
      </c>
      <c r="O7" s="1">
        <f>G26</f>
        <v>0.40120299999999998</v>
      </c>
      <c r="P7" s="1"/>
      <c r="Q7" s="1"/>
    </row>
    <row r="8" spans="1:17" ht="17" x14ac:dyDescent="0.2">
      <c r="A8" s="6">
        <v>2005</v>
      </c>
      <c r="B8" s="6">
        <v>8.5239999999999996E-2</v>
      </c>
      <c r="C8" s="6">
        <v>0.26206099999999999</v>
      </c>
      <c r="D8" s="6">
        <v>9.8000000000000004E-2</v>
      </c>
      <c r="E8" s="6">
        <v>0.10739700000000001</v>
      </c>
      <c r="F8" s="6">
        <v>0.20643900000000001</v>
      </c>
      <c r="G8" s="6">
        <v>0.228129</v>
      </c>
      <c r="H8" s="6">
        <v>1.1521999999999999E-2</v>
      </c>
      <c r="I8" s="6">
        <v>5.4038999999999997E-2</v>
      </c>
      <c r="J8" s="6">
        <v>5.3311999999999998E-2</v>
      </c>
      <c r="K8" s="6">
        <v>0.111848</v>
      </c>
      <c r="L8" s="6">
        <v>1.8286E-2</v>
      </c>
      <c r="M8" s="6"/>
      <c r="N8" s="7" t="s">
        <v>163</v>
      </c>
      <c r="O8" s="1">
        <f>H26</f>
        <v>5.1194999999999997E-2</v>
      </c>
      <c r="P8" s="1"/>
      <c r="Q8" s="1"/>
    </row>
    <row r="9" spans="1:17" ht="17" x14ac:dyDescent="0.2">
      <c r="A9" s="6">
        <v>2006</v>
      </c>
      <c r="B9" s="6">
        <v>8.3431000000000005E-2</v>
      </c>
      <c r="C9" s="6">
        <v>0.25912800000000002</v>
      </c>
      <c r="D9" s="6">
        <v>9.7642999999999994E-2</v>
      </c>
      <c r="E9" s="6">
        <v>0.105792</v>
      </c>
      <c r="F9" s="6">
        <v>0.20231499999999999</v>
      </c>
      <c r="G9" s="6">
        <v>0.22605700000000001</v>
      </c>
      <c r="H9" s="6">
        <v>1.1433E-2</v>
      </c>
      <c r="I9" s="6">
        <v>5.7215000000000002E-2</v>
      </c>
      <c r="J9" s="6">
        <v>5.6326000000000001E-2</v>
      </c>
      <c r="K9" s="6">
        <v>0.115666</v>
      </c>
      <c r="L9" s="6">
        <v>1.6258000000000002E-2</v>
      </c>
      <c r="M9" s="6"/>
      <c r="N9" s="7" t="s">
        <v>222</v>
      </c>
      <c r="O9" s="1">
        <f>J26</f>
        <v>0.19509799999999999</v>
      </c>
      <c r="P9" s="1"/>
      <c r="Q9" s="1"/>
    </row>
    <row r="10" spans="1:17" ht="17" x14ac:dyDescent="0.2">
      <c r="A10" s="6">
        <v>2007</v>
      </c>
      <c r="B10" s="6">
        <v>8.1507999999999997E-2</v>
      </c>
      <c r="C10" s="6">
        <v>0.25389899999999999</v>
      </c>
      <c r="D10" s="6">
        <v>9.6095E-2</v>
      </c>
      <c r="E10" s="6">
        <v>0.104752</v>
      </c>
      <c r="F10" s="6">
        <v>0.20535200000000001</v>
      </c>
      <c r="G10" s="6">
        <v>0.23375199999999999</v>
      </c>
      <c r="H10" s="6">
        <v>1.0083E-2</v>
      </c>
      <c r="I10" s="6">
        <v>5.3955000000000003E-2</v>
      </c>
      <c r="J10" s="6">
        <v>5.3596999999999999E-2</v>
      </c>
      <c r="K10" s="6">
        <v>0.116896</v>
      </c>
      <c r="L10" s="6">
        <v>1.4056000000000001E-2</v>
      </c>
      <c r="M10" s="6"/>
      <c r="N10" s="7" t="s">
        <v>165</v>
      </c>
      <c r="O10">
        <f>K26</f>
        <v>0.33761799999999997</v>
      </c>
      <c r="P10" s="1"/>
      <c r="Q10" s="1"/>
    </row>
    <row r="11" spans="1:17" x14ac:dyDescent="0.2">
      <c r="A11" s="6">
        <v>2008</v>
      </c>
      <c r="B11" s="6">
        <v>7.8147999999999995E-2</v>
      </c>
      <c r="C11" s="6">
        <v>0.24182799999999999</v>
      </c>
      <c r="D11" s="6">
        <v>9.2225000000000001E-2</v>
      </c>
      <c r="E11" s="6">
        <v>0.101274</v>
      </c>
      <c r="F11" s="6">
        <v>0.205925</v>
      </c>
      <c r="G11" s="6">
        <v>0.23474300000000001</v>
      </c>
      <c r="H11" s="6">
        <v>1.0052E-2</v>
      </c>
      <c r="I11" s="6">
        <v>5.5378999999999998E-2</v>
      </c>
      <c r="J11" s="6">
        <v>5.5198999999999998E-2</v>
      </c>
      <c r="K11" s="6">
        <v>0.12617999999999999</v>
      </c>
      <c r="L11" s="6">
        <v>1.4992E-2</v>
      </c>
      <c r="M11" s="6"/>
    </row>
    <row r="12" spans="1:17" x14ac:dyDescent="0.2">
      <c r="A12" s="6">
        <v>2009</v>
      </c>
      <c r="B12" s="6">
        <v>7.5815999999999995E-2</v>
      </c>
      <c r="C12" s="6">
        <v>0.22491900000000001</v>
      </c>
      <c r="D12" s="6">
        <v>8.7016999999999997E-2</v>
      </c>
      <c r="E12" s="6">
        <v>9.6722000000000002E-2</v>
      </c>
      <c r="F12" s="6">
        <v>0.201434</v>
      </c>
      <c r="G12" s="6">
        <v>0.22730400000000001</v>
      </c>
      <c r="H12" s="6">
        <v>9.8930000000000008E-3</v>
      </c>
      <c r="I12" s="6">
        <v>5.8158000000000001E-2</v>
      </c>
      <c r="J12" s="6">
        <v>5.7916000000000002E-2</v>
      </c>
      <c r="K12" s="6">
        <v>0.13154399999999999</v>
      </c>
      <c r="L12" s="6">
        <v>1.6240999999999998E-2</v>
      </c>
      <c r="M12" s="6"/>
      <c r="N12" s="7"/>
    </row>
    <row r="13" spans="1:17" x14ac:dyDescent="0.2">
      <c r="A13" s="6">
        <v>2010</v>
      </c>
      <c r="B13" s="6">
        <v>7.5880000000000003E-2</v>
      </c>
      <c r="C13" s="6">
        <v>0.21451899999999999</v>
      </c>
      <c r="D13" s="6">
        <v>8.5009000000000001E-2</v>
      </c>
      <c r="E13" s="6">
        <v>9.5365000000000005E-2</v>
      </c>
      <c r="F13" s="6">
        <v>0.19911400000000001</v>
      </c>
      <c r="G13" s="6">
        <v>0.22498799999999999</v>
      </c>
      <c r="H13" s="6">
        <v>1.0093E-2</v>
      </c>
      <c r="I13" s="6">
        <v>5.7736000000000003E-2</v>
      </c>
      <c r="J13" s="6">
        <v>5.7354000000000002E-2</v>
      </c>
      <c r="K13" s="6">
        <v>0.129221</v>
      </c>
      <c r="L13" s="6">
        <v>1.5834999999999998E-2</v>
      </c>
      <c r="M13" s="6"/>
    </row>
    <row r="14" spans="1:17" x14ac:dyDescent="0.2">
      <c r="A14" s="6">
        <v>2011</v>
      </c>
      <c r="B14" s="6">
        <v>7.7845999999999999E-2</v>
      </c>
      <c r="C14" s="6">
        <v>0.21921599999999999</v>
      </c>
      <c r="D14" s="6">
        <v>8.5721000000000006E-2</v>
      </c>
      <c r="E14" s="6">
        <v>9.8277000000000003E-2</v>
      </c>
      <c r="F14" s="6">
        <v>0.20672699999999999</v>
      </c>
      <c r="G14" s="6">
        <v>0.23297599999999999</v>
      </c>
      <c r="H14" s="6">
        <v>1.304E-2</v>
      </c>
      <c r="I14" s="6">
        <v>5.8964000000000003E-2</v>
      </c>
      <c r="J14" s="6">
        <v>5.8842999999999999E-2</v>
      </c>
      <c r="K14" s="6">
        <v>0.13802900000000001</v>
      </c>
      <c r="L14" s="6">
        <v>1.5855999999999999E-2</v>
      </c>
      <c r="M14" s="6"/>
    </row>
    <row r="15" spans="1:17" x14ac:dyDescent="0.2">
      <c r="A15" s="6">
        <v>2012</v>
      </c>
      <c r="B15" s="6">
        <v>8.3195000000000005E-2</v>
      </c>
      <c r="C15" s="6">
        <v>0.22092999999999999</v>
      </c>
      <c r="D15" s="6">
        <v>9.0309E-2</v>
      </c>
      <c r="E15" s="6">
        <v>0.102812</v>
      </c>
      <c r="F15" s="6">
        <v>0.21146999999999999</v>
      </c>
      <c r="G15" s="6">
        <v>0.24071100000000001</v>
      </c>
      <c r="H15" s="6">
        <v>1.5672999999999999E-2</v>
      </c>
      <c r="I15" s="6">
        <v>6.0810000000000003E-2</v>
      </c>
      <c r="J15" s="6">
        <v>6.0602000000000003E-2</v>
      </c>
      <c r="K15" s="6">
        <v>0.140571</v>
      </c>
      <c r="L15" s="6">
        <v>1.779E-2</v>
      </c>
      <c r="M15" s="6"/>
    </row>
    <row r="16" spans="1:17" x14ac:dyDescent="0.2">
      <c r="A16" s="6">
        <v>2013</v>
      </c>
      <c r="B16" s="6">
        <v>8.5928000000000004E-2</v>
      </c>
      <c r="C16" s="6">
        <v>0.22864499999999999</v>
      </c>
      <c r="D16" s="6">
        <v>9.4658000000000006E-2</v>
      </c>
      <c r="E16" s="6">
        <v>0.107719</v>
      </c>
      <c r="F16" s="6">
        <v>0.22464100000000001</v>
      </c>
      <c r="G16" s="6">
        <v>0.25281199999999998</v>
      </c>
      <c r="H16" s="6">
        <v>1.7923999999999999E-2</v>
      </c>
      <c r="I16" s="6">
        <v>6.6994999999999999E-2</v>
      </c>
      <c r="J16" s="6">
        <v>6.6781999999999994E-2</v>
      </c>
      <c r="K16" s="6">
        <v>0.14369799999999999</v>
      </c>
      <c r="L16" s="6">
        <v>2.1398E-2</v>
      </c>
      <c r="M16" s="6"/>
    </row>
    <row r="17" spans="1:13" x14ac:dyDescent="0.2">
      <c r="A17" s="6">
        <v>2014</v>
      </c>
      <c r="B17" s="6">
        <v>8.5956000000000005E-2</v>
      </c>
      <c r="C17" s="6">
        <v>0.23424</v>
      </c>
      <c r="D17" s="6">
        <v>9.7577999999999998E-2</v>
      </c>
      <c r="E17" s="6">
        <v>0.11214</v>
      </c>
      <c r="F17" s="6">
        <v>0.23105400000000001</v>
      </c>
      <c r="G17" s="6">
        <v>0.25680700000000001</v>
      </c>
      <c r="H17" s="6">
        <v>1.9429999999999999E-2</v>
      </c>
      <c r="I17" s="6">
        <v>6.9233000000000003E-2</v>
      </c>
      <c r="J17" s="6">
        <v>6.8983000000000003E-2</v>
      </c>
      <c r="K17" s="6">
        <v>0.15290799999999999</v>
      </c>
      <c r="L17" s="6">
        <v>2.0459999999999999E-2</v>
      </c>
      <c r="M17" s="6"/>
    </row>
    <row r="18" spans="1:13" x14ac:dyDescent="0.2">
      <c r="A18" s="6">
        <v>2015</v>
      </c>
      <c r="B18" s="6">
        <v>8.6850999999999998E-2</v>
      </c>
      <c r="C18" s="6">
        <v>0.24012900000000001</v>
      </c>
      <c r="D18" s="6">
        <v>0.100733</v>
      </c>
      <c r="E18" s="6">
        <v>0.116245</v>
      </c>
      <c r="F18" s="6">
        <v>0.231346</v>
      </c>
      <c r="G18" s="6">
        <v>0.26057999999999998</v>
      </c>
      <c r="H18" s="6">
        <v>1.8335000000000001E-2</v>
      </c>
      <c r="I18" s="6">
        <v>7.2202000000000002E-2</v>
      </c>
      <c r="J18" s="6">
        <v>7.1956000000000006E-2</v>
      </c>
      <c r="K18" s="6">
        <v>0.16000600000000001</v>
      </c>
      <c r="L18" s="6">
        <v>2.2553E-2</v>
      </c>
      <c r="M18" s="6"/>
    </row>
    <row r="19" spans="1:13" x14ac:dyDescent="0.2">
      <c r="A19" s="6">
        <v>2016</v>
      </c>
      <c r="B19" s="6">
        <v>8.9536000000000004E-2</v>
      </c>
      <c r="C19" s="6">
        <v>0.24767</v>
      </c>
      <c r="D19" s="6">
        <v>0.10208299999999999</v>
      </c>
      <c r="E19" s="6">
        <v>0.12005200000000001</v>
      </c>
      <c r="F19" s="6">
        <v>0.236674</v>
      </c>
      <c r="G19" s="6">
        <v>0.25739499999999998</v>
      </c>
      <c r="H19" s="6">
        <v>2.0077000000000001E-2</v>
      </c>
      <c r="I19" s="6">
        <v>7.7835000000000001E-2</v>
      </c>
      <c r="J19" s="6">
        <v>7.7354000000000006E-2</v>
      </c>
      <c r="K19" s="6">
        <v>0.15736</v>
      </c>
      <c r="L19" s="6">
        <v>2.7932999999999999E-2</v>
      </c>
      <c r="M19" s="6"/>
    </row>
    <row r="20" spans="1:13" x14ac:dyDescent="0.2">
      <c r="A20" s="6">
        <v>2017</v>
      </c>
      <c r="B20" s="6">
        <v>9.7254999999999994E-2</v>
      </c>
      <c r="C20" s="6">
        <v>0.26216800000000001</v>
      </c>
      <c r="D20" s="6">
        <v>0.109614</v>
      </c>
      <c r="E20" s="6">
        <v>0.12839800000000001</v>
      </c>
      <c r="F20" s="6">
        <v>0.241786</v>
      </c>
      <c r="G20" s="6">
        <v>0.26612999999999998</v>
      </c>
      <c r="H20" s="6">
        <v>2.3917000000000001E-2</v>
      </c>
      <c r="I20" s="6">
        <v>8.6161000000000001E-2</v>
      </c>
      <c r="J20" s="6">
        <v>8.5758000000000001E-2</v>
      </c>
      <c r="K20" s="6">
        <v>0.16384599999999999</v>
      </c>
      <c r="L20" s="6">
        <v>3.2578000000000003E-2</v>
      </c>
      <c r="M20" s="6"/>
    </row>
    <row r="21" spans="1:13" x14ac:dyDescent="0.2">
      <c r="A21" s="6">
        <v>2018</v>
      </c>
      <c r="B21" s="6">
        <v>0.106266</v>
      </c>
      <c r="C21" s="6">
        <v>0.26747700000000002</v>
      </c>
      <c r="D21" s="6">
        <v>0.117759</v>
      </c>
      <c r="E21" s="6">
        <v>0.13552</v>
      </c>
      <c r="F21" s="6">
        <v>0.24679000000000001</v>
      </c>
      <c r="G21" s="6">
        <v>0.27705099999999999</v>
      </c>
      <c r="H21" s="6">
        <v>2.6925999999999999E-2</v>
      </c>
      <c r="I21" s="6">
        <v>9.1051999999999994E-2</v>
      </c>
      <c r="J21" s="6">
        <v>9.0545E-2</v>
      </c>
      <c r="K21" s="6">
        <v>0.16771900000000001</v>
      </c>
      <c r="L21" s="6">
        <v>3.6486999999999999E-2</v>
      </c>
      <c r="M21" s="6"/>
    </row>
    <row r="22" spans="1:13" x14ac:dyDescent="0.2">
      <c r="A22" s="6">
        <v>2019</v>
      </c>
      <c r="B22" s="6">
        <v>0.10936</v>
      </c>
      <c r="C22" s="6">
        <v>0.27249600000000002</v>
      </c>
      <c r="D22" s="6">
        <v>0.12059</v>
      </c>
      <c r="E22" s="6">
        <v>0.14438200000000001</v>
      </c>
      <c r="F22" s="6">
        <v>0.25228099999999998</v>
      </c>
      <c r="G22" s="6">
        <v>0.28028199999999998</v>
      </c>
      <c r="H22" s="6">
        <v>2.8649999999999998E-2</v>
      </c>
      <c r="I22" s="6">
        <v>9.9847000000000005E-2</v>
      </c>
      <c r="J22" s="6">
        <v>9.9303000000000002E-2</v>
      </c>
      <c r="K22" s="6">
        <v>0.177791</v>
      </c>
      <c r="L22" s="6">
        <v>4.5836000000000002E-2</v>
      </c>
      <c r="M22" s="6"/>
    </row>
    <row r="23" spans="1:13" x14ac:dyDescent="0.2">
      <c r="A23" s="6">
        <v>2020</v>
      </c>
      <c r="B23" s="6">
        <v>0.114145</v>
      </c>
      <c r="C23" s="6">
        <v>0.27516299999999999</v>
      </c>
      <c r="D23" s="6">
        <v>0.12445000000000001</v>
      </c>
      <c r="E23" s="6">
        <v>0.14882699999999999</v>
      </c>
      <c r="F23" s="6">
        <v>0.25024200000000002</v>
      </c>
      <c r="G23" s="6">
        <v>0.27710499999999999</v>
      </c>
      <c r="H23" s="6">
        <v>2.6453999999999998E-2</v>
      </c>
      <c r="I23" s="6">
        <v>0.104269</v>
      </c>
      <c r="J23" s="6">
        <v>0.103575</v>
      </c>
      <c r="K23" s="6">
        <v>0.17513899999999999</v>
      </c>
      <c r="L23" s="6">
        <v>4.8217000000000003E-2</v>
      </c>
      <c r="M23" s="6"/>
    </row>
    <row r="24" spans="1:13" x14ac:dyDescent="0.2">
      <c r="A24" s="6">
        <v>2021</v>
      </c>
      <c r="B24" s="6">
        <v>0.115386</v>
      </c>
      <c r="C24" s="6">
        <v>0.27581800000000001</v>
      </c>
      <c r="D24" s="6">
        <v>0.12612699999999999</v>
      </c>
      <c r="E24" s="6">
        <v>0.15096899999999999</v>
      </c>
      <c r="F24" s="6">
        <v>0.25444</v>
      </c>
      <c r="G24" s="6">
        <v>0.27349600000000002</v>
      </c>
      <c r="H24" s="6">
        <v>2.6556E-2</v>
      </c>
      <c r="I24" s="6">
        <v>0.109254</v>
      </c>
      <c r="J24" s="6">
        <v>0.10857700000000001</v>
      </c>
      <c r="K24" s="6">
        <v>0.18960299999999999</v>
      </c>
      <c r="L24" s="6">
        <v>4.6482000000000002E-2</v>
      </c>
      <c r="M24" s="6"/>
    </row>
    <row r="25" spans="1:13" x14ac:dyDescent="0.2">
      <c r="A25" s="6">
        <v>2022</v>
      </c>
      <c r="B25" s="6">
        <v>0.116822</v>
      </c>
      <c r="C25" s="6">
        <v>0.27816000000000002</v>
      </c>
      <c r="D25" s="6">
        <v>0.128941</v>
      </c>
      <c r="E25" s="6">
        <v>0.154642</v>
      </c>
      <c r="F25" s="6">
        <v>0.25859500000000002</v>
      </c>
      <c r="G25" s="6">
        <v>0.27878900000000001</v>
      </c>
      <c r="H25" s="6">
        <v>2.7491999999999999E-2</v>
      </c>
      <c r="I25" s="6">
        <v>0.11228</v>
      </c>
      <c r="J25" s="6">
        <v>0.11163099999999999</v>
      </c>
      <c r="K25" s="6">
        <v>0.20327100000000001</v>
      </c>
      <c r="L25" s="6">
        <v>4.5996000000000002E-2</v>
      </c>
      <c r="M25" s="6"/>
    </row>
    <row r="26" spans="1:13" x14ac:dyDescent="0.2">
      <c r="A26" s="6">
        <v>2050</v>
      </c>
      <c r="B26" s="6">
        <v>0.16270999999999999</v>
      </c>
      <c r="C26" s="6">
        <v>0.24565699999999999</v>
      </c>
      <c r="D26" s="6">
        <v>0.180946</v>
      </c>
      <c r="E26" s="6">
        <v>0.22975599999999999</v>
      </c>
      <c r="F26" s="6">
        <v>0.385299</v>
      </c>
      <c r="G26" s="6">
        <v>0.40120299999999998</v>
      </c>
      <c r="H26" s="6">
        <v>5.1194999999999997E-2</v>
      </c>
      <c r="I26" s="6">
        <v>0.19564000000000001</v>
      </c>
      <c r="J26" s="6">
        <v>0.19509799999999999</v>
      </c>
      <c r="K26" s="6">
        <v>0.33761799999999997</v>
      </c>
      <c r="L26" s="6">
        <v>8.8034000000000001E-2</v>
      </c>
      <c r="M26" s="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D9EC2-45F9-9848-96F8-7F4CDBA27954}">
  <dimension ref="A1:D31"/>
  <sheetViews>
    <sheetView zoomScale="125" workbookViewId="0">
      <selection activeCell="B29" sqref="B29"/>
    </sheetView>
  </sheetViews>
  <sheetFormatPr baseColWidth="10" defaultColWidth="11" defaultRowHeight="16" x14ac:dyDescent="0.2"/>
  <cols>
    <col min="2" max="2" width="18" customWidth="1"/>
    <col min="3" max="3" width="20" customWidth="1"/>
    <col min="4" max="4" width="13.83203125" customWidth="1"/>
  </cols>
  <sheetData>
    <row r="1" spans="1:4" s="1" customFormat="1" ht="51" x14ac:dyDescent="0.2">
      <c r="A1" s="24" t="s">
        <v>247</v>
      </c>
      <c r="B1" s="25" t="s">
        <v>613</v>
      </c>
      <c r="C1" s="25" t="s">
        <v>614</v>
      </c>
      <c r="D1" s="24" t="s">
        <v>615</v>
      </c>
    </row>
    <row r="2" spans="1:4" x14ac:dyDescent="0.2">
      <c r="A2" s="26">
        <v>1996</v>
      </c>
      <c r="B2" s="27">
        <v>1082876.24</v>
      </c>
      <c r="C2" s="27">
        <v>54589.22</v>
      </c>
      <c r="D2">
        <f>100*C2/B2</f>
        <v>5.0411319395095422</v>
      </c>
    </row>
    <row r="3" spans="1:4" x14ac:dyDescent="0.2">
      <c r="A3" s="26">
        <v>1997</v>
      </c>
      <c r="B3" s="27">
        <v>1075727.6200000001</v>
      </c>
      <c r="C3" s="27">
        <v>64475.54</v>
      </c>
      <c r="D3">
        <f t="shared" ref="D3:D29" si="0">100*C3/B3</f>
        <v>5.9936678022639223</v>
      </c>
    </row>
    <row r="4" spans="1:4" x14ac:dyDescent="0.2">
      <c r="A4" s="26">
        <v>1998</v>
      </c>
      <c r="B4" s="27">
        <v>1078404.8400000001</v>
      </c>
      <c r="C4" s="27">
        <v>71552.160000000003</v>
      </c>
      <c r="D4">
        <f t="shared" si="0"/>
        <v>6.6349998948446851</v>
      </c>
    </row>
    <row r="5" spans="1:4" x14ac:dyDescent="0.2">
      <c r="A5" s="26">
        <v>1999</v>
      </c>
      <c r="B5" s="27">
        <v>1071898.71</v>
      </c>
      <c r="C5" s="27">
        <v>79281.97</v>
      </c>
      <c r="D5">
        <f t="shared" si="0"/>
        <v>7.3964050203960037</v>
      </c>
    </row>
    <row r="6" spans="1:4" x14ac:dyDescent="0.2">
      <c r="A6" s="26">
        <v>2000</v>
      </c>
      <c r="B6" s="27">
        <v>1072491.67</v>
      </c>
      <c r="C6" s="27">
        <v>82748.160000000003</v>
      </c>
      <c r="D6">
        <f t="shared" si="0"/>
        <v>7.7155060794085237</v>
      </c>
    </row>
    <row r="7" spans="1:4" x14ac:dyDescent="0.2">
      <c r="A7" s="26">
        <v>2001</v>
      </c>
      <c r="B7" s="27">
        <v>1071130.42</v>
      </c>
      <c r="C7" s="27">
        <v>93964.59</v>
      </c>
      <c r="D7">
        <f t="shared" si="0"/>
        <v>8.7724695560415515</v>
      </c>
    </row>
    <row r="8" spans="1:4" x14ac:dyDescent="0.2">
      <c r="A8" s="26">
        <v>2002</v>
      </c>
      <c r="B8" s="27">
        <v>1069770.0900000001</v>
      </c>
      <c r="C8" s="27">
        <v>102642.11</v>
      </c>
      <c r="D8">
        <f t="shared" si="0"/>
        <v>9.5947821835250586</v>
      </c>
    </row>
    <row r="9" spans="1:4" x14ac:dyDescent="0.2">
      <c r="A9" s="26">
        <v>2003</v>
      </c>
      <c r="B9" s="27">
        <v>1067054.75</v>
      </c>
      <c r="C9" s="27">
        <v>109090.14</v>
      </c>
      <c r="D9">
        <f t="shared" si="0"/>
        <v>10.22348103506404</v>
      </c>
    </row>
    <row r="10" spans="1:4" x14ac:dyDescent="0.2">
      <c r="A10" s="26">
        <v>2004</v>
      </c>
      <c r="B10" s="27">
        <v>1064573.98</v>
      </c>
      <c r="C10" s="27">
        <v>114560.73</v>
      </c>
      <c r="D10">
        <f t="shared" si="0"/>
        <v>10.761180730718216</v>
      </c>
    </row>
    <row r="11" spans="1:4" x14ac:dyDescent="0.2">
      <c r="A11" s="26">
        <v>2005</v>
      </c>
      <c r="B11" s="27">
        <v>1065118.3799999999</v>
      </c>
      <c r="C11" s="27">
        <v>117116.57</v>
      </c>
      <c r="D11">
        <f t="shared" si="0"/>
        <v>10.995638813405888</v>
      </c>
    </row>
    <row r="12" spans="1:4" x14ac:dyDescent="0.2">
      <c r="A12" s="26">
        <v>2006</v>
      </c>
      <c r="B12" s="27">
        <v>1065198.95</v>
      </c>
      <c r="C12" s="27">
        <v>117816.13</v>
      </c>
      <c r="D12">
        <f t="shared" si="0"/>
        <v>11.060481236861904</v>
      </c>
    </row>
    <row r="13" spans="1:4" x14ac:dyDescent="0.2">
      <c r="A13" s="26">
        <v>2007</v>
      </c>
      <c r="B13" s="27">
        <v>1060243.3700000001</v>
      </c>
      <c r="C13" s="27">
        <v>116640.53</v>
      </c>
      <c r="D13">
        <f t="shared" si="0"/>
        <v>11.001297749213936</v>
      </c>
    </row>
    <row r="14" spans="1:4" x14ac:dyDescent="0.2">
      <c r="A14" s="26">
        <v>2008</v>
      </c>
      <c r="B14" s="27">
        <v>1058098.8500000001</v>
      </c>
      <c r="C14" s="27">
        <v>114133.68</v>
      </c>
      <c r="D14">
        <f t="shared" si="0"/>
        <v>10.786674609843871</v>
      </c>
    </row>
    <row r="15" spans="1:4" x14ac:dyDescent="0.2">
      <c r="A15" s="26">
        <v>2009</v>
      </c>
      <c r="B15" s="27">
        <v>1055649.06</v>
      </c>
      <c r="C15" s="27">
        <v>112081.86</v>
      </c>
      <c r="D15">
        <f t="shared" si="0"/>
        <v>10.617340956093875</v>
      </c>
    </row>
    <row r="16" spans="1:4" x14ac:dyDescent="0.2">
      <c r="A16" s="26">
        <v>2010</v>
      </c>
      <c r="B16" s="27">
        <v>1051747.43</v>
      </c>
      <c r="C16" s="27">
        <v>111514.49</v>
      </c>
      <c r="D16">
        <f t="shared" si="0"/>
        <v>10.602782266841384</v>
      </c>
    </row>
    <row r="17" spans="1:4" x14ac:dyDescent="0.2">
      <c r="A17" s="26">
        <v>2011</v>
      </c>
      <c r="B17" s="27">
        <v>1051865.6499999999</v>
      </c>
      <c r="C17" s="27">
        <v>116188.77</v>
      </c>
      <c r="D17">
        <f t="shared" si="0"/>
        <v>11.045970557171442</v>
      </c>
    </row>
    <row r="18" spans="1:4" x14ac:dyDescent="0.2">
      <c r="A18" s="26">
        <v>2012</v>
      </c>
      <c r="B18" s="27">
        <v>1051036.75</v>
      </c>
      <c r="C18" s="27">
        <v>121788.15</v>
      </c>
      <c r="D18">
        <f t="shared" si="0"/>
        <v>11.587430220684482</v>
      </c>
    </row>
    <row r="19" spans="1:4" x14ac:dyDescent="0.2">
      <c r="A19" s="26">
        <v>2013</v>
      </c>
      <c r="B19" s="27">
        <v>1049923.5</v>
      </c>
      <c r="C19" s="27">
        <v>128139.94</v>
      </c>
      <c r="D19">
        <f t="shared" si="0"/>
        <v>12.204693008585863</v>
      </c>
    </row>
    <row r="20" spans="1:4" x14ac:dyDescent="0.2">
      <c r="A20" s="26">
        <v>2014</v>
      </c>
      <c r="B20" s="27">
        <v>1051265</v>
      </c>
      <c r="C20" s="27">
        <v>133972.9</v>
      </c>
      <c r="D20">
        <f t="shared" si="0"/>
        <v>12.743970359519246</v>
      </c>
    </row>
    <row r="21" spans="1:4" x14ac:dyDescent="0.2">
      <c r="A21" s="26">
        <v>2015</v>
      </c>
      <c r="B21" s="27">
        <v>1049724.82</v>
      </c>
      <c r="C21" s="27">
        <v>135638.5</v>
      </c>
      <c r="D21">
        <f t="shared" si="0"/>
        <v>12.921338756189455</v>
      </c>
    </row>
    <row r="22" spans="1:4" x14ac:dyDescent="0.2">
      <c r="A22" s="26">
        <v>2016</v>
      </c>
      <c r="B22" s="27">
        <v>1049071.95</v>
      </c>
      <c r="C22" s="27">
        <v>140630.99</v>
      </c>
      <c r="D22">
        <f t="shared" si="0"/>
        <v>13.405275967963876</v>
      </c>
    </row>
    <row r="23" spans="1:4" x14ac:dyDescent="0.2">
      <c r="A23" s="26">
        <v>2017</v>
      </c>
      <c r="B23" s="27">
        <v>1046108.74</v>
      </c>
      <c r="C23" s="27">
        <v>150427.98000000001</v>
      </c>
      <c r="D23">
        <f t="shared" si="0"/>
        <v>14.379765147550533</v>
      </c>
    </row>
    <row r="24" spans="1:4" x14ac:dyDescent="0.2">
      <c r="A24" s="26">
        <v>2018</v>
      </c>
      <c r="B24" s="27">
        <v>1044976.05</v>
      </c>
      <c r="C24" s="27">
        <v>161020.29999999999</v>
      </c>
      <c r="D24">
        <f t="shared" si="0"/>
        <v>15.408994301831125</v>
      </c>
    </row>
    <row r="25" spans="1:4" x14ac:dyDescent="0.2">
      <c r="A25" s="26">
        <v>2019</v>
      </c>
      <c r="B25" s="27">
        <v>1043729.06</v>
      </c>
      <c r="C25" s="27">
        <v>170006.67</v>
      </c>
      <c r="D25">
        <f t="shared" si="0"/>
        <v>16.288390973803104</v>
      </c>
    </row>
    <row r="26" spans="1:4" x14ac:dyDescent="0.2">
      <c r="A26" s="26">
        <v>2020</v>
      </c>
      <c r="B26" s="27">
        <v>1044033.71</v>
      </c>
      <c r="C26" s="27">
        <v>177346.7</v>
      </c>
      <c r="D26">
        <f t="shared" si="0"/>
        <v>16.986683313127887</v>
      </c>
    </row>
    <row r="27" spans="1:4" x14ac:dyDescent="0.2">
      <c r="A27" s="26">
        <v>2021</v>
      </c>
      <c r="B27" s="27">
        <v>1042053</v>
      </c>
      <c r="C27" s="27">
        <v>181444.35</v>
      </c>
      <c r="D27">
        <f t="shared" si="0"/>
        <v>17.412199763351769</v>
      </c>
    </row>
    <row r="28" spans="1:4" x14ac:dyDescent="0.2">
      <c r="A28" s="26">
        <v>2022</v>
      </c>
      <c r="B28" s="27">
        <v>1042013.79</v>
      </c>
      <c r="C28" s="27">
        <v>186334.91</v>
      </c>
      <c r="D28">
        <f t="shared" si="0"/>
        <v>17.88219232684051</v>
      </c>
    </row>
    <row r="29" spans="1:4" x14ac:dyDescent="0.2">
      <c r="A29" s="26">
        <v>2050</v>
      </c>
      <c r="B29" s="3">
        <f>9.961695*10^5</f>
        <v>996169.50000000012</v>
      </c>
      <c r="C29" s="3">
        <v>294098.163107</v>
      </c>
      <c r="D29">
        <f t="shared" si="0"/>
        <v>29.522903793681692</v>
      </c>
    </row>
    <row r="30" spans="1:4" x14ac:dyDescent="0.2">
      <c r="A30" s="26"/>
      <c r="B30" s="27"/>
      <c r="C30" s="3"/>
    </row>
    <row r="31" spans="1:4" x14ac:dyDescent="0.2">
      <c r="A31" s="26"/>
      <c r="B31" s="27"/>
      <c r="C31" s="3"/>
    </row>
  </sheetData>
  <sortState xmlns:xlrd2="http://schemas.microsoft.com/office/spreadsheetml/2017/richdata2" ref="A2:C28">
    <sortCondition ref="A2:A28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2E6D-BDD6-134E-A60E-9A898AEBB44C}">
  <dimension ref="A1:P14"/>
  <sheetViews>
    <sheetView zoomScale="131" workbookViewId="0">
      <selection activeCell="F23" sqref="F23"/>
    </sheetView>
  </sheetViews>
  <sheetFormatPr baseColWidth="10" defaultColWidth="11" defaultRowHeight="16" x14ac:dyDescent="0.2"/>
  <cols>
    <col min="1" max="1" width="13.33203125" style="1" customWidth="1"/>
  </cols>
  <sheetData>
    <row r="1" spans="1:16" s="1" customFormat="1" ht="51" x14ac:dyDescent="0.2">
      <c r="A1" s="9"/>
      <c r="B1" s="9" t="s">
        <v>247</v>
      </c>
      <c r="C1" s="9" t="s">
        <v>616</v>
      </c>
      <c r="D1" s="9" t="s">
        <v>617</v>
      </c>
      <c r="E1" s="9" t="s">
        <v>618</v>
      </c>
      <c r="F1" s="9" t="s">
        <v>619</v>
      </c>
      <c r="G1" s="9" t="s">
        <v>620</v>
      </c>
      <c r="H1" s="9" t="s">
        <v>621</v>
      </c>
      <c r="I1" s="9" t="s">
        <v>622</v>
      </c>
      <c r="J1" s="9" t="s">
        <v>623</v>
      </c>
      <c r="K1" s="9" t="s">
        <v>624</v>
      </c>
      <c r="L1" s="9" t="s">
        <v>625</v>
      </c>
      <c r="M1" s="9" t="s">
        <v>626</v>
      </c>
      <c r="N1" s="9" t="s">
        <v>627</v>
      </c>
      <c r="O1" s="8" t="s">
        <v>628</v>
      </c>
      <c r="P1" s="8" t="s">
        <v>629</v>
      </c>
    </row>
    <row r="2" spans="1:16" x14ac:dyDescent="0.2">
      <c r="A2" s="9"/>
      <c r="B2" t="s">
        <v>630</v>
      </c>
      <c r="C2" t="s">
        <v>631</v>
      </c>
      <c r="D2" t="s">
        <v>632</v>
      </c>
      <c r="E2" t="s">
        <v>633</v>
      </c>
      <c r="F2" t="s">
        <v>634</v>
      </c>
      <c r="G2" t="s">
        <v>635</v>
      </c>
      <c r="H2" t="s">
        <v>634</v>
      </c>
      <c r="I2" t="s">
        <v>636</v>
      </c>
      <c r="J2" t="s">
        <v>637</v>
      </c>
    </row>
    <row r="3" spans="1:16" x14ac:dyDescent="0.2">
      <c r="A3" s="9"/>
      <c r="B3" t="s">
        <v>638</v>
      </c>
      <c r="C3" t="s">
        <v>631</v>
      </c>
      <c r="D3" t="s">
        <v>639</v>
      </c>
      <c r="E3" t="s">
        <v>640</v>
      </c>
      <c r="F3" t="s">
        <v>634</v>
      </c>
      <c r="G3" t="s">
        <v>635</v>
      </c>
      <c r="H3" t="s">
        <v>634</v>
      </c>
      <c r="I3" t="s">
        <v>641</v>
      </c>
      <c r="J3" t="s">
        <v>642</v>
      </c>
    </row>
    <row r="4" spans="1:16" x14ac:dyDescent="0.2">
      <c r="A4" s="9"/>
      <c r="B4" t="s">
        <v>643</v>
      </c>
      <c r="C4" t="s">
        <v>631</v>
      </c>
      <c r="D4" t="s">
        <v>644</v>
      </c>
      <c r="E4" t="s">
        <v>645</v>
      </c>
      <c r="F4" t="s">
        <v>634</v>
      </c>
      <c r="G4" t="s">
        <v>635</v>
      </c>
      <c r="H4" t="s">
        <v>634</v>
      </c>
      <c r="I4" t="s">
        <v>646</v>
      </c>
      <c r="J4" t="s">
        <v>647</v>
      </c>
    </row>
    <row r="5" spans="1:16" x14ac:dyDescent="0.2">
      <c r="A5" s="9"/>
      <c r="B5" t="s">
        <v>648</v>
      </c>
      <c r="C5" t="s">
        <v>631</v>
      </c>
      <c r="D5" t="s">
        <v>649</v>
      </c>
      <c r="E5" t="s">
        <v>650</v>
      </c>
      <c r="F5" t="s">
        <v>634</v>
      </c>
      <c r="G5" t="s">
        <v>635</v>
      </c>
      <c r="H5" t="s">
        <v>634</v>
      </c>
      <c r="I5" t="s">
        <v>651</v>
      </c>
      <c r="J5" t="s">
        <v>652</v>
      </c>
    </row>
    <row r="6" spans="1:16" x14ac:dyDescent="0.2">
      <c r="A6" s="9"/>
      <c r="B6" t="s">
        <v>653</v>
      </c>
      <c r="C6" t="s">
        <v>654</v>
      </c>
      <c r="D6" t="s">
        <v>655</v>
      </c>
      <c r="E6" t="s">
        <v>656</v>
      </c>
      <c r="F6" t="s">
        <v>657</v>
      </c>
      <c r="G6" t="s">
        <v>635</v>
      </c>
      <c r="H6" t="s">
        <v>654</v>
      </c>
      <c r="I6" t="s">
        <v>642</v>
      </c>
      <c r="J6" t="s">
        <v>658</v>
      </c>
      <c r="K6" t="s">
        <v>659</v>
      </c>
      <c r="L6" t="s">
        <v>635</v>
      </c>
      <c r="M6" t="s">
        <v>660</v>
      </c>
      <c r="N6" t="s">
        <v>661</v>
      </c>
    </row>
    <row r="7" spans="1:16" x14ac:dyDescent="0.2">
      <c r="A7" s="9"/>
      <c r="B7" t="s">
        <v>662</v>
      </c>
      <c r="C7" t="s">
        <v>654</v>
      </c>
      <c r="D7" t="s">
        <v>651</v>
      </c>
      <c r="E7" t="s">
        <v>663</v>
      </c>
      <c r="F7" t="s">
        <v>657</v>
      </c>
      <c r="G7" t="s">
        <v>635</v>
      </c>
      <c r="H7" t="s">
        <v>654</v>
      </c>
      <c r="I7" t="s">
        <v>642</v>
      </c>
      <c r="J7" t="s">
        <v>664</v>
      </c>
      <c r="K7" t="s">
        <v>665</v>
      </c>
      <c r="L7" t="s">
        <v>635</v>
      </c>
      <c r="M7" t="s">
        <v>660</v>
      </c>
      <c r="N7" t="s">
        <v>661</v>
      </c>
    </row>
    <row r="8" spans="1:16" x14ac:dyDescent="0.2">
      <c r="A8" s="9"/>
      <c r="B8" t="s">
        <v>666</v>
      </c>
      <c r="C8" t="s">
        <v>654</v>
      </c>
      <c r="D8" t="s">
        <v>667</v>
      </c>
      <c r="E8" t="s">
        <v>668</v>
      </c>
      <c r="F8" t="s">
        <v>657</v>
      </c>
      <c r="G8" t="s">
        <v>635</v>
      </c>
      <c r="H8" t="s">
        <v>669</v>
      </c>
      <c r="I8" t="s">
        <v>670</v>
      </c>
      <c r="J8" t="s">
        <v>658</v>
      </c>
      <c r="K8" t="s">
        <v>671</v>
      </c>
      <c r="L8" t="s">
        <v>635</v>
      </c>
      <c r="M8" t="s">
        <v>660</v>
      </c>
      <c r="N8" t="s">
        <v>661</v>
      </c>
    </row>
    <row r="9" spans="1:16" x14ac:dyDescent="0.2">
      <c r="A9" s="9"/>
      <c r="B9" t="s">
        <v>672</v>
      </c>
      <c r="C9" t="s">
        <v>654</v>
      </c>
      <c r="D9" t="s">
        <v>655</v>
      </c>
      <c r="E9" t="s">
        <v>673</v>
      </c>
      <c r="F9" t="s">
        <v>657</v>
      </c>
      <c r="G9" t="s">
        <v>635</v>
      </c>
      <c r="H9" t="s">
        <v>654</v>
      </c>
      <c r="I9" t="s">
        <v>670</v>
      </c>
      <c r="J9" t="s">
        <v>664</v>
      </c>
      <c r="K9" t="s">
        <v>674</v>
      </c>
      <c r="L9" t="s">
        <v>635</v>
      </c>
      <c r="M9" t="s">
        <v>660</v>
      </c>
      <c r="N9" t="s">
        <v>661</v>
      </c>
    </row>
    <row r="10" spans="1:16" x14ac:dyDescent="0.2">
      <c r="A10" s="9"/>
      <c r="B10" t="s">
        <v>675</v>
      </c>
      <c r="C10" t="s">
        <v>654</v>
      </c>
      <c r="D10" t="s">
        <v>651</v>
      </c>
      <c r="E10" t="s">
        <v>633</v>
      </c>
      <c r="F10" t="s">
        <v>657</v>
      </c>
      <c r="G10" t="s">
        <v>635</v>
      </c>
      <c r="H10" t="s">
        <v>654</v>
      </c>
      <c r="I10" t="s">
        <v>670</v>
      </c>
      <c r="J10" t="s">
        <v>664</v>
      </c>
      <c r="K10" t="s">
        <v>649</v>
      </c>
      <c r="L10" t="s">
        <v>635</v>
      </c>
      <c r="M10" t="s">
        <v>631</v>
      </c>
      <c r="N10" t="s">
        <v>676</v>
      </c>
      <c r="O10" t="s">
        <v>635</v>
      </c>
      <c r="P10" t="s">
        <v>635</v>
      </c>
    </row>
    <row r="11" spans="1:16" x14ac:dyDescent="0.2">
      <c r="A11" s="9"/>
      <c r="B11" t="s">
        <v>677</v>
      </c>
      <c r="C11" t="s">
        <v>654</v>
      </c>
      <c r="D11" t="s">
        <v>678</v>
      </c>
      <c r="E11" t="s">
        <v>663</v>
      </c>
      <c r="F11" t="s">
        <v>657</v>
      </c>
      <c r="G11" t="s">
        <v>635</v>
      </c>
      <c r="H11" t="s">
        <v>669</v>
      </c>
      <c r="I11" t="s">
        <v>642</v>
      </c>
      <c r="J11" t="s">
        <v>679</v>
      </c>
      <c r="K11" t="s">
        <v>680</v>
      </c>
      <c r="L11" t="s">
        <v>635</v>
      </c>
      <c r="M11" t="s">
        <v>631</v>
      </c>
      <c r="N11" t="s">
        <v>676</v>
      </c>
      <c r="O11" t="s">
        <v>635</v>
      </c>
      <c r="P11" t="s">
        <v>635</v>
      </c>
    </row>
    <row r="12" spans="1:16" x14ac:dyDescent="0.2">
      <c r="A12" s="9"/>
      <c r="B12" t="s">
        <v>681</v>
      </c>
      <c r="C12" t="s">
        <v>682</v>
      </c>
      <c r="D12" t="s">
        <v>655</v>
      </c>
      <c r="E12" t="s">
        <v>673</v>
      </c>
      <c r="F12" t="s">
        <v>657</v>
      </c>
      <c r="G12" t="s">
        <v>635</v>
      </c>
      <c r="H12" t="s">
        <v>654</v>
      </c>
      <c r="I12" t="s">
        <v>636</v>
      </c>
      <c r="J12" t="s">
        <v>679</v>
      </c>
      <c r="K12" t="s">
        <v>683</v>
      </c>
      <c r="L12" t="s">
        <v>635</v>
      </c>
      <c r="M12" t="s">
        <v>660</v>
      </c>
      <c r="N12" t="s">
        <v>676</v>
      </c>
    </row>
    <row r="13" spans="1:16" ht="34" x14ac:dyDescent="0.2">
      <c r="A13" s="9" t="s">
        <v>305</v>
      </c>
      <c r="B13" s="10">
        <v>2050</v>
      </c>
      <c r="C13" t="s">
        <v>684</v>
      </c>
      <c r="D13" t="s">
        <v>685</v>
      </c>
      <c r="E13" t="s">
        <v>686</v>
      </c>
      <c r="F13" t="s">
        <v>687</v>
      </c>
      <c r="G13" t="s">
        <v>635</v>
      </c>
      <c r="H13" t="s">
        <v>688</v>
      </c>
      <c r="I13" t="s">
        <v>689</v>
      </c>
      <c r="J13" t="s">
        <v>690</v>
      </c>
      <c r="K13" t="s">
        <v>691</v>
      </c>
      <c r="L13" t="s">
        <v>635</v>
      </c>
      <c r="M13" t="s">
        <v>692</v>
      </c>
      <c r="N13" t="s">
        <v>693</v>
      </c>
      <c r="O13" t="s">
        <v>635</v>
      </c>
      <c r="P13" t="s">
        <v>635</v>
      </c>
    </row>
    <row r="14" spans="1:16" ht="17" x14ac:dyDescent="0.2">
      <c r="A14" s="9" t="s">
        <v>694</v>
      </c>
      <c r="B14" s="10">
        <v>2050</v>
      </c>
      <c r="C14" t="str">
        <f>C13</f>
        <v>18.954545</v>
      </c>
      <c r="D14">
        <v>0</v>
      </c>
      <c r="E14" t="str">
        <f>E13</f>
        <v>13.5</v>
      </c>
      <c r="F14" t="str">
        <f t="shared" ref="F14:P14" si="0">F13</f>
        <v>5.090909</v>
      </c>
      <c r="G14" t="str">
        <f t="shared" si="0"/>
        <v>0.0</v>
      </c>
      <c r="H14" t="str">
        <f t="shared" si="0"/>
        <v>23.681818</v>
      </c>
      <c r="I14" t="str">
        <f t="shared" si="0"/>
        <v>14.545455</v>
      </c>
      <c r="J14" t="str">
        <f t="shared" si="0"/>
        <v>83.090909</v>
      </c>
      <c r="K14" t="str">
        <f t="shared" si="0"/>
        <v>82.964286</v>
      </c>
      <c r="L14" t="str">
        <f t="shared" si="0"/>
        <v>0.0</v>
      </c>
      <c r="M14">
        <v>0</v>
      </c>
      <c r="N14" t="str">
        <f t="shared" si="0"/>
        <v>8.5</v>
      </c>
      <c r="O14" t="str">
        <f t="shared" si="0"/>
        <v>0.0</v>
      </c>
      <c r="P14" t="str">
        <f t="shared" si="0"/>
        <v>0.0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784D8-9C93-3043-A9E6-8EFB1F264A6B}">
  <dimension ref="A1:Z34"/>
  <sheetViews>
    <sheetView topLeftCell="B1" zoomScale="125" workbookViewId="0">
      <pane ySplit="1" topLeftCell="A2" activePane="bottomLeft" state="frozen"/>
      <selection activeCell="C1" sqref="C1"/>
      <selection pane="bottomLeft" activeCell="V3" sqref="V3"/>
    </sheetView>
  </sheetViews>
  <sheetFormatPr baseColWidth="10" defaultColWidth="11" defaultRowHeight="16" x14ac:dyDescent="0.2"/>
  <cols>
    <col min="1" max="1" width="22.1640625" customWidth="1"/>
    <col min="2" max="2" width="17.6640625" style="3" customWidth="1"/>
    <col min="3" max="3" width="17" style="3" customWidth="1"/>
    <col min="4" max="4" width="7.5" customWidth="1"/>
    <col min="5" max="5" width="13.83203125" customWidth="1"/>
    <col min="6" max="6" width="15.83203125" customWidth="1"/>
    <col min="7" max="7" width="13.83203125" customWidth="1"/>
    <col min="8" max="8" width="10.6640625" customWidth="1"/>
    <col min="9" max="9" width="10.33203125" customWidth="1"/>
    <col min="10" max="10" width="16.33203125" customWidth="1"/>
    <col min="11" max="16" width="15.6640625" customWidth="1"/>
    <col min="17" max="17" width="12" customWidth="1"/>
    <col min="18" max="20" width="15.6640625" customWidth="1"/>
    <col min="21" max="21" width="18" style="11" customWidth="1"/>
    <col min="22" max="22" width="18" customWidth="1"/>
    <col min="23" max="23" width="18.83203125" customWidth="1"/>
    <col min="24" max="25" width="21.6640625" customWidth="1"/>
    <col min="26" max="26" width="21.33203125" style="11" customWidth="1"/>
  </cols>
  <sheetData>
    <row r="1" spans="1:26" s="1" customFormat="1" ht="119" x14ac:dyDescent="0.2">
      <c r="A1" s="28" t="s">
        <v>32</v>
      </c>
      <c r="B1" s="28" t="s">
        <v>33</v>
      </c>
      <c r="C1" s="28" t="s">
        <v>34</v>
      </c>
      <c r="D1" s="28" t="s">
        <v>35</v>
      </c>
      <c r="E1" s="28" t="s">
        <v>36</v>
      </c>
      <c r="F1" s="28" t="s">
        <v>37</v>
      </c>
      <c r="G1" s="28" t="s">
        <v>38</v>
      </c>
      <c r="H1" s="28" t="s">
        <v>39</v>
      </c>
      <c r="I1" s="28" t="s">
        <v>40</v>
      </c>
      <c r="J1" s="28" t="s">
        <v>41</v>
      </c>
      <c r="K1" s="28" t="s">
        <v>42</v>
      </c>
      <c r="L1" s="28" t="s">
        <v>43</v>
      </c>
      <c r="M1" s="28" t="s">
        <v>44</v>
      </c>
      <c r="N1" s="28" t="s">
        <v>45</v>
      </c>
      <c r="O1" s="28" t="s">
        <v>46</v>
      </c>
      <c r="P1" s="179" t="s">
        <v>47</v>
      </c>
      <c r="Q1" s="28" t="s">
        <v>48</v>
      </c>
      <c r="R1" s="28" t="s">
        <v>49</v>
      </c>
      <c r="S1" s="28" t="s">
        <v>50</v>
      </c>
      <c r="T1" s="37" t="s">
        <v>51</v>
      </c>
      <c r="U1" s="36" t="s">
        <v>52</v>
      </c>
      <c r="V1" s="36" t="s">
        <v>53</v>
      </c>
      <c r="W1" s="2"/>
      <c r="X1" s="2"/>
      <c r="Y1" s="2"/>
      <c r="Z1" s="2"/>
    </row>
    <row r="2" spans="1:26" x14ac:dyDescent="0.2">
      <c r="A2" s="3" t="s">
        <v>54</v>
      </c>
      <c r="B2" s="3" t="s">
        <v>55</v>
      </c>
      <c r="C2" s="3" t="s">
        <v>56</v>
      </c>
      <c r="D2">
        <v>0.9</v>
      </c>
      <c r="E2">
        <f>2.5*15</f>
        <v>37.5</v>
      </c>
      <c r="F2" s="176">
        <v>51.8</v>
      </c>
      <c r="G2">
        <f>F2*365.25</f>
        <v>18919.95</v>
      </c>
      <c r="H2">
        <v>0.24</v>
      </c>
      <c r="I2">
        <f>H2*0.25</f>
        <v>0.06</v>
      </c>
      <c r="J2">
        <f>G2/(1-I2)</f>
        <v>20127.606382978724</v>
      </c>
      <c r="K2">
        <f>J2*10440600/10^9</f>
        <v>210.14428720212766</v>
      </c>
      <c r="L2">
        <f>exports!Q14</f>
        <v>0</v>
      </c>
      <c r="M2">
        <f>K2+L2</f>
        <v>210.14428720212766</v>
      </c>
      <c r="N2" s="11">
        <f>self_sufficiency!C9</f>
        <v>32.677165000000002</v>
      </c>
      <c r="O2" s="11">
        <f>M2*N2/100</f>
        <v>68.669195467113141</v>
      </c>
      <c r="P2" s="180">
        <f>L2+O2*(100/N2 - 1)</f>
        <v>141.4750917350145</v>
      </c>
      <c r="Q2" s="3" t="s">
        <v>57</v>
      </c>
      <c r="R2">
        <v>1.48</v>
      </c>
      <c r="S2">
        <f t="shared" ref="S2:S17" si="0">O2*R2</f>
        <v>101.63040929132745</v>
      </c>
      <c r="T2">
        <f>S2/(1-V2)</f>
        <v>102.84318267189222</v>
      </c>
      <c r="U2" s="11">
        <f>losses!H29</f>
        <v>4.716981132075472E-2</v>
      </c>
      <c r="V2">
        <f>U2*1/4</f>
        <v>1.179245283018868E-2</v>
      </c>
      <c r="Z2"/>
    </row>
    <row r="3" spans="1:26" x14ac:dyDescent="0.2">
      <c r="A3" s="3" t="s">
        <v>54</v>
      </c>
      <c r="B3" s="3" t="s">
        <v>58</v>
      </c>
      <c r="C3" s="3" t="s">
        <v>58</v>
      </c>
      <c r="D3">
        <v>0.9</v>
      </c>
      <c r="E3">
        <v>15</v>
      </c>
      <c r="F3" s="176">
        <v>0</v>
      </c>
      <c r="G3">
        <f t="shared" ref="G3:G15" si="1">F3*365.25</f>
        <v>0</v>
      </c>
      <c r="H3">
        <v>0.24</v>
      </c>
      <c r="I3">
        <f t="shared" ref="I3:I18" si="2">H3*0.25</f>
        <v>0.06</v>
      </c>
      <c r="J3">
        <f t="shared" ref="J3:J18" si="3">G3/(1-I3)</f>
        <v>0</v>
      </c>
      <c r="K3">
        <f t="shared" ref="K3:K16" si="4">J3*10440600/10^9</f>
        <v>0</v>
      </c>
      <c r="L3">
        <f>exports!T14+exports!U14</f>
        <v>0</v>
      </c>
      <c r="M3">
        <f t="shared" ref="M3:M15" si="5">K3+L3</f>
        <v>0</v>
      </c>
      <c r="N3" s="11">
        <f>self_sufficiency!C16</f>
        <v>94.690264999999997</v>
      </c>
      <c r="O3" s="11">
        <f t="shared" ref="O3:O18" si="6">M3*N3/100</f>
        <v>0</v>
      </c>
      <c r="P3" s="180">
        <f t="shared" ref="P3:P18" si="7">L3+O3*(100/N3 - 1)</f>
        <v>0</v>
      </c>
      <c r="Q3" s="3" t="s">
        <v>59</v>
      </c>
      <c r="R3">
        <v>18.149999999999999</v>
      </c>
      <c r="S3">
        <f t="shared" si="0"/>
        <v>0</v>
      </c>
      <c r="T3">
        <f t="shared" ref="T3:T18" si="8">S3/(1-V3)</f>
        <v>0</v>
      </c>
      <c r="U3" s="11">
        <f>losses!O29</f>
        <v>0</v>
      </c>
      <c r="V3">
        <f t="shared" ref="V3:V18" si="9">U3*1/4</f>
        <v>0</v>
      </c>
    </row>
    <row r="4" spans="1:26" x14ac:dyDescent="0.2">
      <c r="A4" s="3" t="s">
        <v>54</v>
      </c>
      <c r="B4" s="3" t="s">
        <v>60</v>
      </c>
      <c r="C4" s="3" t="s">
        <v>61</v>
      </c>
      <c r="D4" s="4"/>
      <c r="E4" s="4"/>
      <c r="F4" s="176">
        <v>50</v>
      </c>
      <c r="G4">
        <f t="shared" si="1"/>
        <v>18262.5</v>
      </c>
      <c r="H4">
        <v>0.24</v>
      </c>
      <c r="I4">
        <f t="shared" si="2"/>
        <v>0.06</v>
      </c>
      <c r="J4">
        <f t="shared" si="3"/>
        <v>19428.191489361703</v>
      </c>
      <c r="K4">
        <f t="shared" si="4"/>
        <v>202.8419760638298</v>
      </c>
      <c r="L4">
        <f>exports!J14</f>
        <v>1</v>
      </c>
      <c r="M4">
        <f t="shared" si="5"/>
        <v>203.8419760638298</v>
      </c>
      <c r="N4" s="11">
        <f>self_sufficiency!C7</f>
        <v>7.3170729999999997</v>
      </c>
      <c r="O4" s="11">
        <f t="shared" si="6"/>
        <v>14.915266193232954</v>
      </c>
      <c r="P4" s="180">
        <f t="shared" si="7"/>
        <v>189.92670987059688</v>
      </c>
      <c r="Q4" s="34"/>
      <c r="R4" s="35">
        <v>1</v>
      </c>
      <c r="S4">
        <f t="shared" si="0"/>
        <v>14.915266193232954</v>
      </c>
      <c r="T4">
        <f t="shared" si="8"/>
        <v>14.915266193232954</v>
      </c>
      <c r="U4" s="11">
        <f>losses!G29</f>
        <v>0</v>
      </c>
      <c r="V4">
        <f t="shared" si="9"/>
        <v>0</v>
      </c>
    </row>
    <row r="5" spans="1:26" x14ac:dyDescent="0.2">
      <c r="A5" s="3" t="s">
        <v>54</v>
      </c>
      <c r="B5" s="3" t="s">
        <v>62</v>
      </c>
      <c r="C5" s="3" t="s">
        <v>57</v>
      </c>
      <c r="D5" s="4"/>
      <c r="E5" s="4"/>
      <c r="F5" s="176">
        <v>0</v>
      </c>
      <c r="G5">
        <f t="shared" si="1"/>
        <v>0</v>
      </c>
      <c r="H5">
        <v>0.24</v>
      </c>
      <c r="I5">
        <f t="shared" si="2"/>
        <v>0.06</v>
      </c>
      <c r="J5">
        <f t="shared" si="3"/>
        <v>0</v>
      </c>
      <c r="K5">
        <f t="shared" si="4"/>
        <v>0</v>
      </c>
      <c r="L5">
        <f>exports!K14</f>
        <v>3.954545</v>
      </c>
      <c r="M5">
        <f t="shared" si="5"/>
        <v>3.954545</v>
      </c>
      <c r="N5" s="11">
        <f>self_sufficiency!C8</f>
        <v>62.264150999999998</v>
      </c>
      <c r="O5" s="11">
        <f t="shared" si="6"/>
        <v>2.4622638701629498</v>
      </c>
      <c r="P5" s="180">
        <f t="shared" si="7"/>
        <v>5.4468261298370502</v>
      </c>
      <c r="Q5" s="34"/>
      <c r="R5" s="35">
        <v>1</v>
      </c>
      <c r="S5">
        <f t="shared" si="0"/>
        <v>2.4622638701629498</v>
      </c>
      <c r="T5">
        <f t="shared" si="8"/>
        <v>2.4916464939119112</v>
      </c>
      <c r="U5" s="11">
        <f>U2</f>
        <v>4.716981132075472E-2</v>
      </c>
      <c r="V5">
        <f t="shared" si="9"/>
        <v>1.179245283018868E-2</v>
      </c>
    </row>
    <row r="6" spans="1:26" ht="51" x14ac:dyDescent="0.2">
      <c r="A6" s="2" t="s">
        <v>63</v>
      </c>
      <c r="B6" s="3" t="s">
        <v>59</v>
      </c>
      <c r="C6" s="3" t="s">
        <v>59</v>
      </c>
      <c r="D6">
        <v>1</v>
      </c>
      <c r="E6">
        <f>3*200</f>
        <v>600</v>
      </c>
      <c r="F6" s="176">
        <v>250</v>
      </c>
      <c r="G6">
        <f t="shared" si="1"/>
        <v>91312.5</v>
      </c>
      <c r="H6">
        <v>0.24</v>
      </c>
      <c r="I6">
        <f t="shared" si="2"/>
        <v>0.06</v>
      </c>
      <c r="J6">
        <f t="shared" si="3"/>
        <v>97140.957446808519</v>
      </c>
      <c r="K6">
        <f t="shared" si="4"/>
        <v>1014.2098803191491</v>
      </c>
      <c r="L6">
        <f>exports!D14</f>
        <v>909.40909099999999</v>
      </c>
      <c r="M6">
        <f t="shared" si="5"/>
        <v>1923.6189713191491</v>
      </c>
      <c r="N6" s="11">
        <f>self_sufficiency!C18</f>
        <v>100.93884799999999</v>
      </c>
      <c r="O6" s="11">
        <f t="shared" si="6"/>
        <v>1941.6788295589993</v>
      </c>
      <c r="P6" s="180">
        <f t="shared" si="7"/>
        <v>891.34923276014968</v>
      </c>
      <c r="Q6" s="34"/>
      <c r="R6" s="35">
        <v>1</v>
      </c>
      <c r="S6">
        <f t="shared" si="0"/>
        <v>1941.6788295589993</v>
      </c>
      <c r="T6">
        <f t="shared" si="8"/>
        <v>1941.6788295589993</v>
      </c>
      <c r="U6" s="11">
        <f>U3</f>
        <v>0</v>
      </c>
      <c r="V6">
        <f t="shared" si="9"/>
        <v>0</v>
      </c>
    </row>
    <row r="7" spans="1:26" ht="51" x14ac:dyDescent="0.2">
      <c r="A7" s="2" t="s">
        <v>63</v>
      </c>
      <c r="B7" s="3" t="s">
        <v>64</v>
      </c>
      <c r="C7" s="2" t="s">
        <v>65</v>
      </c>
      <c r="D7" s="4"/>
      <c r="E7" s="4"/>
      <c r="F7" s="176">
        <v>14</v>
      </c>
      <c r="G7">
        <f t="shared" ref="G7" si="10">F7*365.25</f>
        <v>5113.5</v>
      </c>
      <c r="H7">
        <v>0.19</v>
      </c>
      <c r="I7">
        <f t="shared" ref="I7" si="11">H7*0.25</f>
        <v>4.7500000000000001E-2</v>
      </c>
      <c r="J7">
        <f t="shared" si="3"/>
        <v>5368.5039370078739</v>
      </c>
      <c r="K7">
        <f t="shared" ref="K7" si="12">J7*10440600/10^9</f>
        <v>56.050402204724413</v>
      </c>
      <c r="L7">
        <f>(exports!N13+exports!O13)/2</f>
        <v>7.25</v>
      </c>
      <c r="M7">
        <f t="shared" ref="M7" si="13">K7+L7</f>
        <v>63.300402204724413</v>
      </c>
      <c r="N7" s="11">
        <f>self_sufficiency!C14</f>
        <v>84.521738999999997</v>
      </c>
      <c r="O7" s="11">
        <f t="shared" si="6"/>
        <v>53.502600737427407</v>
      </c>
      <c r="P7" s="180">
        <f t="shared" si="7"/>
        <v>17.047801467296999</v>
      </c>
      <c r="Q7" s="34"/>
      <c r="R7" s="35">
        <v>1</v>
      </c>
      <c r="S7">
        <f t="shared" ref="S7" si="14">O7*R7</f>
        <v>53.502600737427407</v>
      </c>
      <c r="T7">
        <f t="shared" ref="T7" si="15">S7/(1-V7)</f>
        <v>53.502600737427407</v>
      </c>
      <c r="U7" s="11">
        <f>losses!P29</f>
        <v>0</v>
      </c>
      <c r="V7">
        <f t="shared" ref="V7" si="16">U7*1/4</f>
        <v>0</v>
      </c>
    </row>
    <row r="8" spans="1:26" ht="51" x14ac:dyDescent="0.2">
      <c r="A8" s="2" t="s">
        <v>63</v>
      </c>
      <c r="B8" s="3" t="s">
        <v>64</v>
      </c>
      <c r="C8" s="2" t="s">
        <v>66</v>
      </c>
      <c r="D8" s="4"/>
      <c r="E8" s="4"/>
      <c r="F8" s="176">
        <v>29</v>
      </c>
      <c r="G8">
        <f t="shared" si="1"/>
        <v>10592.25</v>
      </c>
      <c r="H8">
        <v>0.19</v>
      </c>
      <c r="I8">
        <f t="shared" si="2"/>
        <v>4.7500000000000001E-2</v>
      </c>
      <c r="J8">
        <f t="shared" si="3"/>
        <v>11120.472440944881</v>
      </c>
      <c r="K8">
        <f t="shared" si="4"/>
        <v>116.10440456692912</v>
      </c>
      <c r="L8">
        <f>L7</f>
        <v>7.25</v>
      </c>
      <c r="M8">
        <f t="shared" si="5"/>
        <v>123.35440456692912</v>
      </c>
      <c r="N8" s="11">
        <f>self_sufficiency!C14</f>
        <v>84.521738999999997</v>
      </c>
      <c r="O8" s="11">
        <f t="shared" si="6"/>
        <v>104.26128787306391</v>
      </c>
      <c r="P8" s="180">
        <f t="shared" si="7"/>
        <v>26.343116693865209</v>
      </c>
      <c r="Q8" s="34"/>
      <c r="R8" s="35">
        <v>1</v>
      </c>
      <c r="S8">
        <f t="shared" si="0"/>
        <v>104.26128787306391</v>
      </c>
      <c r="T8">
        <f t="shared" si="8"/>
        <v>106.76355878201744</v>
      </c>
      <c r="U8" s="11">
        <f>losses!M29</f>
        <v>9.375E-2</v>
      </c>
      <c r="V8">
        <f t="shared" si="9"/>
        <v>2.34375E-2</v>
      </c>
    </row>
    <row r="9" spans="1:26" ht="51" x14ac:dyDescent="0.2">
      <c r="A9" s="2" t="s">
        <v>63</v>
      </c>
      <c r="B9" s="3" t="s">
        <v>67</v>
      </c>
      <c r="C9" s="3" t="s">
        <v>68</v>
      </c>
      <c r="D9" s="4"/>
      <c r="E9" s="4"/>
      <c r="F9" s="176">
        <v>28</v>
      </c>
      <c r="G9">
        <f t="shared" si="1"/>
        <v>10227</v>
      </c>
      <c r="H9">
        <v>0.19</v>
      </c>
      <c r="I9">
        <f t="shared" si="2"/>
        <v>4.7500000000000001E-2</v>
      </c>
      <c r="J9">
        <f t="shared" si="3"/>
        <v>10737.007874015748</v>
      </c>
      <c r="K9">
        <f t="shared" si="4"/>
        <v>112.10080440944883</v>
      </c>
      <c r="L9">
        <f>exports!R14</f>
        <v>0</v>
      </c>
      <c r="M9">
        <f t="shared" si="5"/>
        <v>112.10080440944883</v>
      </c>
      <c r="N9" s="11">
        <f>self_sufficiency!C19</f>
        <v>2.3162340000000001</v>
      </c>
      <c r="O9" s="11">
        <f t="shared" si="6"/>
        <v>2.5965169460051531</v>
      </c>
      <c r="P9" s="180">
        <f t="shared" si="7"/>
        <v>109.50428746344367</v>
      </c>
      <c r="Q9" s="34"/>
      <c r="R9" s="35">
        <v>1</v>
      </c>
      <c r="S9">
        <f t="shared" si="0"/>
        <v>2.5965169460051531</v>
      </c>
      <c r="T9">
        <f t="shared" si="8"/>
        <v>2.6588333527092769</v>
      </c>
      <c r="U9" s="11">
        <f>U8</f>
        <v>9.375E-2</v>
      </c>
      <c r="V9">
        <f t="shared" si="9"/>
        <v>2.34375E-2</v>
      </c>
    </row>
    <row r="10" spans="1:26" ht="51" x14ac:dyDescent="0.2">
      <c r="A10" s="2" t="s">
        <v>63</v>
      </c>
      <c r="B10" s="3" t="s">
        <v>69</v>
      </c>
      <c r="C10" s="3" t="s">
        <v>69</v>
      </c>
      <c r="D10" s="4"/>
      <c r="E10" s="4"/>
      <c r="F10" s="176">
        <v>13</v>
      </c>
      <c r="G10">
        <f t="shared" si="1"/>
        <v>4748.25</v>
      </c>
      <c r="H10">
        <v>0.24</v>
      </c>
      <c r="I10">
        <f t="shared" si="2"/>
        <v>0.06</v>
      </c>
      <c r="J10">
        <f t="shared" si="3"/>
        <v>5051.3297872340427</v>
      </c>
      <c r="K10">
        <f t="shared" si="4"/>
        <v>52.738913776595751</v>
      </c>
      <c r="L10">
        <f>exports!C14</f>
        <v>0</v>
      </c>
      <c r="M10">
        <f t="shared" si="5"/>
        <v>52.738913776595751</v>
      </c>
      <c r="N10" s="11">
        <f>self_sufficiency!C17</f>
        <v>62.886597999999999</v>
      </c>
      <c r="O10" s="11">
        <f t="shared" si="6"/>
        <v>33.165708696254384</v>
      </c>
      <c r="P10" s="180">
        <f t="shared" si="7"/>
        <v>19.573205080341356</v>
      </c>
      <c r="Q10" s="34"/>
      <c r="R10" s="35">
        <v>1</v>
      </c>
      <c r="S10">
        <f t="shared" si="0"/>
        <v>33.165708696254384</v>
      </c>
      <c r="T10">
        <f t="shared" si="8"/>
        <v>33.937004247330066</v>
      </c>
      <c r="U10" s="11">
        <f>losses!C29</f>
        <v>9.0909090909090912E-2</v>
      </c>
      <c r="V10">
        <f t="shared" si="9"/>
        <v>2.2727272727272728E-2</v>
      </c>
    </row>
    <row r="11" spans="1:26" ht="17" x14ac:dyDescent="0.2">
      <c r="A11" s="2" t="s">
        <v>70</v>
      </c>
      <c r="B11" s="3" t="s">
        <v>71</v>
      </c>
      <c r="C11" s="3" t="s">
        <v>71</v>
      </c>
      <c r="D11" s="4"/>
      <c r="E11" s="4"/>
      <c r="F11" s="176">
        <v>300</v>
      </c>
      <c r="G11">
        <f t="shared" si="1"/>
        <v>109575</v>
      </c>
      <c r="H11">
        <v>0.24</v>
      </c>
      <c r="I11">
        <f t="shared" si="2"/>
        <v>0.06</v>
      </c>
      <c r="J11">
        <f t="shared" si="3"/>
        <v>116569.14893617023</v>
      </c>
      <c r="K11">
        <f t="shared" si="4"/>
        <v>1217.0518563829787</v>
      </c>
      <c r="L11">
        <f>exports!L14</f>
        <v>2.5</v>
      </c>
      <c r="M11">
        <f t="shared" si="5"/>
        <v>1219.5518563829787</v>
      </c>
      <c r="N11" s="11">
        <f>self_sufficiency!C10</f>
        <v>51.452784999999999</v>
      </c>
      <c r="O11" s="11">
        <f t="shared" si="6"/>
        <v>627.49339462824287</v>
      </c>
      <c r="P11" s="180">
        <f t="shared" si="7"/>
        <v>594.55846175473607</v>
      </c>
      <c r="Q11" s="34"/>
      <c r="R11" s="35">
        <v>1</v>
      </c>
      <c r="S11">
        <f t="shared" si="0"/>
        <v>627.49339462824287</v>
      </c>
      <c r="T11">
        <f t="shared" si="8"/>
        <v>637.47896742627347</v>
      </c>
      <c r="U11" s="11">
        <f>losses!I29</f>
        <v>6.2656641604010022E-2</v>
      </c>
      <c r="V11">
        <f t="shared" si="9"/>
        <v>1.5664160401002505E-2</v>
      </c>
    </row>
    <row r="12" spans="1:26" ht="17" x14ac:dyDescent="0.2">
      <c r="A12" s="2" t="s">
        <v>70</v>
      </c>
      <c r="B12" s="3" t="s">
        <v>72</v>
      </c>
      <c r="C12" s="3" t="s">
        <v>72</v>
      </c>
      <c r="D12" s="4"/>
      <c r="E12" s="4"/>
      <c r="F12" s="176">
        <v>200</v>
      </c>
      <c r="G12">
        <f t="shared" si="1"/>
        <v>73050</v>
      </c>
      <c r="H12">
        <v>0.24</v>
      </c>
      <c r="I12">
        <f t="shared" si="2"/>
        <v>0.06</v>
      </c>
      <c r="J12">
        <f t="shared" si="3"/>
        <v>77712.765957446813</v>
      </c>
      <c r="K12">
        <f t="shared" si="4"/>
        <v>811.36790425531922</v>
      </c>
      <c r="L12">
        <f>exports!M14</f>
        <v>0</v>
      </c>
      <c r="M12">
        <f t="shared" si="5"/>
        <v>811.36790425531922</v>
      </c>
      <c r="N12" s="11">
        <f>self_sufficiency!C11</f>
        <v>43.564355999999997</v>
      </c>
      <c r="O12" s="11">
        <f t="shared" si="6"/>
        <v>353.46720227952642</v>
      </c>
      <c r="P12" s="180">
        <f t="shared" si="7"/>
        <v>457.90070197579286</v>
      </c>
      <c r="Q12" s="34"/>
      <c r="R12" s="35">
        <v>1</v>
      </c>
      <c r="S12">
        <f t="shared" si="0"/>
        <v>353.46720227952642</v>
      </c>
      <c r="T12">
        <f t="shared" si="8"/>
        <v>361.37528205933955</v>
      </c>
      <c r="U12" s="11">
        <f>losses!J29</f>
        <v>8.7533156498673742E-2</v>
      </c>
      <c r="V12">
        <f t="shared" si="9"/>
        <v>2.1883289124668436E-2</v>
      </c>
    </row>
    <row r="13" spans="1:26" ht="34" x14ac:dyDescent="0.2">
      <c r="A13" s="2" t="s">
        <v>73</v>
      </c>
      <c r="B13" s="3" t="s">
        <v>74</v>
      </c>
      <c r="C13" s="3" t="s">
        <v>74</v>
      </c>
      <c r="D13" s="4"/>
      <c r="E13" s="4"/>
      <c r="F13" s="176">
        <v>232</v>
      </c>
      <c r="G13">
        <f t="shared" si="1"/>
        <v>84738</v>
      </c>
      <c r="H13">
        <v>0.24</v>
      </c>
      <c r="I13">
        <f t="shared" si="2"/>
        <v>0.06</v>
      </c>
      <c r="J13">
        <f t="shared" si="3"/>
        <v>90146.808510638308</v>
      </c>
      <c r="K13">
        <f t="shared" si="4"/>
        <v>941.18676893617032</v>
      </c>
      <c r="L13">
        <f>exports!E14</f>
        <v>147.545455</v>
      </c>
      <c r="M13">
        <f t="shared" si="5"/>
        <v>1088.7322239361704</v>
      </c>
      <c r="N13" s="11">
        <f>self_sufficiency!C2</f>
        <v>45.961438000000001</v>
      </c>
      <c r="O13" s="11">
        <f t="shared" si="6"/>
        <v>500.3969860904441</v>
      </c>
      <c r="P13" s="180">
        <f t="shared" si="7"/>
        <v>735.88069284572612</v>
      </c>
      <c r="Q13" s="34"/>
      <c r="R13" s="35">
        <v>1</v>
      </c>
      <c r="S13">
        <f t="shared" si="0"/>
        <v>500.3969860904441</v>
      </c>
      <c r="T13">
        <f t="shared" si="8"/>
        <v>504.14808793520007</v>
      </c>
      <c r="U13" s="11">
        <f>losses!D29</f>
        <v>2.976190476190476E-2</v>
      </c>
      <c r="V13">
        <f t="shared" si="9"/>
        <v>7.4404761904761901E-3</v>
      </c>
    </row>
    <row r="14" spans="1:26" ht="34" x14ac:dyDescent="0.2">
      <c r="A14" s="2" t="s">
        <v>73</v>
      </c>
      <c r="B14" s="3" t="s">
        <v>75</v>
      </c>
      <c r="C14" s="3" t="s">
        <v>75</v>
      </c>
      <c r="D14" s="4"/>
      <c r="E14" s="4"/>
      <c r="F14" s="176">
        <v>75</v>
      </c>
      <c r="G14">
        <f t="shared" si="1"/>
        <v>27393.75</v>
      </c>
      <c r="H14">
        <v>0.24</v>
      </c>
      <c r="I14">
        <f t="shared" si="2"/>
        <v>0.06</v>
      </c>
      <c r="J14">
        <f t="shared" si="3"/>
        <v>29142.287234042557</v>
      </c>
      <c r="K14">
        <f t="shared" si="4"/>
        <v>304.26296409574468</v>
      </c>
      <c r="L14">
        <f>exports!I14</f>
        <v>0</v>
      </c>
      <c r="M14">
        <f t="shared" si="5"/>
        <v>304.26296409574468</v>
      </c>
      <c r="N14" s="11">
        <f>self_sufficiency!C6</f>
        <v>48.717948999999997</v>
      </c>
      <c r="O14" s="11">
        <f t="shared" si="6"/>
        <v>148.2306756740532</v>
      </c>
      <c r="P14" s="180">
        <f t="shared" si="7"/>
        <v>156.03228842169153</v>
      </c>
      <c r="Q14" s="34"/>
      <c r="R14" s="35">
        <v>1</v>
      </c>
      <c r="S14">
        <f t="shared" si="0"/>
        <v>148.2306756740532</v>
      </c>
      <c r="T14">
        <f t="shared" si="8"/>
        <v>150.44307381844206</v>
      </c>
      <c r="U14" s="11">
        <f>losses!F29</f>
        <v>5.8823529411764705E-2</v>
      </c>
      <c r="V14">
        <f t="shared" si="9"/>
        <v>1.4705882352941176E-2</v>
      </c>
    </row>
    <row r="15" spans="1:26" ht="34" x14ac:dyDescent="0.2">
      <c r="A15" s="2" t="s">
        <v>73</v>
      </c>
      <c r="B15" s="2" t="s">
        <v>76</v>
      </c>
      <c r="C15" s="2" t="s">
        <v>77</v>
      </c>
      <c r="D15" s="4"/>
      <c r="E15" s="4"/>
      <c r="F15" s="176">
        <v>50</v>
      </c>
      <c r="G15">
        <f t="shared" si="1"/>
        <v>18262.5</v>
      </c>
      <c r="H15">
        <v>0.24</v>
      </c>
      <c r="I15">
        <f t="shared" si="2"/>
        <v>0.06</v>
      </c>
      <c r="J15">
        <f t="shared" si="3"/>
        <v>19428.191489361703</v>
      </c>
      <c r="K15">
        <f t="shared" si="4"/>
        <v>202.8419760638298</v>
      </c>
      <c r="L15">
        <f>exports!F14</f>
        <v>36.863636</v>
      </c>
      <c r="M15">
        <f t="shared" si="5"/>
        <v>239.70561206382979</v>
      </c>
      <c r="N15" s="11">
        <f>self_sufficiency!C3</f>
        <v>93.920334999999994</v>
      </c>
      <c r="O15" s="11">
        <f t="shared" si="6"/>
        <v>225.13231386414932</v>
      </c>
      <c r="P15" s="180">
        <f t="shared" si="7"/>
        <v>51.436934199680429</v>
      </c>
      <c r="Q15" s="34"/>
      <c r="R15" s="35">
        <v>1</v>
      </c>
      <c r="S15">
        <f t="shared" si="0"/>
        <v>225.13231386414932</v>
      </c>
      <c r="T15">
        <f t="shared" si="8"/>
        <v>227.6879954456825</v>
      </c>
      <c r="U15" s="11">
        <f>losses!E29</f>
        <v>4.4897959183673466E-2</v>
      </c>
      <c r="V15">
        <f t="shared" si="9"/>
        <v>1.1224489795918367E-2</v>
      </c>
      <c r="Z15"/>
    </row>
    <row r="16" spans="1:26" ht="34" x14ac:dyDescent="0.2">
      <c r="A16" s="2" t="s">
        <v>78</v>
      </c>
      <c r="B16" s="2" t="s">
        <v>79</v>
      </c>
      <c r="C16" s="2" t="s">
        <v>80</v>
      </c>
      <c r="D16" s="4"/>
      <c r="E16" s="4"/>
      <c r="F16" s="176">
        <v>31</v>
      </c>
      <c r="G16">
        <f>F16*365.25</f>
        <v>11322.75</v>
      </c>
      <c r="H16">
        <v>0.24</v>
      </c>
      <c r="I16">
        <f t="shared" si="2"/>
        <v>0.06</v>
      </c>
      <c r="J16">
        <f t="shared" si="3"/>
        <v>12045.478723404256</v>
      </c>
      <c r="K16">
        <f t="shared" si="4"/>
        <v>125.76202515957448</v>
      </c>
      <c r="L16">
        <f>exports!H14</f>
        <v>263.90909099999999</v>
      </c>
      <c r="M16">
        <f>K16+L16</f>
        <v>389.67111615957447</v>
      </c>
      <c r="N16" s="11">
        <f>self_sufficiency!C5</f>
        <v>68.435754000000003</v>
      </c>
      <c r="O16" s="11">
        <f t="shared" si="6"/>
        <v>266.67436646402064</v>
      </c>
      <c r="P16" s="180">
        <f t="shared" si="7"/>
        <v>386.90584069555382</v>
      </c>
      <c r="Q16" s="3" t="s">
        <v>81</v>
      </c>
      <c r="R16">
        <v>4.96</v>
      </c>
      <c r="S16">
        <f t="shared" si="0"/>
        <v>1322.7048576615423</v>
      </c>
      <c r="T16">
        <f t="shared" si="8"/>
        <v>1343.4605686947477</v>
      </c>
      <c r="U16" s="11">
        <f>losses!K29</f>
        <v>6.1797752808988762E-2</v>
      </c>
      <c r="V16">
        <f t="shared" si="9"/>
        <v>1.5449438202247191E-2</v>
      </c>
    </row>
    <row r="17" spans="1:22" ht="17" x14ac:dyDescent="0.2">
      <c r="A17" s="2" t="s">
        <v>82</v>
      </c>
      <c r="B17" s="3" t="s">
        <v>83</v>
      </c>
      <c r="C17" s="3" t="s">
        <v>84</v>
      </c>
      <c r="D17">
        <v>1</v>
      </c>
      <c r="E17">
        <v>50</v>
      </c>
      <c r="F17" s="176">
        <v>0</v>
      </c>
      <c r="G17">
        <f>F17*365.25</f>
        <v>0</v>
      </c>
      <c r="H17">
        <v>0.24</v>
      </c>
      <c r="I17">
        <f t="shared" si="2"/>
        <v>0.06</v>
      </c>
      <c r="J17">
        <f t="shared" si="3"/>
        <v>0</v>
      </c>
      <c r="K17">
        <f>J17*10440600/10^9</f>
        <v>0</v>
      </c>
      <c r="L17">
        <f>exports!S14</f>
        <v>0</v>
      </c>
      <c r="M17">
        <f>K17+L17</f>
        <v>0</v>
      </c>
      <c r="N17">
        <f>self_sufficiency!C13</f>
        <v>55.953757000000003</v>
      </c>
      <c r="O17" s="11">
        <f t="shared" si="6"/>
        <v>0</v>
      </c>
      <c r="P17" s="180">
        <f t="shared" si="7"/>
        <v>0</v>
      </c>
      <c r="Q17" s="3" t="s">
        <v>85</v>
      </c>
      <c r="R17">
        <v>1.27</v>
      </c>
      <c r="S17">
        <f t="shared" si="0"/>
        <v>0</v>
      </c>
      <c r="T17">
        <f t="shared" si="8"/>
        <v>0</v>
      </c>
      <c r="U17" s="11">
        <f>losses!J29</f>
        <v>8.7533156498673742E-2</v>
      </c>
      <c r="V17">
        <f t="shared" si="9"/>
        <v>2.1883289124668436E-2</v>
      </c>
    </row>
    <row r="18" spans="1:22" ht="17" x14ac:dyDescent="0.2">
      <c r="A18" s="2" t="s">
        <v>86</v>
      </c>
      <c r="B18" s="3" t="s">
        <v>86</v>
      </c>
      <c r="C18" s="3" t="s">
        <v>86</v>
      </c>
      <c r="D18" s="4"/>
      <c r="E18">
        <v>0</v>
      </c>
      <c r="F18" s="176">
        <v>0</v>
      </c>
      <c r="G18">
        <f>F18*365.25</f>
        <v>0</v>
      </c>
      <c r="H18">
        <v>0.24</v>
      </c>
      <c r="I18">
        <f t="shared" si="2"/>
        <v>0.06</v>
      </c>
      <c r="J18">
        <f t="shared" si="3"/>
        <v>0</v>
      </c>
      <c r="K18">
        <f>J18*10440600/10^9</f>
        <v>0</v>
      </c>
      <c r="L18">
        <f>exports!P14</f>
        <v>6.1818179999999998</v>
      </c>
      <c r="M18">
        <f>K18+L18</f>
        <v>6.1818179999999998</v>
      </c>
      <c r="N18">
        <f>self_sufficiency!C16</f>
        <v>94.690264999999997</v>
      </c>
      <c r="O18" s="11">
        <f t="shared" si="6"/>
        <v>5.8535798460177002</v>
      </c>
      <c r="P18" s="180">
        <f t="shared" si="7"/>
        <v>6.5100561539822994</v>
      </c>
      <c r="Q18" s="4"/>
      <c r="R18" s="35">
        <v>1</v>
      </c>
      <c r="S18">
        <f>O18*R18</f>
        <v>5.8535798460177002</v>
      </c>
      <c r="T18">
        <f t="shared" si="8"/>
        <v>6.8892306356538011</v>
      </c>
      <c r="U18" s="11">
        <f>losses!J30</f>
        <v>0.60131578947367659</v>
      </c>
      <c r="V18">
        <f t="shared" si="9"/>
        <v>0.15032894736841915</v>
      </c>
    </row>
    <row r="21" spans="1:22" x14ac:dyDescent="0.2">
      <c r="A21" s="9"/>
      <c r="B21" s="178"/>
    </row>
    <row r="22" spans="1:22" x14ac:dyDescent="0.2">
      <c r="A22" s="9"/>
      <c r="B22" s="178"/>
    </row>
    <row r="23" spans="1:22" x14ac:dyDescent="0.2">
      <c r="A23" s="9"/>
      <c r="B23" s="178"/>
    </row>
    <row r="24" spans="1:22" x14ac:dyDescent="0.2">
      <c r="A24" s="9"/>
      <c r="B24" s="178"/>
    </row>
    <row r="25" spans="1:22" x14ac:dyDescent="0.2">
      <c r="A25" s="9"/>
      <c r="B25" s="178"/>
    </row>
    <row r="26" spans="1:22" x14ac:dyDescent="0.2">
      <c r="A26" s="9"/>
    </row>
    <row r="27" spans="1:22" x14ac:dyDescent="0.2">
      <c r="A27" s="9"/>
    </row>
    <row r="28" spans="1:22" x14ac:dyDescent="0.2">
      <c r="A28" s="9"/>
    </row>
    <row r="29" spans="1:22" x14ac:dyDescent="0.2">
      <c r="A29" s="9"/>
      <c r="D29" t="s">
        <v>87</v>
      </c>
    </row>
    <row r="30" spans="1:22" x14ac:dyDescent="0.2">
      <c r="A30" s="9"/>
    </row>
    <row r="31" spans="1:22" x14ac:dyDescent="0.2">
      <c r="A31" s="9"/>
    </row>
    <row r="32" spans="1:22" x14ac:dyDescent="0.2">
      <c r="A32" s="9"/>
    </row>
    <row r="33" spans="1:1" x14ac:dyDescent="0.2">
      <c r="A33" s="8"/>
    </row>
    <row r="34" spans="1:1" x14ac:dyDescent="0.2">
      <c r="A3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E9BB9-D885-694C-A304-C5EB11D1DE55}">
  <dimension ref="A1:Y25"/>
  <sheetViews>
    <sheetView tabSelected="1" topLeftCell="G1" workbookViewId="0">
      <selection activeCell="O3" sqref="O3"/>
    </sheetView>
  </sheetViews>
  <sheetFormatPr baseColWidth="10" defaultColWidth="11" defaultRowHeight="16" x14ac:dyDescent="0.2"/>
  <cols>
    <col min="1" max="1" width="21.83203125" style="1" customWidth="1"/>
    <col min="2" max="2" width="13.83203125" style="1" customWidth="1"/>
    <col min="3" max="3" width="20.6640625" style="1" customWidth="1"/>
    <col min="4" max="4" width="23.33203125" style="1" customWidth="1"/>
    <col min="5" max="5" width="21" style="1" customWidth="1"/>
    <col min="6" max="6" width="23.33203125" style="1" customWidth="1"/>
    <col min="9" max="9" width="14.33203125" customWidth="1"/>
    <col min="10" max="12" width="18.5" style="3" customWidth="1"/>
    <col min="13" max="13" width="24.6640625" style="3" customWidth="1"/>
    <col min="14" max="14" width="14.1640625" style="3" customWidth="1"/>
    <col min="15" max="18" width="12" style="3" customWidth="1"/>
    <col min="19" max="19" width="11.6640625" bestFit="1" customWidth="1"/>
    <col min="20" max="21" width="11.6640625" customWidth="1"/>
    <col min="22" max="22" width="12.1640625" bestFit="1" customWidth="1"/>
    <col min="23" max="23" width="14" customWidth="1"/>
    <col min="24" max="24" width="14.6640625" customWidth="1"/>
  </cols>
  <sheetData>
    <row r="1" spans="1:25" s="1" customFormat="1" ht="84" customHeight="1" thickBot="1" x14ac:dyDescent="0.25">
      <c r="A1" s="28" t="s">
        <v>32</v>
      </c>
      <c r="B1" s="28" t="s">
        <v>33</v>
      </c>
      <c r="C1" s="28" t="s">
        <v>34</v>
      </c>
      <c r="D1" s="38" t="s">
        <v>51</v>
      </c>
      <c r="E1" s="59"/>
      <c r="F1" s="59"/>
      <c r="H1" s="129" t="s">
        <v>88</v>
      </c>
      <c r="I1" s="123" t="s">
        <v>33</v>
      </c>
      <c r="J1" s="124" t="s">
        <v>89</v>
      </c>
      <c r="K1" s="124" t="s">
        <v>90</v>
      </c>
      <c r="L1" s="124" t="s">
        <v>91</v>
      </c>
      <c r="M1" s="125" t="s">
        <v>92</v>
      </c>
      <c r="N1" s="124" t="s">
        <v>93</v>
      </c>
      <c r="O1" s="125" t="s">
        <v>94</v>
      </c>
      <c r="P1" s="125" t="s">
        <v>95</v>
      </c>
      <c r="Q1" s="125" t="s">
        <v>96</v>
      </c>
      <c r="R1" s="124" t="s">
        <v>97</v>
      </c>
      <c r="S1" s="124" t="s">
        <v>98</v>
      </c>
      <c r="T1" s="124" t="s">
        <v>99</v>
      </c>
      <c r="U1" s="124" t="s">
        <v>100</v>
      </c>
      <c r="V1" s="124" t="s">
        <v>101</v>
      </c>
      <c r="W1" s="124" t="s">
        <v>102</v>
      </c>
      <c r="X1" s="124" t="s">
        <v>103</v>
      </c>
      <c r="Y1" s="126" t="s">
        <v>104</v>
      </c>
    </row>
    <row r="2" spans="1:25" ht="34" x14ac:dyDescent="0.2">
      <c r="A2" s="3" t="s">
        <v>54</v>
      </c>
      <c r="B2" s="34" t="s">
        <v>55</v>
      </c>
      <c r="C2" s="3" t="s">
        <v>56</v>
      </c>
      <c r="D2" s="1">
        <f>food_needed_2050!T2</f>
        <v>102.84318267189222</v>
      </c>
      <c r="G2" s="1"/>
      <c r="H2" s="1"/>
      <c r="I2" s="109" t="s">
        <v>105</v>
      </c>
      <c r="J2" s="2" t="s">
        <v>106</v>
      </c>
      <c r="K2" s="86"/>
      <c r="L2" s="86"/>
      <c r="M2" s="2">
        <f>D15</f>
        <v>227.6879954456825</v>
      </c>
      <c r="N2" s="2">
        <f>feed!AC3</f>
        <v>3.0509921191464313</v>
      </c>
      <c r="O2" s="2">
        <f>M2+N2</f>
        <v>230.73898756482893</v>
      </c>
      <c r="P2" s="1">
        <v>812.73</v>
      </c>
      <c r="Q2" s="2">
        <f>P2*organic_area!$D$29/organic_area!$D$24</f>
        <v>1557.1522144951134</v>
      </c>
      <c r="R2" s="2">
        <f>conv_yields_2050!E14</f>
        <v>56.428857230096511</v>
      </c>
      <c r="S2" s="1">
        <f>organic_yields!F12</f>
        <v>31.947455079790402</v>
      </c>
      <c r="T2" s="1">
        <f>Q2*S2/10^3</f>
        <v>49.747050424978788</v>
      </c>
      <c r="U2" s="1">
        <f>O2-T2</f>
        <v>180.99193713985014</v>
      </c>
      <c r="V2" s="1">
        <f>Q2+U2*10^3/R2</f>
        <v>4764.5880199347021</v>
      </c>
      <c r="W2" s="1">
        <f t="shared" ref="W2:W23" si="0">246572/297717</f>
        <v>0.82820933974210409</v>
      </c>
      <c r="X2" s="23">
        <f t="shared" ref="X2:X6" si="1">W2</f>
        <v>0.82820933974210409</v>
      </c>
      <c r="Y2" s="82">
        <f t="shared" ref="Y2:Y6" si="2">V2/X2</f>
        <v>5752.8788813445954</v>
      </c>
    </row>
    <row r="3" spans="1:25" ht="17" x14ac:dyDescent="0.2">
      <c r="A3" s="3" t="s">
        <v>54</v>
      </c>
      <c r="B3" s="3" t="s">
        <v>58</v>
      </c>
      <c r="C3" s="3" t="s">
        <v>58</v>
      </c>
      <c r="D3" s="1">
        <f>food_needed_2050!T3</f>
        <v>0</v>
      </c>
      <c r="G3" s="1"/>
      <c r="H3" s="1"/>
      <c r="I3" s="109" t="s">
        <v>78</v>
      </c>
      <c r="J3" s="2" t="s">
        <v>107</v>
      </c>
      <c r="K3" s="86"/>
      <c r="L3" s="86"/>
      <c r="M3" s="2">
        <f>D16</f>
        <v>1343.4605686947477</v>
      </c>
      <c r="N3" s="2">
        <f>feed!AC4</f>
        <v>0.12256338704349233</v>
      </c>
      <c r="O3" s="2">
        <f t="shared" ref="O3:O23" si="3">M3+N3</f>
        <v>1343.5831320817913</v>
      </c>
      <c r="P3" s="1">
        <v>71.83</v>
      </c>
      <c r="Q3" s="2">
        <f>P3*organic_area!$D$29/organic_area!$D$24</f>
        <v>137.62288037501261</v>
      </c>
      <c r="R3" s="2">
        <f>conv_yields_2050!E19</f>
        <v>107.2018986080349</v>
      </c>
      <c r="S3" s="1">
        <f>organic_yields!F16</f>
        <v>71.395128111536636</v>
      </c>
      <c r="T3" s="1">
        <f t="shared" ref="T3:T22" si="4">Q3*S3/10^3</f>
        <v>9.8256031754527058</v>
      </c>
      <c r="U3" s="1">
        <f t="shared" ref="U3:U23" si="5">O3-T3</f>
        <v>1333.7575289063386</v>
      </c>
      <c r="V3" s="1">
        <f t="shared" ref="V3:V22" si="6">Q3+U3*10^3/R3</f>
        <v>12579.170522949806</v>
      </c>
      <c r="W3" s="1">
        <f t="shared" si="0"/>
        <v>0.82820933974210409</v>
      </c>
      <c r="X3" s="23">
        <f t="shared" si="1"/>
        <v>0.82820933974210409</v>
      </c>
      <c r="Y3" s="82">
        <f t="shared" si="2"/>
        <v>15188.394913376405</v>
      </c>
    </row>
    <row r="4" spans="1:25" ht="17" x14ac:dyDescent="0.2">
      <c r="A4" s="3" t="s">
        <v>54</v>
      </c>
      <c r="B4" s="34" t="s">
        <v>60</v>
      </c>
      <c r="C4" s="3" t="s">
        <v>61</v>
      </c>
      <c r="D4" s="1">
        <f>food_needed_2050!T4</f>
        <v>14.915266193232954</v>
      </c>
      <c r="G4" s="1"/>
      <c r="H4" s="1"/>
      <c r="I4" s="109" t="s">
        <v>60</v>
      </c>
      <c r="J4" s="2" t="s">
        <v>108</v>
      </c>
      <c r="K4" s="86"/>
      <c r="L4" s="86"/>
      <c r="M4" s="2">
        <f>D4</f>
        <v>14.915266193232954</v>
      </c>
      <c r="N4" s="2">
        <f>feed!AC5</f>
        <v>0</v>
      </c>
      <c r="O4" s="2">
        <f t="shared" si="3"/>
        <v>14.915266193232954</v>
      </c>
      <c r="P4" s="86">
        <v>0</v>
      </c>
      <c r="Q4" s="86">
        <f>P4*organic_area!$D$29/organic_area!$D$24</f>
        <v>0</v>
      </c>
      <c r="R4" s="2">
        <f>conv_yields_2050!E10</f>
        <v>1.4705299881235157</v>
      </c>
      <c r="S4" s="1">
        <f>organic_yields!F26</f>
        <v>1.1533468677494199</v>
      </c>
      <c r="T4" s="1">
        <f t="shared" si="4"/>
        <v>0</v>
      </c>
      <c r="U4" s="1">
        <f t="shared" si="5"/>
        <v>14.915266193232954</v>
      </c>
      <c r="V4" s="1">
        <f t="shared" si="6"/>
        <v>10142.782747508418</v>
      </c>
      <c r="W4" s="1">
        <f t="shared" si="0"/>
        <v>0.82820933974210409</v>
      </c>
      <c r="X4" s="23">
        <f t="shared" si="1"/>
        <v>0.82820933974210409</v>
      </c>
      <c r="Y4" s="82">
        <f t="shared" si="2"/>
        <v>12246.641351167056</v>
      </c>
    </row>
    <row r="5" spans="1:25" ht="34" x14ac:dyDescent="0.2">
      <c r="A5" s="3" t="s">
        <v>54</v>
      </c>
      <c r="B5" s="34" t="s">
        <v>62</v>
      </c>
      <c r="C5" s="3" t="s">
        <v>57</v>
      </c>
      <c r="D5" s="1">
        <f>food_needed_2050!T5</f>
        <v>2.4916464939119112</v>
      </c>
      <c r="G5" s="1"/>
      <c r="H5" s="1"/>
      <c r="I5" s="109" t="s">
        <v>75</v>
      </c>
      <c r="J5" s="2" t="s">
        <v>109</v>
      </c>
      <c r="K5" s="2">
        <v>3</v>
      </c>
      <c r="L5" s="2">
        <f>K5/($K$5+$K$6+$K$7)</f>
        <v>0.13043478260869565</v>
      </c>
      <c r="M5" s="2">
        <f>L5*$D$14</f>
        <v>19.623009628492444</v>
      </c>
      <c r="N5" s="2">
        <f>feed!AC6</f>
        <v>0.16329452550699292</v>
      </c>
      <c r="O5" s="2">
        <f t="shared" si="3"/>
        <v>19.786304153999435</v>
      </c>
      <c r="P5" s="86">
        <v>0</v>
      </c>
      <c r="Q5" s="86">
        <f>P5*organic_area!$D$29/organic_area!$D$24</f>
        <v>0</v>
      </c>
      <c r="R5" s="2">
        <f>conv_yields_2050!E15</f>
        <v>3.9461151248843662</v>
      </c>
      <c r="S5" s="1">
        <f>organic_yields!F23</f>
        <v>2.5361104569726405</v>
      </c>
      <c r="T5" s="1">
        <f t="shared" si="4"/>
        <v>0</v>
      </c>
      <c r="U5" s="1">
        <f t="shared" si="5"/>
        <v>19.786304153999435</v>
      </c>
      <c r="V5" s="1">
        <f t="shared" si="6"/>
        <v>5014.1223780386372</v>
      </c>
      <c r="W5" s="1">
        <f t="shared" si="0"/>
        <v>0.82820933974210409</v>
      </c>
      <c r="X5" s="23">
        <f t="shared" si="1"/>
        <v>0.82820933974210409</v>
      </c>
      <c r="Y5" s="82">
        <f t="shared" si="2"/>
        <v>6054.1727042102466</v>
      </c>
    </row>
    <row r="6" spans="1:25" ht="51" x14ac:dyDescent="0.2">
      <c r="A6" s="2" t="s">
        <v>63</v>
      </c>
      <c r="B6" s="3" t="s">
        <v>59</v>
      </c>
      <c r="C6" s="3" t="s">
        <v>59</v>
      </c>
      <c r="D6" s="1">
        <f>food_needed_2050!T6</f>
        <v>1941.6788295589993</v>
      </c>
      <c r="G6" s="1"/>
      <c r="H6" s="1"/>
      <c r="I6" s="109" t="s">
        <v>75</v>
      </c>
      <c r="J6" s="2" t="s">
        <v>110</v>
      </c>
      <c r="K6" s="2">
        <v>16</v>
      </c>
      <c r="L6" s="2">
        <f>K6/($K$5+$K$6+$K$7)</f>
        <v>0.69565217391304346</v>
      </c>
      <c r="M6" s="2">
        <f>L6*$D$14</f>
        <v>104.65605135195969</v>
      </c>
      <c r="N6" s="2">
        <f>feed!AC7</f>
        <v>0.6123544706512235</v>
      </c>
      <c r="O6" s="2">
        <f t="shared" si="3"/>
        <v>105.26840582261092</v>
      </c>
      <c r="P6" s="1">
        <v>534.91</v>
      </c>
      <c r="Q6" s="2">
        <f>P6*organic_area!$D$29/organic_area!$D$24</f>
        <v>1024.8622433718222</v>
      </c>
      <c r="R6" s="2">
        <f>conv_yields_2050!E13</f>
        <v>4.8133749999999997</v>
      </c>
      <c r="S6" s="1">
        <f>organic_yields!F11</f>
        <v>2.7765720626953172</v>
      </c>
      <c r="T6" s="1">
        <f t="shared" si="4"/>
        <v>2.8456038730574504</v>
      </c>
      <c r="U6" s="1">
        <f t="shared" si="5"/>
        <v>102.42280194955346</v>
      </c>
      <c r="V6" s="1">
        <f t="shared" si="6"/>
        <v>22303.653517592815</v>
      </c>
      <c r="W6" s="1">
        <f t="shared" si="0"/>
        <v>0.82820933974210409</v>
      </c>
      <c r="X6" s="23">
        <f t="shared" si="1"/>
        <v>0.82820933974210409</v>
      </c>
      <c r="Y6" s="82">
        <f t="shared" si="2"/>
        <v>26929.971019812387</v>
      </c>
    </row>
    <row r="7" spans="1:25" ht="51" x14ac:dyDescent="0.2">
      <c r="A7" s="2" t="s">
        <v>63</v>
      </c>
      <c r="B7" s="3" t="s">
        <v>64</v>
      </c>
      <c r="C7" s="2" t="s">
        <v>65</v>
      </c>
      <c r="D7" s="1">
        <f>food_needed_2050!T7</f>
        <v>53.502600737427407</v>
      </c>
      <c r="G7" s="1"/>
      <c r="H7" s="1"/>
      <c r="I7" s="109" t="s">
        <v>75</v>
      </c>
      <c r="J7" s="2" t="s">
        <v>111</v>
      </c>
      <c r="K7" s="2">
        <v>4</v>
      </c>
      <c r="L7" s="2">
        <f>K7/($K$5+$K$6+$K$7)</f>
        <v>0.17391304347826086</v>
      </c>
      <c r="M7" s="2">
        <f>D9</f>
        <v>2.6588333527092769</v>
      </c>
      <c r="N7" s="2">
        <f>feed!AC2</f>
        <v>0</v>
      </c>
      <c r="O7" s="2">
        <f t="shared" si="3"/>
        <v>2.6588333527092769</v>
      </c>
      <c r="P7" s="1">
        <v>306.55</v>
      </c>
      <c r="Q7" s="2">
        <f>P7*organic_area!$D$29/organic_area!$D$24</f>
        <v>587.33529136795369</v>
      </c>
      <c r="R7" s="2">
        <f>conv_yields_2050!E18</f>
        <v>3.5762861008325628</v>
      </c>
      <c r="S7" s="1">
        <f>organic_yields!F15</f>
        <v>2.0766240977234869</v>
      </c>
      <c r="T7" s="1">
        <f t="shared" si="4"/>
        <v>1.219674619498138</v>
      </c>
      <c r="U7" s="1">
        <f t="shared" si="5"/>
        <v>1.4391587332111389</v>
      </c>
      <c r="V7" s="1">
        <f t="shared" si="6"/>
        <v>989.75240583653647</v>
      </c>
      <c r="W7" s="1">
        <f>246572/297717</f>
        <v>0.82820933974210409</v>
      </c>
      <c r="X7" s="23">
        <f t="shared" ref="X7:X23" si="7">W7</f>
        <v>0.82820933974210409</v>
      </c>
      <c r="Y7" s="82">
        <f t="shared" ref="Y7:Y22" si="8">V7/X7</f>
        <v>1195.0510074478698</v>
      </c>
    </row>
    <row r="8" spans="1:25" ht="51" x14ac:dyDescent="0.2">
      <c r="A8" s="2" t="s">
        <v>63</v>
      </c>
      <c r="B8" s="3" t="s">
        <v>64</v>
      </c>
      <c r="C8" s="2" t="s">
        <v>66</v>
      </c>
      <c r="D8" s="1">
        <f>food_needed_2050!T8</f>
        <v>106.76355878201744</v>
      </c>
      <c r="G8" s="1"/>
      <c r="H8" s="1"/>
      <c r="I8" s="109" t="s">
        <v>112</v>
      </c>
      <c r="J8" s="2" t="s">
        <v>113</v>
      </c>
      <c r="K8" s="2">
        <v>87</v>
      </c>
      <c r="L8" s="2">
        <f>K8/(K8+K9)</f>
        <v>0.83653846153846156</v>
      </c>
      <c r="M8" s="2">
        <f>L8*(D2+D5)</f>
        <v>88.116635936778465</v>
      </c>
      <c r="N8" s="2">
        <f>feed!AC8</f>
        <v>0.12210982593191039</v>
      </c>
      <c r="O8" s="2">
        <f t="shared" si="3"/>
        <v>88.23874576271038</v>
      </c>
      <c r="P8" s="110">
        <v>325.42</v>
      </c>
      <c r="Q8" s="2">
        <f>P8*organic_area!$D$29/organic_area!$D$24</f>
        <v>623.48931827421143</v>
      </c>
      <c r="R8" s="2">
        <f>conv_yields_2050!E16</f>
        <v>3.4155892366831409</v>
      </c>
      <c r="S8" s="1">
        <f>organic_yields!F13</f>
        <v>2.7923753977763743</v>
      </c>
      <c r="T8" s="1">
        <f t="shared" si="4"/>
        <v>1.7410162331252717</v>
      </c>
      <c r="U8" s="1">
        <f t="shared" si="5"/>
        <v>86.497729529585115</v>
      </c>
      <c r="V8" s="1">
        <f t="shared" si="6"/>
        <v>25947.883891429203</v>
      </c>
      <c r="W8" s="1">
        <f t="shared" si="0"/>
        <v>0.82820933974210409</v>
      </c>
      <c r="X8" s="23">
        <f t="shared" si="7"/>
        <v>0.82820933974210409</v>
      </c>
      <c r="Y8" s="82">
        <f t="shared" si="8"/>
        <v>31330.102965886752</v>
      </c>
    </row>
    <row r="9" spans="1:25" ht="51" x14ac:dyDescent="0.2">
      <c r="A9" s="2" t="s">
        <v>63</v>
      </c>
      <c r="B9" s="3" t="s">
        <v>67</v>
      </c>
      <c r="C9" s="3" t="s">
        <v>68</v>
      </c>
      <c r="D9" s="1">
        <f>food_needed_2050!T9</f>
        <v>2.6588333527092769</v>
      </c>
      <c r="G9" s="1"/>
      <c r="H9" s="1"/>
      <c r="I9" s="109" t="s">
        <v>112</v>
      </c>
      <c r="J9" s="2" t="s">
        <v>114</v>
      </c>
      <c r="K9" s="2">
        <v>17</v>
      </c>
      <c r="L9" s="2">
        <f>K9/(K8+K9)</f>
        <v>0.16346153846153846</v>
      </c>
      <c r="M9" s="2">
        <f>L9*(D2+D5)</f>
        <v>17.218193229025676</v>
      </c>
      <c r="N9" s="2">
        <f>feed!AC9</f>
        <v>0.12210982593191039</v>
      </c>
      <c r="O9" s="2">
        <f t="shared" si="3"/>
        <v>17.340303054957587</v>
      </c>
      <c r="P9" s="1">
        <v>219.12</v>
      </c>
      <c r="Q9" s="2">
        <f>P9*organic_area!$D$29/organic_area!$D$24</f>
        <v>419.82354932163111</v>
      </c>
      <c r="R9" s="2">
        <f>conv_yields_2050!E20</f>
        <v>3.3292093953185953</v>
      </c>
      <c r="S9" s="1">
        <f>organic_yields!F17</f>
        <v>2.3832408924535438</v>
      </c>
      <c r="T9" s="1">
        <f t="shared" si="4"/>
        <v>1.0005406503582983</v>
      </c>
      <c r="U9" s="1">
        <f t="shared" si="5"/>
        <v>16.339762404599288</v>
      </c>
      <c r="V9" s="1">
        <f t="shared" si="6"/>
        <v>5327.8243580348417</v>
      </c>
      <c r="W9" s="1">
        <f t="shared" si="0"/>
        <v>0.82820933974210409</v>
      </c>
      <c r="X9" s="23">
        <f t="shared" si="7"/>
        <v>0.82820933974210409</v>
      </c>
      <c r="Y9" s="82">
        <f t="shared" si="8"/>
        <v>6432.9440666460869</v>
      </c>
    </row>
    <row r="10" spans="1:25" ht="51" x14ac:dyDescent="0.2">
      <c r="A10" s="2" t="s">
        <v>63</v>
      </c>
      <c r="B10" s="3" t="s">
        <v>69</v>
      </c>
      <c r="C10" s="3" t="s">
        <v>69</v>
      </c>
      <c r="D10" s="1">
        <f>food_needed_2050!T10</f>
        <v>33.937004247330066</v>
      </c>
      <c r="G10" s="1"/>
      <c r="H10" s="1"/>
      <c r="I10" s="109" t="s">
        <v>72</v>
      </c>
      <c r="J10" s="2" t="s">
        <v>115</v>
      </c>
      <c r="K10" s="2">
        <v>222</v>
      </c>
      <c r="L10" s="2">
        <f>K10/($K$10+$K$12)</f>
        <v>0.74496644295302017</v>
      </c>
      <c r="M10" s="2">
        <f>L10*$D$12</f>
        <v>269.21245844689054</v>
      </c>
      <c r="N10" s="2">
        <f>feed!AC10</f>
        <v>0</v>
      </c>
      <c r="O10" s="2">
        <f t="shared" si="3"/>
        <v>269.21245844689054</v>
      </c>
      <c r="P10" s="1">
        <v>448.52</v>
      </c>
      <c r="Q10" s="2">
        <f>P10*organic_area!$D$29/organic_area!$D$24</f>
        <v>859.34309210358697</v>
      </c>
      <c r="R10" s="2">
        <f>conv_yields_2050!E2</f>
        <v>64.023878557564615</v>
      </c>
      <c r="S10" s="1">
        <f>organic_yields!F3</f>
        <v>48.261034456622944</v>
      </c>
      <c r="T10" s="1">
        <f t="shared" si="4"/>
        <v>41.472786578072117</v>
      </c>
      <c r="U10" s="1">
        <f t="shared" si="5"/>
        <v>227.73967186881842</v>
      </c>
      <c r="V10" s="1">
        <f t="shared" si="6"/>
        <v>4416.4483003432761</v>
      </c>
      <c r="W10" s="1">
        <f t="shared" si="0"/>
        <v>0.82820933974210409</v>
      </c>
      <c r="X10" s="23">
        <f t="shared" si="7"/>
        <v>0.82820933974210409</v>
      </c>
      <c r="Y10" s="82">
        <f t="shared" si="8"/>
        <v>5332.5265587061758</v>
      </c>
    </row>
    <row r="11" spans="1:25" ht="17" x14ac:dyDescent="0.2">
      <c r="A11" s="2" t="s">
        <v>70</v>
      </c>
      <c r="B11" s="34" t="s">
        <v>71</v>
      </c>
      <c r="C11" s="3" t="s">
        <v>71</v>
      </c>
      <c r="D11" s="1">
        <f>food_needed_2050!T11</f>
        <v>637.47896742627347</v>
      </c>
      <c r="G11" s="1"/>
      <c r="H11" s="1"/>
      <c r="I11" s="181" t="s">
        <v>72</v>
      </c>
      <c r="J11" s="182" t="s">
        <v>116</v>
      </c>
      <c r="K11" s="182">
        <v>0</v>
      </c>
      <c r="L11" s="182">
        <f t="shared" ref="L11:L12" si="9">K11/($K$10+$K$12)</f>
        <v>0</v>
      </c>
      <c r="M11" s="182">
        <f t="shared" ref="M11" si="10">L11*$D$12</f>
        <v>0</v>
      </c>
      <c r="N11" s="182">
        <f>feed!AC11</f>
        <v>0</v>
      </c>
      <c r="O11" s="2">
        <f t="shared" si="3"/>
        <v>0</v>
      </c>
      <c r="P11" s="183">
        <v>0</v>
      </c>
      <c r="Q11" s="183">
        <f>P11*organic_area!$D$29/organic_area!$D$24</f>
        <v>0</v>
      </c>
      <c r="R11" s="182">
        <f>conv_yields_2050!E5</f>
        <v>32.088052916070147</v>
      </c>
      <c r="S11" s="148">
        <f>organic_yields!F24</f>
        <v>17.038720143296331</v>
      </c>
      <c r="T11" s="148">
        <f t="shared" si="4"/>
        <v>0</v>
      </c>
      <c r="U11" s="148">
        <f t="shared" si="5"/>
        <v>0</v>
      </c>
      <c r="V11" s="148">
        <f t="shared" si="6"/>
        <v>0</v>
      </c>
      <c r="W11" s="148">
        <f t="shared" si="0"/>
        <v>0.82820933974210409</v>
      </c>
      <c r="X11" s="184">
        <f t="shared" si="7"/>
        <v>0.82820933974210409</v>
      </c>
      <c r="Y11" s="154">
        <f t="shared" si="8"/>
        <v>0</v>
      </c>
    </row>
    <row r="12" spans="1:25" ht="34" x14ac:dyDescent="0.2">
      <c r="A12" s="2" t="s">
        <v>70</v>
      </c>
      <c r="B12" s="34" t="s">
        <v>72</v>
      </c>
      <c r="C12" s="3" t="s">
        <v>72</v>
      </c>
      <c r="D12" s="1">
        <f>food_needed_2050!T12</f>
        <v>361.37528205933955</v>
      </c>
      <c r="G12" s="1"/>
      <c r="H12" s="1"/>
      <c r="I12" s="109" t="s">
        <v>72</v>
      </c>
      <c r="J12" s="2" t="s">
        <v>117</v>
      </c>
      <c r="K12" s="2">
        <f>76</f>
        <v>76</v>
      </c>
      <c r="L12" s="2">
        <f t="shared" si="9"/>
        <v>0.25503355704697989</v>
      </c>
      <c r="M12" s="2">
        <f>L12*$D$12</f>
        <v>92.162823612449017</v>
      </c>
      <c r="N12" s="2">
        <f>feed!AC12</f>
        <v>0</v>
      </c>
      <c r="O12" s="2">
        <f t="shared" si="3"/>
        <v>92.162823612449017</v>
      </c>
      <c r="P12" s="86">
        <v>0</v>
      </c>
      <c r="Q12" s="86">
        <f>P12*organic_area!$D$29/organic_area!$D$24</f>
        <v>0</v>
      </c>
      <c r="R12" s="2">
        <f>conv_yields_2050!E6</f>
        <v>27.040952949909762</v>
      </c>
      <c r="S12" s="1">
        <f>organic_yields!F24</f>
        <v>17.038720143296331</v>
      </c>
      <c r="T12" s="1">
        <f t="shared" si="4"/>
        <v>0</v>
      </c>
      <c r="U12" s="1">
        <f t="shared" si="5"/>
        <v>92.162823612449017</v>
      </c>
      <c r="V12" s="1">
        <f t="shared" si="6"/>
        <v>3408.2683322281573</v>
      </c>
      <c r="W12" s="1">
        <f t="shared" si="0"/>
        <v>0.82820933974210409</v>
      </c>
      <c r="X12" s="23">
        <f t="shared" si="7"/>
        <v>0.82820933974210409</v>
      </c>
      <c r="Y12" s="82">
        <f t="shared" si="8"/>
        <v>4115.2256666043604</v>
      </c>
    </row>
    <row r="13" spans="1:25" ht="34" x14ac:dyDescent="0.2">
      <c r="A13" s="2" t="s">
        <v>73</v>
      </c>
      <c r="B13" s="34" t="s">
        <v>74</v>
      </c>
      <c r="C13" s="3" t="s">
        <v>74</v>
      </c>
      <c r="D13" s="1">
        <f>food_needed_2050!T13</f>
        <v>504.14808793520007</v>
      </c>
      <c r="G13" s="1"/>
      <c r="H13" s="1"/>
      <c r="I13" s="109" t="s">
        <v>71</v>
      </c>
      <c r="J13" s="2" t="s">
        <v>118</v>
      </c>
      <c r="K13" s="2">
        <v>38</v>
      </c>
      <c r="L13" s="2">
        <f>K13/($K$13+$K$14+$K$15)</f>
        <v>8.9411764705882357E-2</v>
      </c>
      <c r="M13" s="2">
        <f>L13*$D$11</f>
        <v>56.998119440466809</v>
      </c>
      <c r="N13" s="2">
        <f>feed!AC13</f>
        <v>0</v>
      </c>
      <c r="O13" s="2">
        <f t="shared" si="3"/>
        <v>56.998119440466809</v>
      </c>
      <c r="P13" s="1">
        <v>32.053194833600003</v>
      </c>
      <c r="Q13" s="2">
        <f>P13*organic_area!$D$29/organic_area!$D$24</f>
        <v>61.412404263142214</v>
      </c>
      <c r="R13" s="2">
        <f>conv_yields_2050!E12</f>
        <v>15.124932034227369</v>
      </c>
      <c r="S13" s="1">
        <f>organic_yields!F9</f>
        <v>34.707170047541325</v>
      </c>
      <c r="T13" s="1">
        <f t="shared" si="4"/>
        <v>2.1314507577892288</v>
      </c>
      <c r="U13" s="1">
        <f t="shared" si="5"/>
        <v>54.866668682677577</v>
      </c>
      <c r="V13" s="1">
        <f t="shared" si="6"/>
        <v>3688.9770477614129</v>
      </c>
      <c r="W13" s="1">
        <f t="shared" si="0"/>
        <v>0.82820933974210409</v>
      </c>
      <c r="X13" s="23">
        <f t="shared" si="7"/>
        <v>0.82820933974210409</v>
      </c>
      <c r="Y13" s="82">
        <f t="shared" si="8"/>
        <v>4454.1601630695477</v>
      </c>
    </row>
    <row r="14" spans="1:25" ht="34" x14ac:dyDescent="0.2">
      <c r="A14" s="2" t="s">
        <v>73</v>
      </c>
      <c r="B14" s="34" t="s">
        <v>75</v>
      </c>
      <c r="C14" s="3" t="s">
        <v>75</v>
      </c>
      <c r="D14" s="1">
        <f>food_needed_2050!T14</f>
        <v>150.44307381844206</v>
      </c>
      <c r="G14" s="1"/>
      <c r="H14" s="1"/>
      <c r="I14" s="109" t="s">
        <v>71</v>
      </c>
      <c r="J14" s="2" t="s">
        <v>119</v>
      </c>
      <c r="K14" s="2">
        <v>43</v>
      </c>
      <c r="L14" s="2">
        <f>K14/($K$13+$K$14+$K$15)</f>
        <v>0.1011764705882353</v>
      </c>
      <c r="M14" s="2">
        <f>L14*$D$11</f>
        <v>64.497871998422966</v>
      </c>
      <c r="N14" s="2">
        <f>feed!AC14</f>
        <v>0</v>
      </c>
      <c r="O14" s="2">
        <f t="shared" si="3"/>
        <v>64.497871998422966</v>
      </c>
      <c r="P14" s="2">
        <v>77.16207583567882</v>
      </c>
      <c r="Q14" s="2">
        <f>P14*organic_area!$D$29/organic_area!$D$24</f>
        <v>147.83888531562408</v>
      </c>
      <c r="R14" s="2">
        <f>conv_yields_2050!E21</f>
        <v>237.0930986122097</v>
      </c>
      <c r="S14" s="1">
        <f>organic_yields!F18</f>
        <v>195.9033641100624</v>
      </c>
      <c r="T14" s="1">
        <f t="shared" si="4"/>
        <v>28.962134979612465</v>
      </c>
      <c r="U14" s="1">
        <f t="shared" si="5"/>
        <v>35.535737018810501</v>
      </c>
      <c r="V14" s="1">
        <f t="shared" si="6"/>
        <v>297.71982755651516</v>
      </c>
      <c r="W14" s="1">
        <f t="shared" si="0"/>
        <v>0.82820933974210409</v>
      </c>
      <c r="X14" s="23">
        <f t="shared" si="7"/>
        <v>0.82820933974210409</v>
      </c>
      <c r="Y14" s="82">
        <f t="shared" si="8"/>
        <v>359.47412480185511</v>
      </c>
    </row>
    <row r="15" spans="1:25" ht="34" x14ac:dyDescent="0.2">
      <c r="A15" s="2" t="s">
        <v>73</v>
      </c>
      <c r="B15" s="86" t="s">
        <v>76</v>
      </c>
      <c r="C15" s="2" t="s">
        <v>77</v>
      </c>
      <c r="D15" s="1">
        <f>food_needed_2050!T15</f>
        <v>227.6879954456825</v>
      </c>
      <c r="G15" s="1"/>
      <c r="H15" s="1"/>
      <c r="I15" s="109" t="s">
        <v>71</v>
      </c>
      <c r="J15" s="2" t="s">
        <v>120</v>
      </c>
      <c r="K15" s="2">
        <v>344</v>
      </c>
      <c r="L15" s="2">
        <f>K15/($K$13+$K$14+$K$15)</f>
        <v>0.80941176470588239</v>
      </c>
      <c r="M15" s="2">
        <f>L15*$D$11</f>
        <v>515.98297598738372</v>
      </c>
      <c r="N15" s="2">
        <f>feed!AC15</f>
        <v>0</v>
      </c>
      <c r="O15" s="2">
        <f t="shared" si="3"/>
        <v>515.98297598738372</v>
      </c>
      <c r="P15" s="86">
        <v>0</v>
      </c>
      <c r="Q15" s="86">
        <f>P15*organic_area!$D$29/organic_area!$D$24</f>
        <v>0</v>
      </c>
      <c r="R15" s="2">
        <f>conv_yields_2050!E22</f>
        <v>35.860177246470606</v>
      </c>
      <c r="S15" s="1">
        <f>organic_yields!F25</f>
        <v>23.646431753092052</v>
      </c>
      <c r="T15" s="1">
        <f t="shared" si="4"/>
        <v>0</v>
      </c>
      <c r="U15" s="1">
        <f t="shared" si="5"/>
        <v>515.98297598738372</v>
      </c>
      <c r="V15" s="1">
        <f t="shared" si="6"/>
        <v>14388.74583471746</v>
      </c>
      <c r="W15" s="1">
        <f t="shared" si="0"/>
        <v>0.82820933974210409</v>
      </c>
      <c r="X15" s="23">
        <f t="shared" si="7"/>
        <v>0.82820933974210409</v>
      </c>
      <c r="Y15" s="82">
        <f t="shared" si="8"/>
        <v>17373.319937683831</v>
      </c>
    </row>
    <row r="16" spans="1:25" ht="34" x14ac:dyDescent="0.2">
      <c r="A16" s="2" t="s">
        <v>78</v>
      </c>
      <c r="B16" s="86" t="s">
        <v>79</v>
      </c>
      <c r="C16" s="2" t="s">
        <v>80</v>
      </c>
      <c r="D16" s="1">
        <f>food_needed_2050!T16</f>
        <v>1343.4605686947477</v>
      </c>
      <c r="G16" s="1"/>
      <c r="H16" s="1"/>
      <c r="I16" s="109" t="s">
        <v>74</v>
      </c>
      <c r="J16" s="2" t="s">
        <v>121</v>
      </c>
      <c r="K16" s="2">
        <v>182</v>
      </c>
      <c r="L16" s="2">
        <f t="shared" ref="L16:L22" si="11">K16/($K$16+$K$17+$K$18+$K$19+$K$20+$K$21+$K$22)</f>
        <v>0.20634920634920634</v>
      </c>
      <c r="M16" s="2">
        <f>L16*$D$13</f>
        <v>104.03055782789842</v>
      </c>
      <c r="N16" s="2">
        <f>feed!AC16</f>
        <v>7.5376142365695493</v>
      </c>
      <c r="O16" s="2">
        <f t="shared" si="3"/>
        <v>111.56817206446797</v>
      </c>
      <c r="P16" s="2">
        <v>1109.3800000000001</v>
      </c>
      <c r="Q16" s="2">
        <f>P16*organic_area!$D$29/organic_area!$D$24</f>
        <v>2125.5195744178131</v>
      </c>
      <c r="R16" s="2">
        <f>conv_yields_2050!E3</f>
        <v>7.3357870741482953</v>
      </c>
      <c r="S16" s="1">
        <f>organic_yields!F4</f>
        <v>4.5314004061827786</v>
      </c>
      <c r="T16" s="1">
        <f t="shared" si="4"/>
        <v>9.6315802628663256</v>
      </c>
      <c r="U16" s="1">
        <f t="shared" si="5"/>
        <v>101.93659180160165</v>
      </c>
      <c r="V16" s="1">
        <f t="shared" si="6"/>
        <v>16021.314363886502</v>
      </c>
      <c r="W16" s="1">
        <f t="shared" si="0"/>
        <v>0.82820933974210409</v>
      </c>
      <c r="X16" s="23">
        <f t="shared" si="7"/>
        <v>0.82820933974210409</v>
      </c>
      <c r="Y16" s="82">
        <f t="shared" si="8"/>
        <v>19344.522689004418</v>
      </c>
    </row>
    <row r="17" spans="1:25" ht="17" x14ac:dyDescent="0.2">
      <c r="A17" s="2" t="s">
        <v>82</v>
      </c>
      <c r="B17" s="34" t="s">
        <v>83</v>
      </c>
      <c r="C17" s="3" t="s">
        <v>84</v>
      </c>
      <c r="D17" s="1">
        <f>food_needed_2050!T17</f>
        <v>0</v>
      </c>
      <c r="G17" s="1"/>
      <c r="H17" s="1"/>
      <c r="I17" s="109" t="s">
        <v>74</v>
      </c>
      <c r="J17" s="2" t="s">
        <v>122</v>
      </c>
      <c r="K17" s="2">
        <v>49</v>
      </c>
      <c r="L17" s="2">
        <f t="shared" si="11"/>
        <v>5.5555555555555552E-2</v>
      </c>
      <c r="M17" s="2">
        <f t="shared" ref="M17:M22" si="12">L17*$D$13</f>
        <v>28.008227107511114</v>
      </c>
      <c r="N17" s="2">
        <f>feed!AC17</f>
        <v>1.9595343060839148</v>
      </c>
      <c r="O17" s="2">
        <f t="shared" si="3"/>
        <v>29.967761413595028</v>
      </c>
      <c r="P17" s="86">
        <v>0</v>
      </c>
      <c r="Q17" s="86">
        <f>P17*organic_area!$D$29/organic_area!$D$24</f>
        <v>0</v>
      </c>
      <c r="R17" s="2">
        <f>conv_yields_2050!E4</f>
        <v>6.4709383908045979</v>
      </c>
      <c r="S17" s="1">
        <f>organic_yields!F22</f>
        <v>3.4797096755291883</v>
      </c>
      <c r="T17" s="1">
        <f t="shared" si="4"/>
        <v>0</v>
      </c>
      <c r="U17" s="1">
        <f t="shared" si="5"/>
        <v>29.967761413595028</v>
      </c>
      <c r="V17" s="1">
        <f t="shared" si="6"/>
        <v>4631.1306960023194</v>
      </c>
      <c r="W17" s="1">
        <f t="shared" si="0"/>
        <v>0.82820933974210409</v>
      </c>
      <c r="X17" s="23">
        <f t="shared" si="7"/>
        <v>0.82820933974210409</v>
      </c>
      <c r="Y17" s="82">
        <f t="shared" si="8"/>
        <v>5591.7392786760965</v>
      </c>
    </row>
    <row r="18" spans="1:25" ht="17" x14ac:dyDescent="0.2">
      <c r="A18" s="2" t="s">
        <v>86</v>
      </c>
      <c r="B18" s="3" t="s">
        <v>86</v>
      </c>
      <c r="C18" s="3" t="s">
        <v>86</v>
      </c>
      <c r="D18" s="1">
        <f>food_needed_2050!T18</f>
        <v>6.8892306356538011</v>
      </c>
      <c r="G18" s="1"/>
      <c r="H18" s="1"/>
      <c r="I18" s="109" t="s">
        <v>74</v>
      </c>
      <c r="J18" s="2" t="s">
        <v>123</v>
      </c>
      <c r="K18" s="2">
        <v>135</v>
      </c>
      <c r="L18" s="2">
        <f t="shared" si="11"/>
        <v>0.15306122448979592</v>
      </c>
      <c r="M18" s="2">
        <f t="shared" si="12"/>
        <v>77.165523663551028</v>
      </c>
      <c r="N18" s="2">
        <f>feed!AC18</f>
        <v>10.617452574629581</v>
      </c>
      <c r="O18" s="2">
        <f t="shared" si="3"/>
        <v>87.782976238180609</v>
      </c>
      <c r="P18" s="1">
        <v>1692.23</v>
      </c>
      <c r="Q18" s="2">
        <f>P18*organic_area!$D$29/organic_area!$D$24</f>
        <v>3242.2325888487762</v>
      </c>
      <c r="R18" s="2">
        <f>conv_yields_2050!E8</f>
        <v>14.176879509964628</v>
      </c>
      <c r="S18" s="1">
        <f>organic_yields!F6</f>
        <v>8.8052209963020207</v>
      </c>
      <c r="T18" s="1">
        <f t="shared" si="4"/>
        <v>28.548574466225901</v>
      </c>
      <c r="U18" s="1">
        <f t="shared" si="5"/>
        <v>59.234401771954708</v>
      </c>
      <c r="V18" s="1">
        <f t="shared" si="6"/>
        <v>7420.4723580673908</v>
      </c>
      <c r="W18" s="1">
        <f t="shared" si="0"/>
        <v>0.82820933974210409</v>
      </c>
      <c r="X18" s="23">
        <f t="shared" si="7"/>
        <v>0.82820933974210409</v>
      </c>
      <c r="Y18" s="82">
        <f t="shared" si="8"/>
        <v>8959.6579053045334</v>
      </c>
    </row>
    <row r="19" spans="1:25" ht="17" x14ac:dyDescent="0.2">
      <c r="G19" s="1"/>
      <c r="H19" s="1"/>
      <c r="I19" s="109" t="s">
        <v>74</v>
      </c>
      <c r="J19" s="2" t="s">
        <v>124</v>
      </c>
      <c r="K19" s="2">
        <v>1</v>
      </c>
      <c r="L19" s="2">
        <f t="shared" si="11"/>
        <v>1.1337868480725624E-3</v>
      </c>
      <c r="M19" s="2">
        <f t="shared" si="12"/>
        <v>0.57159647158185956</v>
      </c>
      <c r="N19" s="2">
        <f>feed!AC19</f>
        <v>0.12256338704349233</v>
      </c>
      <c r="O19" s="2">
        <f t="shared" si="3"/>
        <v>0.6941598586253519</v>
      </c>
      <c r="P19" s="86">
        <v>0</v>
      </c>
      <c r="Q19" s="86">
        <f>P19*organic_area!$D$29/organic_area!$D$24</f>
        <v>0</v>
      </c>
      <c r="R19" s="2">
        <f>conv_yields_2050!E9</f>
        <v>3.1929495992544266</v>
      </c>
      <c r="S19" s="1">
        <f>organic_yields!F7</f>
        <v>4.0086000000000004</v>
      </c>
      <c r="T19" s="1">
        <f t="shared" si="4"/>
        <v>0</v>
      </c>
      <c r="U19" s="1">
        <f t="shared" si="5"/>
        <v>0.6941598586253519</v>
      </c>
      <c r="V19" s="1">
        <f>Q19+U19*10^3/R19</f>
        <v>217.40395112639501</v>
      </c>
      <c r="W19" s="1">
        <f t="shared" si="0"/>
        <v>0.82820933974210409</v>
      </c>
      <c r="X19" s="23">
        <f t="shared" si="7"/>
        <v>0.82820933974210409</v>
      </c>
      <c r="Y19" s="82">
        <f t="shared" si="8"/>
        <v>262.49879190458341</v>
      </c>
    </row>
    <row r="20" spans="1:25" ht="17" x14ac:dyDescent="0.2">
      <c r="G20" s="1"/>
      <c r="H20" s="1"/>
      <c r="I20" s="109" t="s">
        <v>74</v>
      </c>
      <c r="J20" s="2" t="s">
        <v>125</v>
      </c>
      <c r="K20" s="2">
        <v>8</v>
      </c>
      <c r="L20" s="2">
        <f t="shared" si="11"/>
        <v>9.0702947845804991E-3</v>
      </c>
      <c r="M20" s="2">
        <f t="shared" si="12"/>
        <v>4.5727717726548764</v>
      </c>
      <c r="N20" s="2">
        <f>feed!AC20</f>
        <v>1.9739133414705325</v>
      </c>
      <c r="O20" s="2">
        <f t="shared" si="3"/>
        <v>6.5466851141254088</v>
      </c>
      <c r="P20" s="1">
        <v>413.53</v>
      </c>
      <c r="Q20" s="2">
        <f>P20*organic_area!$D$29/organic_area!$D$24</f>
        <v>792.30390813697568</v>
      </c>
      <c r="R20" s="2">
        <f>conv_yields_2050!E11</f>
        <v>7.2015739049394218</v>
      </c>
      <c r="S20" s="1">
        <f>organic_yields!F8</f>
        <v>4.4812690484933064</v>
      </c>
      <c r="T20" s="1">
        <f t="shared" si="4"/>
        <v>3.5505269805345128</v>
      </c>
      <c r="U20" s="1">
        <f t="shared" si="5"/>
        <v>2.996158133590896</v>
      </c>
      <c r="V20" s="1">
        <f t="shared" si="6"/>
        <v>1208.3460363078591</v>
      </c>
      <c r="W20" s="1">
        <f t="shared" si="0"/>
        <v>0.82820933974210409</v>
      </c>
      <c r="X20" s="23">
        <f t="shared" si="7"/>
        <v>0.82820933974210409</v>
      </c>
      <c r="Y20" s="82">
        <f t="shared" si="8"/>
        <v>1458.9862469845193</v>
      </c>
    </row>
    <row r="21" spans="1:25" ht="17" x14ac:dyDescent="0.2">
      <c r="G21" s="1"/>
      <c r="H21" s="1"/>
      <c r="I21" s="109" t="s">
        <v>74</v>
      </c>
      <c r="J21" s="2" t="s">
        <v>126</v>
      </c>
      <c r="K21" s="2">
        <v>10</v>
      </c>
      <c r="L21" s="2">
        <f t="shared" si="11"/>
        <v>1.1337868480725623E-2</v>
      </c>
      <c r="M21" s="2">
        <f t="shared" si="12"/>
        <v>5.7159647158185951</v>
      </c>
      <c r="N21" s="2">
        <f>feed!AC21</f>
        <v>9.46796615747314E-2</v>
      </c>
      <c r="O21" s="2">
        <f t="shared" si="3"/>
        <v>5.8106443773933263</v>
      </c>
      <c r="P21" s="1">
        <v>406.06</v>
      </c>
      <c r="Q21" s="2">
        <f>P21*organic_area!$D$29/organic_area!$D$24</f>
        <v>777.99174168282923</v>
      </c>
      <c r="R21" s="2">
        <f>conv_yields_2050!E17</f>
        <v>7.988782292637465</v>
      </c>
      <c r="S21" s="1">
        <f>organic_yields!F14</f>
        <v>4.372707368111679</v>
      </c>
      <c r="T21" s="1">
        <f t="shared" si="4"/>
        <v>3.4019302211865456</v>
      </c>
      <c r="U21" s="1">
        <f t="shared" si="5"/>
        <v>2.4087141562067806</v>
      </c>
      <c r="V21" s="1">
        <f t="shared" si="6"/>
        <v>1079.5037954568661</v>
      </c>
      <c r="W21" s="1">
        <f t="shared" si="0"/>
        <v>0.82820933974210409</v>
      </c>
      <c r="X21" s="23">
        <f t="shared" si="7"/>
        <v>0.82820933974210409</v>
      </c>
      <c r="Y21" s="82">
        <f t="shared" si="8"/>
        <v>1303.4190073164505</v>
      </c>
    </row>
    <row r="22" spans="1:25" ht="17" x14ac:dyDescent="0.2">
      <c r="G22" s="1"/>
      <c r="H22" s="1"/>
      <c r="I22" s="109" t="s">
        <v>74</v>
      </c>
      <c r="J22" s="2" t="s">
        <v>127</v>
      </c>
      <c r="K22" s="2">
        <v>497</v>
      </c>
      <c r="L22" s="2">
        <f t="shared" si="11"/>
        <v>0.56349206349206349</v>
      </c>
      <c r="M22" s="2">
        <f t="shared" si="12"/>
        <v>284.08344637618416</v>
      </c>
      <c r="N22" s="2">
        <f>feed!AC22</f>
        <v>10.337383951120996</v>
      </c>
      <c r="O22" s="2">
        <f t="shared" si="3"/>
        <v>294.42083032730517</v>
      </c>
      <c r="P22" s="1">
        <v>6234.28</v>
      </c>
      <c r="Q22" s="2">
        <f>P22*organic_area!$D$29/organic_area!$D$24</f>
        <v>11944.585419244517</v>
      </c>
      <c r="R22" s="2">
        <f>conv_yields_2050!E23</f>
        <v>6.503754715969988</v>
      </c>
      <c r="S22" s="1">
        <f>organic_yields!F19</f>
        <v>4.6802123962685549</v>
      </c>
      <c r="T22" s="1">
        <f t="shared" si="4"/>
        <v>55.903196747436823</v>
      </c>
      <c r="U22" s="1">
        <f t="shared" si="5"/>
        <v>238.51763357986835</v>
      </c>
      <c r="V22" s="1">
        <f t="shared" si="6"/>
        <v>48618.421379599487</v>
      </c>
      <c r="W22" s="1">
        <f t="shared" si="0"/>
        <v>0.82820933974210409</v>
      </c>
      <c r="X22" s="23">
        <f t="shared" si="7"/>
        <v>0.82820933974210409</v>
      </c>
      <c r="Y22" s="82">
        <f t="shared" si="8"/>
        <v>58703.058570600959</v>
      </c>
    </row>
    <row r="23" spans="1:25" ht="35" thickBot="1" x14ac:dyDescent="0.25">
      <c r="G23" s="1"/>
      <c r="H23" s="1"/>
      <c r="I23" s="111" t="s">
        <v>84</v>
      </c>
      <c r="J23" s="102" t="s">
        <v>128</v>
      </c>
      <c r="K23" s="102">
        <v>141</v>
      </c>
      <c r="L23" s="103"/>
      <c r="M23" s="102">
        <f>D17</f>
        <v>0</v>
      </c>
      <c r="N23" s="102">
        <f>feed!AC23</f>
        <v>0</v>
      </c>
      <c r="O23" s="2">
        <f t="shared" si="3"/>
        <v>0</v>
      </c>
      <c r="P23" s="127">
        <v>1062.97</v>
      </c>
      <c r="Q23" s="102">
        <v>0</v>
      </c>
      <c r="R23" s="102">
        <f>conv_yields_2050!E7</f>
        <v>9.6671385432628441</v>
      </c>
      <c r="S23" s="127">
        <f>organic_yields!F5</f>
        <v>7.5937637778736544</v>
      </c>
      <c r="T23" s="127">
        <v>0</v>
      </c>
      <c r="U23" s="127">
        <f t="shared" si="5"/>
        <v>0</v>
      </c>
      <c r="V23" s="1">
        <f>Q23+U23*10^3/R23</f>
        <v>0</v>
      </c>
      <c r="W23" s="127">
        <f t="shared" si="0"/>
        <v>0.82820933974210409</v>
      </c>
      <c r="X23" s="128">
        <f t="shared" si="7"/>
        <v>0.82820933974210409</v>
      </c>
      <c r="Y23" s="55">
        <f>V23/X23</f>
        <v>0</v>
      </c>
    </row>
    <row r="24" spans="1:25" ht="17" x14ac:dyDescent="0.2">
      <c r="G24" s="1"/>
      <c r="H24" s="1"/>
      <c r="I24" s="24" t="s">
        <v>129</v>
      </c>
      <c r="J24" s="2"/>
      <c r="K24" s="2"/>
      <c r="L24" s="2">
        <f>SUM(L5:L22)</f>
        <v>4.9999999999999991</v>
      </c>
      <c r="M24" s="2"/>
      <c r="N24" s="2"/>
      <c r="O24" s="2"/>
      <c r="P24" s="2"/>
      <c r="Q24" s="2"/>
      <c r="R24" s="2"/>
      <c r="S24" s="2"/>
      <c r="T24" s="2"/>
      <c r="U24" s="2"/>
      <c r="V24" s="2">
        <f>SUM(V2:V23)</f>
        <v>192466.52976437856</v>
      </c>
      <c r="W24" s="1"/>
      <c r="Y24">
        <f>SUM(Y2:Y23)</f>
        <v>232388.74585054876</v>
      </c>
    </row>
    <row r="25" spans="1:25" x14ac:dyDescent="0.2">
      <c r="G25" s="1"/>
      <c r="H2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F2B06-7BBB-2F47-B69E-A2DA7F31645A}">
  <dimension ref="A1:AN39"/>
  <sheetViews>
    <sheetView zoomScale="85" workbookViewId="0">
      <pane ySplit="1" topLeftCell="A17" activePane="bottomLeft" state="frozen"/>
      <selection activeCell="D1" sqref="D1"/>
      <selection pane="bottomLeft" activeCell="B21" sqref="B21"/>
    </sheetView>
  </sheetViews>
  <sheetFormatPr baseColWidth="10" defaultColWidth="11" defaultRowHeight="16" x14ac:dyDescent="0.2"/>
  <cols>
    <col min="1" max="1" width="24.33203125" style="1" customWidth="1"/>
    <col min="2" max="2" width="20.83203125" style="1" customWidth="1"/>
    <col min="3" max="3" width="15.6640625" style="1" customWidth="1"/>
    <col min="4" max="5" width="17.6640625" style="1" customWidth="1"/>
    <col min="6" max="6" width="11.1640625" bestFit="1" customWidth="1"/>
    <col min="7" max="7" width="11.1640625" customWidth="1"/>
    <col min="10" max="10" width="10.83203125" style="3"/>
    <col min="11" max="11" width="15.5" style="3" customWidth="1"/>
    <col min="12" max="12" width="11.1640625" style="3" bestFit="1" customWidth="1"/>
    <col min="13" max="13" width="11.6640625" style="3" bestFit="1" customWidth="1"/>
    <col min="14" max="14" width="11.1640625" style="3" bestFit="1" customWidth="1"/>
    <col min="15" max="15" width="13.33203125" style="3" customWidth="1"/>
    <col min="16" max="16" width="13.1640625" style="3" customWidth="1"/>
    <col min="17" max="17" width="9.1640625" style="3" customWidth="1"/>
    <col min="18" max="19" width="13.33203125" style="3" customWidth="1"/>
    <col min="20" max="20" width="12.1640625" style="3" customWidth="1"/>
    <col min="21" max="22" width="13.83203125" style="3" customWidth="1"/>
    <col min="23" max="24" width="11.6640625" style="3" bestFit="1" customWidth="1"/>
    <col min="25" max="26" width="11.6640625" bestFit="1" customWidth="1"/>
    <col min="27" max="27" width="11.6640625" customWidth="1"/>
    <col min="28" max="28" width="16.5" customWidth="1"/>
    <col min="29" max="30" width="15.5" customWidth="1"/>
    <col min="31" max="31" width="11.5" customWidth="1"/>
    <col min="32" max="32" width="11.83203125" bestFit="1" customWidth="1"/>
    <col min="33" max="33" width="13.5" bestFit="1" customWidth="1"/>
    <col min="34" max="34" width="11.6640625" bestFit="1" customWidth="1"/>
    <col min="35" max="35" width="21.33203125" customWidth="1"/>
    <col min="36" max="36" width="16.5" customWidth="1"/>
  </cols>
  <sheetData>
    <row r="1" spans="1:40" s="1" customFormat="1" ht="153" x14ac:dyDescent="0.2">
      <c r="A1" s="28" t="s">
        <v>32</v>
      </c>
      <c r="B1" s="28" t="s">
        <v>33</v>
      </c>
      <c r="C1" s="28" t="s">
        <v>34</v>
      </c>
      <c r="D1" s="125" t="s">
        <v>92</v>
      </c>
      <c r="E1" s="126" t="s">
        <v>93</v>
      </c>
      <c r="F1" s="24"/>
      <c r="G1" s="24"/>
      <c r="J1" s="28" t="s">
        <v>33</v>
      </c>
      <c r="K1" s="28" t="s">
        <v>89</v>
      </c>
      <c r="L1" s="28" t="s">
        <v>90</v>
      </c>
      <c r="M1" s="28" t="s">
        <v>91</v>
      </c>
      <c r="N1" s="28" t="s">
        <v>130</v>
      </c>
      <c r="O1" s="28" t="s">
        <v>131</v>
      </c>
      <c r="P1" s="28" t="s">
        <v>132</v>
      </c>
      <c r="Q1" s="28" t="s">
        <v>133</v>
      </c>
      <c r="R1" s="28" t="s">
        <v>134</v>
      </c>
      <c r="S1" s="28" t="s">
        <v>135</v>
      </c>
      <c r="T1" s="38" t="s">
        <v>136</v>
      </c>
      <c r="U1" s="38" t="s">
        <v>92</v>
      </c>
      <c r="V1" s="38" t="s">
        <v>137</v>
      </c>
      <c r="W1" s="38" t="s">
        <v>138</v>
      </c>
      <c r="X1" s="38" t="s">
        <v>139</v>
      </c>
      <c r="Y1" s="28" t="s">
        <v>99</v>
      </c>
      <c r="Z1" s="28" t="s">
        <v>100</v>
      </c>
      <c r="AA1" s="24" t="s">
        <v>140</v>
      </c>
      <c r="AB1" s="24"/>
      <c r="AC1" s="87" t="s">
        <v>141</v>
      </c>
      <c r="AD1" s="89" t="s">
        <v>142</v>
      </c>
      <c r="AE1" s="88" t="s">
        <v>137</v>
      </c>
      <c r="AF1" s="88" t="s">
        <v>138</v>
      </c>
      <c r="AG1" s="88" t="s">
        <v>139</v>
      </c>
      <c r="AH1" s="90" t="s">
        <v>140</v>
      </c>
      <c r="AI1" s="40"/>
      <c r="AJ1" s="87" t="s">
        <v>141</v>
      </c>
      <c r="AK1" s="134" t="s">
        <v>143</v>
      </c>
      <c r="AL1" s="134" t="s">
        <v>144</v>
      </c>
      <c r="AM1" s="89" t="s">
        <v>145</v>
      </c>
      <c r="AN1" s="90" t="s">
        <v>146</v>
      </c>
    </row>
    <row r="2" spans="1:40" ht="17" x14ac:dyDescent="0.2">
      <c r="A2" s="3" t="s">
        <v>54</v>
      </c>
      <c r="B2" s="3" t="s">
        <v>55</v>
      </c>
      <c r="C2" s="3" t="s">
        <v>56</v>
      </c>
      <c r="D2" s="2">
        <f>food_needed_2050!T2</f>
        <v>102.84318267189222</v>
      </c>
      <c r="E2" s="100">
        <v>0</v>
      </c>
      <c r="F2" s="1"/>
      <c r="G2" s="1"/>
      <c r="H2" s="1"/>
      <c r="I2" s="1"/>
      <c r="J2" s="2" t="s">
        <v>69</v>
      </c>
      <c r="K2" s="2" t="s">
        <v>69</v>
      </c>
      <c r="L2" s="2">
        <v>61</v>
      </c>
      <c r="M2" s="86"/>
      <c r="N2" s="105">
        <f>D28</f>
        <v>3371329</v>
      </c>
      <c r="O2" s="2">
        <f>L2*10^6/N2</f>
        <v>18.093754718094853</v>
      </c>
      <c r="P2" s="2">
        <f>O2</f>
        <v>18.093754718094853</v>
      </c>
      <c r="Q2" s="2">
        <v>1</v>
      </c>
      <c r="R2" s="2">
        <f>Q2*P2</f>
        <v>18.093754718094853</v>
      </c>
      <c r="S2" s="2">
        <f>P2</f>
        <v>18.093754718094853</v>
      </c>
      <c r="T2" s="2">
        <f>F28</f>
        <v>0.33761799999999997</v>
      </c>
      <c r="U2" s="2">
        <f>D10</f>
        <v>33.937004247330066</v>
      </c>
      <c r="V2" s="2">
        <f>U2*10^6/R2</f>
        <v>1875619.7801991312</v>
      </c>
      <c r="W2" s="2">
        <f>V2*T2</f>
        <v>633242.99895127025</v>
      </c>
      <c r="X2" s="2">
        <f>V2*(1-T2)</f>
        <v>1242376.781247861</v>
      </c>
      <c r="Y2" s="2">
        <f>U2*T2</f>
        <v>11.457743499975081</v>
      </c>
      <c r="Z2" s="2">
        <f>U2*(1-T2)</f>
        <v>22.479260747354985</v>
      </c>
      <c r="AA2" s="2">
        <f>Y2+Z2</f>
        <v>33.937004247330066</v>
      </c>
      <c r="AB2" s="1"/>
      <c r="AC2" s="91" t="s">
        <v>147</v>
      </c>
      <c r="AD2" s="1">
        <v>8</v>
      </c>
      <c r="AE2" s="1">
        <f>V3</f>
        <v>277849.13355033146</v>
      </c>
      <c r="AF2" s="1">
        <f>W3</f>
        <v>45208.832519974429</v>
      </c>
      <c r="AG2" s="1">
        <f>X3</f>
        <v>232640.30103035702</v>
      </c>
      <c r="AH2" s="106"/>
      <c r="AI2" s="39"/>
      <c r="AJ2" s="91" t="s">
        <v>147</v>
      </c>
      <c r="AK2" s="4"/>
      <c r="AL2" s="4"/>
      <c r="AM2">
        <v>1</v>
      </c>
      <c r="AN2" s="82">
        <v>0</v>
      </c>
    </row>
    <row r="3" spans="1:40" ht="51" x14ac:dyDescent="0.2">
      <c r="A3" s="3" t="s">
        <v>54</v>
      </c>
      <c r="B3" s="3" t="s">
        <v>58</v>
      </c>
      <c r="C3" s="3" t="s">
        <v>58</v>
      </c>
      <c r="D3" s="2">
        <f>food_needed_2050!T3</f>
        <v>0</v>
      </c>
      <c r="E3" s="100">
        <v>0</v>
      </c>
      <c r="F3" s="1"/>
      <c r="G3" s="1"/>
      <c r="H3" s="1"/>
      <c r="I3" s="1"/>
      <c r="J3" s="2" t="s">
        <v>148</v>
      </c>
      <c r="K3" s="2" t="s">
        <v>149</v>
      </c>
      <c r="L3" s="2">
        <v>3913</v>
      </c>
      <c r="M3" s="2">
        <f>L3/($L$3+$L$4+$L$5)</f>
        <v>0.99246709107971698</v>
      </c>
      <c r="N3" s="2">
        <f>C20</f>
        <v>564190</v>
      </c>
      <c r="O3" s="2">
        <f>L3*10^6/N3</f>
        <v>6935.6067991279533</v>
      </c>
      <c r="P3" s="2">
        <f>O3</f>
        <v>6935.6067991279533</v>
      </c>
      <c r="Q3" s="2">
        <v>1</v>
      </c>
      <c r="R3" s="2">
        <f t="shared" ref="R3:R4" si="0">Q3*P3</f>
        <v>6935.6067991279533</v>
      </c>
      <c r="S3" s="2">
        <f>P3</f>
        <v>6935.6067991279533</v>
      </c>
      <c r="T3" s="2">
        <f>F20</f>
        <v>0.16270999999999999</v>
      </c>
      <c r="U3" s="2">
        <f>M3*($D$6+$D$3)</f>
        <v>1927.0523397834895</v>
      </c>
      <c r="V3" s="2">
        <f>U3*10^6/R3</f>
        <v>277849.13355033146</v>
      </c>
      <c r="W3" s="2">
        <f t="shared" ref="W3:W5" si="1">V3*T3</f>
        <v>45208.832519974429</v>
      </c>
      <c r="X3" s="2">
        <f t="shared" ref="X3:X5" si="2">V3*(1-T3)</f>
        <v>232640.30103035702</v>
      </c>
      <c r="Y3" s="2">
        <f t="shared" ref="Y3:Y5" si="3">U3*T3</f>
        <v>313.55068620617158</v>
      </c>
      <c r="Z3" s="2">
        <f t="shared" ref="Z3:Z6" si="4">U3*(1-T3)</f>
        <v>1613.5016535773179</v>
      </c>
      <c r="AA3" s="2">
        <f t="shared" ref="AA3:AA20" si="5">Y3+Z3</f>
        <v>1927.0523397834895</v>
      </c>
      <c r="AB3" s="1"/>
      <c r="AC3" s="91" t="s">
        <v>150</v>
      </c>
      <c r="AD3" s="1">
        <v>2</v>
      </c>
      <c r="AE3" s="1">
        <f t="shared" ref="AE3:AG5" si="6">V8</f>
        <v>20676.038142682381</v>
      </c>
      <c r="AF3" s="1">
        <f t="shared" si="6"/>
        <v>5079.2135020169253</v>
      </c>
      <c r="AG3" s="1">
        <f t="shared" si="6"/>
        <v>15596.824640665454</v>
      </c>
      <c r="AH3" s="106"/>
      <c r="AI3" s="39"/>
      <c r="AJ3" s="91" t="s">
        <v>150</v>
      </c>
      <c r="AK3" s="4"/>
      <c r="AL3" s="4"/>
      <c r="AM3">
        <v>0</v>
      </c>
      <c r="AN3" s="82">
        <v>1</v>
      </c>
    </row>
    <row r="4" spans="1:40" ht="51" x14ac:dyDescent="0.2">
      <c r="A4" s="3" t="s">
        <v>54</v>
      </c>
      <c r="B4" s="3" t="s">
        <v>60</v>
      </c>
      <c r="C4" s="3" t="s">
        <v>61</v>
      </c>
      <c r="D4" s="2">
        <f>food_needed_2050!T4</f>
        <v>14.915266193232954</v>
      </c>
      <c r="E4" s="100">
        <v>0</v>
      </c>
      <c r="F4" s="1"/>
      <c r="G4" s="1"/>
      <c r="H4" s="1"/>
      <c r="I4" s="1"/>
      <c r="J4" s="2" t="s">
        <v>148</v>
      </c>
      <c r="K4" s="2" t="s">
        <v>151</v>
      </c>
      <c r="L4" s="2">
        <v>6.5</v>
      </c>
      <c r="M4" s="2">
        <f t="shared" ref="M4:M5" si="7">L4/($L$3+$L$4+$L$5)</f>
        <v>1.6486164303649783E-3</v>
      </c>
      <c r="N4" s="2">
        <f>C24</f>
        <v>14476</v>
      </c>
      <c r="O4" s="2">
        <f>L4*10^6/N4</f>
        <v>449.01906604034264</v>
      </c>
      <c r="P4" s="2">
        <f t="shared" ref="P4:P5" si="8">O4</f>
        <v>449.01906604034264</v>
      </c>
      <c r="Q4" s="2">
        <v>1</v>
      </c>
      <c r="R4" s="2">
        <f t="shared" si="0"/>
        <v>449.01906604034264</v>
      </c>
      <c r="S4" s="2">
        <f t="shared" ref="S4:S10" si="9">P4</f>
        <v>449.01906604034264</v>
      </c>
      <c r="T4" s="2">
        <f>F24</f>
        <v>0.385299</v>
      </c>
      <c r="U4" s="2">
        <f>M4*($D$6+$D$3*22.5)</f>
        <v>3.2010836209028066</v>
      </c>
      <c r="V4" s="2">
        <f>U4*10^6/R4</f>
        <v>7129.0594609521577</v>
      </c>
      <c r="W4" s="2">
        <f t="shared" si="1"/>
        <v>2746.8194812454053</v>
      </c>
      <c r="X4" s="2">
        <f t="shared" si="2"/>
        <v>4382.2399797067519</v>
      </c>
      <c r="Y4" s="2">
        <f t="shared" si="3"/>
        <v>1.2333743180502306</v>
      </c>
      <c r="Z4" s="2">
        <f t="shared" si="4"/>
        <v>1.9677093028525761</v>
      </c>
      <c r="AA4" s="2">
        <f t="shared" si="5"/>
        <v>3.2010836209028066</v>
      </c>
      <c r="AB4" s="1"/>
      <c r="AC4" s="91" t="s">
        <v>152</v>
      </c>
      <c r="AD4" s="1">
        <v>0.6</v>
      </c>
      <c r="AE4" s="1">
        <f t="shared" si="6"/>
        <v>27590.08008260472</v>
      </c>
      <c r="AF4" s="1">
        <f t="shared" si="6"/>
        <v>4992.3146306269937</v>
      </c>
      <c r="AG4" s="1">
        <f t="shared" si="6"/>
        <v>22597.765451977724</v>
      </c>
      <c r="AH4" s="106"/>
      <c r="AI4" s="39"/>
      <c r="AJ4" s="91" t="s">
        <v>152</v>
      </c>
      <c r="AK4" s="4"/>
      <c r="AL4" s="4"/>
      <c r="AM4">
        <v>1</v>
      </c>
      <c r="AN4" s="82">
        <v>0</v>
      </c>
    </row>
    <row r="5" spans="1:40" ht="51" x14ac:dyDescent="0.2">
      <c r="A5" s="3" t="s">
        <v>54</v>
      </c>
      <c r="B5" s="3" t="s">
        <v>62</v>
      </c>
      <c r="C5" s="3" t="s">
        <v>57</v>
      </c>
      <c r="D5" s="2">
        <f>food_needed_2050!T5</f>
        <v>2.4916464939119112</v>
      </c>
      <c r="E5" s="100">
        <v>0</v>
      </c>
      <c r="F5" s="1"/>
      <c r="G5" s="1"/>
      <c r="H5" s="1"/>
      <c r="I5" s="1"/>
      <c r="J5" s="2" t="s">
        <v>148</v>
      </c>
      <c r="K5" s="2" t="s">
        <v>153</v>
      </c>
      <c r="L5" s="2">
        <v>23.2</v>
      </c>
      <c r="M5" s="2">
        <f t="shared" si="7"/>
        <v>5.8842924899180768E-3</v>
      </c>
      <c r="N5" s="2">
        <f>C25</f>
        <v>36821</v>
      </c>
      <c r="O5" s="2">
        <f>L5*10^6/N5</f>
        <v>630.07522880964666</v>
      </c>
      <c r="P5" s="2">
        <f t="shared" si="8"/>
        <v>630.07522880964666</v>
      </c>
      <c r="Q5" s="2">
        <v>1</v>
      </c>
      <c r="R5" s="2">
        <f>Q5*P5</f>
        <v>630.07522880964666</v>
      </c>
      <c r="S5" s="2">
        <f t="shared" si="9"/>
        <v>630.07522880964666</v>
      </c>
      <c r="T5" s="2">
        <f>F25</f>
        <v>0.40120299999999998</v>
      </c>
      <c r="U5" s="2">
        <f>M5*($D$6+$D$3*22.5)</f>
        <v>11.425406154606941</v>
      </c>
      <c r="V5" s="2">
        <f>U5*10^6/R5</f>
        <v>18133.400000809579</v>
      </c>
      <c r="W5" s="2">
        <f t="shared" si="1"/>
        <v>7275.1744805248054</v>
      </c>
      <c r="X5" s="2">
        <f t="shared" si="2"/>
        <v>10858.225520284774</v>
      </c>
      <c r="Y5" s="2">
        <f t="shared" si="3"/>
        <v>4.5839072254467688</v>
      </c>
      <c r="Z5" s="2">
        <f t="shared" si="4"/>
        <v>6.8414989291601724</v>
      </c>
      <c r="AA5" s="2">
        <f t="shared" si="5"/>
        <v>11.425406154606941</v>
      </c>
      <c r="AB5" s="1"/>
      <c r="AC5" s="91" t="s">
        <v>154</v>
      </c>
      <c r="AD5" s="1">
        <v>2</v>
      </c>
      <c r="AE5" s="1">
        <f t="shared" si="6"/>
        <v>31541.487713833831</v>
      </c>
      <c r="AF5" s="1">
        <f t="shared" si="6"/>
        <v>7246.8460511796056</v>
      </c>
      <c r="AG5" s="1">
        <f t="shared" si="6"/>
        <v>24294.641662654227</v>
      </c>
      <c r="AH5" s="106"/>
      <c r="AI5" s="39"/>
      <c r="AJ5" s="91" t="s">
        <v>154</v>
      </c>
      <c r="AK5" s="4"/>
      <c r="AL5" s="4"/>
      <c r="AM5">
        <v>0</v>
      </c>
      <c r="AN5" s="82">
        <v>1</v>
      </c>
    </row>
    <row r="6" spans="1:40" ht="34" x14ac:dyDescent="0.2">
      <c r="A6" s="2" t="s">
        <v>63</v>
      </c>
      <c r="B6" s="34" t="s">
        <v>59</v>
      </c>
      <c r="C6" s="3" t="s">
        <v>59</v>
      </c>
      <c r="D6" s="2">
        <f>food_needed_2050!T6</f>
        <v>1941.6788295589993</v>
      </c>
      <c r="E6" s="100">
        <f>feed!AC24</f>
        <v>0</v>
      </c>
      <c r="F6" s="1"/>
      <c r="G6" s="1"/>
      <c r="H6" s="1"/>
      <c r="I6" s="1"/>
      <c r="J6" s="2" t="s">
        <v>67</v>
      </c>
      <c r="K6" s="2" t="s">
        <v>68</v>
      </c>
      <c r="L6" s="2">
        <v>3.4</v>
      </c>
      <c r="M6" s="86"/>
      <c r="N6" s="86"/>
      <c r="O6" s="86"/>
      <c r="P6" s="86"/>
      <c r="Q6" s="86"/>
      <c r="R6" s="86"/>
      <c r="S6" s="86"/>
      <c r="T6" s="86"/>
      <c r="U6" s="2">
        <f>D9+E9</f>
        <v>2.8062886934645044</v>
      </c>
      <c r="V6" s="86"/>
      <c r="W6" s="86"/>
      <c r="X6" s="86"/>
      <c r="Y6" s="86"/>
      <c r="Z6" s="2">
        <f t="shared" si="4"/>
        <v>2.8062886934645044</v>
      </c>
      <c r="AA6" s="2">
        <f t="shared" si="5"/>
        <v>2.8062886934645044</v>
      </c>
      <c r="AB6" s="1"/>
      <c r="AC6" s="91" t="s">
        <v>155</v>
      </c>
      <c r="AD6" s="1">
        <v>0.6</v>
      </c>
      <c r="AE6" s="1">
        <f>V11</f>
        <v>33131.913081213483</v>
      </c>
      <c r="AF6" s="1">
        <f t="shared" ref="AF6:AG6" si="10">W11</f>
        <v>12765.692978278474</v>
      </c>
      <c r="AG6" s="1">
        <f t="shared" si="10"/>
        <v>20366.220102935007</v>
      </c>
      <c r="AH6" s="106"/>
      <c r="AI6" s="39"/>
      <c r="AJ6" s="91" t="s">
        <v>155</v>
      </c>
      <c r="AK6" s="4"/>
      <c r="AL6" s="4"/>
      <c r="AM6">
        <v>0</v>
      </c>
      <c r="AN6" s="82">
        <v>1</v>
      </c>
    </row>
    <row r="7" spans="1:40" ht="51" x14ac:dyDescent="0.2">
      <c r="A7" s="2" t="s">
        <v>63</v>
      </c>
      <c r="B7" s="34" t="s">
        <v>64</v>
      </c>
      <c r="C7" s="2" t="s">
        <v>65</v>
      </c>
      <c r="D7" s="2">
        <f>food_needed_2050!T7</f>
        <v>53.502600737427407</v>
      </c>
      <c r="E7" s="100">
        <v>0</v>
      </c>
      <c r="F7" s="1"/>
      <c r="G7" s="1"/>
      <c r="H7" s="1"/>
      <c r="I7" s="1"/>
      <c r="J7" s="92" t="s">
        <v>64</v>
      </c>
      <c r="K7" s="92" t="s">
        <v>156</v>
      </c>
      <c r="L7" s="92">
        <v>148</v>
      </c>
      <c r="M7" s="107"/>
      <c r="N7" s="92">
        <f>slaughtered_producing_animals!C19</f>
        <v>628644</v>
      </c>
      <c r="O7" s="92">
        <f t="shared" ref="O7:O14" si="11">L7*10^6/N7</f>
        <v>235.42736429521318</v>
      </c>
      <c r="P7" s="92">
        <f>O7</f>
        <v>235.42736429521318</v>
      </c>
      <c r="Q7" s="92">
        <v>1</v>
      </c>
      <c r="R7" s="92">
        <f>Q7*P7</f>
        <v>235.42736429521318</v>
      </c>
      <c r="S7" s="92">
        <f t="shared" si="9"/>
        <v>235.42736429521318</v>
      </c>
      <c r="T7" s="107"/>
      <c r="U7" s="107"/>
      <c r="V7" s="107"/>
      <c r="W7" s="107"/>
      <c r="X7" s="107"/>
      <c r="Y7" s="107"/>
      <c r="Z7" s="107"/>
      <c r="AA7" s="86"/>
      <c r="AB7" s="1"/>
      <c r="AC7" s="91" t="s">
        <v>157</v>
      </c>
      <c r="AD7" s="1">
        <v>4</v>
      </c>
      <c r="AE7" s="1">
        <f>V4</f>
        <v>7129.0594609521577</v>
      </c>
      <c r="AF7" s="1">
        <f t="shared" ref="AF7:AG7" si="12">W4</f>
        <v>2746.8194812454053</v>
      </c>
      <c r="AG7" s="1">
        <f t="shared" si="12"/>
        <v>4382.2399797067519</v>
      </c>
      <c r="AH7" s="69"/>
      <c r="AI7" s="39"/>
      <c r="AJ7" s="91" t="s">
        <v>157</v>
      </c>
      <c r="AK7" s="4"/>
      <c r="AL7" s="4"/>
      <c r="AM7">
        <v>0</v>
      </c>
      <c r="AN7" s="82">
        <v>1</v>
      </c>
    </row>
    <row r="8" spans="1:40" ht="51" x14ac:dyDescent="0.2">
      <c r="A8" s="2" t="s">
        <v>63</v>
      </c>
      <c r="B8" s="34" t="s">
        <v>64</v>
      </c>
      <c r="C8" s="2" t="s">
        <v>66</v>
      </c>
      <c r="D8" s="2">
        <f>food_needed_2050!T8</f>
        <v>106.76355878201744</v>
      </c>
      <c r="E8" s="100">
        <v>0</v>
      </c>
      <c r="F8" s="1"/>
      <c r="G8" s="1"/>
      <c r="H8" s="1"/>
      <c r="I8" s="1"/>
      <c r="J8" s="2" t="s">
        <v>64</v>
      </c>
      <c r="K8" s="2" t="s">
        <v>158</v>
      </c>
      <c r="L8" s="2">
        <f>49.783</f>
        <v>49.783000000000001</v>
      </c>
      <c r="M8" s="2">
        <f>L8/($L$8+$L$9+$L$10+$L$11+$L$12+$L$13+$L$16+$L$17+$L$18+$L$19+$L$20+$L$15)</f>
        <v>0.11825603525518294</v>
      </c>
      <c r="N8" s="2">
        <f t="shared" ref="N8:N14" si="13">B21</f>
        <v>162686</v>
      </c>
      <c r="O8" s="2">
        <f t="shared" si="11"/>
        <v>306.00666314249537</v>
      </c>
      <c r="P8" s="2">
        <f t="shared" ref="P8:P10" si="14">O8</f>
        <v>306.00666314249537</v>
      </c>
      <c r="Q8" s="2">
        <v>1</v>
      </c>
      <c r="R8" s="2">
        <f t="shared" ref="R8:R10" si="15">Q8*P8</f>
        <v>306.00666314249537</v>
      </c>
      <c r="S8" s="2">
        <f t="shared" si="9"/>
        <v>306.00666314249537</v>
      </c>
      <c r="T8" s="2">
        <f t="shared" ref="T8:T14" si="16">F21</f>
        <v>0.24565699999999999</v>
      </c>
      <c r="U8" s="2">
        <f t="shared" ref="U8:U13" si="17">$D$7*M8</f>
        <v>6.3270054390491923</v>
      </c>
      <c r="V8" s="2">
        <f t="shared" ref="V8:V14" si="18">U8*10^6/R8</f>
        <v>20676.038142682381</v>
      </c>
      <c r="W8" s="2">
        <f t="shared" ref="W8:W10" si="19">V8*T8</f>
        <v>5079.2135020169253</v>
      </c>
      <c r="X8" s="2">
        <f t="shared" ref="X8:X10" si="20">V8*(1-T8)</f>
        <v>15596.824640665454</v>
      </c>
      <c r="Y8" s="2">
        <f t="shared" ref="Y8:Y10" si="21">U8*T8</f>
        <v>1.5542731751405074</v>
      </c>
      <c r="Z8" s="2">
        <f t="shared" ref="Z8:Z10" si="22">U8*(1-T8)</f>
        <v>4.7727322639086847</v>
      </c>
      <c r="AA8" s="2">
        <f t="shared" si="5"/>
        <v>6.3270054390491923</v>
      </c>
      <c r="AB8" s="1"/>
      <c r="AC8" s="91" t="s">
        <v>159</v>
      </c>
      <c r="AD8" s="1">
        <f>7/52</f>
        <v>0.13461538461538461</v>
      </c>
      <c r="AE8" s="1">
        <f>V12</f>
        <v>6294.9783340004733</v>
      </c>
      <c r="AF8" s="1">
        <f t="shared" ref="AF8:AG8" si="23">W12</f>
        <v>2525.5641925359919</v>
      </c>
      <c r="AG8" s="1">
        <f t="shared" si="23"/>
        <v>3769.4141414644814</v>
      </c>
      <c r="AH8" s="106"/>
      <c r="AI8" s="39"/>
      <c r="AJ8" s="91" t="s">
        <v>159</v>
      </c>
      <c r="AK8" s="4"/>
      <c r="AL8" s="4"/>
      <c r="AM8">
        <v>1</v>
      </c>
      <c r="AN8" s="82">
        <v>0</v>
      </c>
    </row>
    <row r="9" spans="1:40" ht="51" x14ac:dyDescent="0.2">
      <c r="A9" s="2" t="s">
        <v>63</v>
      </c>
      <c r="B9" s="34" t="s">
        <v>67</v>
      </c>
      <c r="C9" s="3" t="s">
        <v>68</v>
      </c>
      <c r="D9" s="2">
        <f>food_needed_2050!T9</f>
        <v>2.6588333527092769</v>
      </c>
      <c r="E9" s="100">
        <f>feed!AC25</f>
        <v>0.14745534075522759</v>
      </c>
      <c r="F9" s="1"/>
      <c r="G9" s="1"/>
      <c r="H9" s="1"/>
      <c r="I9" s="1"/>
      <c r="J9" s="2" t="s">
        <v>64</v>
      </c>
      <c r="K9" s="2" t="s">
        <v>160</v>
      </c>
      <c r="L9" s="2">
        <v>27.402999999999999</v>
      </c>
      <c r="M9" s="2">
        <f t="shared" ref="M9:M13" si="24">L9/($L$8+$L$9+$L$10+$L$11+$L$12+$L$13+$L$16+$L$17+$L$18+$L$19+$L$20+$L$15)</f>
        <v>6.509391025245119E-2</v>
      </c>
      <c r="N9" s="2">
        <f t="shared" si="13"/>
        <v>217088</v>
      </c>
      <c r="O9" s="2">
        <f t="shared" si="11"/>
        <v>126.22991597877359</v>
      </c>
      <c r="P9" s="2">
        <f t="shared" si="14"/>
        <v>126.22991597877359</v>
      </c>
      <c r="Q9" s="2">
        <v>1</v>
      </c>
      <c r="R9" s="2">
        <f t="shared" si="15"/>
        <v>126.22991597877359</v>
      </c>
      <c r="S9" s="2">
        <f t="shared" si="9"/>
        <v>126.22991597877359</v>
      </c>
      <c r="T9" s="2">
        <f t="shared" si="16"/>
        <v>0.180946</v>
      </c>
      <c r="U9" s="2">
        <f t="shared" si="17"/>
        <v>3.4826934906748286</v>
      </c>
      <c r="V9" s="2">
        <f t="shared" si="18"/>
        <v>27590.08008260472</v>
      </c>
      <c r="W9" s="2">
        <f t="shared" si="19"/>
        <v>4992.3146306269937</v>
      </c>
      <c r="X9" s="2">
        <f t="shared" si="20"/>
        <v>22597.765451977724</v>
      </c>
      <c r="Y9" s="2">
        <f t="shared" si="21"/>
        <v>0.63017945636364747</v>
      </c>
      <c r="Z9" s="2">
        <f t="shared" si="22"/>
        <v>2.8525140343111808</v>
      </c>
      <c r="AA9" s="2">
        <f t="shared" si="5"/>
        <v>3.4826934906748281</v>
      </c>
      <c r="AB9" s="1"/>
      <c r="AC9" s="91" t="s">
        <v>161</v>
      </c>
      <c r="AD9" s="1">
        <v>4</v>
      </c>
      <c r="AE9">
        <f>V5</f>
        <v>18133.400000809579</v>
      </c>
      <c r="AF9">
        <f t="shared" ref="AF9:AG9" si="25">W5</f>
        <v>7275.1744805248054</v>
      </c>
      <c r="AG9">
        <f t="shared" si="25"/>
        <v>10858.225520284774</v>
      </c>
      <c r="AH9" s="69"/>
      <c r="AI9" s="39"/>
      <c r="AJ9" s="91" t="s">
        <v>161</v>
      </c>
      <c r="AK9" s="4"/>
      <c r="AL9" s="4"/>
      <c r="AM9">
        <v>1</v>
      </c>
      <c r="AN9" s="82">
        <v>0</v>
      </c>
    </row>
    <row r="10" spans="1:40" ht="34" x14ac:dyDescent="0.2">
      <c r="A10" s="2" t="s">
        <v>63</v>
      </c>
      <c r="B10" s="34" t="s">
        <v>69</v>
      </c>
      <c r="C10" s="3" t="s">
        <v>69</v>
      </c>
      <c r="D10" s="2">
        <f>food_needed_2050!T10</f>
        <v>33.937004247330066</v>
      </c>
      <c r="E10" s="100">
        <v>0</v>
      </c>
      <c r="F10" s="1"/>
      <c r="G10" s="1"/>
      <c r="H10" s="1"/>
      <c r="I10" s="1"/>
      <c r="J10" s="2" t="s">
        <v>64</v>
      </c>
      <c r="K10" s="2" t="s">
        <v>162</v>
      </c>
      <c r="L10" s="2">
        <f>L7-L8-L9</f>
        <v>70.813999999999993</v>
      </c>
      <c r="M10" s="2">
        <f t="shared" si="24"/>
        <v>0.16821370509130673</v>
      </c>
      <c r="N10" s="2">
        <f t="shared" si="13"/>
        <v>248179</v>
      </c>
      <c r="O10" s="2">
        <f t="shared" si="11"/>
        <v>285.33437559181073</v>
      </c>
      <c r="P10" s="2">
        <f t="shared" si="14"/>
        <v>285.33437559181073</v>
      </c>
      <c r="Q10" s="2">
        <v>1</v>
      </c>
      <c r="R10" s="2">
        <f t="shared" si="15"/>
        <v>285.33437559181073</v>
      </c>
      <c r="S10" s="2">
        <f t="shared" si="9"/>
        <v>285.33437559181073</v>
      </c>
      <c r="T10" s="2">
        <f t="shared" si="16"/>
        <v>0.22975599999999999</v>
      </c>
      <c r="U10" s="2">
        <f t="shared" si="17"/>
        <v>8.9998707020635447</v>
      </c>
      <c r="V10" s="2">
        <f t="shared" si="18"/>
        <v>31541.487713833831</v>
      </c>
      <c r="W10" s="2">
        <f t="shared" si="19"/>
        <v>7246.8460511796056</v>
      </c>
      <c r="X10" s="2">
        <f t="shared" si="20"/>
        <v>24294.641662654227</v>
      </c>
      <c r="Y10" s="2">
        <f t="shared" si="21"/>
        <v>2.0677742930233118</v>
      </c>
      <c r="Z10" s="2">
        <f t="shared" si="22"/>
        <v>6.9320964090402333</v>
      </c>
      <c r="AA10" s="2">
        <f t="shared" si="5"/>
        <v>8.9998707020635447</v>
      </c>
      <c r="AB10" s="1"/>
      <c r="AC10" s="91" t="s">
        <v>163</v>
      </c>
      <c r="AD10" s="1">
        <v>0.5</v>
      </c>
      <c r="AE10" s="1">
        <f>V13</f>
        <v>327259.69524720969</v>
      </c>
      <c r="AF10" s="1">
        <f>W13</f>
        <v>16754.0600981809</v>
      </c>
      <c r="AG10" s="1">
        <f>X13</f>
        <v>310505.63514902879</v>
      </c>
      <c r="AH10" s="106"/>
      <c r="AI10" s="39"/>
      <c r="AJ10" s="91" t="s">
        <v>163</v>
      </c>
      <c r="AK10" s="4"/>
      <c r="AL10" s="4"/>
      <c r="AM10">
        <v>0</v>
      </c>
      <c r="AN10" s="82">
        <v>1</v>
      </c>
    </row>
    <row r="11" spans="1:40" ht="34" x14ac:dyDescent="0.2">
      <c r="A11" s="2" t="s">
        <v>70</v>
      </c>
      <c r="B11" s="3" t="s">
        <v>71</v>
      </c>
      <c r="C11" s="3" t="s">
        <v>71</v>
      </c>
      <c r="D11" s="2">
        <f>food_needed_2050!T11</f>
        <v>637.47896742627347</v>
      </c>
      <c r="E11" s="100">
        <v>0</v>
      </c>
      <c r="F11" s="1"/>
      <c r="G11" s="1"/>
      <c r="H11" s="1"/>
      <c r="I11" s="1"/>
      <c r="J11" s="2" t="s">
        <v>64</v>
      </c>
      <c r="K11" s="93" t="s">
        <v>164</v>
      </c>
      <c r="L11" s="2">
        <v>5.56</v>
      </c>
      <c r="M11" s="2">
        <f t="shared" si="24"/>
        <v>1.3207391198176427E-2</v>
      </c>
      <c r="N11" s="2">
        <f t="shared" si="13"/>
        <v>260693</v>
      </c>
      <c r="O11" s="2">
        <f t="shared" si="11"/>
        <v>21.327768678100295</v>
      </c>
      <c r="P11" s="2">
        <f>O11</f>
        <v>21.327768678100295</v>
      </c>
      <c r="Q11" s="2">
        <v>1</v>
      </c>
      <c r="R11" s="2">
        <f>Q11*P11</f>
        <v>21.327768678100295</v>
      </c>
      <c r="S11" s="2">
        <f>P11</f>
        <v>21.327768678100295</v>
      </c>
      <c r="T11" s="2">
        <f t="shared" si="16"/>
        <v>0.385299</v>
      </c>
      <c r="U11" s="2">
        <f t="shared" si="17"/>
        <v>0.70662977805904637</v>
      </c>
      <c r="V11" s="2">
        <f t="shared" si="18"/>
        <v>33131.913081213483</v>
      </c>
      <c r="W11" s="2">
        <f>V11*T11</f>
        <v>12765.692978278474</v>
      </c>
      <c r="X11" s="2">
        <f>V11*(1-T11)</f>
        <v>20366.220102935007</v>
      </c>
      <c r="Y11" s="2">
        <f>U11*T11</f>
        <v>0.2722637468563725</v>
      </c>
      <c r="Z11" s="2">
        <f t="shared" ref="Z11:Z20" si="26">U11*(1-T11)</f>
        <v>0.43436603120267381</v>
      </c>
      <c r="AA11" s="2">
        <f t="shared" si="5"/>
        <v>0.70662977805904625</v>
      </c>
      <c r="AB11" s="1"/>
      <c r="AC11" s="91" t="s">
        <v>165</v>
      </c>
      <c r="AD11" s="1">
        <f>17/12</f>
        <v>1.4166666666666667</v>
      </c>
      <c r="AE11" s="1">
        <f>V2</f>
        <v>1875619.7801991312</v>
      </c>
      <c r="AF11" s="1">
        <f>W2</f>
        <v>633242.99895127025</v>
      </c>
      <c r="AG11" s="1">
        <f>X2</f>
        <v>1242376.781247861</v>
      </c>
      <c r="AH11" s="106"/>
      <c r="AI11" s="39"/>
      <c r="AJ11" s="91" t="s">
        <v>165</v>
      </c>
      <c r="AK11" s="4"/>
      <c r="AL11" s="4"/>
      <c r="AM11">
        <v>0</v>
      </c>
      <c r="AN11" s="82">
        <v>1</v>
      </c>
    </row>
    <row r="12" spans="1:40" ht="34" x14ac:dyDescent="0.2">
      <c r="A12" s="2" t="s">
        <v>70</v>
      </c>
      <c r="B12" s="3" t="s">
        <v>72</v>
      </c>
      <c r="C12" s="3" t="s">
        <v>72</v>
      </c>
      <c r="D12" s="2">
        <f>food_needed_2050!T12</f>
        <v>361.37528205933955</v>
      </c>
      <c r="E12" s="100">
        <v>0</v>
      </c>
      <c r="F12" s="1"/>
      <c r="G12" s="1"/>
      <c r="H12" s="1"/>
      <c r="I12" s="1"/>
      <c r="J12" s="2" t="s">
        <v>64</v>
      </c>
      <c r="K12" s="2" t="s">
        <v>166</v>
      </c>
      <c r="L12" s="2">
        <v>0.55000000000000004</v>
      </c>
      <c r="M12" s="2">
        <f t="shared" si="24"/>
        <v>1.3064865393879561E-3</v>
      </c>
      <c r="N12" s="2">
        <f t="shared" si="13"/>
        <v>49531</v>
      </c>
      <c r="O12" s="2">
        <f t="shared" si="11"/>
        <v>11.104156992590498</v>
      </c>
      <c r="P12" s="2">
        <f>O12</f>
        <v>11.104156992590498</v>
      </c>
      <c r="Q12" s="2">
        <v>1</v>
      </c>
      <c r="R12" s="2">
        <f>Q12*P12</f>
        <v>11.104156992590498</v>
      </c>
      <c r="S12" s="2">
        <f>P12</f>
        <v>11.104156992590498</v>
      </c>
      <c r="T12" s="2">
        <f t="shared" si="16"/>
        <v>0.40120299999999998</v>
      </c>
      <c r="U12" s="2">
        <f t="shared" si="17"/>
        <v>6.9900427685697042E-2</v>
      </c>
      <c r="V12" s="2">
        <f t="shared" si="18"/>
        <v>6294.9783340004733</v>
      </c>
      <c r="W12" s="2">
        <f>V12*T12</f>
        <v>2525.5641925359919</v>
      </c>
      <c r="X12" s="2">
        <f>V12*(1-T12)</f>
        <v>3769.4141414644814</v>
      </c>
      <c r="Y12" s="2">
        <f>U12*T12</f>
        <v>2.8044261288784709E-2</v>
      </c>
      <c r="Z12" s="2">
        <f t="shared" si="26"/>
        <v>4.1856166396912337E-2</v>
      </c>
      <c r="AA12" s="2">
        <f t="shared" si="5"/>
        <v>6.9900427685697042E-2</v>
      </c>
      <c r="AB12" s="1"/>
      <c r="AC12" s="91" t="s">
        <v>167</v>
      </c>
      <c r="AD12" s="1">
        <f>35/365</f>
        <v>9.5890410958904104E-2</v>
      </c>
      <c r="AE12" s="1">
        <f>V14</f>
        <v>79644915.935304329</v>
      </c>
      <c r="AF12" s="1">
        <f>W14</f>
        <v>15538563.809146004</v>
      </c>
      <c r="AG12" s="1">
        <f>X14</f>
        <v>64106352.126158327</v>
      </c>
      <c r="AH12" s="106"/>
      <c r="AI12" s="39"/>
      <c r="AJ12" s="91" t="s">
        <v>167</v>
      </c>
      <c r="AK12">
        <v>51</v>
      </c>
      <c r="AL12">
        <f>AK12/365</f>
        <v>0.13972602739726028</v>
      </c>
      <c r="AM12">
        <v>0</v>
      </c>
      <c r="AN12" s="82">
        <v>1</v>
      </c>
    </row>
    <row r="13" spans="1:40" ht="35" thickBot="1" x14ac:dyDescent="0.25">
      <c r="A13" s="2" t="s">
        <v>73</v>
      </c>
      <c r="B13" s="3" t="s">
        <v>74</v>
      </c>
      <c r="C13" s="3" t="s">
        <v>74</v>
      </c>
      <c r="D13" s="2">
        <f>food_needed_2050!T13</f>
        <v>504.14808793520007</v>
      </c>
      <c r="E13" s="100">
        <v>0</v>
      </c>
      <c r="F13" s="1"/>
      <c r="G13" s="1"/>
      <c r="H13" s="1"/>
      <c r="I13" s="1"/>
      <c r="J13" s="2" t="s">
        <v>64</v>
      </c>
      <c r="K13" s="93" t="s">
        <v>168</v>
      </c>
      <c r="L13" s="2">
        <v>231</v>
      </c>
      <c r="M13" s="2">
        <f t="shared" si="24"/>
        <v>0.54872434654294155</v>
      </c>
      <c r="N13" s="2">
        <f t="shared" si="13"/>
        <v>2574989</v>
      </c>
      <c r="O13" s="2">
        <f t="shared" si="11"/>
        <v>89.709121087507555</v>
      </c>
      <c r="P13" s="2">
        <f>O13</f>
        <v>89.709121087507555</v>
      </c>
      <c r="Q13" s="2">
        <v>1</v>
      </c>
      <c r="R13" s="2">
        <f>Q13*P13</f>
        <v>89.709121087507555</v>
      </c>
      <c r="S13" s="2">
        <f>P13</f>
        <v>89.709121087507555</v>
      </c>
      <c r="T13" s="2">
        <f t="shared" si="16"/>
        <v>5.1194999999999997E-2</v>
      </c>
      <c r="U13" s="2">
        <f t="shared" si="17"/>
        <v>29.358179627992758</v>
      </c>
      <c r="V13" s="2">
        <f t="shared" si="18"/>
        <v>327259.69524720969</v>
      </c>
      <c r="W13" s="2">
        <f>V13*T13</f>
        <v>16754.0600981809</v>
      </c>
      <c r="X13" s="2">
        <f>V13*(1-T13)</f>
        <v>310505.63514902879</v>
      </c>
      <c r="Y13" s="2">
        <f>U13*T13</f>
        <v>1.5029920060550892</v>
      </c>
      <c r="Z13" s="2">
        <f t="shared" si="26"/>
        <v>27.85518762193767</v>
      </c>
      <c r="AA13" s="2">
        <f t="shared" si="5"/>
        <v>29.358179627992758</v>
      </c>
      <c r="AB13" s="1"/>
      <c r="AC13" s="94" t="s">
        <v>67</v>
      </c>
      <c r="AD13" s="95"/>
      <c r="AE13" s="95"/>
      <c r="AF13" s="95"/>
      <c r="AG13" s="95"/>
      <c r="AH13" s="108">
        <f>AA6</f>
        <v>2.8062886934645044</v>
      </c>
      <c r="AI13" s="39"/>
      <c r="AJ13" s="94" t="s">
        <v>67</v>
      </c>
      <c r="AK13" s="73"/>
      <c r="AL13" s="73"/>
      <c r="AM13" s="73"/>
      <c r="AN13" s="74"/>
    </row>
    <row r="14" spans="1:40" ht="34" x14ac:dyDescent="0.2">
      <c r="A14" s="2" t="s">
        <v>73</v>
      </c>
      <c r="B14" s="3" t="s">
        <v>75</v>
      </c>
      <c r="C14" s="3" t="s">
        <v>75</v>
      </c>
      <c r="D14" s="2">
        <f>food_needed_2050!T14</f>
        <v>150.44307381844206</v>
      </c>
      <c r="E14" s="100">
        <v>0</v>
      </c>
      <c r="F14" s="1"/>
      <c r="G14" s="1"/>
      <c r="H14" s="1"/>
      <c r="I14" s="1"/>
      <c r="J14" s="2" t="s">
        <v>64</v>
      </c>
      <c r="K14" s="2" t="s">
        <v>169</v>
      </c>
      <c r="L14" s="2">
        <v>97</v>
      </c>
      <c r="M14" s="2">
        <f>L14/L14</f>
        <v>1</v>
      </c>
      <c r="N14" s="2">
        <f t="shared" si="13"/>
        <v>72361365</v>
      </c>
      <c r="O14" s="2">
        <f t="shared" si="11"/>
        <v>1.3404943369987561</v>
      </c>
      <c r="P14" s="2">
        <f>O14</f>
        <v>1.3404943369987561</v>
      </c>
      <c r="Q14" s="2">
        <v>1</v>
      </c>
      <c r="R14" s="2">
        <f>Q14*P14</f>
        <v>1.3404943369987561</v>
      </c>
      <c r="S14" s="2">
        <f>P14</f>
        <v>1.3404943369987561</v>
      </c>
      <c r="T14" s="2">
        <f t="shared" si="16"/>
        <v>0.19509799999999999</v>
      </c>
      <c r="U14" s="2">
        <f>$D$8*M14</f>
        <v>106.76355878201744</v>
      </c>
      <c r="V14" s="2">
        <f t="shared" si="18"/>
        <v>79644915.935304329</v>
      </c>
      <c r="W14" s="2">
        <f>V14*T14</f>
        <v>15538563.809146004</v>
      </c>
      <c r="X14" s="2">
        <f>V14*(1-T14)</f>
        <v>64106352.126158327</v>
      </c>
      <c r="Y14" s="2">
        <f>U14*T14</f>
        <v>20.829356791254039</v>
      </c>
      <c r="Z14" s="2">
        <f t="shared" si="26"/>
        <v>85.934201990763398</v>
      </c>
      <c r="AA14" s="2">
        <f t="shared" si="5"/>
        <v>106.76355878201744</v>
      </c>
      <c r="AB14" s="1"/>
      <c r="AC14" s="1"/>
      <c r="AD14" s="1"/>
      <c r="AE14" s="1"/>
      <c r="AF14" s="1"/>
      <c r="AG14" s="1"/>
      <c r="AH14" s="1"/>
      <c r="AI14" s="39"/>
      <c r="AJ14" s="39"/>
    </row>
    <row r="15" spans="1:40" ht="34" x14ac:dyDescent="0.2">
      <c r="A15" s="2" t="s">
        <v>73</v>
      </c>
      <c r="B15" s="2" t="s">
        <v>76</v>
      </c>
      <c r="C15" s="2" t="s">
        <v>77</v>
      </c>
      <c r="D15" s="2">
        <f>food_needed_2050!T15</f>
        <v>227.6879954456825</v>
      </c>
      <c r="E15" s="100">
        <v>0</v>
      </c>
      <c r="F15" s="1"/>
      <c r="G15" s="1"/>
      <c r="H15" s="1"/>
      <c r="I15" s="1"/>
      <c r="J15" s="2" t="s">
        <v>64</v>
      </c>
      <c r="K15" s="93" t="s">
        <v>170</v>
      </c>
      <c r="L15" s="2">
        <v>3</v>
      </c>
      <c r="M15" s="2">
        <f t="shared" ref="M15" si="27">L15/($L$8+$L$9+$L$10+$L$11+$L$12+$L$13+$L$14+$L$15+$L$16+$L$17+$L$18+$L$19+$L$20)</f>
        <v>5.7917696636371847E-3</v>
      </c>
      <c r="N15" s="86"/>
      <c r="O15" s="86"/>
      <c r="P15" s="86"/>
      <c r="Q15" s="86"/>
      <c r="R15" s="86"/>
      <c r="S15" s="86"/>
      <c r="T15" s="86"/>
      <c r="U15" s="2">
        <f>$D$7*M15</f>
        <v>0.30987473987672454</v>
      </c>
      <c r="V15" s="86"/>
      <c r="W15" s="86"/>
      <c r="X15" s="86"/>
      <c r="Y15" s="86"/>
      <c r="Z15" s="2">
        <f t="shared" si="26"/>
        <v>0.30987473987672454</v>
      </c>
      <c r="AA15" s="2">
        <f t="shared" si="5"/>
        <v>0.30987473987672454</v>
      </c>
      <c r="AB15" s="1"/>
      <c r="AC15" s="1"/>
      <c r="AD15" s="1"/>
      <c r="AE15" s="1"/>
      <c r="AF15" s="1"/>
      <c r="AG15" s="1"/>
      <c r="AH15" s="1"/>
      <c r="AI15" s="39"/>
      <c r="AJ15" s="39"/>
    </row>
    <row r="16" spans="1:40" ht="51" x14ac:dyDescent="0.2">
      <c r="A16" s="2" t="s">
        <v>78</v>
      </c>
      <c r="B16" s="2" t="s">
        <v>79</v>
      </c>
      <c r="C16" s="2" t="s">
        <v>80</v>
      </c>
      <c r="D16" s="2">
        <f>food_needed_2050!T16</f>
        <v>1343.4605686947477</v>
      </c>
      <c r="E16" s="100">
        <v>0</v>
      </c>
      <c r="F16" s="1"/>
      <c r="G16" s="1"/>
      <c r="H16" s="1"/>
      <c r="I16" s="1"/>
      <c r="J16" s="2" t="s">
        <v>171</v>
      </c>
      <c r="K16" s="2" t="s">
        <v>172</v>
      </c>
      <c r="L16" s="2">
        <v>23.291730000000001</v>
      </c>
      <c r="M16" s="2">
        <f>L16/($L$8+$L$9+$L$10+$L$11+$L$12+$L$13+$L$15+$L$16+$L$17+$L$18+$L$19+$L$20)</f>
        <v>5.5327875861924794E-2</v>
      </c>
      <c r="N16" s="2">
        <f>N8+N9+N10</f>
        <v>627953</v>
      </c>
      <c r="O16" s="2">
        <f>L16*10^6/N16</f>
        <v>37.091517995773572</v>
      </c>
      <c r="P16" s="2">
        <f>O16</f>
        <v>37.091517995773572</v>
      </c>
      <c r="Q16" s="2">
        <v>1</v>
      </c>
      <c r="R16" s="2">
        <f>Q16*P16</f>
        <v>37.091517995773572</v>
      </c>
      <c r="S16" s="2">
        <f>P16</f>
        <v>37.091517995773572</v>
      </c>
      <c r="T16" s="2">
        <f>F21</f>
        <v>0.24565699999999999</v>
      </c>
      <c r="U16" s="2">
        <f t="shared" ref="U16:U20" si="28">$D$7*M16</f>
        <v>2.9601852518905094</v>
      </c>
      <c r="V16" s="2">
        <f>U16*10^6/R16</f>
        <v>79807.605939120927</v>
      </c>
      <c r="W16" s="2">
        <f>V16*T16</f>
        <v>19605.29705218663</v>
      </c>
      <c r="X16" s="2">
        <f>V16*(1-T16)</f>
        <v>60202.308886934297</v>
      </c>
      <c r="Y16" s="2">
        <f>U16*T16</f>
        <v>0.72719022842366687</v>
      </c>
      <c r="Z16" s="2">
        <f t="shared" si="26"/>
        <v>2.2329950234668425</v>
      </c>
      <c r="AA16" s="2">
        <f t="shared" si="5"/>
        <v>2.9601852518905094</v>
      </c>
      <c r="AB16" s="1"/>
      <c r="AC16" s="1"/>
      <c r="AD16" s="1"/>
      <c r="AE16" s="1"/>
      <c r="AF16" s="1"/>
      <c r="AG16" s="1"/>
      <c r="AH16" s="1"/>
      <c r="AI16" s="39"/>
      <c r="AJ16" s="39"/>
    </row>
    <row r="17" spans="1:34" ht="51" x14ac:dyDescent="0.2">
      <c r="A17" s="2" t="s">
        <v>82</v>
      </c>
      <c r="B17" s="3" t="s">
        <v>83</v>
      </c>
      <c r="C17" s="3" t="s">
        <v>84</v>
      </c>
      <c r="D17" s="2">
        <f>food_needed_2050!T17</f>
        <v>0</v>
      </c>
      <c r="E17" s="100">
        <v>0</v>
      </c>
      <c r="F17" s="1"/>
      <c r="G17" s="1"/>
      <c r="H17" s="1"/>
      <c r="I17" s="1"/>
      <c r="J17" s="2" t="s">
        <v>171</v>
      </c>
      <c r="K17" s="2" t="s">
        <v>173</v>
      </c>
      <c r="L17" s="2">
        <v>8.208E-2</v>
      </c>
      <c r="M17" s="2">
        <f t="shared" ref="M17:M20" si="29">L17/($L$8+$L$9+$L$10+$L$11+$L$12+$L$13+$L$15+$L$16+$L$17+$L$18+$L$19+$L$20)</f>
        <v>1.9497530027811532E-4</v>
      </c>
      <c r="N17" s="2">
        <f>B25</f>
        <v>49531</v>
      </c>
      <c r="O17" s="2">
        <f>L17*10^6/N17</f>
        <v>1.6571440108215056</v>
      </c>
      <c r="P17" s="2">
        <f>O17</f>
        <v>1.6571440108215056</v>
      </c>
      <c r="Q17" s="2">
        <v>1</v>
      </c>
      <c r="R17" s="2">
        <f>Q17*P17</f>
        <v>1.6571440108215056</v>
      </c>
      <c r="S17" s="2">
        <f>P17</f>
        <v>1.6571440108215056</v>
      </c>
      <c r="T17" s="2">
        <f>F25</f>
        <v>0.40120299999999998</v>
      </c>
      <c r="U17" s="2">
        <f t="shared" si="28"/>
        <v>1.0431685644440023E-2</v>
      </c>
      <c r="V17" s="2">
        <f>U17*10^6/R17</f>
        <v>6294.9783340004733</v>
      </c>
      <c r="W17" s="2">
        <f>V17*T17</f>
        <v>2525.5641925359919</v>
      </c>
      <c r="X17" s="2">
        <f t="shared" ref="X17:X19" si="30">V17*(1-T17)</f>
        <v>3769.4141414644814</v>
      </c>
      <c r="Y17" s="2">
        <f>U17*T17</f>
        <v>4.1852235756062702E-3</v>
      </c>
      <c r="Z17" s="2">
        <f t="shared" si="26"/>
        <v>6.2464620688337533E-3</v>
      </c>
      <c r="AA17" s="2">
        <f>Y17+Z17</f>
        <v>1.0431685644440023E-2</v>
      </c>
      <c r="AB17" s="1"/>
      <c r="AC17" s="1"/>
      <c r="AD17" s="1"/>
      <c r="AE17" s="1"/>
      <c r="AF17" s="1"/>
      <c r="AG17" s="1"/>
      <c r="AH17" s="1"/>
    </row>
    <row r="18" spans="1:34" ht="52" thickBot="1" x14ac:dyDescent="0.25">
      <c r="A18" s="2" t="s">
        <v>86</v>
      </c>
      <c r="B18" s="34" t="s">
        <v>86</v>
      </c>
      <c r="C18" s="3" t="s">
        <v>86</v>
      </c>
      <c r="D18" s="2">
        <f>food_needed_2050!T18</f>
        <v>6.8892306356538011</v>
      </c>
      <c r="E18" s="100">
        <v>0</v>
      </c>
      <c r="H18" s="24"/>
      <c r="I18" s="1"/>
      <c r="J18" s="2" t="s">
        <v>171</v>
      </c>
      <c r="K18" s="2" t="s">
        <v>174</v>
      </c>
      <c r="L18" s="2">
        <v>8.8839600000000001</v>
      </c>
      <c r="M18" s="2">
        <f t="shared" si="29"/>
        <v>2.1103225739020046E-2</v>
      </c>
      <c r="N18" s="2">
        <f>B26</f>
        <v>2574989</v>
      </c>
      <c r="O18" s="2">
        <f>L18*10^6/N18</f>
        <v>3.450096291673479</v>
      </c>
      <c r="P18" s="2">
        <f>O18</f>
        <v>3.450096291673479</v>
      </c>
      <c r="Q18" s="2">
        <v>1</v>
      </c>
      <c r="R18" s="2">
        <f>Q18*P18</f>
        <v>3.450096291673479</v>
      </c>
      <c r="S18" s="2">
        <f>P18</f>
        <v>3.450096291673479</v>
      </c>
      <c r="T18" s="2">
        <f>F26</f>
        <v>5.1194999999999997E-2</v>
      </c>
      <c r="U18" s="2">
        <f t="shared" si="28"/>
        <v>1.129077460986591</v>
      </c>
      <c r="V18" s="2">
        <f>U18*10^6/R18</f>
        <v>327259.69524720969</v>
      </c>
      <c r="W18" s="2">
        <f>V18*T18</f>
        <v>16754.0600981809</v>
      </c>
      <c r="X18" s="2">
        <f t="shared" si="30"/>
        <v>310505.63514902879</v>
      </c>
      <c r="Y18" s="2">
        <f>U18*T18</f>
        <v>5.7803120615208523E-2</v>
      </c>
      <c r="Z18" s="2">
        <f t="shared" si="26"/>
        <v>1.0712743403713825</v>
      </c>
      <c r="AA18" s="2">
        <f t="shared" si="5"/>
        <v>1.129077460986591</v>
      </c>
      <c r="AB18" s="1"/>
      <c r="AC18" s="1"/>
      <c r="AD18" s="1"/>
      <c r="AE18" s="1"/>
      <c r="AF18" s="1"/>
      <c r="AG18" s="1"/>
      <c r="AH18" s="1"/>
    </row>
    <row r="19" spans="1:34" ht="68" x14ac:dyDescent="0.2">
      <c r="A19" s="87" t="s">
        <v>141</v>
      </c>
      <c r="B19" s="96" t="s">
        <v>175</v>
      </c>
      <c r="C19" s="96" t="s">
        <v>176</v>
      </c>
      <c r="D19" s="97" t="s">
        <v>177</v>
      </c>
      <c r="E19" s="98"/>
      <c r="F19" s="97" t="s">
        <v>136</v>
      </c>
      <c r="G19" s="9"/>
      <c r="H19" s="1"/>
      <c r="I19" s="1"/>
      <c r="J19" s="2" t="s">
        <v>171</v>
      </c>
      <c r="K19" s="2" t="s">
        <v>178</v>
      </c>
      <c r="L19" s="2">
        <v>0.55670000000000008</v>
      </c>
      <c r="M19" s="2">
        <f t="shared" si="29"/>
        <v>1.3224019208677731E-3</v>
      </c>
      <c r="N19" s="2">
        <f>B24</f>
        <v>260693</v>
      </c>
      <c r="O19" s="2">
        <f>L19*10^6/N19</f>
        <v>2.1354620185428841</v>
      </c>
      <c r="P19" s="2">
        <f>O19</f>
        <v>2.1354620185428841</v>
      </c>
      <c r="Q19" s="2">
        <v>1</v>
      </c>
      <c r="R19" s="2">
        <f>Q19*P19</f>
        <v>2.1354620185428841</v>
      </c>
      <c r="S19" s="2">
        <f>P19</f>
        <v>2.1354620185428841</v>
      </c>
      <c r="T19" s="2">
        <f>F24</f>
        <v>0.385299</v>
      </c>
      <c r="U19" s="2">
        <f>$D$7*M19</f>
        <v>7.075194198659554E-2</v>
      </c>
      <c r="V19" s="2">
        <f>U19*10^6/R19</f>
        <v>33131.91308121349</v>
      </c>
      <c r="W19" s="2">
        <f>V19*T19</f>
        <v>12765.692978278477</v>
      </c>
      <c r="X19" s="2">
        <f t="shared" si="30"/>
        <v>20366.220102935011</v>
      </c>
      <c r="Y19" s="2">
        <f>U19*T19</f>
        <v>2.7260652495493275E-2</v>
      </c>
      <c r="Z19" s="2">
        <f t="shared" si="26"/>
        <v>4.3491289491102259E-2</v>
      </c>
      <c r="AA19" s="2">
        <f t="shared" si="5"/>
        <v>7.075194198659554E-2</v>
      </c>
      <c r="AB19" s="1"/>
      <c r="AC19" s="1"/>
      <c r="AD19" s="1"/>
      <c r="AE19" s="1"/>
      <c r="AF19" s="1"/>
      <c r="AG19" s="1"/>
      <c r="AH19" s="1"/>
    </row>
    <row r="20" spans="1:34" ht="68" x14ac:dyDescent="0.2">
      <c r="A20" s="109" t="s">
        <v>147</v>
      </c>
      <c r="B20" s="86"/>
      <c r="C20" s="2">
        <f>slaughtered_producing_animals!H2</f>
        <v>564190</v>
      </c>
      <c r="D20" s="99"/>
      <c r="E20" s="91" t="s">
        <v>147</v>
      </c>
      <c r="F20" s="100">
        <f>organic_animals!O2</f>
        <v>0.16270999999999999</v>
      </c>
      <c r="G20" s="2"/>
      <c r="H20" s="1"/>
      <c r="I20" s="1"/>
      <c r="J20" s="2" t="s">
        <v>171</v>
      </c>
      <c r="K20" s="2" t="s">
        <v>179</v>
      </c>
      <c r="L20" s="2">
        <v>5.1930000000000004E-2</v>
      </c>
      <c r="M20" s="2">
        <f t="shared" si="29"/>
        <v>1.233560836189392E-4</v>
      </c>
      <c r="N20" s="86"/>
      <c r="O20" s="86"/>
      <c r="P20" s="86"/>
      <c r="Q20" s="86"/>
      <c r="R20" s="86"/>
      <c r="S20" s="86"/>
      <c r="T20" s="86"/>
      <c r="U20" s="2">
        <f t="shared" si="28"/>
        <v>6.5998712903968127E-3</v>
      </c>
      <c r="V20" s="86"/>
      <c r="W20" s="86"/>
      <c r="X20" s="86"/>
      <c r="Y20" s="86"/>
      <c r="Z20" s="2">
        <f t="shared" si="26"/>
        <v>6.5998712903968127E-3</v>
      </c>
      <c r="AA20" s="2">
        <f t="shared" si="5"/>
        <v>6.5998712903968127E-3</v>
      </c>
      <c r="AB20" s="1"/>
      <c r="AC20" s="1"/>
      <c r="AD20" s="1"/>
      <c r="AE20" s="1"/>
      <c r="AF20" s="1"/>
      <c r="AG20" s="1"/>
      <c r="AH20" s="1"/>
    </row>
    <row r="21" spans="1:34" ht="34" x14ac:dyDescent="0.2">
      <c r="A21" s="109" t="s">
        <v>150</v>
      </c>
      <c r="B21" s="2">
        <f>slaughtered_producing_animals!G3</f>
        <v>162686</v>
      </c>
      <c r="C21" s="86"/>
      <c r="D21" s="99"/>
      <c r="E21" s="91" t="s">
        <v>150</v>
      </c>
      <c r="F21" s="100">
        <f>organic_animals!O3</f>
        <v>0.24565699999999999</v>
      </c>
      <c r="G21" s="2"/>
      <c r="H21" s="1"/>
      <c r="I21" s="1"/>
      <c r="J21" s="2" t="s">
        <v>86</v>
      </c>
      <c r="K21" s="2" t="s">
        <v>180</v>
      </c>
      <c r="L21" s="2">
        <v>13.4</v>
      </c>
      <c r="M21" s="86"/>
      <c r="N21" s="2">
        <f>SUM(N8+N9+N10)</f>
        <v>627953</v>
      </c>
      <c r="O21" s="2">
        <f t="shared" ref="O21:O24" si="31">L21*10^6/N21</f>
        <v>21.339176658125687</v>
      </c>
      <c r="P21" s="2">
        <f t="shared" ref="P21:P24" si="32">O21</f>
        <v>21.339176658125687</v>
      </c>
      <c r="Q21" s="2">
        <v>1</v>
      </c>
      <c r="R21" s="2">
        <f>P21*Q21</f>
        <v>21.339176658125687</v>
      </c>
      <c r="S21" s="2">
        <f>P21</f>
        <v>21.339176658125687</v>
      </c>
      <c r="T21" s="2">
        <f>F21</f>
        <v>0.24565699999999999</v>
      </c>
      <c r="U21" s="86"/>
      <c r="V21" s="2">
        <f>V8+V9+V10</f>
        <v>79807.605939120927</v>
      </c>
      <c r="W21" s="2">
        <f>W8+W9+W10</f>
        <v>17318.374183823522</v>
      </c>
      <c r="X21" s="2">
        <f>X8+X9+X10</f>
        <v>62489.231755297405</v>
      </c>
      <c r="Y21" s="112"/>
      <c r="Z21" s="86"/>
      <c r="AA21" s="2">
        <f>R21*V21/10^6</f>
        <v>1.7030286017969822</v>
      </c>
      <c r="AB21" s="1"/>
      <c r="AC21" s="1"/>
      <c r="AD21" s="1"/>
      <c r="AE21" s="1"/>
      <c r="AF21" s="1"/>
      <c r="AG21" s="1"/>
      <c r="AH21" s="1"/>
    </row>
    <row r="22" spans="1:34" ht="34" x14ac:dyDescent="0.2">
      <c r="A22" s="109" t="s">
        <v>152</v>
      </c>
      <c r="B22" s="2">
        <f>slaughtered_producing_animals!G4</f>
        <v>217088</v>
      </c>
      <c r="C22" s="86"/>
      <c r="D22" s="99"/>
      <c r="E22" s="91" t="s">
        <v>152</v>
      </c>
      <c r="F22" s="100">
        <f>organic_animals!O4</f>
        <v>0.180946</v>
      </c>
      <c r="G22" s="2"/>
      <c r="H22" s="1"/>
      <c r="I22" s="1"/>
      <c r="J22" s="2" t="s">
        <v>86</v>
      </c>
      <c r="K22" s="2" t="s">
        <v>181</v>
      </c>
      <c r="L22" s="2">
        <v>11.8</v>
      </c>
      <c r="M22" s="86"/>
      <c r="N22" s="2">
        <f>N13</f>
        <v>2574989</v>
      </c>
      <c r="O22" s="2">
        <f t="shared" si="31"/>
        <v>4.5825438477601264</v>
      </c>
      <c r="P22" s="2">
        <f t="shared" si="32"/>
        <v>4.5825438477601264</v>
      </c>
      <c r="Q22" s="2">
        <v>1</v>
      </c>
      <c r="R22" s="2">
        <f t="shared" ref="R22:R24" si="33">P22*Q22</f>
        <v>4.5825438477601264</v>
      </c>
      <c r="S22" s="2">
        <f t="shared" ref="S22:S24" si="34">P22</f>
        <v>4.5825438477601264</v>
      </c>
      <c r="T22" s="2">
        <f>F26</f>
        <v>5.1194999999999997E-2</v>
      </c>
      <c r="U22" s="86"/>
      <c r="V22" s="2">
        <f>V13</f>
        <v>327259.69524720969</v>
      </c>
      <c r="W22" s="2">
        <f>W13</f>
        <v>16754.0600981809</v>
      </c>
      <c r="X22" s="2">
        <f t="shared" ref="X22" si="35">X13</f>
        <v>310505.63514902879</v>
      </c>
      <c r="Y22" s="112"/>
      <c r="Z22" s="112"/>
      <c r="AA22" s="2">
        <f t="shared" ref="AA22:AA24" si="36">R22*V22/10^6</f>
        <v>1.4996819030749546</v>
      </c>
      <c r="AB22" s="1"/>
      <c r="AC22" s="1"/>
      <c r="AD22" s="1"/>
      <c r="AE22" s="1"/>
      <c r="AF22" s="1"/>
      <c r="AG22" s="1"/>
      <c r="AH22" s="1"/>
    </row>
    <row r="23" spans="1:34" ht="34" x14ac:dyDescent="0.2">
      <c r="A23" s="109" t="s">
        <v>154</v>
      </c>
      <c r="B23" s="2">
        <f>slaughtered_producing_animals!G5</f>
        <v>248179</v>
      </c>
      <c r="C23" s="86"/>
      <c r="D23" s="99"/>
      <c r="E23" s="91" t="s">
        <v>154</v>
      </c>
      <c r="F23" s="100">
        <f>organic_animals!O5</f>
        <v>0.22975599999999999</v>
      </c>
      <c r="G23" s="2"/>
      <c r="H23" s="1"/>
      <c r="I23" s="1"/>
      <c r="J23" s="2" t="s">
        <v>86</v>
      </c>
      <c r="K23" s="2" t="s">
        <v>182</v>
      </c>
      <c r="L23" s="2">
        <f>18/10^3</f>
        <v>1.7999999999999999E-2</v>
      </c>
      <c r="M23" s="86"/>
      <c r="N23" s="2">
        <f>N12</f>
        <v>49531</v>
      </c>
      <c r="O23" s="2">
        <f t="shared" si="31"/>
        <v>0.36340877430296176</v>
      </c>
      <c r="P23" s="2">
        <f t="shared" si="32"/>
        <v>0.36340877430296176</v>
      </c>
      <c r="Q23" s="2">
        <v>1</v>
      </c>
      <c r="R23" s="2">
        <f t="shared" si="33"/>
        <v>0.36340877430296176</v>
      </c>
      <c r="S23" s="2">
        <f t="shared" si="34"/>
        <v>0.36340877430296176</v>
      </c>
      <c r="T23" s="2">
        <f>F25</f>
        <v>0.40120299999999998</v>
      </c>
      <c r="U23" s="86"/>
      <c r="V23" s="2">
        <f>V12</f>
        <v>6294.9783340004733</v>
      </c>
      <c r="W23" s="2">
        <f t="shared" ref="W23:X23" si="37">W12</f>
        <v>2525.5641925359919</v>
      </c>
      <c r="X23" s="2">
        <f t="shared" si="37"/>
        <v>3769.4141414644814</v>
      </c>
      <c r="Y23" s="112"/>
      <c r="Z23" s="112"/>
      <c r="AA23" s="2">
        <f t="shared" si="36"/>
        <v>2.287650360622812E-3</v>
      </c>
      <c r="AB23" s="1"/>
      <c r="AC23" s="1"/>
      <c r="AD23" s="1"/>
      <c r="AE23" s="1"/>
      <c r="AF23" s="1"/>
      <c r="AG23" s="1"/>
      <c r="AH23" s="1"/>
    </row>
    <row r="24" spans="1:34" ht="34" x14ac:dyDescent="0.2">
      <c r="A24" s="109" t="s">
        <v>183</v>
      </c>
      <c r="B24" s="2">
        <f>slaughtered_producing_animals!G6</f>
        <v>260693</v>
      </c>
      <c r="C24" s="2">
        <f>slaughtered_producing_animals!H6</f>
        <v>14476</v>
      </c>
      <c r="D24" s="99"/>
      <c r="E24" s="91" t="s">
        <v>183</v>
      </c>
      <c r="F24" s="100">
        <f>organic_animals!O6</f>
        <v>0.385299</v>
      </c>
      <c r="G24" s="2"/>
      <c r="H24" s="1"/>
      <c r="I24" s="1"/>
      <c r="J24" s="2" t="s">
        <v>86</v>
      </c>
      <c r="K24" s="2" t="s">
        <v>184</v>
      </c>
      <c r="L24" s="2">
        <v>0.27</v>
      </c>
      <c r="M24" s="86"/>
      <c r="N24" s="2">
        <f>N11</f>
        <v>260693</v>
      </c>
      <c r="O24" s="2">
        <f t="shared" si="31"/>
        <v>1.0357009969581079</v>
      </c>
      <c r="P24" s="2">
        <f t="shared" si="32"/>
        <v>1.0357009969581079</v>
      </c>
      <c r="Q24" s="2">
        <v>1</v>
      </c>
      <c r="R24" s="2">
        <f t="shared" si="33"/>
        <v>1.0357009969581079</v>
      </c>
      <c r="S24" s="2">
        <f t="shared" si="34"/>
        <v>1.0357009969581079</v>
      </c>
      <c r="T24" s="2">
        <f>F24</f>
        <v>0.385299</v>
      </c>
      <c r="U24" s="86"/>
      <c r="V24" s="2">
        <f>V11</f>
        <v>33131.913081213483</v>
      </c>
      <c r="W24" s="2">
        <f t="shared" ref="W24:X24" si="38">W11</f>
        <v>12765.692978278474</v>
      </c>
      <c r="X24" s="2">
        <f t="shared" si="38"/>
        <v>20366.220102935007</v>
      </c>
      <c r="Y24" s="112"/>
      <c r="Z24" s="112"/>
      <c r="AA24" s="2">
        <f t="shared" si="36"/>
        <v>3.4314755409342181E-2</v>
      </c>
      <c r="AB24" s="1"/>
      <c r="AC24" s="1"/>
      <c r="AD24" s="1"/>
      <c r="AE24" s="1"/>
      <c r="AF24" s="1"/>
      <c r="AG24" s="1"/>
      <c r="AH24" s="1"/>
    </row>
    <row r="25" spans="1:34" ht="17" customHeight="1" x14ac:dyDescent="0.2">
      <c r="A25" s="109" t="s">
        <v>185</v>
      </c>
      <c r="B25" s="2">
        <f>slaughtered_producing_animals!G7</f>
        <v>49531</v>
      </c>
      <c r="C25" s="2">
        <f>slaughtered_producing_animals!H7</f>
        <v>36821</v>
      </c>
      <c r="D25" s="99"/>
      <c r="E25" s="91" t="s">
        <v>185</v>
      </c>
      <c r="F25" s="100">
        <f>organic_animals!O7</f>
        <v>0.40120299999999998</v>
      </c>
      <c r="G25" s="2"/>
      <c r="H25" s="110"/>
      <c r="I25" s="1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"/>
      <c r="Z25" s="1"/>
      <c r="AA25" s="1">
        <f>SUM(AA21:AA24)</f>
        <v>3.2393129106419019</v>
      </c>
      <c r="AB25" s="1"/>
      <c r="AC25" s="1"/>
      <c r="AD25" s="1"/>
      <c r="AE25" s="1"/>
      <c r="AF25" s="1"/>
      <c r="AG25" s="1"/>
      <c r="AH25" s="1"/>
    </row>
    <row r="26" spans="1:34" ht="17" customHeight="1" x14ac:dyDescent="0.2">
      <c r="A26" s="109" t="s">
        <v>163</v>
      </c>
      <c r="B26" s="2">
        <f>slaughtered_producing_animals!G8</f>
        <v>2574989</v>
      </c>
      <c r="C26" s="86"/>
      <c r="D26" s="99"/>
      <c r="E26" s="91" t="s">
        <v>163</v>
      </c>
      <c r="F26" s="100">
        <f>organic_animals!O8</f>
        <v>5.1194999999999997E-2</v>
      </c>
      <c r="G26" s="2"/>
      <c r="H26" s="110"/>
      <c r="I26" s="1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ht="17" x14ac:dyDescent="0.2">
      <c r="A27" s="109" t="s">
        <v>167</v>
      </c>
      <c r="B27" s="2">
        <f>slaughtered_producing_animals!G9</f>
        <v>72361365</v>
      </c>
      <c r="C27" s="86"/>
      <c r="D27" s="99"/>
      <c r="E27" s="91" t="s">
        <v>167</v>
      </c>
      <c r="F27" s="100">
        <f>organic_animals!O9</f>
        <v>0.19509799999999999</v>
      </c>
      <c r="G27" s="2"/>
      <c r="H27" s="1"/>
      <c r="I27" s="1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ht="18" thickBot="1" x14ac:dyDescent="0.25">
      <c r="A28" s="109" t="s">
        <v>165</v>
      </c>
      <c r="B28" s="86"/>
      <c r="C28" s="86"/>
      <c r="D28" s="100">
        <f>slaughtered_producing_animals!I10</f>
        <v>3371329</v>
      </c>
      <c r="E28" s="94" t="s">
        <v>165</v>
      </c>
      <c r="F28" s="101">
        <f>organic_animals!O10</f>
        <v>0.33761799999999997</v>
      </c>
      <c r="G28" s="2"/>
      <c r="H28" s="1"/>
      <c r="I28" s="1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ht="17" x14ac:dyDescent="0.2">
      <c r="A29" s="109" t="s">
        <v>186</v>
      </c>
      <c r="B29" s="86"/>
      <c r="C29" s="86"/>
      <c r="D29" s="99"/>
      <c r="F29" s="2"/>
      <c r="G29" s="2"/>
      <c r="H29" s="1"/>
      <c r="I29" s="1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ht="17" x14ac:dyDescent="0.2">
      <c r="A30" s="109" t="s">
        <v>187</v>
      </c>
      <c r="B30" s="86"/>
      <c r="C30" s="86"/>
      <c r="D30" s="99"/>
      <c r="F30" s="2"/>
      <c r="G30" s="2"/>
      <c r="H30" s="1"/>
      <c r="I30" s="1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ht="17" x14ac:dyDescent="0.2">
      <c r="A31" s="109" t="s">
        <v>188</v>
      </c>
      <c r="B31" s="86"/>
      <c r="C31" s="86"/>
      <c r="D31" s="99"/>
      <c r="E31" s="2"/>
      <c r="F31" s="2"/>
      <c r="G31" s="2"/>
      <c r="H31" s="1"/>
      <c r="I31" s="1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ht="17" x14ac:dyDescent="0.2">
      <c r="A32" s="109" t="s">
        <v>189</v>
      </c>
      <c r="B32" s="86"/>
      <c r="C32" s="86"/>
      <c r="D32" s="99"/>
      <c r="E32" s="2"/>
      <c r="F32" s="2"/>
      <c r="G32" s="2"/>
      <c r="H32" s="1"/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ht="17" x14ac:dyDescent="0.2">
      <c r="A33" s="109" t="s">
        <v>190</v>
      </c>
      <c r="B33" s="86"/>
      <c r="C33" s="86"/>
      <c r="D33" s="99"/>
      <c r="E33" s="2"/>
      <c r="F33" s="2"/>
      <c r="G33" s="2"/>
      <c r="H33" s="1"/>
      <c r="I33" s="1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ht="17" x14ac:dyDescent="0.2">
      <c r="A34" s="109" t="s">
        <v>191</v>
      </c>
      <c r="B34" s="2">
        <f>slaughtered_producing_animals!G16</f>
        <v>2179</v>
      </c>
      <c r="C34" s="86"/>
      <c r="D34" s="99"/>
      <c r="E34" s="2"/>
      <c r="F34" s="2"/>
      <c r="G34" s="2"/>
      <c r="H34" s="1"/>
      <c r="I34" s="1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ht="17" x14ac:dyDescent="0.2">
      <c r="A35" s="109" t="s">
        <v>192</v>
      </c>
      <c r="B35" s="86"/>
      <c r="C35" s="86"/>
      <c r="D35" s="99"/>
      <c r="E35" s="2"/>
      <c r="F35" s="2"/>
      <c r="G35" s="2"/>
      <c r="H35" s="1"/>
      <c r="I35" s="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ht="17" x14ac:dyDescent="0.2">
      <c r="A36" s="109" t="s">
        <v>193</v>
      </c>
      <c r="B36" s="2">
        <f>slaughtered_producing_animals!G18</f>
        <v>110792</v>
      </c>
      <c r="C36" s="86"/>
      <c r="D36" s="99"/>
      <c r="E36" s="2"/>
      <c r="F36" s="2"/>
      <c r="G36" s="2"/>
      <c r="H36" s="1"/>
      <c r="I36" s="1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ht="17" x14ac:dyDescent="0.2">
      <c r="A37" s="109" t="s">
        <v>194</v>
      </c>
      <c r="B37" s="2">
        <f>slaughtered_producing_animals!G19</f>
        <v>93613</v>
      </c>
      <c r="C37" s="86"/>
      <c r="D37" s="99"/>
      <c r="E37" s="2"/>
      <c r="F37" s="2"/>
      <c r="G37" s="2"/>
      <c r="H37" s="1"/>
      <c r="I37" s="1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ht="17" x14ac:dyDescent="0.2">
      <c r="A38" s="109" t="s">
        <v>195</v>
      </c>
      <c r="B38" s="2">
        <f>slaughtered_producing_animals!G20</f>
        <v>43774</v>
      </c>
      <c r="C38" s="86"/>
      <c r="D38" s="99"/>
      <c r="F38" s="1"/>
      <c r="G38" s="1"/>
      <c r="H38" s="1"/>
      <c r="I38" s="1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ht="18" thickBot="1" x14ac:dyDescent="0.25">
      <c r="A39" s="111" t="s">
        <v>196</v>
      </c>
      <c r="B39" s="102">
        <f>slaughtered_producing_animals!G21</f>
        <v>162686</v>
      </c>
      <c r="C39" s="103"/>
      <c r="D39" s="104"/>
      <c r="F39" s="1"/>
      <c r="G3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83247-06A0-AB41-9AE8-D78A803766C4}">
  <dimension ref="A1:G12"/>
  <sheetViews>
    <sheetView zoomScale="125" workbookViewId="0">
      <selection activeCell="I16" sqref="I16"/>
    </sheetView>
  </sheetViews>
  <sheetFormatPr baseColWidth="10" defaultColWidth="11" defaultRowHeight="16" x14ac:dyDescent="0.2"/>
  <cols>
    <col min="1" max="1" width="16" customWidth="1"/>
    <col min="2" max="2" width="10.33203125" customWidth="1"/>
  </cols>
  <sheetData>
    <row r="1" spans="1:7" ht="68" x14ac:dyDescent="0.2">
      <c r="A1" s="87" t="s">
        <v>141</v>
      </c>
      <c r="B1" s="89" t="s">
        <v>197</v>
      </c>
      <c r="C1" s="88" t="s">
        <v>137</v>
      </c>
      <c r="D1" s="88" t="s">
        <v>138</v>
      </c>
      <c r="E1" s="88" t="s">
        <v>139</v>
      </c>
      <c r="F1" s="59" t="s">
        <v>198</v>
      </c>
      <c r="G1" s="59" t="s">
        <v>199</v>
      </c>
    </row>
    <row r="2" spans="1:7" ht="17" x14ac:dyDescent="0.2">
      <c r="A2" s="109" t="s">
        <v>147</v>
      </c>
      <c r="B2" s="2">
        <f>animal_production!AD2</f>
        <v>8</v>
      </c>
      <c r="C2">
        <f>animal_production!AE2</f>
        <v>277849.13355033146</v>
      </c>
      <c r="D2">
        <f>animal_production!AF2</f>
        <v>45208.832519974429</v>
      </c>
      <c r="E2">
        <f>animal_production!AG2</f>
        <v>232640.30103035702</v>
      </c>
      <c r="F2" s="122">
        <v>111.3040448</v>
      </c>
      <c r="G2">
        <f>IF(B2&lt;=1,F2*B2*C2,F2*C2)</f>
        <v>30925732.408327278</v>
      </c>
    </row>
    <row r="3" spans="1:7" ht="17" x14ac:dyDescent="0.2">
      <c r="A3" s="109" t="s">
        <v>150</v>
      </c>
      <c r="B3" s="2">
        <f>animal_production!AD3</f>
        <v>2</v>
      </c>
      <c r="C3">
        <f>animal_production!AE3</f>
        <v>20676.038142682381</v>
      </c>
      <c r="D3">
        <f>animal_production!AF3</f>
        <v>5079.2135020169253</v>
      </c>
      <c r="E3">
        <f>animal_production!AG3</f>
        <v>15596.824640665454</v>
      </c>
      <c r="F3" s="122">
        <v>85</v>
      </c>
      <c r="G3">
        <f t="shared" ref="G3:G12" si="0">IF(B3&lt;=1,F3*B3*C3,F3*C3)</f>
        <v>1757463.2421280025</v>
      </c>
    </row>
    <row r="4" spans="1:7" ht="34" x14ac:dyDescent="0.2">
      <c r="A4" s="109" t="s">
        <v>152</v>
      </c>
      <c r="B4" s="2">
        <f>animal_production!AD4</f>
        <v>0.6</v>
      </c>
      <c r="C4">
        <f>animal_production!AE4</f>
        <v>27590.08008260472</v>
      </c>
      <c r="D4">
        <f>animal_production!AF4</f>
        <v>4992.3146306269937</v>
      </c>
      <c r="E4">
        <f>animal_production!AG4</f>
        <v>22597.765451977724</v>
      </c>
      <c r="F4" s="122">
        <v>32.779280960000001</v>
      </c>
      <c r="G4">
        <f t="shared" si="0"/>
        <v>542629.79204196006</v>
      </c>
    </row>
    <row r="5" spans="1:7" ht="17" x14ac:dyDescent="0.2">
      <c r="A5" s="109" t="s">
        <v>154</v>
      </c>
      <c r="B5" s="2">
        <f>animal_production!AD5</f>
        <v>2</v>
      </c>
      <c r="C5">
        <f>animal_production!AE5</f>
        <v>31541.487713833831</v>
      </c>
      <c r="D5">
        <f>animal_production!AF5</f>
        <v>7246.8460511796056</v>
      </c>
      <c r="E5">
        <f>animal_production!AG5</f>
        <v>24294.641662654227</v>
      </c>
      <c r="F5" s="122">
        <v>85</v>
      </c>
      <c r="G5">
        <f t="shared" si="0"/>
        <v>2681026.4556758758</v>
      </c>
    </row>
    <row r="6" spans="1:7" ht="17" x14ac:dyDescent="0.2">
      <c r="A6" s="109" t="s">
        <v>155</v>
      </c>
      <c r="B6" s="2">
        <f>animal_production!AD6</f>
        <v>0.6</v>
      </c>
      <c r="C6">
        <f>animal_production!AE6</f>
        <v>33131.913081213483</v>
      </c>
      <c r="D6">
        <f>animal_production!AF6</f>
        <v>12765.692978278474</v>
      </c>
      <c r="E6">
        <f>animal_production!AG6</f>
        <v>20366.220102935007</v>
      </c>
      <c r="F6" s="1">
        <v>8.4700000000000006</v>
      </c>
      <c r="G6">
        <f t="shared" si="0"/>
        <v>168376.3822787269</v>
      </c>
    </row>
    <row r="7" spans="1:7" ht="17" x14ac:dyDescent="0.2">
      <c r="A7" s="109" t="s">
        <v>157</v>
      </c>
      <c r="B7" s="2">
        <f>animal_production!AD7</f>
        <v>4</v>
      </c>
      <c r="C7">
        <f>animal_production!AE7</f>
        <v>7129.0594609521577</v>
      </c>
      <c r="D7">
        <f>animal_production!AF7</f>
        <v>2746.8194812454053</v>
      </c>
      <c r="E7">
        <f>animal_production!AG7</f>
        <v>4382.2399797067519</v>
      </c>
      <c r="F7" s="1">
        <v>8.4700000000000006</v>
      </c>
      <c r="G7">
        <f t="shared" si="0"/>
        <v>60383.133634264777</v>
      </c>
    </row>
    <row r="8" spans="1:7" ht="17" x14ac:dyDescent="0.2">
      <c r="A8" s="109" t="s">
        <v>159</v>
      </c>
      <c r="B8" s="2">
        <f>animal_production!AD8</f>
        <v>0.13461538461538461</v>
      </c>
      <c r="C8">
        <f>animal_production!AE8</f>
        <v>6294.9783340004733</v>
      </c>
      <c r="D8">
        <f>animal_production!AF8</f>
        <v>2525.5641925359919</v>
      </c>
      <c r="E8">
        <f>animal_production!AG8</f>
        <v>3769.4141414644814</v>
      </c>
      <c r="F8" s="1">
        <v>11.38</v>
      </c>
      <c r="G8">
        <f t="shared" si="0"/>
        <v>9643.422578586109</v>
      </c>
    </row>
    <row r="9" spans="1:7" ht="17" x14ac:dyDescent="0.2">
      <c r="A9" s="109" t="s">
        <v>161</v>
      </c>
      <c r="B9" s="2">
        <f>animal_production!AD9</f>
        <v>4</v>
      </c>
      <c r="C9">
        <f>animal_production!AE9</f>
        <v>18133.400000809579</v>
      </c>
      <c r="D9">
        <f>animal_production!AF9</f>
        <v>7275.1744805248054</v>
      </c>
      <c r="E9">
        <f>animal_production!AG9</f>
        <v>10858.225520284774</v>
      </c>
      <c r="F9" s="1">
        <v>11.38</v>
      </c>
      <c r="G9">
        <f t="shared" si="0"/>
        <v>206358.09200921303</v>
      </c>
    </row>
    <row r="10" spans="1:7" ht="17" x14ac:dyDescent="0.2">
      <c r="A10" s="109" t="s">
        <v>163</v>
      </c>
      <c r="B10" s="2">
        <f>animal_production!AD10</f>
        <v>0.5</v>
      </c>
      <c r="C10">
        <f>animal_production!AE10</f>
        <v>327259.69524720969</v>
      </c>
      <c r="D10">
        <f>animal_production!AF10</f>
        <v>16754.0600981809</v>
      </c>
      <c r="E10">
        <f>animal_production!AG10</f>
        <v>310505.63514902879</v>
      </c>
      <c r="F10" s="1">
        <v>9.11</v>
      </c>
      <c r="G10">
        <f t="shared" si="0"/>
        <v>1490667.9118510401</v>
      </c>
    </row>
    <row r="11" spans="1:7" ht="17" x14ac:dyDescent="0.2">
      <c r="A11" s="109" t="s">
        <v>165</v>
      </c>
      <c r="B11" s="2">
        <f>animal_production!AD11</f>
        <v>1.4166666666666667</v>
      </c>
      <c r="C11">
        <f>animal_production!AE11</f>
        <v>1875619.7801991312</v>
      </c>
      <c r="D11">
        <f>animal_production!AF11</f>
        <v>633242.99895127025</v>
      </c>
      <c r="E11">
        <f>animal_production!AG11</f>
        <v>1242376.781247861</v>
      </c>
      <c r="F11" s="1">
        <v>0.47</v>
      </c>
      <c r="G11">
        <f t="shared" si="0"/>
        <v>881541.29669359163</v>
      </c>
    </row>
    <row r="12" spans="1:7" ht="17" x14ac:dyDescent="0.2">
      <c r="A12" s="109" t="s">
        <v>167</v>
      </c>
      <c r="B12" s="2">
        <f>animal_production!AD12</f>
        <v>9.5890410958904104E-2</v>
      </c>
      <c r="C12">
        <f>animal_production!AE12</f>
        <v>79644915.935304329</v>
      </c>
      <c r="D12">
        <f>animal_production!AF12</f>
        <v>15538563.809146004</v>
      </c>
      <c r="E12">
        <f>animal_production!AG12</f>
        <v>64106352.126158327</v>
      </c>
      <c r="F12" s="1">
        <v>0.47</v>
      </c>
      <c r="G12">
        <f t="shared" si="0"/>
        <v>3589476.3483171398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70280-CAF1-6640-983D-331C7F2933EA}">
  <dimension ref="A1:N41"/>
  <sheetViews>
    <sheetView zoomScale="125" workbookViewId="0">
      <selection activeCell="G1" sqref="G1"/>
    </sheetView>
  </sheetViews>
  <sheetFormatPr baseColWidth="10" defaultColWidth="11" defaultRowHeight="16" x14ac:dyDescent="0.2"/>
  <cols>
    <col min="1" max="1" width="33.6640625" style="21" customWidth="1"/>
    <col min="2" max="2" width="22.33203125" style="21" customWidth="1"/>
    <col min="3" max="3" width="19.1640625" style="21" customWidth="1"/>
    <col min="4" max="4" width="17" style="21" customWidth="1"/>
    <col min="5" max="5" width="10.83203125" style="21"/>
    <col min="6" max="6" width="17" customWidth="1"/>
    <col min="11" max="11" width="22.6640625" customWidth="1"/>
  </cols>
  <sheetData>
    <row r="1" spans="1:14" ht="96" x14ac:dyDescent="0.2">
      <c r="A1" s="22" t="s">
        <v>141</v>
      </c>
      <c r="B1" s="22" t="s">
        <v>200</v>
      </c>
      <c r="C1" s="22" t="s">
        <v>201</v>
      </c>
      <c r="D1" s="22" t="s">
        <v>202</v>
      </c>
      <c r="F1" s="65" t="s">
        <v>141</v>
      </c>
      <c r="G1" s="66" t="s">
        <v>175</v>
      </c>
      <c r="H1" s="66" t="s">
        <v>176</v>
      </c>
      <c r="I1" s="67" t="s">
        <v>177</v>
      </c>
      <c r="L1" s="22" t="s">
        <v>203</v>
      </c>
      <c r="M1" s="22" t="s">
        <v>204</v>
      </c>
      <c r="N1" s="22" t="s">
        <v>205</v>
      </c>
    </row>
    <row r="2" spans="1:14" x14ac:dyDescent="0.2">
      <c r="A2" s="23" t="s">
        <v>206</v>
      </c>
      <c r="B2" s="23">
        <v>44265</v>
      </c>
      <c r="C2" s="23" t="s">
        <v>207</v>
      </c>
      <c r="D2" s="23" t="s">
        <v>207</v>
      </c>
      <c r="F2" s="68" t="s">
        <v>147</v>
      </c>
      <c r="G2" s="4"/>
      <c r="H2">
        <f>D31</f>
        <v>564190</v>
      </c>
      <c r="I2" s="69"/>
      <c r="K2" t="s">
        <v>208</v>
      </c>
      <c r="L2">
        <v>564.19000000000005</v>
      </c>
      <c r="M2">
        <f>H2</f>
        <v>564190</v>
      </c>
      <c r="N2">
        <f>M2-L2*1000</f>
        <v>0</v>
      </c>
    </row>
    <row r="3" spans="1:14" x14ac:dyDescent="0.2">
      <c r="A3" s="23" t="s">
        <v>209</v>
      </c>
      <c r="B3" s="23">
        <v>425.15</v>
      </c>
      <c r="C3" s="23" t="s">
        <v>207</v>
      </c>
      <c r="D3" s="23" t="s">
        <v>207</v>
      </c>
      <c r="F3" s="68" t="s">
        <v>150</v>
      </c>
      <c r="G3" s="39">
        <f>G21</f>
        <v>162686</v>
      </c>
      <c r="H3" s="4"/>
      <c r="I3" s="69"/>
      <c r="K3" t="s">
        <v>210</v>
      </c>
      <c r="L3">
        <v>125.45399999999999</v>
      </c>
      <c r="M3">
        <f>G3</f>
        <v>162686</v>
      </c>
      <c r="N3">
        <f t="shared" ref="N3:N16" si="0">M3-L3*1000</f>
        <v>37232</v>
      </c>
    </row>
    <row r="4" spans="1:14" x14ac:dyDescent="0.2">
      <c r="A4" s="23" t="s">
        <v>180</v>
      </c>
      <c r="B4" s="23">
        <v>13427</v>
      </c>
      <c r="C4" s="23">
        <v>628644</v>
      </c>
      <c r="D4" s="23" t="s">
        <v>207</v>
      </c>
      <c r="F4" s="68" t="s">
        <v>152</v>
      </c>
      <c r="G4" s="39">
        <v>217088</v>
      </c>
      <c r="H4" s="4"/>
      <c r="I4" s="69"/>
      <c r="K4" t="s">
        <v>211</v>
      </c>
      <c r="L4">
        <v>853.70100000000002</v>
      </c>
      <c r="M4">
        <f>G4</f>
        <v>217088</v>
      </c>
      <c r="N4">
        <f t="shared" si="0"/>
        <v>-636613</v>
      </c>
    </row>
    <row r="5" spans="1:14" x14ac:dyDescent="0.2">
      <c r="A5" s="23" t="s">
        <v>212</v>
      </c>
      <c r="B5" s="23">
        <v>19708.95</v>
      </c>
      <c r="C5" s="23" t="s">
        <v>207</v>
      </c>
      <c r="D5" s="23" t="s">
        <v>207</v>
      </c>
      <c r="F5" s="68" t="s">
        <v>154</v>
      </c>
      <c r="G5" s="39">
        <f>G18+G19+G20</f>
        <v>248179</v>
      </c>
      <c r="H5" s="4"/>
      <c r="I5" s="69"/>
      <c r="K5" t="s">
        <v>183</v>
      </c>
      <c r="L5">
        <v>402.9564148</v>
      </c>
      <c r="M5">
        <f>G6+H6</f>
        <v>275169</v>
      </c>
      <c r="N5">
        <f t="shared" si="0"/>
        <v>-127787.41480000003</v>
      </c>
    </row>
    <row r="6" spans="1:14" x14ac:dyDescent="0.2">
      <c r="A6" s="23" t="s">
        <v>213</v>
      </c>
      <c r="B6" s="23">
        <v>191321</v>
      </c>
      <c r="C6" s="23" t="s">
        <v>207</v>
      </c>
      <c r="D6" s="23" t="s">
        <v>207</v>
      </c>
      <c r="F6" s="68" t="s">
        <v>183</v>
      </c>
      <c r="G6">
        <v>260693</v>
      </c>
      <c r="H6">
        <f>D33</f>
        <v>14476</v>
      </c>
      <c r="I6" s="69"/>
      <c r="K6" t="s">
        <v>214</v>
      </c>
      <c r="L6">
        <v>1501.111815</v>
      </c>
      <c r="M6">
        <f>G8</f>
        <v>2574989</v>
      </c>
      <c r="N6">
        <f t="shared" si="0"/>
        <v>1073877.1850000001</v>
      </c>
    </row>
    <row r="7" spans="1:14" x14ac:dyDescent="0.2">
      <c r="A7" s="23" t="s">
        <v>215</v>
      </c>
      <c r="B7" s="23">
        <v>37494.75</v>
      </c>
      <c r="C7" s="23" t="s">
        <v>207</v>
      </c>
      <c r="D7" s="23" t="s">
        <v>207</v>
      </c>
      <c r="F7" s="68" t="s">
        <v>185</v>
      </c>
      <c r="G7">
        <v>49531</v>
      </c>
      <c r="H7">
        <f>D32</f>
        <v>36821</v>
      </c>
      <c r="I7" s="69"/>
      <c r="K7" t="s">
        <v>216</v>
      </c>
      <c r="L7">
        <v>0.54100000000000004</v>
      </c>
      <c r="N7">
        <f t="shared" si="0"/>
        <v>-541</v>
      </c>
    </row>
    <row r="8" spans="1:14" ht="32" x14ac:dyDescent="0.2">
      <c r="A8" s="23" t="s">
        <v>172</v>
      </c>
      <c r="B8" s="23">
        <v>23291.73</v>
      </c>
      <c r="C8" s="23">
        <v>628644</v>
      </c>
      <c r="D8" s="23" t="s">
        <v>207</v>
      </c>
      <c r="F8" s="68" t="s">
        <v>163</v>
      </c>
      <c r="G8">
        <v>2574989</v>
      </c>
      <c r="H8" s="4"/>
      <c r="I8" s="69"/>
      <c r="K8" t="s">
        <v>217</v>
      </c>
      <c r="L8">
        <v>6.7389999999999999</v>
      </c>
      <c r="N8">
        <f t="shared" si="0"/>
        <v>-6739</v>
      </c>
    </row>
    <row r="9" spans="1:14" x14ac:dyDescent="0.2">
      <c r="A9" s="23" t="s">
        <v>173</v>
      </c>
      <c r="B9" s="23">
        <v>82.08</v>
      </c>
      <c r="C9" s="23">
        <v>39431</v>
      </c>
      <c r="D9" s="23" t="s">
        <v>207</v>
      </c>
      <c r="F9" s="68" t="s">
        <v>218</v>
      </c>
      <c r="G9" s="11">
        <v>72361365</v>
      </c>
      <c r="H9" s="4"/>
      <c r="I9" s="69"/>
      <c r="K9" t="s">
        <v>219</v>
      </c>
      <c r="L9">
        <v>6.391</v>
      </c>
      <c r="N9">
        <f t="shared" si="0"/>
        <v>-6391</v>
      </c>
    </row>
    <row r="10" spans="1:14" x14ac:dyDescent="0.2">
      <c r="A10" s="23" t="s">
        <v>174</v>
      </c>
      <c r="B10" s="23">
        <v>8883.9599999999991</v>
      </c>
      <c r="C10" s="23">
        <v>2568789</v>
      </c>
      <c r="D10" s="23" t="s">
        <v>207</v>
      </c>
      <c r="F10" s="68" t="s">
        <v>165</v>
      </c>
      <c r="G10" s="70"/>
      <c r="H10" s="4"/>
      <c r="I10" s="71">
        <v>3371329</v>
      </c>
      <c r="K10" t="s">
        <v>185</v>
      </c>
      <c r="L10">
        <v>91.021958929999997</v>
      </c>
      <c r="M10">
        <f>G7+H7</f>
        <v>86352</v>
      </c>
      <c r="N10">
        <f t="shared" si="0"/>
        <v>-4669.9589299999934</v>
      </c>
    </row>
    <row r="11" spans="1:14" ht="32" x14ac:dyDescent="0.2">
      <c r="A11" s="23" t="s">
        <v>178</v>
      </c>
      <c r="B11" s="23">
        <v>556.70000000000005</v>
      </c>
      <c r="C11" s="23">
        <v>242943</v>
      </c>
      <c r="D11" s="23" t="s">
        <v>207</v>
      </c>
      <c r="F11" s="68" t="s">
        <v>186</v>
      </c>
      <c r="G11" s="4"/>
      <c r="H11" s="4"/>
      <c r="I11" s="69"/>
      <c r="K11" t="s">
        <v>191</v>
      </c>
      <c r="L11">
        <v>45.905999999999999</v>
      </c>
      <c r="N11">
        <f t="shared" si="0"/>
        <v>-45906</v>
      </c>
    </row>
    <row r="12" spans="1:14" ht="32" x14ac:dyDescent="0.2">
      <c r="A12" s="23" t="s">
        <v>220</v>
      </c>
      <c r="B12" s="23">
        <v>51.93</v>
      </c>
      <c r="C12" s="23">
        <v>2179</v>
      </c>
      <c r="D12" s="23" t="s">
        <v>207</v>
      </c>
      <c r="F12" s="68" t="s">
        <v>187</v>
      </c>
      <c r="G12" s="4"/>
      <c r="H12" s="4"/>
      <c r="I12" s="69"/>
      <c r="K12" t="s">
        <v>221</v>
      </c>
      <c r="L12">
        <v>34.027999999999999</v>
      </c>
      <c r="N12">
        <f t="shared" si="0"/>
        <v>-34028</v>
      </c>
    </row>
    <row r="13" spans="1:14" x14ac:dyDescent="0.2">
      <c r="A13" s="23" t="s">
        <v>181</v>
      </c>
      <c r="B13" s="23">
        <v>11845.28</v>
      </c>
      <c r="C13" s="23">
        <v>2568789</v>
      </c>
      <c r="D13" s="23" t="s">
        <v>207</v>
      </c>
      <c r="F13" s="68" t="s">
        <v>188</v>
      </c>
      <c r="G13" s="4"/>
      <c r="H13" s="4"/>
      <c r="I13" s="69"/>
      <c r="K13" t="s">
        <v>222</v>
      </c>
      <c r="L13">
        <v>13983.85534</v>
      </c>
      <c r="M13" s="133">
        <f>G9+I10</f>
        <v>75732694</v>
      </c>
      <c r="N13">
        <f t="shared" si="0"/>
        <v>61748838.659999996</v>
      </c>
    </row>
    <row r="14" spans="1:14" x14ac:dyDescent="0.2">
      <c r="A14" s="23" t="s">
        <v>223</v>
      </c>
      <c r="B14" s="23">
        <v>1938</v>
      </c>
      <c r="C14" s="23" t="s">
        <v>207</v>
      </c>
      <c r="D14" s="23" t="s">
        <v>207</v>
      </c>
      <c r="F14" s="68" t="s">
        <v>189</v>
      </c>
      <c r="G14" s="4"/>
      <c r="H14" s="4"/>
      <c r="I14" s="69"/>
      <c r="K14" t="s">
        <v>224</v>
      </c>
      <c r="L14">
        <v>129.49126889999999</v>
      </c>
      <c r="N14">
        <f t="shared" si="0"/>
        <v>-129491.2689</v>
      </c>
    </row>
    <row r="15" spans="1:14" x14ac:dyDescent="0.2">
      <c r="A15" s="23" t="s">
        <v>182</v>
      </c>
      <c r="B15" s="23">
        <v>18.38</v>
      </c>
      <c r="C15" s="23">
        <v>39431</v>
      </c>
      <c r="D15" s="23" t="s">
        <v>207</v>
      </c>
      <c r="F15" s="68" t="s">
        <v>190</v>
      </c>
      <c r="G15" s="4"/>
      <c r="H15" s="4"/>
      <c r="I15" s="69"/>
      <c r="K15" t="s">
        <v>225</v>
      </c>
      <c r="L15">
        <v>21.77665</v>
      </c>
      <c r="N15">
        <f t="shared" si="0"/>
        <v>-21776.65</v>
      </c>
    </row>
    <row r="16" spans="1:14" x14ac:dyDescent="0.2">
      <c r="A16" s="23" t="s">
        <v>226</v>
      </c>
      <c r="B16" s="23">
        <v>60648</v>
      </c>
      <c r="C16" s="23" t="s">
        <v>207</v>
      </c>
      <c r="D16" s="23" t="s">
        <v>207</v>
      </c>
      <c r="F16" s="68" t="s">
        <v>191</v>
      </c>
      <c r="G16">
        <v>2179</v>
      </c>
      <c r="H16" s="4"/>
      <c r="I16" s="69"/>
      <c r="K16" t="s">
        <v>227</v>
      </c>
      <c r="L16">
        <v>107.7146189</v>
      </c>
      <c r="N16">
        <f t="shared" si="0"/>
        <v>-107714.6189</v>
      </c>
    </row>
    <row r="17" spans="1:9" x14ac:dyDescent="0.2">
      <c r="A17" s="23" t="s">
        <v>226</v>
      </c>
      <c r="B17" s="23">
        <v>1006757</v>
      </c>
      <c r="C17" s="23" t="s">
        <v>207</v>
      </c>
      <c r="D17" s="23" t="s">
        <v>207</v>
      </c>
      <c r="F17" s="68" t="s">
        <v>192</v>
      </c>
      <c r="G17" s="4"/>
      <c r="H17" s="4"/>
      <c r="I17" s="69"/>
    </row>
    <row r="18" spans="1:9" x14ac:dyDescent="0.2">
      <c r="A18" s="23" t="s">
        <v>228</v>
      </c>
      <c r="B18" s="23">
        <v>510</v>
      </c>
      <c r="C18" s="23">
        <v>2179</v>
      </c>
      <c r="D18" s="23" t="s">
        <v>207</v>
      </c>
      <c r="F18" s="68" t="s">
        <v>193</v>
      </c>
      <c r="G18">
        <v>110792</v>
      </c>
      <c r="H18" s="4"/>
      <c r="I18" s="69"/>
    </row>
    <row r="19" spans="1:9" ht="32" x14ac:dyDescent="0.2">
      <c r="A19" s="23" t="s">
        <v>229</v>
      </c>
      <c r="B19" s="23">
        <v>147971</v>
      </c>
      <c r="C19" s="23">
        <v>628644</v>
      </c>
      <c r="D19" s="23" t="s">
        <v>207</v>
      </c>
      <c r="F19" s="68" t="s">
        <v>194</v>
      </c>
      <c r="G19">
        <v>93613</v>
      </c>
      <c r="H19" s="4"/>
      <c r="I19" s="69"/>
    </row>
    <row r="20" spans="1:9" x14ac:dyDescent="0.2">
      <c r="A20" s="23" t="s">
        <v>230</v>
      </c>
      <c r="B20" s="23">
        <v>98900</v>
      </c>
      <c r="C20" s="23">
        <v>73719</v>
      </c>
      <c r="D20" s="23" t="s">
        <v>207</v>
      </c>
      <c r="F20" s="68" t="s">
        <v>195</v>
      </c>
      <c r="G20">
        <v>43774</v>
      </c>
      <c r="H20" s="4"/>
      <c r="I20" s="69"/>
    </row>
    <row r="21" spans="1:9" ht="17" thickBot="1" x14ac:dyDescent="0.25">
      <c r="A21" s="23" t="s">
        <v>166</v>
      </c>
      <c r="B21" s="23">
        <v>539</v>
      </c>
      <c r="C21" s="23">
        <v>39431</v>
      </c>
      <c r="D21" s="23" t="s">
        <v>207</v>
      </c>
      <c r="F21" s="72" t="s">
        <v>196</v>
      </c>
      <c r="G21" s="54">
        <v>162686</v>
      </c>
      <c r="H21" s="73"/>
      <c r="I21" s="74"/>
    </row>
    <row r="22" spans="1:9" x14ac:dyDescent="0.2">
      <c r="A22" s="23" t="s">
        <v>231</v>
      </c>
      <c r="B22" s="23">
        <v>230983</v>
      </c>
      <c r="C22" s="23">
        <v>2568789</v>
      </c>
      <c r="D22" s="23" t="s">
        <v>207</v>
      </c>
    </row>
    <row r="23" spans="1:9" x14ac:dyDescent="0.2">
      <c r="A23" s="23" t="s">
        <v>232</v>
      </c>
      <c r="B23" s="23">
        <v>827</v>
      </c>
      <c r="C23" s="23">
        <v>1049</v>
      </c>
      <c r="D23" s="23" t="s">
        <v>207</v>
      </c>
    </row>
    <row r="24" spans="1:9" x14ac:dyDescent="0.2">
      <c r="A24" s="23" t="s">
        <v>164</v>
      </c>
      <c r="B24" s="23">
        <v>5567</v>
      </c>
      <c r="C24" s="23">
        <v>242943</v>
      </c>
      <c r="D24" s="23" t="s">
        <v>207</v>
      </c>
    </row>
    <row r="25" spans="1:9" x14ac:dyDescent="0.2">
      <c r="A25" s="23" t="s">
        <v>233</v>
      </c>
      <c r="B25" s="23">
        <v>1932</v>
      </c>
      <c r="C25" s="23">
        <v>364</v>
      </c>
      <c r="D25" s="23" t="s">
        <v>207</v>
      </c>
    </row>
    <row r="26" spans="1:9" x14ac:dyDescent="0.2">
      <c r="A26" s="23" t="s">
        <v>234</v>
      </c>
      <c r="B26" s="23">
        <v>4005</v>
      </c>
      <c r="C26" s="23" t="s">
        <v>207</v>
      </c>
      <c r="D26" s="23" t="s">
        <v>207</v>
      </c>
    </row>
    <row r="27" spans="1:9" x14ac:dyDescent="0.2">
      <c r="A27" s="23" t="s">
        <v>235</v>
      </c>
      <c r="B27" s="23">
        <v>7281.6</v>
      </c>
      <c r="C27" s="23" t="s">
        <v>207</v>
      </c>
      <c r="D27" s="23" t="s">
        <v>207</v>
      </c>
    </row>
    <row r="28" spans="1:9" x14ac:dyDescent="0.2">
      <c r="A28" s="23" t="s">
        <v>236</v>
      </c>
      <c r="B28" s="23">
        <v>18633.39</v>
      </c>
      <c r="C28" s="23">
        <v>628644</v>
      </c>
      <c r="D28" s="23" t="s">
        <v>207</v>
      </c>
    </row>
    <row r="29" spans="1:9" x14ac:dyDescent="0.2">
      <c r="A29" s="23" t="s">
        <v>237</v>
      </c>
      <c r="B29" s="23">
        <v>51.45</v>
      </c>
      <c r="C29" s="23">
        <v>39431</v>
      </c>
      <c r="D29" s="23" t="s">
        <v>207</v>
      </c>
    </row>
    <row r="30" spans="1:9" x14ac:dyDescent="0.2">
      <c r="A30" s="23" t="s">
        <v>238</v>
      </c>
      <c r="B30" s="23">
        <v>974.23</v>
      </c>
      <c r="C30" s="23">
        <v>242943</v>
      </c>
      <c r="D30" s="23" t="s">
        <v>207</v>
      </c>
    </row>
    <row r="31" spans="1:9" x14ac:dyDescent="0.2">
      <c r="A31" s="23" t="s">
        <v>149</v>
      </c>
      <c r="B31" s="23">
        <v>3913000</v>
      </c>
      <c r="C31" s="23" t="s">
        <v>207</v>
      </c>
      <c r="D31" s="23">
        <v>564190</v>
      </c>
    </row>
    <row r="32" spans="1:9" x14ac:dyDescent="0.2">
      <c r="A32" s="23" t="s">
        <v>239</v>
      </c>
      <c r="B32" s="23">
        <v>23200</v>
      </c>
      <c r="C32" s="23" t="s">
        <v>207</v>
      </c>
      <c r="D32" s="23">
        <v>36821</v>
      </c>
    </row>
    <row r="33" spans="1:4" x14ac:dyDescent="0.2">
      <c r="A33" s="23" t="s">
        <v>151</v>
      </c>
      <c r="B33" s="23">
        <v>6500</v>
      </c>
      <c r="C33" s="23" t="s">
        <v>207</v>
      </c>
      <c r="D33" s="23">
        <v>14476</v>
      </c>
    </row>
    <row r="34" spans="1:4" x14ac:dyDescent="0.2">
      <c r="A34" s="23" t="s">
        <v>184</v>
      </c>
      <c r="B34" s="23">
        <v>265.7</v>
      </c>
      <c r="C34" s="23">
        <v>242943</v>
      </c>
      <c r="D34" s="23" t="s">
        <v>207</v>
      </c>
    </row>
    <row r="35" spans="1:4" ht="32" x14ac:dyDescent="0.2">
      <c r="A35" s="23" t="s">
        <v>240</v>
      </c>
      <c r="B35" s="23">
        <v>718</v>
      </c>
      <c r="C35" s="23" t="s">
        <v>207</v>
      </c>
      <c r="D35" s="23" t="s">
        <v>207</v>
      </c>
    </row>
    <row r="36" spans="1:4" x14ac:dyDescent="0.2">
      <c r="A36" s="23" t="s">
        <v>241</v>
      </c>
      <c r="B36" s="23">
        <v>23268.84</v>
      </c>
      <c r="C36" s="23" t="s">
        <v>207</v>
      </c>
      <c r="D36" s="23" t="s">
        <v>207</v>
      </c>
    </row>
    <row r="37" spans="1:4" x14ac:dyDescent="0.2">
      <c r="A37" s="23" t="s">
        <v>242</v>
      </c>
      <c r="B37" s="23">
        <v>766813.9</v>
      </c>
      <c r="C37" s="23" t="s">
        <v>207</v>
      </c>
      <c r="D37" s="23" t="s">
        <v>207</v>
      </c>
    </row>
    <row r="38" spans="1:4" x14ac:dyDescent="0.2">
      <c r="A38" s="23" t="s">
        <v>243</v>
      </c>
      <c r="B38" s="23">
        <v>10800</v>
      </c>
      <c r="C38" s="23" t="s">
        <v>207</v>
      </c>
      <c r="D38" s="23" t="s">
        <v>207</v>
      </c>
    </row>
    <row r="39" spans="1:4" x14ac:dyDescent="0.2">
      <c r="A39" s="23" t="s">
        <v>244</v>
      </c>
      <c r="B39" s="23">
        <v>58000</v>
      </c>
      <c r="C39" s="23" t="s">
        <v>207</v>
      </c>
      <c r="D39" s="23" t="s">
        <v>207</v>
      </c>
    </row>
    <row r="40" spans="1:4" x14ac:dyDescent="0.2">
      <c r="A40" s="23" t="s">
        <v>245</v>
      </c>
      <c r="B40" s="23">
        <v>22180.2</v>
      </c>
      <c r="C40" s="23" t="s">
        <v>207</v>
      </c>
      <c r="D40" s="23" t="s">
        <v>207</v>
      </c>
    </row>
    <row r="41" spans="1:4" x14ac:dyDescent="0.2">
      <c r="A41" s="23" t="s">
        <v>246</v>
      </c>
      <c r="B41" s="23">
        <v>3724.83</v>
      </c>
      <c r="C41" s="23" t="s">
        <v>207</v>
      </c>
      <c r="D41" s="23" t="s">
        <v>207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0F986-3E65-F740-A6F1-C3E271C85FB0}">
  <dimension ref="A1:AJ28"/>
  <sheetViews>
    <sheetView topLeftCell="O1" zoomScale="89" workbookViewId="0">
      <selection activeCell="AB6" sqref="AB6"/>
    </sheetView>
  </sheetViews>
  <sheetFormatPr baseColWidth="10" defaultColWidth="11" defaultRowHeight="16" x14ac:dyDescent="0.2"/>
  <cols>
    <col min="1" max="1" width="13.6640625" customWidth="1"/>
    <col min="7" max="7" width="12.5" customWidth="1"/>
    <col min="8" max="8" width="11.6640625" bestFit="1" customWidth="1"/>
    <col min="11" max="15" width="11" bestFit="1" customWidth="1"/>
    <col min="18" max="18" width="15.1640625" customWidth="1"/>
    <col min="19" max="19" width="17.33203125" customWidth="1"/>
    <col min="20" max="20" width="18" customWidth="1"/>
    <col min="23" max="23" width="17.33203125" customWidth="1"/>
    <col min="24" max="24" width="19.33203125" customWidth="1"/>
    <col min="25" max="26" width="12.83203125" bestFit="1" customWidth="1"/>
    <col min="27" max="30" width="12.83203125" customWidth="1"/>
    <col min="32" max="32" width="15.1640625" customWidth="1"/>
    <col min="33" max="33" width="11.83203125" customWidth="1"/>
  </cols>
  <sheetData>
    <row r="1" spans="1:36" ht="86" thickBot="1" x14ac:dyDescent="0.25">
      <c r="A1" s="42" t="s">
        <v>141</v>
      </c>
      <c r="B1" s="43" t="s">
        <v>137</v>
      </c>
      <c r="C1" s="43" t="s">
        <v>138</v>
      </c>
      <c r="D1" s="43" t="s">
        <v>139</v>
      </c>
      <c r="E1" s="44" t="s">
        <v>130</v>
      </c>
      <c r="R1" s="87" t="s">
        <v>247</v>
      </c>
      <c r="S1" s="81" t="s">
        <v>248</v>
      </c>
      <c r="T1" s="58" t="s">
        <v>249</v>
      </c>
      <c r="U1" s="58"/>
      <c r="V1" s="131" t="s">
        <v>28</v>
      </c>
      <c r="W1" s="123" t="s">
        <v>33</v>
      </c>
      <c r="X1" s="124" t="s">
        <v>89</v>
      </c>
      <c r="Y1" s="124" t="s">
        <v>91</v>
      </c>
      <c r="Z1" s="125" t="s">
        <v>250</v>
      </c>
      <c r="AA1" s="124" t="s">
        <v>251</v>
      </c>
      <c r="AB1" s="124" t="s">
        <v>252</v>
      </c>
      <c r="AC1" s="177" t="s">
        <v>93</v>
      </c>
      <c r="AD1" s="126" t="s">
        <v>253</v>
      </c>
      <c r="AF1" s="28" t="s">
        <v>34</v>
      </c>
      <c r="AG1" s="38" t="s">
        <v>250</v>
      </c>
      <c r="AH1" s="28" t="s">
        <v>251</v>
      </c>
      <c r="AI1" s="28" t="s">
        <v>254</v>
      </c>
      <c r="AJ1" s="28" t="s">
        <v>253</v>
      </c>
    </row>
    <row r="2" spans="1:36" ht="17" x14ac:dyDescent="0.2">
      <c r="A2" s="75" t="s">
        <v>147</v>
      </c>
      <c r="B2" s="57">
        <f>animal_production!AE2</f>
        <v>277849.13355033146</v>
      </c>
      <c r="C2" s="57">
        <f>animal_production!AF2</f>
        <v>45208.832519974429</v>
      </c>
      <c r="D2" s="57">
        <f>animal_production!AG2</f>
        <v>232640.30103035702</v>
      </c>
      <c r="E2" s="76">
        <f>animal_production!C20</f>
        <v>564190</v>
      </c>
      <c r="R2" s="91">
        <v>2018</v>
      </c>
      <c r="S2" s="132">
        <f>feed!F20</f>
        <v>0.60099999999999998</v>
      </c>
      <c r="T2" s="1">
        <f>2371-684</f>
        <v>1687</v>
      </c>
      <c r="U2" s="1"/>
      <c r="V2" s="1"/>
      <c r="W2" s="109" t="s">
        <v>111</v>
      </c>
      <c r="X2" s="2" t="s">
        <v>111</v>
      </c>
      <c r="Y2" s="2">
        <f>T23</f>
        <v>0</v>
      </c>
      <c r="Z2" s="2">
        <f t="shared" ref="Z2:Z26" si="0">Y2*$S$3*10^3</f>
        <v>0</v>
      </c>
      <c r="AA2" s="2">
        <v>0.73</v>
      </c>
      <c r="AB2" s="2">
        <f>food_needed_2050!V14</f>
        <v>1.4705882352941176E-2</v>
      </c>
      <c r="AC2" s="2">
        <f>AA2*Z2/(1-AB2)</f>
        <v>0</v>
      </c>
      <c r="AD2" s="100">
        <f>Z2*(1-AA2)</f>
        <v>0</v>
      </c>
      <c r="AF2" s="3" t="s">
        <v>56</v>
      </c>
      <c r="AG2">
        <v>0</v>
      </c>
      <c r="AH2">
        <v>0.73</v>
      </c>
      <c r="AI2">
        <f>AG2*AH2</f>
        <v>0</v>
      </c>
      <c r="AJ2">
        <f>AG2*(1-AH2)</f>
        <v>0</v>
      </c>
    </row>
    <row r="3" spans="1:36" ht="35" thickBot="1" x14ac:dyDescent="0.25">
      <c r="A3" s="75" t="s">
        <v>150</v>
      </c>
      <c r="B3" s="57">
        <f>animal_production!AE3</f>
        <v>20676.038142682381</v>
      </c>
      <c r="C3" s="57">
        <f>animal_production!AF3</f>
        <v>5079.2135020169253</v>
      </c>
      <c r="D3" s="57">
        <f>animal_production!AG3</f>
        <v>15596.824640665454</v>
      </c>
      <c r="E3" s="76">
        <f>animal_production!B21</f>
        <v>162686</v>
      </c>
      <c r="R3" s="94">
        <v>2050</v>
      </c>
      <c r="S3" s="108">
        <f>feed!F21</f>
        <v>9.295435598071064E-2</v>
      </c>
      <c r="T3" s="1"/>
      <c r="U3" s="1"/>
      <c r="V3" s="1"/>
      <c r="W3" s="109" t="s">
        <v>105</v>
      </c>
      <c r="X3" s="2" t="s">
        <v>106</v>
      </c>
      <c r="Y3" s="2">
        <f>T7</f>
        <v>4.4457617071724957E-2</v>
      </c>
      <c r="Z3" s="2">
        <f t="shared" si="0"/>
        <v>4.1325291633392398</v>
      </c>
      <c r="AA3" s="2">
        <v>0.73</v>
      </c>
      <c r="AB3" s="2">
        <f>food_needed_2050!V15</f>
        <v>1.1224489795918367E-2</v>
      </c>
      <c r="AC3" s="2">
        <f>AA3*Z3/(1-AB3)</f>
        <v>3.0509921191464313</v>
      </c>
      <c r="AD3" s="100">
        <f t="shared" ref="AD3:AD26" si="1">Z3*(1-AA3)</f>
        <v>1.1157828741015947</v>
      </c>
      <c r="AF3" s="3" t="s">
        <v>58</v>
      </c>
      <c r="AG3">
        <v>0</v>
      </c>
      <c r="AH3">
        <v>0.73</v>
      </c>
      <c r="AI3">
        <f t="shared" ref="AI3:AI18" si="2">AG3*AH3</f>
        <v>0</v>
      </c>
      <c r="AJ3">
        <f t="shared" ref="AJ3:AJ18" si="3">AG3*(1-AH3)</f>
        <v>0</v>
      </c>
    </row>
    <row r="4" spans="1:36" ht="33" thickBot="1" x14ac:dyDescent="0.25">
      <c r="A4" s="75" t="s">
        <v>152</v>
      </c>
      <c r="B4" s="57">
        <f>animal_production!AE4</f>
        <v>27590.08008260472</v>
      </c>
      <c r="C4" s="57">
        <f>animal_production!AF4</f>
        <v>4992.3146306269937</v>
      </c>
      <c r="D4" s="57">
        <f>animal_production!AG4</f>
        <v>22597.765451977724</v>
      </c>
      <c r="E4" s="76">
        <f>animal_production!B22</f>
        <v>217088</v>
      </c>
      <c r="R4" s="1"/>
      <c r="S4" s="1"/>
      <c r="T4" s="1"/>
      <c r="U4" s="1"/>
      <c r="V4" s="1"/>
      <c r="W4" s="109" t="s">
        <v>78</v>
      </c>
      <c r="X4" s="2" t="s">
        <v>107</v>
      </c>
      <c r="Y4" s="2">
        <f>T8</f>
        <v>1.7783046828689982E-3</v>
      </c>
      <c r="Z4" s="2">
        <f t="shared" si="0"/>
        <v>0.16530116653356958</v>
      </c>
      <c r="AA4" s="2">
        <v>0.73</v>
      </c>
      <c r="AB4" s="2">
        <f>food_needed_2050!V16</f>
        <v>1.5449438202247191E-2</v>
      </c>
      <c r="AC4" s="2">
        <f t="shared" ref="AC4:AC26" si="4">AA4*Z4/(1-AB4)</f>
        <v>0.12256338704349233</v>
      </c>
      <c r="AD4" s="100">
        <f t="shared" si="1"/>
        <v>4.4631314964063785E-2</v>
      </c>
      <c r="AF4" s="3" t="s">
        <v>61</v>
      </c>
      <c r="AG4">
        <f>Z5</f>
        <v>0</v>
      </c>
      <c r="AH4">
        <v>0.73</v>
      </c>
      <c r="AI4">
        <f t="shared" si="2"/>
        <v>0</v>
      </c>
      <c r="AJ4">
        <f t="shared" si="3"/>
        <v>0</v>
      </c>
    </row>
    <row r="5" spans="1:36" ht="34" x14ac:dyDescent="0.2">
      <c r="A5" s="75" t="s">
        <v>154</v>
      </c>
      <c r="B5" s="57">
        <f>animal_production!AE5</f>
        <v>31541.487713833831</v>
      </c>
      <c r="C5" s="57">
        <f>animal_production!AF5</f>
        <v>7246.8460511796056</v>
      </c>
      <c r="D5" s="57">
        <f>animal_production!AG5</f>
        <v>24294.641662654227</v>
      </c>
      <c r="E5" s="76">
        <f>animal_production!B23</f>
        <v>248179</v>
      </c>
      <c r="R5" s="130"/>
      <c r="S5" s="89" t="s">
        <v>255</v>
      </c>
      <c r="T5" s="90" t="s">
        <v>256</v>
      </c>
      <c r="U5" s="24"/>
      <c r="V5" s="1"/>
      <c r="W5" s="109" t="s">
        <v>60</v>
      </c>
      <c r="X5" s="2" t="s">
        <v>108</v>
      </c>
      <c r="Y5" s="2">
        <v>0</v>
      </c>
      <c r="Z5" s="2">
        <f t="shared" si="0"/>
        <v>0</v>
      </c>
      <c r="AA5" s="2">
        <v>0.73</v>
      </c>
      <c r="AB5" s="2">
        <f>food_needed_2050!V4</f>
        <v>0</v>
      </c>
      <c r="AC5" s="2">
        <f t="shared" si="4"/>
        <v>0</v>
      </c>
      <c r="AD5" s="100">
        <f t="shared" si="1"/>
        <v>0</v>
      </c>
      <c r="AF5" s="3" t="s">
        <v>57</v>
      </c>
      <c r="AG5">
        <f>Z8+Z9</f>
        <v>0.33060233306713915</v>
      </c>
      <c r="AH5">
        <v>0.73</v>
      </c>
      <c r="AI5">
        <f t="shared" si="2"/>
        <v>0.24133970313901157</v>
      </c>
      <c r="AJ5">
        <f t="shared" si="3"/>
        <v>8.9262629928127571E-2</v>
      </c>
    </row>
    <row r="6" spans="1:36" ht="34" x14ac:dyDescent="0.2">
      <c r="A6" s="75" t="s">
        <v>183</v>
      </c>
      <c r="B6" s="57">
        <f>animal_production!AE6</f>
        <v>33131.913081213483</v>
      </c>
      <c r="C6" s="57">
        <f>animal_production!AF6</f>
        <v>12765.692978278474</v>
      </c>
      <c r="D6" s="57">
        <f>animal_production!AG6</f>
        <v>20366.220102935007</v>
      </c>
      <c r="E6" s="76">
        <f>animal_production!B24</f>
        <v>260693</v>
      </c>
      <c r="R6" s="109" t="s">
        <v>257</v>
      </c>
      <c r="S6" s="2">
        <v>888</v>
      </c>
      <c r="T6" s="99">
        <v>0</v>
      </c>
      <c r="U6" s="1"/>
      <c r="V6" s="1"/>
      <c r="W6" s="109" t="s">
        <v>75</v>
      </c>
      <c r="X6" s="2" t="s">
        <v>109</v>
      </c>
      <c r="Y6" s="2">
        <f>T21</f>
        <v>2.3710729104919974E-3</v>
      </c>
      <c r="Z6" s="2">
        <f t="shared" si="0"/>
        <v>0.22040155537809278</v>
      </c>
      <c r="AA6" s="2">
        <v>0.73</v>
      </c>
      <c r="AB6" s="2">
        <f>food_needed_2050!V14</f>
        <v>1.4705882352941176E-2</v>
      </c>
      <c r="AC6" s="2">
        <f t="shared" si="4"/>
        <v>0.16329452550699292</v>
      </c>
      <c r="AD6" s="100">
        <f t="shared" si="1"/>
        <v>5.9508419952085057E-2</v>
      </c>
      <c r="AF6" s="3" t="s">
        <v>59</v>
      </c>
      <c r="AG6">
        <f>Z24</f>
        <v>37.688665969653869</v>
      </c>
      <c r="AH6">
        <v>0</v>
      </c>
      <c r="AI6">
        <f t="shared" si="2"/>
        <v>0</v>
      </c>
      <c r="AJ6">
        <f t="shared" si="3"/>
        <v>37.688665969653869</v>
      </c>
    </row>
    <row r="7" spans="1:36" ht="34" x14ac:dyDescent="0.2">
      <c r="A7" s="75" t="s">
        <v>185</v>
      </c>
      <c r="B7" s="57">
        <f>animal_production!AE8</f>
        <v>6294.9783340004733</v>
      </c>
      <c r="C7" s="57">
        <f>animal_production!AF8</f>
        <v>2525.5641925359919</v>
      </c>
      <c r="D7" s="57">
        <f>animal_production!AG8</f>
        <v>3769.4141414644814</v>
      </c>
      <c r="E7" s="76">
        <f>animal_production!B25</f>
        <v>49531</v>
      </c>
      <c r="R7" s="109" t="s">
        <v>258</v>
      </c>
      <c r="S7" s="2">
        <v>75</v>
      </c>
      <c r="T7" s="100">
        <f>S7/$T$2</f>
        <v>4.4457617071724957E-2</v>
      </c>
      <c r="U7" s="1"/>
      <c r="V7" s="1"/>
      <c r="W7" s="109" t="s">
        <v>75</v>
      </c>
      <c r="X7" s="2" t="s">
        <v>110</v>
      </c>
      <c r="Y7" s="2">
        <f>T22</f>
        <v>8.8915234143449907E-3</v>
      </c>
      <c r="Z7" s="2">
        <f t="shared" si="0"/>
        <v>0.82650583266784805</v>
      </c>
      <c r="AA7" s="2">
        <v>0.73</v>
      </c>
      <c r="AB7" s="2">
        <f>food_needed_2050!V14</f>
        <v>1.4705882352941176E-2</v>
      </c>
      <c r="AC7" s="2">
        <f t="shared" si="4"/>
        <v>0.6123544706512235</v>
      </c>
      <c r="AD7" s="100">
        <f t="shared" si="1"/>
        <v>0.22315657482031898</v>
      </c>
      <c r="AF7" s="3" t="s">
        <v>259</v>
      </c>
      <c r="AG7">
        <v>0</v>
      </c>
      <c r="AH7">
        <v>0.73</v>
      </c>
      <c r="AI7">
        <f t="shared" si="2"/>
        <v>0</v>
      </c>
      <c r="AJ7">
        <f t="shared" si="3"/>
        <v>0</v>
      </c>
    </row>
    <row r="8" spans="1:36" ht="34" x14ac:dyDescent="0.2">
      <c r="A8" s="75" t="s">
        <v>163</v>
      </c>
      <c r="B8" s="57">
        <f>animal_production!AE10</f>
        <v>327259.69524720969</v>
      </c>
      <c r="C8" s="57">
        <f>animal_production!AF10</f>
        <v>16754.0600981809</v>
      </c>
      <c r="D8" s="57">
        <f>animal_production!AG10</f>
        <v>310505.63514902879</v>
      </c>
      <c r="E8" s="76">
        <f>animal_production!B26</f>
        <v>2574989</v>
      </c>
      <c r="R8" s="109" t="s">
        <v>260</v>
      </c>
      <c r="S8" s="2">
        <v>3</v>
      </c>
      <c r="T8" s="100">
        <f>S8/$T$2</f>
        <v>1.7783046828689982E-3</v>
      </c>
      <c r="U8" s="1"/>
      <c r="V8" s="1"/>
      <c r="W8" s="109" t="s">
        <v>112</v>
      </c>
      <c r="X8" s="2" t="s">
        <v>113</v>
      </c>
      <c r="Y8" s="2">
        <f>T24</f>
        <v>1.7783046828689982E-3</v>
      </c>
      <c r="Z8" s="2">
        <f t="shared" si="0"/>
        <v>0.16530116653356958</v>
      </c>
      <c r="AA8" s="2">
        <v>0.73</v>
      </c>
      <c r="AB8" s="2">
        <f>food_needed_2050!V2</f>
        <v>1.179245283018868E-2</v>
      </c>
      <c r="AC8" s="2">
        <f t="shared" si="4"/>
        <v>0.12210982593191039</v>
      </c>
      <c r="AD8" s="100">
        <f t="shared" si="1"/>
        <v>4.4631314964063785E-2</v>
      </c>
      <c r="AF8" s="3" t="s">
        <v>68</v>
      </c>
      <c r="AG8">
        <f>Z25</f>
        <v>0.19725939206339307</v>
      </c>
      <c r="AH8">
        <v>0.73</v>
      </c>
      <c r="AI8">
        <f t="shared" si="2"/>
        <v>0.14399935620627693</v>
      </c>
      <c r="AJ8">
        <f t="shared" si="3"/>
        <v>5.3260035857116132E-2</v>
      </c>
    </row>
    <row r="9" spans="1:36" ht="34" x14ac:dyDescent="0.2">
      <c r="A9" s="75" t="s">
        <v>165</v>
      </c>
      <c r="B9" s="57">
        <f>animal_production!AE11</f>
        <v>1875619.7801991312</v>
      </c>
      <c r="C9" s="57">
        <f>animal_production!AF11</f>
        <v>633242.99895127025</v>
      </c>
      <c r="D9" s="57">
        <f>animal_production!AG11</f>
        <v>1242376.781247861</v>
      </c>
      <c r="E9" s="76">
        <f>animal_production!B27</f>
        <v>72361365</v>
      </c>
      <c r="R9" s="109" t="s">
        <v>75</v>
      </c>
      <c r="S9" s="2">
        <v>19</v>
      </c>
      <c r="T9" s="99">
        <v>0</v>
      </c>
      <c r="U9" s="1"/>
      <c r="V9" s="1"/>
      <c r="W9" s="109" t="s">
        <v>112</v>
      </c>
      <c r="X9" s="2" t="s">
        <v>114</v>
      </c>
      <c r="Y9" s="2">
        <f>T25</f>
        <v>1.7783046828689982E-3</v>
      </c>
      <c r="Z9" s="2">
        <f t="shared" si="0"/>
        <v>0.16530116653356958</v>
      </c>
      <c r="AA9" s="2">
        <v>0.73</v>
      </c>
      <c r="AB9" s="2">
        <f>food_needed_2050!V2</f>
        <v>1.179245283018868E-2</v>
      </c>
      <c r="AC9" s="2">
        <f t="shared" si="4"/>
        <v>0.12210982593191039</v>
      </c>
      <c r="AD9" s="100">
        <f t="shared" si="1"/>
        <v>4.4631314964063785E-2</v>
      </c>
      <c r="AF9" s="2" t="s">
        <v>111</v>
      </c>
      <c r="AG9">
        <f>Z2</f>
        <v>0</v>
      </c>
      <c r="AH9">
        <v>0.73</v>
      </c>
      <c r="AI9">
        <f t="shared" si="2"/>
        <v>0</v>
      </c>
      <c r="AJ9">
        <f t="shared" si="3"/>
        <v>0</v>
      </c>
    </row>
    <row r="10" spans="1:36" ht="18" thickBot="1" x14ac:dyDescent="0.25">
      <c r="A10" s="77" t="s">
        <v>167</v>
      </c>
      <c r="B10" s="78">
        <f>animal_production!AE12</f>
        <v>79644915.935304329</v>
      </c>
      <c r="C10" s="78">
        <f>animal_production!AF12</f>
        <v>15538563.809146004</v>
      </c>
      <c r="D10" s="78">
        <f>animal_production!AG12</f>
        <v>64106352.126158327</v>
      </c>
      <c r="E10" s="79">
        <f>animal_production!B27</f>
        <v>72361365</v>
      </c>
      <c r="R10" s="109" t="s">
        <v>57</v>
      </c>
      <c r="S10" s="2">
        <v>13</v>
      </c>
      <c r="T10" s="99">
        <v>0</v>
      </c>
      <c r="U10" s="1"/>
      <c r="V10" s="1"/>
      <c r="W10" s="109" t="s">
        <v>72</v>
      </c>
      <c r="X10" s="2" t="s">
        <v>115</v>
      </c>
      <c r="Y10" s="2">
        <f>T26</f>
        <v>0</v>
      </c>
      <c r="Z10" s="2">
        <f t="shared" si="0"/>
        <v>0</v>
      </c>
      <c r="AA10" s="2">
        <v>0.73</v>
      </c>
      <c r="AB10" s="2">
        <f>food_needed_2050!V12</f>
        <v>2.1883289124668436E-2</v>
      </c>
      <c r="AC10" s="2">
        <f t="shared" si="4"/>
        <v>0</v>
      </c>
      <c r="AD10" s="100">
        <f t="shared" si="1"/>
        <v>0</v>
      </c>
      <c r="AF10" s="3" t="s">
        <v>69</v>
      </c>
      <c r="AG10">
        <f>0</f>
        <v>0</v>
      </c>
      <c r="AH10">
        <v>0.73</v>
      </c>
      <c r="AI10">
        <f t="shared" si="2"/>
        <v>0</v>
      </c>
      <c r="AJ10">
        <f t="shared" si="3"/>
        <v>0</v>
      </c>
    </row>
    <row r="11" spans="1:36" ht="17" x14ac:dyDescent="0.2">
      <c r="R11" s="109" t="s">
        <v>59</v>
      </c>
      <c r="S11" s="2">
        <v>684</v>
      </c>
      <c r="T11" s="100">
        <f t="shared" ref="T11:T27" si="5">S11/$T$2</f>
        <v>0.4054534676941316</v>
      </c>
      <c r="U11" s="1"/>
      <c r="V11" s="1"/>
      <c r="W11" s="109" t="s">
        <v>72</v>
      </c>
      <c r="X11" s="2" t="s">
        <v>116</v>
      </c>
      <c r="Y11" s="2">
        <f>Y10</f>
        <v>0</v>
      </c>
      <c r="Z11" s="2">
        <f t="shared" si="0"/>
        <v>0</v>
      </c>
      <c r="AA11" s="2">
        <v>0.73</v>
      </c>
      <c r="AB11" s="2">
        <f>AB10</f>
        <v>2.1883289124668436E-2</v>
      </c>
      <c r="AC11" s="2">
        <f t="shared" si="4"/>
        <v>0</v>
      </c>
      <c r="AD11" s="100">
        <f t="shared" si="1"/>
        <v>0</v>
      </c>
      <c r="AF11" s="3" t="s">
        <v>71</v>
      </c>
      <c r="AG11">
        <f>Z13</f>
        <v>0</v>
      </c>
      <c r="AH11">
        <v>0.73</v>
      </c>
      <c r="AI11">
        <f t="shared" si="2"/>
        <v>0</v>
      </c>
      <c r="AJ11">
        <f t="shared" si="3"/>
        <v>0</v>
      </c>
    </row>
    <row r="12" spans="1:36" ht="18" thickBot="1" x14ac:dyDescent="0.25">
      <c r="A12" s="80" t="s">
        <v>261</v>
      </c>
      <c r="R12" s="109" t="s">
        <v>68</v>
      </c>
      <c r="S12" s="2">
        <v>3.58</v>
      </c>
      <c r="T12" s="100">
        <f t="shared" si="5"/>
        <v>2.122110254890338E-3</v>
      </c>
      <c r="U12" s="1"/>
      <c r="V12" s="1"/>
      <c r="W12" s="109" t="s">
        <v>72</v>
      </c>
      <c r="X12" s="2" t="s">
        <v>262</v>
      </c>
      <c r="Y12" s="2">
        <f>Y10</f>
        <v>0</v>
      </c>
      <c r="Z12" s="2">
        <f t="shared" si="0"/>
        <v>0</v>
      </c>
      <c r="AA12" s="2">
        <v>0.73</v>
      </c>
      <c r="AB12" s="2">
        <f>AB10</f>
        <v>2.1883289124668436E-2</v>
      </c>
      <c r="AC12" s="2">
        <f t="shared" si="4"/>
        <v>0</v>
      </c>
      <c r="AD12" s="100">
        <f t="shared" si="1"/>
        <v>0</v>
      </c>
      <c r="AF12" s="3" t="s">
        <v>72</v>
      </c>
      <c r="AG12">
        <f>Z11</f>
        <v>0</v>
      </c>
      <c r="AH12">
        <v>0.73</v>
      </c>
      <c r="AI12">
        <f t="shared" si="2"/>
        <v>0</v>
      </c>
      <c r="AJ12">
        <f t="shared" si="3"/>
        <v>0</v>
      </c>
    </row>
    <row r="13" spans="1:36" ht="96" x14ac:dyDescent="0.2">
      <c r="A13" s="60" t="s">
        <v>141</v>
      </c>
      <c r="B13" s="61" t="s">
        <v>137</v>
      </c>
      <c r="C13" s="61" t="s">
        <v>138</v>
      </c>
      <c r="D13" s="61" t="s">
        <v>139</v>
      </c>
      <c r="E13" s="61" t="s">
        <v>130</v>
      </c>
      <c r="F13" s="61" t="s">
        <v>263</v>
      </c>
      <c r="G13" s="61" t="s">
        <v>264</v>
      </c>
      <c r="H13" s="61" t="s">
        <v>265</v>
      </c>
      <c r="I13" s="61" t="s">
        <v>266</v>
      </c>
      <c r="J13" s="61" t="s">
        <v>267</v>
      </c>
      <c r="K13" s="61" t="s">
        <v>268</v>
      </c>
      <c r="L13" s="61" t="s">
        <v>269</v>
      </c>
      <c r="M13" s="61" t="s">
        <v>270</v>
      </c>
      <c r="N13" s="61" t="s">
        <v>271</v>
      </c>
      <c r="O13" s="81" t="s">
        <v>272</v>
      </c>
      <c r="R13" s="109" t="s">
        <v>121</v>
      </c>
      <c r="S13" s="2">
        <v>186</v>
      </c>
      <c r="T13" s="100">
        <f t="shared" si="5"/>
        <v>0.11025489033787789</v>
      </c>
      <c r="U13" s="1"/>
      <c r="V13" s="1"/>
      <c r="W13" s="109" t="s">
        <v>71</v>
      </c>
      <c r="X13" s="2" t="s">
        <v>118</v>
      </c>
      <c r="Y13" s="2">
        <f>T27</f>
        <v>0</v>
      </c>
      <c r="Z13" s="2">
        <f t="shared" si="0"/>
        <v>0</v>
      </c>
      <c r="AA13" s="2">
        <v>0.73</v>
      </c>
      <c r="AB13" s="2">
        <f>food_needed_2050!V11</f>
        <v>1.5664160401002505E-2</v>
      </c>
      <c r="AC13" s="2">
        <f t="shared" si="4"/>
        <v>0</v>
      </c>
      <c r="AD13" s="100">
        <f t="shared" si="1"/>
        <v>0</v>
      </c>
      <c r="AF13" s="3" t="s">
        <v>74</v>
      </c>
      <c r="AG13">
        <f>Z16+Z17+Z18+Z19+Z20+Z21+Z22</f>
        <v>44.355813019841172</v>
      </c>
      <c r="AH13">
        <v>0.73</v>
      </c>
      <c r="AI13">
        <f t="shared" si="2"/>
        <v>32.379743504484054</v>
      </c>
      <c r="AJ13">
        <f t="shared" si="3"/>
        <v>11.976069515357118</v>
      </c>
    </row>
    <row r="14" spans="1:36" ht="34" x14ac:dyDescent="0.2">
      <c r="A14" s="75" t="s">
        <v>273</v>
      </c>
      <c r="B14" s="21">
        <f>B2+B3+B4+B5</f>
        <v>357656.73948945239</v>
      </c>
      <c r="C14" s="21">
        <f t="shared" ref="C14:E14" si="6">C2+C3+C4+C5</f>
        <v>62527.20670379795</v>
      </c>
      <c r="D14" s="21">
        <f t="shared" si="6"/>
        <v>295129.53278565442</v>
      </c>
      <c r="E14" s="21">
        <f t="shared" si="6"/>
        <v>1192143</v>
      </c>
      <c r="F14">
        <v>6.1</v>
      </c>
      <c r="G14">
        <f>F14*10^9/E14</f>
        <v>5116.8358158375295</v>
      </c>
      <c r="H14">
        <f>G14*B14/10^9</f>
        <v>1.8300708143953028</v>
      </c>
      <c r="I14">
        <v>0.871</v>
      </c>
      <c r="J14">
        <v>9.0999999999999998E-2</v>
      </c>
      <c r="K14">
        <v>3.7999999999999999E-2</v>
      </c>
      <c r="L14">
        <f>F14*I14</f>
        <v>5.3130999999999995</v>
      </c>
      <c r="M14">
        <f>I14*H14</f>
        <v>1.5939916793383087</v>
      </c>
      <c r="N14">
        <f>J14*H14</f>
        <v>0.16653644410997256</v>
      </c>
      <c r="O14" s="82">
        <f>K14*H14</f>
        <v>6.9542690947021507E-2</v>
      </c>
      <c r="R14" s="109" t="s">
        <v>122</v>
      </c>
      <c r="S14" s="2">
        <v>48</v>
      </c>
      <c r="T14" s="100">
        <f t="shared" si="5"/>
        <v>2.8452874925903971E-2</v>
      </c>
      <c r="U14" s="1"/>
      <c r="V14" s="1"/>
      <c r="W14" s="109" t="s">
        <v>71</v>
      </c>
      <c r="X14" s="2" t="s">
        <v>119</v>
      </c>
      <c r="Y14" s="2">
        <f>Y13</f>
        <v>0</v>
      </c>
      <c r="Z14" s="2">
        <f t="shared" si="0"/>
        <v>0</v>
      </c>
      <c r="AA14" s="2">
        <v>0.73</v>
      </c>
      <c r="AB14" s="2">
        <f>AB13</f>
        <v>1.5664160401002505E-2</v>
      </c>
      <c r="AC14" s="2">
        <f t="shared" si="4"/>
        <v>0</v>
      </c>
      <c r="AD14" s="100">
        <f t="shared" si="1"/>
        <v>0</v>
      </c>
      <c r="AF14" s="3" t="s">
        <v>75</v>
      </c>
      <c r="AG14">
        <f>Z6+Z7</f>
        <v>1.0469073880459407</v>
      </c>
      <c r="AH14">
        <v>0.73</v>
      </c>
      <c r="AI14">
        <f t="shared" si="2"/>
        <v>0.76424239327353671</v>
      </c>
      <c r="AJ14">
        <f t="shared" si="3"/>
        <v>0.28266499477240403</v>
      </c>
    </row>
    <row r="15" spans="1:36" ht="34" x14ac:dyDescent="0.2">
      <c r="A15" s="75" t="s">
        <v>214</v>
      </c>
      <c r="B15" s="21">
        <f>B8</f>
        <v>327259.69524720969</v>
      </c>
      <c r="C15" s="21">
        <f t="shared" ref="C15:E15" si="7">C8</f>
        <v>16754.0600981809</v>
      </c>
      <c r="D15" s="21">
        <f t="shared" si="7"/>
        <v>310505.63514902879</v>
      </c>
      <c r="E15" s="21">
        <f t="shared" si="7"/>
        <v>2574989</v>
      </c>
      <c r="F15" s="21">
        <v>0.75</v>
      </c>
      <c r="G15">
        <f t="shared" ref="G15:G17" si="8">F15*10^9/E15</f>
        <v>291.26338015424534</v>
      </c>
      <c r="H15">
        <f t="shared" ref="H15:H17" si="9">G15*B15/10^9</f>
        <v>9.5318765025950505E-2</v>
      </c>
      <c r="I15" s="21">
        <v>0.107</v>
      </c>
      <c r="J15">
        <v>0.747</v>
      </c>
      <c r="K15">
        <v>0.14599999999999999</v>
      </c>
      <c r="L15">
        <f>F15*I15</f>
        <v>8.0250000000000002E-2</v>
      </c>
      <c r="M15">
        <f>I15*H15</f>
        <v>1.0199107857776704E-2</v>
      </c>
      <c r="N15">
        <f t="shared" ref="N15:N17" si="10">J15*H15</f>
        <v>7.1203117474385028E-2</v>
      </c>
      <c r="O15" s="82">
        <f t="shared" ref="O15:O17" si="11">K15*H15</f>
        <v>1.3916539693788773E-2</v>
      </c>
      <c r="R15" s="109" t="s">
        <v>123</v>
      </c>
      <c r="S15" s="2">
        <v>261</v>
      </c>
      <c r="T15" s="100">
        <f t="shared" si="5"/>
        <v>0.15471250740960285</v>
      </c>
      <c r="U15" s="1"/>
      <c r="V15" s="1"/>
      <c r="W15" s="109" t="s">
        <v>71</v>
      </c>
      <c r="X15" s="2" t="s">
        <v>120</v>
      </c>
      <c r="Y15" s="2">
        <f>Y14</f>
        <v>0</v>
      </c>
      <c r="Z15" s="2">
        <f t="shared" si="0"/>
        <v>0</v>
      </c>
      <c r="AA15" s="2">
        <v>0.73</v>
      </c>
      <c r="AB15" s="2">
        <f>AB13</f>
        <v>1.5664160401002505E-2</v>
      </c>
      <c r="AC15" s="2">
        <f t="shared" si="4"/>
        <v>0</v>
      </c>
      <c r="AD15" s="100">
        <f t="shared" si="1"/>
        <v>0</v>
      </c>
      <c r="AF15" s="2" t="s">
        <v>77</v>
      </c>
      <c r="AG15">
        <f>Z3</f>
        <v>4.1325291633392398</v>
      </c>
      <c r="AH15">
        <v>0.73</v>
      </c>
      <c r="AI15">
        <f t="shared" si="2"/>
        <v>3.0167462892376449</v>
      </c>
      <c r="AJ15">
        <f t="shared" si="3"/>
        <v>1.1157828741015947</v>
      </c>
    </row>
    <row r="16" spans="1:36" ht="34" x14ac:dyDescent="0.2">
      <c r="A16" s="75" t="s">
        <v>167</v>
      </c>
      <c r="B16" s="21">
        <f>B10+B9</f>
        <v>81520535.715503454</v>
      </c>
      <c r="C16" s="21">
        <f t="shared" ref="C16:E16" si="12">C10+C9</f>
        <v>16171806.808097273</v>
      </c>
      <c r="D16" s="21">
        <f t="shared" si="12"/>
        <v>65348728.907406189</v>
      </c>
      <c r="E16" s="21">
        <f t="shared" si="12"/>
        <v>144722730</v>
      </c>
      <c r="F16" s="21">
        <v>0.315</v>
      </c>
      <c r="G16">
        <f t="shared" si="8"/>
        <v>2.1765758564670525</v>
      </c>
      <c r="H16">
        <f t="shared" si="9"/>
        <v>0.17743562984462488</v>
      </c>
      <c r="I16" s="21">
        <v>0</v>
      </c>
      <c r="J16">
        <v>0.97699999999999998</v>
      </c>
      <c r="K16">
        <v>2.3E-2</v>
      </c>
      <c r="L16">
        <f>F16*I16</f>
        <v>0</v>
      </c>
      <c r="M16">
        <f>I16*H16</f>
        <v>0</v>
      </c>
      <c r="N16">
        <f t="shared" si="10"/>
        <v>0.17335461035819852</v>
      </c>
      <c r="O16" s="82">
        <f t="shared" si="11"/>
        <v>4.0810194864263722E-3</v>
      </c>
      <c r="R16" s="109" t="s">
        <v>124</v>
      </c>
      <c r="S16" s="1">
        <v>3</v>
      </c>
      <c r="T16" s="100">
        <f t="shared" si="5"/>
        <v>1.7783046828689982E-3</v>
      </c>
      <c r="U16" s="1"/>
      <c r="V16" s="1"/>
      <c r="W16" s="109" t="s">
        <v>74</v>
      </c>
      <c r="X16" s="2" t="s">
        <v>121</v>
      </c>
      <c r="Y16" s="2">
        <f t="shared" ref="Y16:Y22" si="13">T13</f>
        <v>0.11025489033787789</v>
      </c>
      <c r="Z16" s="2">
        <f t="shared" si="0"/>
        <v>10.248672325081314</v>
      </c>
      <c r="AA16" s="2">
        <v>0.73</v>
      </c>
      <c r="AB16" s="2">
        <f>food_needed_2050!V13</f>
        <v>7.4404761904761901E-3</v>
      </c>
      <c r="AC16" s="2">
        <f t="shared" si="4"/>
        <v>7.5376142365695493</v>
      </c>
      <c r="AD16" s="100">
        <f t="shared" si="1"/>
        <v>2.7671415277719551</v>
      </c>
      <c r="AF16" s="2" t="s">
        <v>80</v>
      </c>
      <c r="AG16">
        <f>Z4</f>
        <v>0.16530116653356958</v>
      </c>
      <c r="AH16">
        <v>0.73</v>
      </c>
      <c r="AI16">
        <f t="shared" si="2"/>
        <v>0.12066985156950578</v>
      </c>
      <c r="AJ16">
        <f t="shared" si="3"/>
        <v>4.4631314964063785E-2</v>
      </c>
    </row>
    <row r="17" spans="1:36" ht="18" thickBot="1" x14ac:dyDescent="0.25">
      <c r="A17" s="77" t="s">
        <v>274</v>
      </c>
      <c r="B17" s="45">
        <f>B6+B7</f>
        <v>39426.891415213955</v>
      </c>
      <c r="C17" s="45">
        <f t="shared" ref="C17:E17" si="14">C6+C7</f>
        <v>15291.257170814466</v>
      </c>
      <c r="D17" s="45">
        <f t="shared" si="14"/>
        <v>24135.634244399487</v>
      </c>
      <c r="E17" s="45">
        <f t="shared" si="14"/>
        <v>310224</v>
      </c>
      <c r="F17" s="45">
        <v>0.21299999999999999</v>
      </c>
      <c r="G17" s="54">
        <f t="shared" si="8"/>
        <v>686.60064985300949</v>
      </c>
      <c r="H17" s="54">
        <f t="shared" si="9"/>
        <v>2.7070529267369942E-2</v>
      </c>
      <c r="I17" s="45">
        <v>0.75</v>
      </c>
      <c r="J17" s="54">
        <v>0.05</v>
      </c>
      <c r="K17" s="54">
        <f>1-I17-J17</f>
        <v>0.2</v>
      </c>
      <c r="L17" s="54">
        <f>F17*I17</f>
        <v>0.15975</v>
      </c>
      <c r="M17" s="54">
        <f>I17*H17</f>
        <v>2.0302896950527456E-2</v>
      </c>
      <c r="N17" s="54">
        <f t="shared" si="10"/>
        <v>1.3535264633684971E-3</v>
      </c>
      <c r="O17" s="55">
        <f t="shared" si="11"/>
        <v>5.4141058534739883E-3</v>
      </c>
      <c r="R17" s="109" t="s">
        <v>125</v>
      </c>
      <c r="S17" s="1">
        <v>48</v>
      </c>
      <c r="T17" s="100">
        <f t="shared" si="5"/>
        <v>2.8452874925903971E-2</v>
      </c>
      <c r="U17" s="1"/>
      <c r="V17" s="1"/>
      <c r="W17" s="109" t="s">
        <v>74</v>
      </c>
      <c r="X17" s="2" t="s">
        <v>122</v>
      </c>
      <c r="Y17" s="2">
        <f t="shared" si="13"/>
        <v>2.8452874925903971E-2</v>
      </c>
      <c r="Z17" s="2">
        <f t="shared" si="0"/>
        <v>2.6448186645371132</v>
      </c>
      <c r="AA17" s="2">
        <v>0.73</v>
      </c>
      <c r="AB17" s="2">
        <f>food_needed_2050!V14</f>
        <v>1.4705882352941176E-2</v>
      </c>
      <c r="AC17" s="2">
        <f t="shared" si="4"/>
        <v>1.9595343060839148</v>
      </c>
      <c r="AD17" s="100">
        <f t="shared" si="1"/>
        <v>0.71410103942502057</v>
      </c>
      <c r="AF17" s="3" t="s">
        <v>84</v>
      </c>
      <c r="AG17">
        <v>0</v>
      </c>
      <c r="AH17">
        <v>0.73</v>
      </c>
      <c r="AI17">
        <f t="shared" si="2"/>
        <v>0</v>
      </c>
      <c r="AJ17">
        <f t="shared" si="3"/>
        <v>0</v>
      </c>
    </row>
    <row r="18" spans="1:36" ht="18" thickBot="1" x14ac:dyDescent="0.25">
      <c r="A18" s="39"/>
      <c r="H18" s="21"/>
      <c r="R18" s="109" t="s">
        <v>126</v>
      </c>
      <c r="S18" s="1">
        <v>2</v>
      </c>
      <c r="T18" s="100">
        <f t="shared" si="5"/>
        <v>1.1855364552459987E-3</v>
      </c>
      <c r="U18" s="1"/>
      <c r="V18" s="1"/>
      <c r="W18" s="109" t="s">
        <v>74</v>
      </c>
      <c r="X18" s="2" t="s">
        <v>123</v>
      </c>
      <c r="Y18" s="2">
        <f t="shared" si="13"/>
        <v>0.15471250740960285</v>
      </c>
      <c r="Z18" s="2">
        <f t="shared" si="0"/>
        <v>14.381201488420555</v>
      </c>
      <c r="AA18" s="2">
        <v>0.73</v>
      </c>
      <c r="AB18" s="2">
        <f>food_needed_2050!V15</f>
        <v>1.1224489795918367E-2</v>
      </c>
      <c r="AC18" s="2">
        <f t="shared" si="4"/>
        <v>10.617452574629581</v>
      </c>
      <c r="AD18" s="100">
        <f t="shared" si="1"/>
        <v>3.88292440187355</v>
      </c>
      <c r="AF18" s="3" t="s">
        <v>86</v>
      </c>
      <c r="AG18">
        <v>0</v>
      </c>
      <c r="AH18">
        <v>0.73</v>
      </c>
      <c r="AI18">
        <f t="shared" si="2"/>
        <v>0</v>
      </c>
      <c r="AJ18">
        <f t="shared" si="3"/>
        <v>0</v>
      </c>
    </row>
    <row r="19" spans="1:36" ht="80" x14ac:dyDescent="0.2">
      <c r="A19" s="83"/>
      <c r="B19" s="61" t="s">
        <v>275</v>
      </c>
      <c r="C19" s="61" t="s">
        <v>276</v>
      </c>
      <c r="D19" s="61" t="s">
        <v>277</v>
      </c>
      <c r="E19" s="61" t="s">
        <v>278</v>
      </c>
      <c r="F19" s="61" t="s">
        <v>248</v>
      </c>
      <c r="G19" s="61" t="s">
        <v>279</v>
      </c>
      <c r="H19" s="61" t="s">
        <v>280</v>
      </c>
      <c r="I19" s="61" t="s">
        <v>281</v>
      </c>
      <c r="J19" s="81" t="s">
        <v>282</v>
      </c>
      <c r="K19" s="58"/>
      <c r="L19" s="58"/>
      <c r="M19" s="58"/>
      <c r="R19" s="109" t="s">
        <v>127</v>
      </c>
      <c r="S19" s="1">
        <v>257</v>
      </c>
      <c r="T19" s="100">
        <f t="shared" si="5"/>
        <v>0.15234143449911083</v>
      </c>
      <c r="U19" s="1"/>
      <c r="V19" s="1"/>
      <c r="W19" s="109" t="s">
        <v>74</v>
      </c>
      <c r="X19" s="2" t="s">
        <v>124</v>
      </c>
      <c r="Y19" s="2">
        <f t="shared" si="13"/>
        <v>1.7783046828689982E-3</v>
      </c>
      <c r="Z19" s="2">
        <f t="shared" si="0"/>
        <v>0.16530116653356958</v>
      </c>
      <c r="AA19" s="2">
        <v>0.73</v>
      </c>
      <c r="AB19" s="2">
        <f>food_needed_2050!V16</f>
        <v>1.5449438202247191E-2</v>
      </c>
      <c r="AC19" s="2">
        <f t="shared" si="4"/>
        <v>0.12256338704349233</v>
      </c>
      <c r="AD19" s="100">
        <f t="shared" si="1"/>
        <v>4.4631314964063785E-2</v>
      </c>
    </row>
    <row r="20" spans="1:36" ht="34" x14ac:dyDescent="0.2">
      <c r="A20" s="84">
        <v>2018</v>
      </c>
      <c r="B20" s="21">
        <f>land_use!J15</f>
        <v>1099245</v>
      </c>
      <c r="C20" s="21">
        <v>5.9889999999999999</v>
      </c>
      <c r="D20" s="21">
        <f>C20*10^6/B20</f>
        <v>5.4482849592220113</v>
      </c>
      <c r="E20" s="21">
        <f>C20+F20+H20</f>
        <v>7.89</v>
      </c>
      <c r="F20" s="21">
        <v>0.60099999999999998</v>
      </c>
      <c r="G20">
        <f>F20/E20</f>
        <v>7.6172370088719896E-2</v>
      </c>
      <c r="H20" s="21">
        <v>1.3</v>
      </c>
      <c r="I20">
        <f>SUM(L14:L17)</f>
        <v>5.5530999999999997</v>
      </c>
      <c r="J20" s="82">
        <f>C20-I20</f>
        <v>0.43590000000000018</v>
      </c>
      <c r="R20" s="109" t="s">
        <v>283</v>
      </c>
      <c r="S20" s="1">
        <v>85</v>
      </c>
      <c r="T20" s="100">
        <f t="shared" si="5"/>
        <v>5.0385299347954951E-2</v>
      </c>
      <c r="U20" s="1"/>
      <c r="V20" s="1"/>
      <c r="W20" s="109" t="s">
        <v>74</v>
      </c>
      <c r="X20" s="2" t="s">
        <v>125</v>
      </c>
      <c r="Y20" s="2">
        <f t="shared" si="13"/>
        <v>2.8452874925903971E-2</v>
      </c>
      <c r="Z20" s="2">
        <f t="shared" si="0"/>
        <v>2.6448186645371132</v>
      </c>
      <c r="AA20" s="2">
        <v>0.73</v>
      </c>
      <c r="AB20" s="2">
        <f>food_needed_2050!V17</f>
        <v>2.1883289124668436E-2</v>
      </c>
      <c r="AC20" s="2">
        <f t="shared" si="4"/>
        <v>1.9739133414705325</v>
      </c>
      <c r="AD20" s="100">
        <f t="shared" si="1"/>
        <v>0.71410103942502057</v>
      </c>
    </row>
    <row r="21" spans="1:36" ht="35" thickBot="1" x14ac:dyDescent="0.25">
      <c r="A21" s="85">
        <v>2050</v>
      </c>
      <c r="B21" s="45">
        <f>land_use!J16</f>
        <v>1051419.176969697</v>
      </c>
      <c r="C21" s="45">
        <f>B21*D21/10^6</f>
        <v>5.7284312877215866</v>
      </c>
      <c r="D21" s="45">
        <f>D20</f>
        <v>5.4482849592220113</v>
      </c>
      <c r="E21" s="45">
        <f>SUM(H14:H17)</f>
        <v>2.1298957385332482</v>
      </c>
      <c r="F21" s="45">
        <f>O14+O15+O16+O17</f>
        <v>9.295435598071064E-2</v>
      </c>
      <c r="G21" s="54">
        <f>F21/E21</f>
        <v>4.3642678981424515E-2</v>
      </c>
      <c r="H21" s="45">
        <f>N14+N15+N16+N17</f>
        <v>0.41244769840592466</v>
      </c>
      <c r="I21" s="45">
        <f>M14+M15+M16+M17</f>
        <v>1.6244936841466129</v>
      </c>
      <c r="J21" s="55">
        <f>C21-I21</f>
        <v>4.1039376035749733</v>
      </c>
      <c r="R21" s="109" t="s">
        <v>109</v>
      </c>
      <c r="S21" s="1">
        <v>4</v>
      </c>
      <c r="T21" s="100">
        <f t="shared" si="5"/>
        <v>2.3710729104919974E-3</v>
      </c>
      <c r="U21" s="1"/>
      <c r="V21" s="1"/>
      <c r="W21" s="109" t="s">
        <v>74</v>
      </c>
      <c r="X21" s="2" t="s">
        <v>126</v>
      </c>
      <c r="Y21" s="2">
        <f t="shared" si="13"/>
        <v>1.1855364552459987E-3</v>
      </c>
      <c r="Z21" s="2">
        <f t="shared" si="0"/>
        <v>0.11020077768904639</v>
      </c>
      <c r="AA21" s="2">
        <v>0.73</v>
      </c>
      <c r="AB21" s="2">
        <f>food_needed_2050!V18</f>
        <v>0.15032894736841915</v>
      </c>
      <c r="AC21" s="2">
        <f t="shared" si="4"/>
        <v>9.46796615747314E-2</v>
      </c>
      <c r="AD21" s="100">
        <f t="shared" si="1"/>
        <v>2.9754209976042528E-2</v>
      </c>
    </row>
    <row r="22" spans="1:36" ht="17" x14ac:dyDescent="0.2">
      <c r="R22" s="109" t="s">
        <v>110</v>
      </c>
      <c r="S22" s="1">
        <v>15</v>
      </c>
      <c r="T22" s="100">
        <f t="shared" si="5"/>
        <v>8.8915234143449907E-3</v>
      </c>
      <c r="U22" s="1"/>
      <c r="V22" s="1"/>
      <c r="W22" s="109" t="s">
        <v>74</v>
      </c>
      <c r="X22" s="2" t="s">
        <v>127</v>
      </c>
      <c r="Y22" s="2">
        <f t="shared" si="13"/>
        <v>0.15234143449911083</v>
      </c>
      <c r="Z22" s="2">
        <f t="shared" si="0"/>
        <v>14.16079993304246</v>
      </c>
      <c r="AA22" s="2">
        <v>0.73</v>
      </c>
      <c r="AB22" s="2">
        <f>food_needed_2050!V19</f>
        <v>0</v>
      </c>
      <c r="AC22" s="2">
        <f t="shared" si="4"/>
        <v>10.337383951120996</v>
      </c>
      <c r="AD22" s="100">
        <f t="shared" si="1"/>
        <v>3.8234159819214644</v>
      </c>
    </row>
    <row r="23" spans="1:36" ht="34" x14ac:dyDescent="0.2">
      <c r="R23" s="109" t="s">
        <v>111</v>
      </c>
      <c r="S23" s="1">
        <v>0</v>
      </c>
      <c r="T23" s="100">
        <f t="shared" si="5"/>
        <v>0</v>
      </c>
      <c r="U23" s="1"/>
      <c r="V23" s="1"/>
      <c r="W23" s="109" t="s">
        <v>84</v>
      </c>
      <c r="X23" s="2" t="s">
        <v>128</v>
      </c>
      <c r="Y23" s="2">
        <v>0</v>
      </c>
      <c r="Z23" s="2">
        <f t="shared" si="0"/>
        <v>0</v>
      </c>
      <c r="AA23" s="2">
        <v>0.73</v>
      </c>
      <c r="AB23" s="2">
        <f>AB10</f>
        <v>2.1883289124668436E-2</v>
      </c>
      <c r="AC23" s="2">
        <f t="shared" si="4"/>
        <v>0</v>
      </c>
      <c r="AD23" s="100">
        <f t="shared" si="1"/>
        <v>0</v>
      </c>
    </row>
    <row r="24" spans="1:36" ht="34" x14ac:dyDescent="0.2">
      <c r="R24" s="109" t="s">
        <v>113</v>
      </c>
      <c r="S24" s="1">
        <v>3</v>
      </c>
      <c r="T24" s="100">
        <f t="shared" si="5"/>
        <v>1.7783046828689982E-3</v>
      </c>
      <c r="U24" s="1"/>
      <c r="V24" s="1"/>
      <c r="W24" s="109" t="s">
        <v>59</v>
      </c>
      <c r="X24" s="2" t="s">
        <v>59</v>
      </c>
      <c r="Y24" s="2">
        <f>T11</f>
        <v>0.4054534676941316</v>
      </c>
      <c r="Z24" s="2">
        <f t="shared" si="0"/>
        <v>37.688665969653869</v>
      </c>
      <c r="AA24" s="2">
        <v>0</v>
      </c>
      <c r="AB24" s="2">
        <f>food_needed_2050!V6</f>
        <v>0</v>
      </c>
      <c r="AC24" s="2">
        <f t="shared" si="4"/>
        <v>0</v>
      </c>
      <c r="AD24" s="100">
        <f t="shared" si="1"/>
        <v>37.688665969653869</v>
      </c>
    </row>
    <row r="25" spans="1:36" ht="17" x14ac:dyDescent="0.2">
      <c r="R25" s="109" t="s">
        <v>114</v>
      </c>
      <c r="S25" s="1">
        <v>3</v>
      </c>
      <c r="T25" s="100">
        <f t="shared" si="5"/>
        <v>1.7783046828689982E-3</v>
      </c>
      <c r="U25" s="1"/>
      <c r="V25" s="1"/>
      <c r="W25" s="109" t="s">
        <v>68</v>
      </c>
      <c r="X25" s="2" t="s">
        <v>68</v>
      </c>
      <c r="Y25" s="2">
        <f>T12</f>
        <v>2.122110254890338E-3</v>
      </c>
      <c r="Z25" s="2">
        <f t="shared" si="0"/>
        <v>0.19725939206339307</v>
      </c>
      <c r="AA25" s="2">
        <v>0.73</v>
      </c>
      <c r="AB25" s="2">
        <f>food_needed_2050!V9</f>
        <v>2.34375E-2</v>
      </c>
      <c r="AC25" s="2">
        <f t="shared" si="4"/>
        <v>0.14745534075522759</v>
      </c>
      <c r="AD25" s="100">
        <f t="shared" si="1"/>
        <v>5.3260035857116132E-2</v>
      </c>
    </row>
    <row r="26" spans="1:36" ht="18" thickBot="1" x14ac:dyDescent="0.25">
      <c r="R26" s="109" t="s">
        <v>72</v>
      </c>
      <c r="S26" s="1">
        <v>0</v>
      </c>
      <c r="T26" s="100">
        <f t="shared" si="5"/>
        <v>0</v>
      </c>
      <c r="U26" s="1"/>
      <c r="V26" s="1"/>
      <c r="W26" s="111" t="s">
        <v>74</v>
      </c>
      <c r="X26" s="102" t="s">
        <v>283</v>
      </c>
      <c r="Y26" s="54">
        <f>T20</f>
        <v>5.0385299347954951E-2</v>
      </c>
      <c r="Z26" s="102">
        <f t="shared" si="0"/>
        <v>4.6835330517844715</v>
      </c>
      <c r="AA26" s="102">
        <v>0</v>
      </c>
      <c r="AB26" s="103">
        <v>0</v>
      </c>
      <c r="AC26" s="2">
        <f t="shared" si="4"/>
        <v>0</v>
      </c>
      <c r="AD26" s="101">
        <f t="shared" si="1"/>
        <v>4.6835330517844715</v>
      </c>
    </row>
    <row r="27" spans="1:36" ht="17" x14ac:dyDescent="0.2">
      <c r="R27" s="109" t="s">
        <v>71</v>
      </c>
      <c r="S27" s="1">
        <v>0</v>
      </c>
      <c r="T27" s="100">
        <f t="shared" si="5"/>
        <v>0</v>
      </c>
      <c r="U27" s="1"/>
      <c r="V27" s="1"/>
      <c r="W27" s="9" t="s">
        <v>129</v>
      </c>
      <c r="X27" s="2"/>
      <c r="Y27" s="2">
        <f>SUM(Y2:Y26)</f>
        <v>0.99619442797866031</v>
      </c>
      <c r="Z27" s="2">
        <f>SUM(Z2:Z26)</f>
        <v>92.60061148432878</v>
      </c>
      <c r="AA27" s="2"/>
      <c r="AB27" s="2"/>
      <c r="AC27" s="2">
        <f>SUM(AC2:AC26)</f>
        <v>36.984020953459982</v>
      </c>
      <c r="AD27" s="2">
        <f>SUM(AD2:AD26)</f>
        <v>55.933870386418761</v>
      </c>
    </row>
    <row r="28" spans="1:36" ht="18" thickBot="1" x14ac:dyDescent="0.25">
      <c r="R28" s="111" t="s">
        <v>129</v>
      </c>
      <c r="S28" s="127">
        <f>SUM(S6:S27)</f>
        <v>2600.58</v>
      </c>
      <c r="T28" s="108">
        <f>SUM(T6:T27)</f>
        <v>0.99619442797866031</v>
      </c>
      <c r="U28" s="1"/>
      <c r="V28" s="1"/>
      <c r="W28" s="1"/>
      <c r="X28" s="2"/>
      <c r="Y28" s="2"/>
      <c r="Z28" s="2"/>
      <c r="AA28" s="2"/>
      <c r="AB28" s="2"/>
      <c r="AC28" s="2"/>
      <c r="AD2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82E64-E8C3-5444-9D60-9B0322884394}">
  <dimension ref="A1:W20"/>
  <sheetViews>
    <sheetView zoomScale="150" workbookViewId="0">
      <selection activeCell="R35" sqref="R35:R36"/>
    </sheetView>
  </sheetViews>
  <sheetFormatPr baseColWidth="10" defaultColWidth="11" defaultRowHeight="16" x14ac:dyDescent="0.2"/>
  <cols>
    <col min="1" max="1" width="21" customWidth="1"/>
    <col min="2" max="12" width="11" bestFit="1" customWidth="1"/>
    <col min="13" max="13" width="11.1640625" bestFit="1" customWidth="1"/>
    <col min="14" max="18" width="11" bestFit="1" customWidth="1"/>
  </cols>
  <sheetData>
    <row r="1" spans="1:23" s="1" customFormat="1" ht="64" x14ac:dyDescent="0.2">
      <c r="A1" s="22"/>
      <c r="B1" s="22" t="s">
        <v>247</v>
      </c>
      <c r="C1" s="22" t="s">
        <v>284</v>
      </c>
      <c r="D1" s="22" t="s">
        <v>285</v>
      </c>
      <c r="E1" s="22" t="s">
        <v>286</v>
      </c>
      <c r="F1" s="22" t="s">
        <v>287</v>
      </c>
      <c r="G1" s="22" t="s">
        <v>288</v>
      </c>
      <c r="H1" s="22" t="s">
        <v>289</v>
      </c>
      <c r="I1" s="22" t="s">
        <v>290</v>
      </c>
      <c r="J1" s="22" t="s">
        <v>291</v>
      </c>
      <c r="K1" s="22" t="s">
        <v>292</v>
      </c>
      <c r="L1" s="22" t="s">
        <v>293</v>
      </c>
      <c r="M1" s="22" t="s">
        <v>294</v>
      </c>
      <c r="N1" s="22" t="s">
        <v>295</v>
      </c>
      <c r="O1" s="22" t="s">
        <v>296</v>
      </c>
      <c r="P1" s="22" t="s">
        <v>297</v>
      </c>
      <c r="Q1" s="22" t="s">
        <v>298</v>
      </c>
      <c r="R1" s="22" t="s">
        <v>299</v>
      </c>
      <c r="S1" s="22" t="s">
        <v>300</v>
      </c>
      <c r="T1" s="22" t="s">
        <v>301</v>
      </c>
      <c r="U1" s="22" t="s">
        <v>302</v>
      </c>
      <c r="V1" s="22" t="s">
        <v>303</v>
      </c>
      <c r="W1" s="22" t="s">
        <v>304</v>
      </c>
    </row>
    <row r="2" spans="1:23" x14ac:dyDescent="0.2">
      <c r="A2" s="22"/>
      <c r="B2" s="23">
        <v>2010</v>
      </c>
      <c r="C2" s="23">
        <v>0</v>
      </c>
      <c r="D2" s="23">
        <v>473</v>
      </c>
      <c r="E2" s="23">
        <v>73</v>
      </c>
      <c r="F2" s="23">
        <v>1</v>
      </c>
      <c r="G2" s="23">
        <v>0</v>
      </c>
      <c r="H2" s="23">
        <v>113</v>
      </c>
      <c r="I2" s="23">
        <v>0</v>
      </c>
      <c r="J2" s="23">
        <v>1</v>
      </c>
      <c r="K2" s="23">
        <v>2</v>
      </c>
      <c r="L2" s="23">
        <v>9</v>
      </c>
      <c r="M2" s="23">
        <v>49</v>
      </c>
      <c r="N2" s="23">
        <v>5</v>
      </c>
      <c r="O2" s="23">
        <v>21</v>
      </c>
      <c r="P2" s="23">
        <v>11</v>
      </c>
      <c r="Q2" s="23">
        <v>13</v>
      </c>
      <c r="R2" s="23">
        <v>0.9</v>
      </c>
      <c r="S2" s="21">
        <v>2</v>
      </c>
      <c r="T2" s="21">
        <v>4</v>
      </c>
      <c r="U2" s="21">
        <v>3</v>
      </c>
      <c r="V2" s="21">
        <v>0.66</v>
      </c>
      <c r="W2" s="21">
        <v>0</v>
      </c>
    </row>
    <row r="3" spans="1:23" x14ac:dyDescent="0.2">
      <c r="A3" s="22"/>
      <c r="B3" s="23">
        <v>2011</v>
      </c>
      <c r="C3" s="23">
        <v>0</v>
      </c>
      <c r="D3" s="23">
        <v>481</v>
      </c>
      <c r="E3" s="23">
        <v>79</v>
      </c>
      <c r="F3" s="23">
        <v>1</v>
      </c>
      <c r="G3" s="23">
        <v>0</v>
      </c>
      <c r="H3" s="23">
        <v>121</v>
      </c>
      <c r="I3" s="23">
        <v>0</v>
      </c>
      <c r="J3" s="23">
        <v>1</v>
      </c>
      <c r="K3" s="23">
        <v>1</v>
      </c>
      <c r="L3" s="23">
        <v>9</v>
      </c>
      <c r="M3" s="23">
        <v>37</v>
      </c>
      <c r="N3" s="23">
        <v>7</v>
      </c>
      <c r="O3" s="23">
        <v>22</v>
      </c>
      <c r="P3" s="23">
        <v>17</v>
      </c>
      <c r="Q3" s="23">
        <v>16</v>
      </c>
      <c r="R3" s="23">
        <v>0.85</v>
      </c>
      <c r="S3" s="21">
        <v>2</v>
      </c>
      <c r="T3" s="21">
        <v>10</v>
      </c>
      <c r="U3" s="21">
        <v>4</v>
      </c>
      <c r="V3" s="21">
        <v>0.66</v>
      </c>
      <c r="W3" s="21">
        <v>0</v>
      </c>
    </row>
    <row r="4" spans="1:23" x14ac:dyDescent="0.2">
      <c r="A4" s="22"/>
      <c r="B4" s="23">
        <v>2012</v>
      </c>
      <c r="C4" s="23">
        <v>0</v>
      </c>
      <c r="D4" s="23">
        <v>523</v>
      </c>
      <c r="E4" s="23">
        <v>50</v>
      </c>
      <c r="F4" s="23">
        <v>2</v>
      </c>
      <c r="G4" s="23">
        <v>0</v>
      </c>
      <c r="H4" s="23">
        <v>131</v>
      </c>
      <c r="I4" s="23">
        <v>0</v>
      </c>
      <c r="J4" s="23">
        <v>1</v>
      </c>
      <c r="K4" s="23">
        <v>2</v>
      </c>
      <c r="L4" s="23">
        <v>8</v>
      </c>
      <c r="M4" s="23">
        <v>59</v>
      </c>
      <c r="N4" s="23">
        <v>12</v>
      </c>
      <c r="O4" s="23">
        <v>21</v>
      </c>
      <c r="P4" s="23">
        <v>17</v>
      </c>
      <c r="Q4" s="23">
        <v>14</v>
      </c>
      <c r="R4" s="23">
        <v>1.1399999999999999</v>
      </c>
      <c r="S4" s="21">
        <v>2</v>
      </c>
      <c r="T4" s="21">
        <v>11</v>
      </c>
      <c r="U4" s="21">
        <v>3</v>
      </c>
      <c r="V4" s="21">
        <v>0.88</v>
      </c>
      <c r="W4" s="21">
        <v>0</v>
      </c>
    </row>
    <row r="5" spans="1:23" x14ac:dyDescent="0.2">
      <c r="A5" s="22"/>
      <c r="B5" s="23">
        <v>2013</v>
      </c>
      <c r="C5" s="23">
        <v>0</v>
      </c>
      <c r="D5" s="23">
        <v>515</v>
      </c>
      <c r="E5" s="23">
        <v>51</v>
      </c>
      <c r="F5" s="23">
        <v>5</v>
      </c>
      <c r="G5" s="23">
        <v>0</v>
      </c>
      <c r="H5" s="23">
        <v>137</v>
      </c>
      <c r="I5" s="23">
        <v>0</v>
      </c>
      <c r="J5" s="23">
        <v>1</v>
      </c>
      <c r="K5" s="23">
        <v>1</v>
      </c>
      <c r="L5" s="23">
        <v>9</v>
      </c>
      <c r="M5" s="23">
        <v>78</v>
      </c>
      <c r="N5" s="23">
        <v>9</v>
      </c>
      <c r="O5" s="23">
        <v>20</v>
      </c>
      <c r="P5" s="23">
        <v>7</v>
      </c>
      <c r="Q5" s="23">
        <v>7</v>
      </c>
      <c r="R5" s="23">
        <v>1.1599999999999999</v>
      </c>
      <c r="S5" s="21">
        <v>2</v>
      </c>
      <c r="T5" s="21">
        <v>2</v>
      </c>
      <c r="U5" s="21">
        <v>2</v>
      </c>
      <c r="V5" s="21">
        <v>0.9</v>
      </c>
      <c r="W5" s="21">
        <v>0.02</v>
      </c>
    </row>
    <row r="6" spans="1:23" x14ac:dyDescent="0.2">
      <c r="A6" s="22"/>
      <c r="B6" s="23">
        <v>2014</v>
      </c>
      <c r="C6" s="23">
        <v>0</v>
      </c>
      <c r="D6" s="23">
        <v>521</v>
      </c>
      <c r="E6" s="23">
        <v>80</v>
      </c>
      <c r="F6" s="23">
        <v>5</v>
      </c>
      <c r="G6" s="23">
        <v>0</v>
      </c>
      <c r="H6" s="23">
        <v>147</v>
      </c>
      <c r="I6" s="23">
        <v>0</v>
      </c>
      <c r="J6" s="23">
        <v>1</v>
      </c>
      <c r="K6" s="23">
        <v>1</v>
      </c>
      <c r="L6" s="23">
        <v>8</v>
      </c>
      <c r="M6" s="23">
        <v>69</v>
      </c>
      <c r="N6" s="23">
        <v>10</v>
      </c>
      <c r="O6" s="23">
        <v>19</v>
      </c>
      <c r="P6" s="23">
        <v>10</v>
      </c>
      <c r="Q6" s="23">
        <v>8</v>
      </c>
      <c r="R6" s="23">
        <v>1.31</v>
      </c>
      <c r="S6" s="21">
        <v>2</v>
      </c>
      <c r="T6" s="21">
        <v>4</v>
      </c>
      <c r="U6" s="21">
        <v>1</v>
      </c>
      <c r="V6" s="21">
        <v>0.8</v>
      </c>
      <c r="W6" s="21">
        <v>0</v>
      </c>
    </row>
    <row r="7" spans="1:23" x14ac:dyDescent="0.2">
      <c r="A7" s="22"/>
      <c r="B7" s="23">
        <v>2015</v>
      </c>
      <c r="C7" s="23">
        <v>0</v>
      </c>
      <c r="D7" s="23">
        <v>528</v>
      </c>
      <c r="E7" s="23">
        <v>78</v>
      </c>
      <c r="F7" s="23">
        <v>5</v>
      </c>
      <c r="G7" s="23">
        <v>0</v>
      </c>
      <c r="H7" s="23">
        <v>155</v>
      </c>
      <c r="I7" s="23">
        <v>0</v>
      </c>
      <c r="J7" s="23">
        <v>1</v>
      </c>
      <c r="K7" s="23">
        <v>2</v>
      </c>
      <c r="L7" s="23">
        <v>7</v>
      </c>
      <c r="M7" s="23">
        <v>30</v>
      </c>
      <c r="N7" s="23">
        <v>9</v>
      </c>
      <c r="O7" s="23">
        <v>19</v>
      </c>
      <c r="P7" s="23">
        <v>12</v>
      </c>
      <c r="Q7" s="23">
        <v>7</v>
      </c>
      <c r="R7" s="23">
        <v>0.95</v>
      </c>
      <c r="S7" s="21">
        <v>1</v>
      </c>
      <c r="T7" s="21">
        <v>3</v>
      </c>
      <c r="U7" s="21">
        <v>3</v>
      </c>
      <c r="V7" s="21">
        <v>0.68</v>
      </c>
      <c r="W7" s="21">
        <v>0</v>
      </c>
    </row>
    <row r="8" spans="1:23" x14ac:dyDescent="0.2">
      <c r="A8" s="22"/>
      <c r="B8" s="23">
        <v>2016</v>
      </c>
      <c r="C8" s="23">
        <v>0</v>
      </c>
      <c r="D8" s="23">
        <v>541</v>
      </c>
      <c r="E8" s="23">
        <v>78</v>
      </c>
      <c r="F8" s="23">
        <v>5</v>
      </c>
      <c r="G8" s="23">
        <v>0</v>
      </c>
      <c r="H8" s="23">
        <v>149</v>
      </c>
      <c r="I8" s="23">
        <v>0</v>
      </c>
      <c r="J8" s="23">
        <v>1</v>
      </c>
      <c r="K8" s="23">
        <v>2</v>
      </c>
      <c r="L8" s="23">
        <v>7</v>
      </c>
      <c r="M8" s="23">
        <v>24</v>
      </c>
      <c r="N8" s="23">
        <v>10</v>
      </c>
      <c r="O8" s="23">
        <v>20</v>
      </c>
      <c r="P8" s="23">
        <v>17</v>
      </c>
      <c r="Q8" s="23">
        <v>7</v>
      </c>
      <c r="R8" s="23">
        <v>0.61</v>
      </c>
      <c r="S8" s="21">
        <v>1</v>
      </c>
      <c r="T8" s="21">
        <v>5</v>
      </c>
      <c r="U8" s="21">
        <v>3</v>
      </c>
      <c r="V8" s="21">
        <v>0.55000000000000004</v>
      </c>
      <c r="W8" s="21">
        <v>0</v>
      </c>
    </row>
    <row r="9" spans="1:23" x14ac:dyDescent="0.2">
      <c r="A9" s="22"/>
      <c r="B9" s="23">
        <v>2017</v>
      </c>
      <c r="C9" s="23">
        <v>0</v>
      </c>
      <c r="D9" s="23">
        <v>552</v>
      </c>
      <c r="E9" s="23">
        <v>76</v>
      </c>
      <c r="F9" s="23">
        <v>9</v>
      </c>
      <c r="G9" s="23">
        <v>0</v>
      </c>
      <c r="H9" s="23">
        <v>148</v>
      </c>
      <c r="I9" s="23">
        <v>0</v>
      </c>
      <c r="J9" s="23">
        <v>1</v>
      </c>
      <c r="K9" s="23">
        <v>2</v>
      </c>
      <c r="L9" s="23">
        <v>7</v>
      </c>
      <c r="M9" s="23">
        <v>20</v>
      </c>
      <c r="N9" s="23">
        <v>10</v>
      </c>
      <c r="O9" s="23">
        <v>21</v>
      </c>
      <c r="P9" s="23">
        <v>14</v>
      </c>
      <c r="Q9" s="23">
        <v>9</v>
      </c>
      <c r="R9" s="23">
        <v>0.8</v>
      </c>
      <c r="S9" s="21">
        <v>1</v>
      </c>
      <c r="T9" s="21">
        <v>2</v>
      </c>
      <c r="U9" s="21">
        <v>3</v>
      </c>
      <c r="V9" s="21">
        <v>0.57999999999999996</v>
      </c>
      <c r="W9" s="21">
        <v>0</v>
      </c>
    </row>
    <row r="10" spans="1:23" x14ac:dyDescent="0.2">
      <c r="A10" s="22"/>
      <c r="B10" s="23">
        <v>2018</v>
      </c>
      <c r="C10" s="23">
        <v>0</v>
      </c>
      <c r="D10" s="23">
        <v>558</v>
      </c>
      <c r="E10" s="23">
        <v>83</v>
      </c>
      <c r="F10" s="23">
        <v>7</v>
      </c>
      <c r="G10" s="23">
        <v>0</v>
      </c>
      <c r="H10" s="23">
        <v>148</v>
      </c>
      <c r="I10" s="23">
        <v>0</v>
      </c>
      <c r="J10" s="23">
        <v>1</v>
      </c>
      <c r="K10" s="23">
        <v>2</v>
      </c>
      <c r="L10" s="23">
        <v>7</v>
      </c>
      <c r="M10" s="23">
        <v>22</v>
      </c>
      <c r="N10" s="23">
        <v>8</v>
      </c>
      <c r="O10" s="23">
        <v>19</v>
      </c>
      <c r="P10" s="23">
        <v>10</v>
      </c>
      <c r="Q10" s="23">
        <v>8</v>
      </c>
      <c r="R10" s="23">
        <v>0.59</v>
      </c>
      <c r="S10" s="21">
        <v>1</v>
      </c>
      <c r="T10" s="21">
        <v>1</v>
      </c>
      <c r="U10" s="21">
        <v>1</v>
      </c>
      <c r="V10" s="21">
        <v>0.64</v>
      </c>
      <c r="W10" s="21">
        <v>0</v>
      </c>
    </row>
    <row r="11" spans="1:23" x14ac:dyDescent="0.2">
      <c r="A11" s="22"/>
      <c r="B11" s="23">
        <v>2019</v>
      </c>
      <c r="C11" s="23">
        <v>0</v>
      </c>
      <c r="D11" s="23">
        <v>582</v>
      </c>
      <c r="E11" s="23">
        <v>86</v>
      </c>
      <c r="F11" s="23">
        <v>10</v>
      </c>
      <c r="G11" s="23">
        <v>0</v>
      </c>
      <c r="H11" s="23">
        <v>155</v>
      </c>
      <c r="I11" s="23">
        <v>0</v>
      </c>
      <c r="J11" s="23">
        <v>1</v>
      </c>
      <c r="K11" s="23">
        <v>2</v>
      </c>
      <c r="L11" s="23">
        <v>8</v>
      </c>
      <c r="M11" s="23">
        <v>27</v>
      </c>
      <c r="N11" s="23">
        <v>8</v>
      </c>
      <c r="O11" s="23">
        <v>16</v>
      </c>
      <c r="P11" s="23">
        <v>12</v>
      </c>
      <c r="Q11" s="23">
        <v>8</v>
      </c>
      <c r="R11" s="23">
        <v>0.82</v>
      </c>
      <c r="S11" s="21">
        <v>1</v>
      </c>
      <c r="T11" s="21">
        <v>0</v>
      </c>
      <c r="U11" s="21">
        <v>2</v>
      </c>
      <c r="V11" s="21">
        <v>0.79</v>
      </c>
      <c r="W11" s="21">
        <v>0.01</v>
      </c>
    </row>
    <row r="12" spans="1:23" x14ac:dyDescent="0.2">
      <c r="A12" s="22"/>
      <c r="B12" s="23">
        <v>2020</v>
      </c>
      <c r="C12" s="23">
        <v>0</v>
      </c>
      <c r="D12" s="23">
        <v>589</v>
      </c>
      <c r="E12" s="23">
        <v>84</v>
      </c>
      <c r="F12" s="23">
        <v>9</v>
      </c>
      <c r="G12" s="23">
        <v>0</v>
      </c>
      <c r="H12" s="23">
        <v>148</v>
      </c>
      <c r="I12" s="23">
        <v>0</v>
      </c>
      <c r="J12" s="23">
        <v>1</v>
      </c>
      <c r="K12" s="23">
        <v>2</v>
      </c>
      <c r="L12" s="23">
        <v>8</v>
      </c>
      <c r="M12" s="23">
        <v>21</v>
      </c>
      <c r="N12" s="23">
        <v>9</v>
      </c>
      <c r="O12" s="23">
        <v>15</v>
      </c>
      <c r="P12" s="23">
        <v>11</v>
      </c>
      <c r="Q12" s="23">
        <v>7</v>
      </c>
      <c r="R12" s="23">
        <v>0.82</v>
      </c>
      <c r="S12" s="21">
        <v>1</v>
      </c>
      <c r="T12" s="21">
        <v>0</v>
      </c>
      <c r="U12" s="21">
        <v>2</v>
      </c>
      <c r="V12" s="21">
        <v>0.79</v>
      </c>
      <c r="W12" s="21">
        <v>0.01</v>
      </c>
    </row>
    <row r="13" spans="1:23" x14ac:dyDescent="0.2">
      <c r="A13" s="22" t="s">
        <v>305</v>
      </c>
      <c r="B13" s="23">
        <v>2050</v>
      </c>
      <c r="C13" s="23">
        <v>0</v>
      </c>
      <c r="D13" s="23">
        <v>909.40909099999999</v>
      </c>
      <c r="E13" s="23">
        <v>147.545455</v>
      </c>
      <c r="F13" s="23">
        <v>36.863636</v>
      </c>
      <c r="G13" s="23">
        <v>0</v>
      </c>
      <c r="H13" s="23">
        <v>263.90909099999999</v>
      </c>
      <c r="I13" s="23">
        <v>0</v>
      </c>
      <c r="J13" s="23">
        <v>1</v>
      </c>
      <c r="K13" s="23">
        <v>3.954545</v>
      </c>
      <c r="L13" s="23">
        <v>2.5</v>
      </c>
      <c r="M13" s="23">
        <v>-104.18181800000001</v>
      </c>
      <c r="N13" s="23">
        <v>13.272727</v>
      </c>
      <c r="O13" s="23">
        <v>1.2272730000000001</v>
      </c>
      <c r="P13" s="23">
        <v>6.1818179999999998</v>
      </c>
      <c r="Q13" s="23">
        <v>-15.045455</v>
      </c>
      <c r="R13" s="23">
        <v>-0.23772699999999999</v>
      </c>
      <c r="S13" s="21">
        <v>-3.3181820000000002</v>
      </c>
      <c r="T13" s="21">
        <v>-24.5</v>
      </c>
      <c r="U13" s="21">
        <v>-2.3181820000000002</v>
      </c>
      <c r="V13" s="21">
        <v>0.58090900000000001</v>
      </c>
      <c r="W13" s="21">
        <v>1.9545E-2</v>
      </c>
    </row>
    <row r="14" spans="1:23" x14ac:dyDescent="0.2">
      <c r="A14" s="63" t="s">
        <v>306</v>
      </c>
      <c r="B14" s="64">
        <v>2050</v>
      </c>
      <c r="C14" s="64">
        <f>C13</f>
        <v>0</v>
      </c>
      <c r="D14" s="64">
        <f t="shared" ref="D14:P14" si="0">D13</f>
        <v>909.40909099999999</v>
      </c>
      <c r="E14" s="64">
        <f t="shared" si="0"/>
        <v>147.545455</v>
      </c>
      <c r="F14" s="64">
        <f t="shared" si="0"/>
        <v>36.863636</v>
      </c>
      <c r="G14" s="64">
        <f t="shared" si="0"/>
        <v>0</v>
      </c>
      <c r="H14" s="64">
        <f t="shared" si="0"/>
        <v>263.90909099999999</v>
      </c>
      <c r="I14" s="64">
        <f t="shared" si="0"/>
        <v>0</v>
      </c>
      <c r="J14" s="64">
        <f t="shared" si="0"/>
        <v>1</v>
      </c>
      <c r="K14" s="64">
        <f t="shared" si="0"/>
        <v>3.954545</v>
      </c>
      <c r="L14" s="64">
        <f t="shared" si="0"/>
        <v>2.5</v>
      </c>
      <c r="M14" s="64">
        <v>0</v>
      </c>
      <c r="N14" s="64">
        <f t="shared" si="0"/>
        <v>13.272727</v>
      </c>
      <c r="O14" s="64">
        <f t="shared" si="0"/>
        <v>1.2272730000000001</v>
      </c>
      <c r="P14" s="64">
        <f t="shared" si="0"/>
        <v>6.1818179999999998</v>
      </c>
      <c r="Q14" s="64">
        <v>0</v>
      </c>
      <c r="R14" s="64">
        <f>0</f>
        <v>0</v>
      </c>
      <c r="S14" s="64">
        <v>0</v>
      </c>
      <c r="T14" s="64">
        <v>0</v>
      </c>
      <c r="U14" s="64">
        <v>0</v>
      </c>
      <c r="V14" s="64">
        <f>V13</f>
        <v>0.58090900000000001</v>
      </c>
      <c r="W14" s="64">
        <f>W13</f>
        <v>1.9545E-2</v>
      </c>
    </row>
    <row r="15" spans="1:23" x14ac:dyDescent="0.2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spans="1:23" x14ac:dyDescent="0.2"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</row>
    <row r="17" spans="2:18" x14ac:dyDescent="0.2"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</row>
    <row r="18" spans="2:18" x14ac:dyDescent="0.2"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</row>
    <row r="19" spans="2:18" x14ac:dyDescent="0.2"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2:18" x14ac:dyDescent="0.2"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A1CE8-01B4-1C45-999E-BA4DEF2EAC5A}">
  <dimension ref="A1:AR47"/>
  <sheetViews>
    <sheetView zoomScale="125" workbookViewId="0">
      <selection activeCell="A28" sqref="A28"/>
    </sheetView>
  </sheetViews>
  <sheetFormatPr baseColWidth="10" defaultColWidth="11" defaultRowHeight="16" x14ac:dyDescent="0.2"/>
  <cols>
    <col min="11" max="11" width="11.5" customWidth="1"/>
  </cols>
  <sheetData>
    <row r="1" spans="2:44" x14ac:dyDescent="0.2">
      <c r="C1" s="188" t="s">
        <v>69</v>
      </c>
      <c r="D1" s="188"/>
      <c r="E1" s="188"/>
      <c r="F1" s="188" t="s">
        <v>74</v>
      </c>
      <c r="G1" s="188"/>
      <c r="H1" s="188"/>
      <c r="I1" s="188" t="s">
        <v>77</v>
      </c>
      <c r="J1" s="188"/>
      <c r="K1" s="188"/>
      <c r="L1" s="188" t="s">
        <v>75</v>
      </c>
      <c r="M1" s="188"/>
      <c r="N1" s="188"/>
      <c r="O1" s="188" t="s">
        <v>307</v>
      </c>
      <c r="P1" s="188"/>
      <c r="Q1" s="188"/>
      <c r="R1" s="188" t="s">
        <v>308</v>
      </c>
      <c r="S1" s="188"/>
      <c r="T1" s="188"/>
      <c r="U1" s="188" t="s">
        <v>309</v>
      </c>
      <c r="V1" s="188"/>
      <c r="W1" s="188"/>
      <c r="X1" s="189" t="s">
        <v>310</v>
      </c>
      <c r="Y1" s="190"/>
      <c r="Z1" s="191"/>
      <c r="AA1" s="188" t="s">
        <v>311</v>
      </c>
      <c r="AB1" s="188"/>
      <c r="AC1" s="188"/>
      <c r="AD1" s="188" t="s">
        <v>312</v>
      </c>
      <c r="AE1" s="188"/>
      <c r="AF1" s="188"/>
      <c r="AG1" s="188" t="s">
        <v>313</v>
      </c>
      <c r="AH1" s="188"/>
      <c r="AI1" s="188"/>
      <c r="AJ1" s="188" t="s">
        <v>314</v>
      </c>
      <c r="AK1" s="188"/>
      <c r="AL1" s="188"/>
      <c r="AM1" s="188" t="s">
        <v>315</v>
      </c>
      <c r="AN1" s="188"/>
      <c r="AO1" s="188"/>
      <c r="AP1" s="189" t="s">
        <v>64</v>
      </c>
      <c r="AQ1" s="190"/>
      <c r="AR1" s="191"/>
    </row>
    <row r="2" spans="2:44" ht="64" x14ac:dyDescent="0.2">
      <c r="B2" s="29" t="s">
        <v>247</v>
      </c>
      <c r="C2" s="29" t="s">
        <v>316</v>
      </c>
      <c r="D2" s="29" t="s">
        <v>317</v>
      </c>
      <c r="E2" s="29" t="s">
        <v>318</v>
      </c>
      <c r="F2" s="29" t="s">
        <v>319</v>
      </c>
      <c r="G2" s="29" t="s">
        <v>320</v>
      </c>
      <c r="H2" s="29" t="s">
        <v>321</v>
      </c>
      <c r="I2" s="29" t="s">
        <v>322</v>
      </c>
      <c r="J2" s="29" t="s">
        <v>323</v>
      </c>
      <c r="K2" s="29" t="s">
        <v>324</v>
      </c>
      <c r="L2" s="29" t="s">
        <v>325</v>
      </c>
      <c r="M2" s="29" t="s">
        <v>326</v>
      </c>
      <c r="N2" s="29" t="s">
        <v>327</v>
      </c>
      <c r="O2" s="29" t="s">
        <v>328</v>
      </c>
      <c r="P2" s="29" t="s">
        <v>329</v>
      </c>
      <c r="Q2" s="29" t="s">
        <v>330</v>
      </c>
      <c r="R2" s="29" t="s">
        <v>331</v>
      </c>
      <c r="S2" s="29" t="s">
        <v>332</v>
      </c>
      <c r="T2" s="29" t="s">
        <v>333</v>
      </c>
      <c r="U2" s="29" t="s">
        <v>334</v>
      </c>
      <c r="V2" s="29" t="s">
        <v>335</v>
      </c>
      <c r="W2" s="29" t="s">
        <v>336</v>
      </c>
      <c r="X2" s="29" t="s">
        <v>337</v>
      </c>
      <c r="Y2" s="29" t="s">
        <v>338</v>
      </c>
      <c r="Z2" s="29" t="s">
        <v>339</v>
      </c>
      <c r="AA2" s="29" t="s">
        <v>340</v>
      </c>
      <c r="AB2" s="29" t="s">
        <v>341</v>
      </c>
      <c r="AC2" s="29" t="s">
        <v>342</v>
      </c>
      <c r="AD2" s="29" t="s">
        <v>343</v>
      </c>
      <c r="AE2" s="29" t="s">
        <v>344</v>
      </c>
      <c r="AF2" s="29" t="s">
        <v>345</v>
      </c>
      <c r="AG2" s="29" t="s">
        <v>346</v>
      </c>
      <c r="AH2" s="29" t="s">
        <v>347</v>
      </c>
      <c r="AI2" s="29" t="s">
        <v>348</v>
      </c>
      <c r="AJ2" s="30" t="s">
        <v>349</v>
      </c>
      <c r="AK2" s="29" t="s">
        <v>350</v>
      </c>
      <c r="AL2" s="29" t="s">
        <v>351</v>
      </c>
      <c r="AM2" s="29" t="s">
        <v>352</v>
      </c>
      <c r="AN2" s="29" t="s">
        <v>353</v>
      </c>
      <c r="AO2" s="29" t="s">
        <v>354</v>
      </c>
      <c r="AP2" s="30" t="s">
        <v>355</v>
      </c>
      <c r="AQ2" s="29" t="s">
        <v>356</v>
      </c>
      <c r="AR2" s="29" t="s">
        <v>357</v>
      </c>
    </row>
    <row r="3" spans="2:44" x14ac:dyDescent="0.2">
      <c r="B3">
        <v>2010</v>
      </c>
      <c r="C3">
        <v>2</v>
      </c>
      <c r="D3">
        <v>45</v>
      </c>
      <c r="E3">
        <f>C3/D3</f>
        <v>4.4444444444444446E-2</v>
      </c>
      <c r="F3">
        <v>64</v>
      </c>
      <c r="G3">
        <v>924</v>
      </c>
      <c r="H3">
        <f>F3/G3</f>
        <v>6.9264069264069264E-2</v>
      </c>
      <c r="I3">
        <v>20</v>
      </c>
      <c r="J3">
        <v>421</v>
      </c>
      <c r="K3">
        <f>I3/J3</f>
        <v>4.7505938242280284E-2</v>
      </c>
      <c r="L3">
        <v>0</v>
      </c>
      <c r="M3">
        <v>16</v>
      </c>
      <c r="N3">
        <f>L3/M3</f>
        <v>0</v>
      </c>
      <c r="O3">
        <v>0</v>
      </c>
      <c r="P3">
        <v>3</v>
      </c>
      <c r="Q3">
        <f>O3/P3</f>
        <v>0</v>
      </c>
      <c r="R3">
        <v>0</v>
      </c>
      <c r="S3">
        <v>82</v>
      </c>
      <c r="T3">
        <f>R3/S3</f>
        <v>0</v>
      </c>
      <c r="U3">
        <v>25</v>
      </c>
      <c r="V3">
        <v>364</v>
      </c>
      <c r="W3">
        <f>U3/V3</f>
        <v>6.8681318681318687E-2</v>
      </c>
      <c r="X3">
        <v>20</v>
      </c>
      <c r="Y3">
        <v>410</v>
      </c>
      <c r="Z3">
        <f>X3/Y3</f>
        <v>4.878048780487805E-2</v>
      </c>
      <c r="AB3">
        <v>1302</v>
      </c>
      <c r="AE3">
        <v>290</v>
      </c>
      <c r="AH3">
        <v>34</v>
      </c>
      <c r="AK3">
        <v>112</v>
      </c>
      <c r="AN3">
        <v>4142</v>
      </c>
      <c r="AQ3">
        <v>471</v>
      </c>
    </row>
    <row r="4" spans="2:44" x14ac:dyDescent="0.2">
      <c r="B4">
        <v>2011</v>
      </c>
      <c r="C4">
        <v>2</v>
      </c>
      <c r="D4">
        <v>46</v>
      </c>
      <c r="E4">
        <f t="shared" ref="E4:E14" si="0">C4/D4</f>
        <v>4.3478260869565216E-2</v>
      </c>
      <c r="F4">
        <v>51</v>
      </c>
      <c r="G4">
        <v>972</v>
      </c>
      <c r="H4">
        <f t="shared" ref="H4:H14" si="1">F4/G4</f>
        <v>5.2469135802469133E-2</v>
      </c>
      <c r="I4">
        <v>32</v>
      </c>
      <c r="J4">
        <v>515</v>
      </c>
      <c r="K4">
        <f t="shared" ref="K4:K14" si="2">I4/J4</f>
        <v>6.2135922330097085E-2</v>
      </c>
      <c r="L4">
        <v>0</v>
      </c>
      <c r="M4">
        <v>16</v>
      </c>
      <c r="N4">
        <f t="shared" ref="N4:N14" si="3">L4/M4</f>
        <v>0</v>
      </c>
      <c r="O4">
        <v>0</v>
      </c>
      <c r="P4">
        <v>3</v>
      </c>
      <c r="Q4">
        <f t="shared" ref="Q4:Q14" si="4">O4/P4</f>
        <v>0</v>
      </c>
      <c r="R4">
        <v>0</v>
      </c>
      <c r="S4">
        <v>88</v>
      </c>
      <c r="T4">
        <f t="shared" ref="T4:T14" si="5">R4/S4</f>
        <v>0</v>
      </c>
      <c r="U4">
        <v>28</v>
      </c>
      <c r="V4">
        <v>466</v>
      </c>
      <c r="W4">
        <f t="shared" ref="W4:W14" si="6">U4/V4</f>
        <v>6.0085836909871244E-2</v>
      </c>
      <c r="X4">
        <v>23</v>
      </c>
      <c r="Y4">
        <v>584</v>
      </c>
      <c r="Z4">
        <f t="shared" ref="Z4:Z14" si="7">X4/Y4</f>
        <v>3.9383561643835614E-2</v>
      </c>
      <c r="AB4">
        <v>1828</v>
      </c>
      <c r="AE4">
        <v>358</v>
      </c>
      <c r="AH4">
        <v>34</v>
      </c>
      <c r="AK4">
        <v>112</v>
      </c>
      <c r="AN4">
        <v>4180</v>
      </c>
      <c r="AQ4">
        <v>476</v>
      </c>
    </row>
    <row r="5" spans="2:44" x14ac:dyDescent="0.2">
      <c r="B5">
        <v>2012</v>
      </c>
      <c r="C5">
        <v>2</v>
      </c>
      <c r="D5">
        <v>46</v>
      </c>
      <c r="E5">
        <f t="shared" si="0"/>
        <v>4.3478260869565216E-2</v>
      </c>
      <c r="F5">
        <v>80</v>
      </c>
      <c r="G5">
        <v>922</v>
      </c>
      <c r="H5">
        <f t="shared" si="1"/>
        <v>8.6767895878524945E-2</v>
      </c>
      <c r="I5">
        <v>14</v>
      </c>
      <c r="J5">
        <v>447</v>
      </c>
      <c r="K5">
        <f t="shared" si="2"/>
        <v>3.1319910514541388E-2</v>
      </c>
      <c r="L5">
        <v>0</v>
      </c>
      <c r="M5">
        <v>15</v>
      </c>
      <c r="N5">
        <f t="shared" si="3"/>
        <v>0</v>
      </c>
      <c r="O5">
        <v>0</v>
      </c>
      <c r="P5">
        <v>3</v>
      </c>
      <c r="Q5">
        <f t="shared" si="4"/>
        <v>0</v>
      </c>
      <c r="R5">
        <v>0</v>
      </c>
      <c r="S5">
        <v>82</v>
      </c>
      <c r="T5">
        <f t="shared" si="5"/>
        <v>0</v>
      </c>
      <c r="U5">
        <v>27</v>
      </c>
      <c r="V5">
        <v>435</v>
      </c>
      <c r="W5">
        <f t="shared" si="6"/>
        <v>6.2068965517241378E-2</v>
      </c>
      <c r="X5">
        <v>21</v>
      </c>
      <c r="Y5">
        <v>446</v>
      </c>
      <c r="Z5">
        <f t="shared" si="7"/>
        <v>4.708520179372197E-2</v>
      </c>
      <c r="AB5">
        <v>1673</v>
      </c>
      <c r="AE5">
        <v>317</v>
      </c>
      <c r="AH5">
        <v>34</v>
      </c>
      <c r="AK5">
        <v>113</v>
      </c>
      <c r="AN5">
        <v>4148</v>
      </c>
      <c r="AQ5">
        <v>473</v>
      </c>
    </row>
    <row r="6" spans="2:44" x14ac:dyDescent="0.2">
      <c r="B6">
        <v>2013</v>
      </c>
      <c r="C6">
        <v>2</v>
      </c>
      <c r="D6">
        <v>49</v>
      </c>
      <c r="E6">
        <f t="shared" si="0"/>
        <v>4.0816326530612242E-2</v>
      </c>
      <c r="F6">
        <v>87</v>
      </c>
      <c r="G6">
        <v>838</v>
      </c>
      <c r="H6">
        <f t="shared" si="1"/>
        <v>0.10381861575178998</v>
      </c>
      <c r="I6">
        <v>15</v>
      </c>
      <c r="J6">
        <v>360</v>
      </c>
      <c r="K6">
        <f t="shared" si="2"/>
        <v>4.1666666666666664E-2</v>
      </c>
      <c r="L6">
        <v>0</v>
      </c>
      <c r="M6">
        <v>14</v>
      </c>
      <c r="N6">
        <f t="shared" si="3"/>
        <v>0</v>
      </c>
      <c r="O6">
        <v>0</v>
      </c>
      <c r="P6">
        <v>2</v>
      </c>
      <c r="Q6">
        <f t="shared" si="4"/>
        <v>0</v>
      </c>
      <c r="R6">
        <v>0</v>
      </c>
      <c r="S6">
        <v>85</v>
      </c>
      <c r="T6">
        <f t="shared" si="5"/>
        <v>0</v>
      </c>
      <c r="U6">
        <v>26</v>
      </c>
      <c r="V6">
        <v>417</v>
      </c>
      <c r="W6">
        <f t="shared" si="6"/>
        <v>6.235011990407674E-2</v>
      </c>
      <c r="X6">
        <v>22</v>
      </c>
      <c r="Y6">
        <v>400</v>
      </c>
      <c r="Z6">
        <f t="shared" si="7"/>
        <v>5.5E-2</v>
      </c>
      <c r="AB6">
        <v>1376</v>
      </c>
      <c r="AE6">
        <v>279</v>
      </c>
      <c r="AH6">
        <v>33</v>
      </c>
      <c r="AK6">
        <v>109</v>
      </c>
      <c r="AN6">
        <v>4068</v>
      </c>
      <c r="AQ6">
        <v>468</v>
      </c>
    </row>
    <row r="7" spans="2:44" x14ac:dyDescent="0.2">
      <c r="B7">
        <v>2014</v>
      </c>
      <c r="C7">
        <v>5</v>
      </c>
      <c r="D7">
        <v>52</v>
      </c>
      <c r="E7">
        <f t="shared" si="0"/>
        <v>9.6153846153846159E-2</v>
      </c>
      <c r="F7">
        <v>30</v>
      </c>
      <c r="G7">
        <v>994</v>
      </c>
      <c r="H7">
        <f t="shared" si="1"/>
        <v>3.0181086519114688E-2</v>
      </c>
      <c r="I7">
        <v>24</v>
      </c>
      <c r="J7">
        <v>504</v>
      </c>
      <c r="K7">
        <f t="shared" si="2"/>
        <v>4.7619047619047616E-2</v>
      </c>
      <c r="L7">
        <v>1</v>
      </c>
      <c r="M7">
        <v>16</v>
      </c>
      <c r="N7">
        <f t="shared" si="3"/>
        <v>6.25E-2</v>
      </c>
      <c r="O7">
        <v>0</v>
      </c>
      <c r="P7">
        <v>3</v>
      </c>
      <c r="Q7">
        <f t="shared" si="4"/>
        <v>0</v>
      </c>
      <c r="R7">
        <v>5</v>
      </c>
      <c r="S7">
        <v>108</v>
      </c>
      <c r="T7">
        <f t="shared" si="5"/>
        <v>4.6296296296296294E-2</v>
      </c>
      <c r="U7">
        <v>23</v>
      </c>
      <c r="V7">
        <v>412</v>
      </c>
      <c r="W7">
        <f t="shared" si="6"/>
        <v>5.5825242718446605E-2</v>
      </c>
      <c r="X7">
        <v>36</v>
      </c>
      <c r="Y7">
        <v>451</v>
      </c>
      <c r="Z7">
        <f t="shared" si="7"/>
        <v>7.9822616407982258E-2</v>
      </c>
      <c r="AA7">
        <v>103</v>
      </c>
      <c r="AB7">
        <v>1924</v>
      </c>
      <c r="AC7">
        <f>AA7/AB7</f>
        <v>5.3534303534303537E-2</v>
      </c>
      <c r="AD7">
        <v>0</v>
      </c>
      <c r="AE7">
        <v>379</v>
      </c>
      <c r="AF7">
        <f>AD7/AE7</f>
        <v>0</v>
      </c>
      <c r="AG7">
        <v>3</v>
      </c>
      <c r="AH7">
        <v>33</v>
      </c>
      <c r="AI7">
        <f>AG7/AH7</f>
        <v>9.0909090909090912E-2</v>
      </c>
      <c r="AJ7">
        <v>1</v>
      </c>
      <c r="AK7">
        <v>111</v>
      </c>
      <c r="AL7">
        <f>AJ7/AK7</f>
        <v>9.0090090090090089E-3</v>
      </c>
      <c r="AN7">
        <v>4132</v>
      </c>
      <c r="AQ7">
        <v>480</v>
      </c>
    </row>
    <row r="8" spans="2:44" x14ac:dyDescent="0.2">
      <c r="B8">
        <v>2015</v>
      </c>
      <c r="C8">
        <v>5</v>
      </c>
      <c r="D8">
        <v>55</v>
      </c>
      <c r="E8">
        <f t="shared" si="0"/>
        <v>9.0909090909090912E-2</v>
      </c>
      <c r="F8">
        <v>26</v>
      </c>
      <c r="G8">
        <v>910</v>
      </c>
      <c r="H8">
        <f t="shared" si="1"/>
        <v>2.8571428571428571E-2</v>
      </c>
      <c r="I8">
        <v>18</v>
      </c>
      <c r="J8">
        <v>389</v>
      </c>
      <c r="K8">
        <f t="shared" si="2"/>
        <v>4.6272493573264781E-2</v>
      </c>
      <c r="L8">
        <v>1</v>
      </c>
      <c r="M8">
        <v>17</v>
      </c>
      <c r="N8">
        <f t="shared" si="3"/>
        <v>5.8823529411764705E-2</v>
      </c>
      <c r="O8">
        <v>0</v>
      </c>
      <c r="P8">
        <v>3</v>
      </c>
      <c r="Q8">
        <f t="shared" si="4"/>
        <v>0</v>
      </c>
      <c r="R8">
        <v>5</v>
      </c>
      <c r="S8">
        <v>101</v>
      </c>
      <c r="T8">
        <f t="shared" si="5"/>
        <v>4.9504950495049507E-2</v>
      </c>
      <c r="U8">
        <v>23</v>
      </c>
      <c r="V8">
        <v>397</v>
      </c>
      <c r="W8">
        <f t="shared" si="6"/>
        <v>5.793450881612091E-2</v>
      </c>
      <c r="X8">
        <v>34</v>
      </c>
      <c r="Y8">
        <v>405</v>
      </c>
      <c r="Z8">
        <f t="shared" si="7"/>
        <v>8.3950617283950618E-2</v>
      </c>
      <c r="AA8">
        <v>73</v>
      </c>
      <c r="AB8">
        <v>1356</v>
      </c>
      <c r="AC8">
        <f t="shared" ref="AC8:AC14" si="8">AA8/AB8</f>
        <v>5.3834808259587023E-2</v>
      </c>
      <c r="AD8">
        <v>0</v>
      </c>
      <c r="AE8">
        <v>384</v>
      </c>
      <c r="AF8">
        <f t="shared" ref="AF8:AF14" si="9">AD8/AE8</f>
        <v>0</v>
      </c>
      <c r="AG8">
        <v>3</v>
      </c>
      <c r="AH8">
        <v>32</v>
      </c>
      <c r="AI8">
        <f t="shared" ref="AI8:AI14" si="10">AG8/AH8</f>
        <v>9.375E-2</v>
      </c>
      <c r="AJ8">
        <v>1</v>
      </c>
      <c r="AK8">
        <v>110</v>
      </c>
      <c r="AL8">
        <f t="shared" ref="AL8:AL14" si="11">AJ8/AK8</f>
        <v>9.0909090909090905E-3</v>
      </c>
      <c r="AN8">
        <v>4105</v>
      </c>
      <c r="AQ8">
        <v>479</v>
      </c>
    </row>
    <row r="9" spans="2:44" x14ac:dyDescent="0.2">
      <c r="B9">
        <v>2016</v>
      </c>
      <c r="C9">
        <v>5</v>
      </c>
      <c r="D9">
        <v>56</v>
      </c>
      <c r="E9">
        <f t="shared" si="0"/>
        <v>8.9285714285714288E-2</v>
      </c>
      <c r="F9">
        <v>35</v>
      </c>
      <c r="G9">
        <v>744</v>
      </c>
      <c r="H9">
        <f t="shared" si="1"/>
        <v>4.7043010752688172E-2</v>
      </c>
      <c r="I9">
        <v>17</v>
      </c>
      <c r="J9">
        <v>373</v>
      </c>
      <c r="K9">
        <f t="shared" si="2"/>
        <v>4.5576407506702415E-2</v>
      </c>
      <c r="L9">
        <v>1</v>
      </c>
      <c r="M9">
        <v>11</v>
      </c>
      <c r="N9">
        <f t="shared" si="3"/>
        <v>9.0909090909090912E-2</v>
      </c>
      <c r="O9">
        <v>0</v>
      </c>
      <c r="P9">
        <v>3</v>
      </c>
      <c r="Q9">
        <f t="shared" si="4"/>
        <v>0</v>
      </c>
      <c r="R9">
        <v>4</v>
      </c>
      <c r="S9">
        <v>90</v>
      </c>
      <c r="T9">
        <f t="shared" si="5"/>
        <v>4.4444444444444446E-2</v>
      </c>
      <c r="U9">
        <v>24</v>
      </c>
      <c r="V9">
        <v>397</v>
      </c>
      <c r="W9">
        <f t="shared" si="6"/>
        <v>6.0453400503778336E-2</v>
      </c>
      <c r="X9">
        <v>36</v>
      </c>
      <c r="Y9">
        <v>436</v>
      </c>
      <c r="Z9">
        <f t="shared" si="7"/>
        <v>8.2568807339449546E-2</v>
      </c>
      <c r="AA9">
        <v>69</v>
      </c>
      <c r="AB9">
        <v>1277</v>
      </c>
      <c r="AC9">
        <f t="shared" si="8"/>
        <v>5.4032889584964758E-2</v>
      </c>
      <c r="AD9">
        <v>0</v>
      </c>
      <c r="AE9">
        <v>284</v>
      </c>
      <c r="AF9">
        <f t="shared" si="9"/>
        <v>0</v>
      </c>
      <c r="AG9">
        <v>3</v>
      </c>
      <c r="AH9">
        <v>33</v>
      </c>
      <c r="AI9">
        <f t="shared" si="10"/>
        <v>9.0909090909090912E-2</v>
      </c>
      <c r="AJ9">
        <v>1</v>
      </c>
      <c r="AK9">
        <v>111</v>
      </c>
      <c r="AL9">
        <f t="shared" si="11"/>
        <v>9.0090090090090089E-3</v>
      </c>
      <c r="AN9">
        <v>4019</v>
      </c>
      <c r="AQ9">
        <v>483</v>
      </c>
    </row>
    <row r="10" spans="2:44" x14ac:dyDescent="0.2">
      <c r="B10">
        <v>2017</v>
      </c>
      <c r="C10">
        <v>5</v>
      </c>
      <c r="D10">
        <v>59</v>
      </c>
      <c r="E10">
        <f t="shared" si="0"/>
        <v>8.4745762711864403E-2</v>
      </c>
      <c r="F10">
        <v>30</v>
      </c>
      <c r="G10">
        <v>977</v>
      </c>
      <c r="H10">
        <f t="shared" si="1"/>
        <v>3.0706243602865915E-2</v>
      </c>
      <c r="I10">
        <v>22</v>
      </c>
      <c r="J10">
        <v>459</v>
      </c>
      <c r="K10">
        <f t="shared" si="2"/>
        <v>4.793028322440087E-2</v>
      </c>
      <c r="L10">
        <v>1</v>
      </c>
      <c r="M10">
        <v>18</v>
      </c>
      <c r="N10">
        <f t="shared" si="3"/>
        <v>5.5555555555555552E-2</v>
      </c>
      <c r="O10">
        <v>0</v>
      </c>
      <c r="P10">
        <v>3</v>
      </c>
      <c r="Q10">
        <f t="shared" si="4"/>
        <v>0</v>
      </c>
      <c r="R10">
        <v>5</v>
      </c>
      <c r="S10">
        <v>100</v>
      </c>
      <c r="T10">
        <f t="shared" si="5"/>
        <v>0.05</v>
      </c>
      <c r="U10">
        <v>24</v>
      </c>
      <c r="V10">
        <v>427</v>
      </c>
      <c r="W10">
        <f t="shared" si="6"/>
        <v>5.6206088992974239E-2</v>
      </c>
      <c r="X10">
        <v>34</v>
      </c>
      <c r="Y10">
        <v>405</v>
      </c>
      <c r="Z10">
        <f t="shared" si="7"/>
        <v>8.3950617283950618E-2</v>
      </c>
      <c r="AA10">
        <v>83</v>
      </c>
      <c r="AB10">
        <v>1545</v>
      </c>
      <c r="AC10">
        <f t="shared" si="8"/>
        <v>5.372168284789644E-2</v>
      </c>
      <c r="AD10">
        <v>0</v>
      </c>
      <c r="AE10">
        <v>305</v>
      </c>
      <c r="AF10">
        <f t="shared" si="9"/>
        <v>0</v>
      </c>
      <c r="AG10">
        <v>3</v>
      </c>
      <c r="AH10">
        <v>32</v>
      </c>
      <c r="AI10">
        <f t="shared" si="10"/>
        <v>9.375E-2</v>
      </c>
      <c r="AJ10">
        <v>1</v>
      </c>
      <c r="AK10">
        <v>105</v>
      </c>
      <c r="AL10">
        <f t="shared" si="11"/>
        <v>9.5238095238095247E-3</v>
      </c>
      <c r="AN10">
        <v>3956</v>
      </c>
      <c r="AQ10">
        <v>480</v>
      </c>
    </row>
    <row r="11" spans="2:44" x14ac:dyDescent="0.2">
      <c r="B11">
        <v>2018</v>
      </c>
      <c r="C11">
        <v>5</v>
      </c>
      <c r="D11">
        <v>61</v>
      </c>
      <c r="E11">
        <f t="shared" si="0"/>
        <v>8.1967213114754092E-2</v>
      </c>
      <c r="F11">
        <v>26</v>
      </c>
      <c r="G11">
        <v>882</v>
      </c>
      <c r="H11">
        <f t="shared" si="1"/>
        <v>2.9478458049886622E-2</v>
      </c>
      <c r="I11">
        <v>20</v>
      </c>
      <c r="J11">
        <v>448</v>
      </c>
      <c r="K11">
        <f t="shared" si="2"/>
        <v>4.4642857142857144E-2</v>
      </c>
      <c r="L11">
        <v>1</v>
      </c>
      <c r="M11">
        <v>19</v>
      </c>
      <c r="N11">
        <f t="shared" si="3"/>
        <v>5.2631578947368418E-2</v>
      </c>
      <c r="O11">
        <v>0</v>
      </c>
      <c r="P11">
        <v>3</v>
      </c>
      <c r="Q11">
        <f t="shared" si="4"/>
        <v>0</v>
      </c>
      <c r="R11">
        <v>5</v>
      </c>
      <c r="S11">
        <v>99</v>
      </c>
      <c r="T11">
        <f t="shared" si="5"/>
        <v>5.0505050505050504E-2</v>
      </c>
      <c r="U11">
        <v>24</v>
      </c>
      <c r="V11">
        <v>425</v>
      </c>
      <c r="W11">
        <f t="shared" si="6"/>
        <v>5.647058823529412E-2</v>
      </c>
      <c r="X11">
        <v>34</v>
      </c>
      <c r="Y11">
        <v>440</v>
      </c>
      <c r="Z11">
        <f t="shared" si="7"/>
        <v>7.7272727272727271E-2</v>
      </c>
      <c r="AA11">
        <v>87</v>
      </c>
      <c r="AB11">
        <v>1625</v>
      </c>
      <c r="AC11">
        <f t="shared" si="8"/>
        <v>5.3538461538461542E-2</v>
      </c>
      <c r="AD11">
        <v>0</v>
      </c>
      <c r="AE11">
        <v>245</v>
      </c>
      <c r="AF11">
        <f t="shared" si="9"/>
        <v>0</v>
      </c>
      <c r="AG11">
        <v>2</v>
      </c>
      <c r="AH11">
        <v>33</v>
      </c>
      <c r="AI11">
        <f t="shared" si="10"/>
        <v>6.0606060606060608E-2</v>
      </c>
      <c r="AJ11">
        <v>2</v>
      </c>
      <c r="AK11">
        <v>107</v>
      </c>
      <c r="AL11">
        <f t="shared" si="11"/>
        <v>1.8691588785046728E-2</v>
      </c>
      <c r="AM11">
        <v>0</v>
      </c>
      <c r="AN11">
        <v>3978</v>
      </c>
      <c r="AO11">
        <f>AM11/AN11</f>
        <v>0</v>
      </c>
      <c r="AP11">
        <v>0</v>
      </c>
      <c r="AQ11">
        <v>486</v>
      </c>
      <c r="AR11">
        <f>AP11/AQ11</f>
        <v>0</v>
      </c>
    </row>
    <row r="12" spans="2:44" x14ac:dyDescent="0.2">
      <c r="B12">
        <v>2019</v>
      </c>
      <c r="C12">
        <v>5</v>
      </c>
      <c r="D12">
        <v>62</v>
      </c>
      <c r="E12">
        <f t="shared" si="0"/>
        <v>8.0645161290322578E-2</v>
      </c>
      <c r="F12">
        <v>29</v>
      </c>
      <c r="G12">
        <v>930</v>
      </c>
      <c r="H12">
        <f t="shared" si="1"/>
        <v>3.118279569892473E-2</v>
      </c>
      <c r="I12">
        <v>18</v>
      </c>
      <c r="J12">
        <v>414</v>
      </c>
      <c r="K12">
        <f t="shared" si="2"/>
        <v>4.3478260869565216E-2</v>
      </c>
      <c r="L12">
        <v>1</v>
      </c>
      <c r="M12">
        <v>18</v>
      </c>
      <c r="N12">
        <f t="shared" si="3"/>
        <v>5.5555555555555552E-2</v>
      </c>
      <c r="O12">
        <v>0</v>
      </c>
      <c r="P12">
        <v>3</v>
      </c>
      <c r="Q12">
        <f t="shared" si="4"/>
        <v>0</v>
      </c>
      <c r="R12">
        <v>4</v>
      </c>
      <c r="S12">
        <v>91</v>
      </c>
      <c r="T12">
        <f t="shared" si="5"/>
        <v>4.3956043956043959E-2</v>
      </c>
      <c r="U12">
        <v>23</v>
      </c>
      <c r="V12">
        <v>380</v>
      </c>
      <c r="W12">
        <f t="shared" si="6"/>
        <v>6.0526315789473685E-2</v>
      </c>
      <c r="X12">
        <v>33</v>
      </c>
      <c r="Y12">
        <v>400</v>
      </c>
      <c r="Z12">
        <f t="shared" si="7"/>
        <v>8.2500000000000004E-2</v>
      </c>
      <c r="AA12">
        <v>86</v>
      </c>
      <c r="AB12">
        <v>1455</v>
      </c>
      <c r="AC12">
        <f t="shared" si="8"/>
        <v>5.9106529209621991E-2</v>
      </c>
      <c r="AD12">
        <v>0</v>
      </c>
      <c r="AE12">
        <v>267</v>
      </c>
      <c r="AF12">
        <f t="shared" si="9"/>
        <v>0</v>
      </c>
      <c r="AG12">
        <v>2</v>
      </c>
      <c r="AH12">
        <v>32</v>
      </c>
      <c r="AI12">
        <f t="shared" si="10"/>
        <v>6.25E-2</v>
      </c>
      <c r="AJ12">
        <v>2</v>
      </c>
      <c r="AK12">
        <v>105</v>
      </c>
      <c r="AL12">
        <f t="shared" si="11"/>
        <v>1.9047619047619049E-2</v>
      </c>
      <c r="AM12">
        <v>0</v>
      </c>
      <c r="AN12">
        <v>3859</v>
      </c>
      <c r="AO12">
        <f t="shared" ref="AO12:AO14" si="12">AM12/AN12</f>
        <v>0</v>
      </c>
      <c r="AP12">
        <v>0</v>
      </c>
      <c r="AQ12">
        <v>476</v>
      </c>
      <c r="AR12">
        <f t="shared" ref="AR12:AR14" si="13">AP12/AQ12</f>
        <v>0</v>
      </c>
    </row>
    <row r="13" spans="2:44" x14ac:dyDescent="0.2">
      <c r="B13">
        <v>2020</v>
      </c>
      <c r="C13">
        <v>6</v>
      </c>
      <c r="D13">
        <v>66</v>
      </c>
      <c r="E13">
        <f t="shared" si="0"/>
        <v>9.0909090909090912E-2</v>
      </c>
      <c r="F13">
        <v>30</v>
      </c>
      <c r="G13">
        <v>1008</v>
      </c>
      <c r="H13">
        <f t="shared" si="1"/>
        <v>2.976190476190476E-2</v>
      </c>
      <c r="I13">
        <v>22</v>
      </c>
      <c r="J13">
        <v>490</v>
      </c>
      <c r="K13">
        <f t="shared" si="2"/>
        <v>4.4897959183673466E-2</v>
      </c>
      <c r="L13">
        <v>1</v>
      </c>
      <c r="M13">
        <v>17</v>
      </c>
      <c r="N13">
        <f t="shared" si="3"/>
        <v>5.8823529411764705E-2</v>
      </c>
      <c r="O13">
        <v>0</v>
      </c>
      <c r="P13">
        <v>3</v>
      </c>
      <c r="Q13">
        <f t="shared" si="4"/>
        <v>0</v>
      </c>
      <c r="R13">
        <v>5</v>
      </c>
      <c r="S13">
        <v>106</v>
      </c>
      <c r="T13">
        <f t="shared" si="5"/>
        <v>4.716981132075472E-2</v>
      </c>
      <c r="U13">
        <v>25</v>
      </c>
      <c r="V13">
        <v>399</v>
      </c>
      <c r="W13">
        <f t="shared" si="6"/>
        <v>6.2656641604010022E-2</v>
      </c>
      <c r="X13">
        <v>33</v>
      </c>
      <c r="Y13">
        <v>377</v>
      </c>
      <c r="Z13">
        <f t="shared" si="7"/>
        <v>8.7533156498673742E-2</v>
      </c>
      <c r="AA13">
        <v>88</v>
      </c>
      <c r="AB13">
        <v>1424</v>
      </c>
      <c r="AC13">
        <f t="shared" si="8"/>
        <v>6.1797752808988762E-2</v>
      </c>
      <c r="AD13">
        <v>0</v>
      </c>
      <c r="AE13">
        <v>215</v>
      </c>
      <c r="AF13">
        <f t="shared" si="9"/>
        <v>0</v>
      </c>
      <c r="AG13">
        <v>3</v>
      </c>
      <c r="AH13">
        <v>32</v>
      </c>
      <c r="AI13">
        <f t="shared" si="10"/>
        <v>9.375E-2</v>
      </c>
      <c r="AJ13">
        <v>2</v>
      </c>
      <c r="AK13">
        <v>105</v>
      </c>
      <c r="AL13">
        <f t="shared" si="11"/>
        <v>1.9047619047619049E-2</v>
      </c>
      <c r="AN13">
        <v>3832</v>
      </c>
      <c r="AQ13">
        <v>482</v>
      </c>
    </row>
    <row r="14" spans="2:44" x14ac:dyDescent="0.2">
      <c r="B14">
        <v>2050</v>
      </c>
      <c r="C14">
        <v>18.954545454545499</v>
      </c>
      <c r="D14">
        <v>129.99999999999909</v>
      </c>
      <c r="E14">
        <f t="shared" si="0"/>
        <v>0.14580419580419718</v>
      </c>
      <c r="F14">
        <v>-123.95454545454599</v>
      </c>
      <c r="G14">
        <v>969.18181818181824</v>
      </c>
      <c r="H14">
        <f t="shared" si="1"/>
        <v>-0.12789606978707493</v>
      </c>
      <c r="I14">
        <v>13.5</v>
      </c>
      <c r="J14">
        <v>441.68181818181807</v>
      </c>
      <c r="K14">
        <f t="shared" si="2"/>
        <v>3.0564989194195747E-2</v>
      </c>
      <c r="L14">
        <v>5.0909090909090651</v>
      </c>
      <c r="M14">
        <v>24.99999999999994</v>
      </c>
      <c r="N14">
        <f t="shared" si="3"/>
        <v>0.20363636363636309</v>
      </c>
      <c r="O14">
        <v>0</v>
      </c>
      <c r="P14">
        <v>3.5454545454545472</v>
      </c>
      <c r="Q14">
        <f t="shared" si="4"/>
        <v>0</v>
      </c>
      <c r="R14">
        <v>23.68181818181824</v>
      </c>
      <c r="S14">
        <v>155.86363636363649</v>
      </c>
      <c r="T14">
        <f t="shared" si="5"/>
        <v>0.15193934091571912</v>
      </c>
      <c r="U14">
        <v>14.545454545454501</v>
      </c>
      <c r="V14">
        <v>349.09090909090952</v>
      </c>
      <c r="W14">
        <f t="shared" si="6"/>
        <v>4.1666666666666484E-2</v>
      </c>
      <c r="X14">
        <v>83.090909090909008</v>
      </c>
      <c r="Y14">
        <v>138.18181818181981</v>
      </c>
      <c r="Z14">
        <f t="shared" si="7"/>
        <v>0.60131578947367659</v>
      </c>
      <c r="AA14">
        <v>82.964285714285694</v>
      </c>
      <c r="AB14">
        <v>1101.136363636364</v>
      </c>
      <c r="AC14">
        <f t="shared" si="8"/>
        <v>7.5344242960341992E-2</v>
      </c>
      <c r="AD14">
        <v>0</v>
      </c>
      <c r="AE14">
        <v>-15.45454545454777</v>
      </c>
      <c r="AF14">
        <f t="shared" si="9"/>
        <v>0</v>
      </c>
      <c r="AG14">
        <v>-0.82142857142858361</v>
      </c>
      <c r="AH14">
        <v>25.590909090909118</v>
      </c>
      <c r="AI14">
        <f t="shared" si="10"/>
        <v>-3.2098452169500566E-2</v>
      </c>
      <c r="AJ14">
        <v>8.5000000000000568</v>
      </c>
      <c r="AK14">
        <v>80.772727272727252</v>
      </c>
      <c r="AL14">
        <f t="shared" si="11"/>
        <v>0.10523353967360793</v>
      </c>
      <c r="AM14">
        <v>0</v>
      </c>
      <c r="AN14">
        <v>2866.8636363636319</v>
      </c>
      <c r="AO14">
        <f t="shared" si="12"/>
        <v>0</v>
      </c>
      <c r="AP14">
        <v>0</v>
      </c>
      <c r="AQ14">
        <v>516.13636363636351</v>
      </c>
      <c r="AR14">
        <f t="shared" si="13"/>
        <v>0</v>
      </c>
    </row>
    <row r="18" spans="1:16" ht="64" x14ac:dyDescent="0.2">
      <c r="A18" s="3"/>
      <c r="B18" s="33" t="s">
        <v>247</v>
      </c>
      <c r="C18" s="33" t="s">
        <v>318</v>
      </c>
      <c r="D18" s="33" t="s">
        <v>321</v>
      </c>
      <c r="E18" s="33" t="s">
        <v>324</v>
      </c>
      <c r="F18" s="33" t="s">
        <v>327</v>
      </c>
      <c r="G18" s="33" t="s">
        <v>330</v>
      </c>
      <c r="H18" s="33" t="s">
        <v>333</v>
      </c>
      <c r="I18" s="33" t="s">
        <v>336</v>
      </c>
      <c r="J18" s="33" t="s">
        <v>339</v>
      </c>
      <c r="K18" s="33" t="s">
        <v>342</v>
      </c>
      <c r="L18" s="33" t="s">
        <v>345</v>
      </c>
      <c r="M18" s="33" t="s">
        <v>348</v>
      </c>
      <c r="N18" s="33" t="s">
        <v>351</v>
      </c>
      <c r="O18" s="33" t="s">
        <v>354</v>
      </c>
      <c r="P18" s="33" t="s">
        <v>357</v>
      </c>
    </row>
    <row r="19" spans="1:16" x14ac:dyDescent="0.2">
      <c r="A19" s="3"/>
      <c r="B19" s="3">
        <v>2010</v>
      </c>
      <c r="C19" s="3">
        <v>4.4444444444444446E-2</v>
      </c>
      <c r="D19" s="3">
        <v>6.9264069264069264E-2</v>
      </c>
      <c r="E19" s="3">
        <v>4.7505938242280284E-2</v>
      </c>
      <c r="F19" s="3">
        <v>0</v>
      </c>
      <c r="G19" s="3">
        <v>0</v>
      </c>
      <c r="H19" s="3">
        <v>0</v>
      </c>
      <c r="I19" s="3">
        <v>6.8681318681318687E-2</v>
      </c>
      <c r="J19" s="3">
        <v>4.878048780487805E-2</v>
      </c>
      <c r="K19" s="3"/>
      <c r="L19" s="3"/>
      <c r="M19" s="3"/>
      <c r="N19" s="3"/>
      <c r="O19" s="3"/>
      <c r="P19" s="3"/>
    </row>
    <row r="20" spans="1:16" x14ac:dyDescent="0.2">
      <c r="A20" s="3"/>
      <c r="B20" s="3">
        <v>2011</v>
      </c>
      <c r="C20" s="3">
        <v>4.3478260869565216E-2</v>
      </c>
      <c r="D20" s="3">
        <v>5.2469135802469133E-2</v>
      </c>
      <c r="E20" s="3">
        <v>6.2135922330097085E-2</v>
      </c>
      <c r="F20" s="3">
        <v>0</v>
      </c>
      <c r="G20" s="3">
        <v>0</v>
      </c>
      <c r="H20" s="3">
        <v>0</v>
      </c>
      <c r="I20" s="3">
        <v>6.0085836909871244E-2</v>
      </c>
      <c r="J20" s="3">
        <v>3.9383561643835614E-2</v>
      </c>
      <c r="K20" s="3"/>
      <c r="L20" s="3"/>
      <c r="M20" s="3"/>
      <c r="N20" s="3"/>
      <c r="O20" s="3"/>
      <c r="P20" s="3"/>
    </row>
    <row r="21" spans="1:16" x14ac:dyDescent="0.2">
      <c r="A21" s="3"/>
      <c r="B21" s="3">
        <v>2012</v>
      </c>
      <c r="C21" s="3">
        <v>4.3478260869565216E-2</v>
      </c>
      <c r="D21" s="3">
        <v>8.6767895878524945E-2</v>
      </c>
      <c r="E21" s="3">
        <v>3.1319910514541388E-2</v>
      </c>
      <c r="F21" s="3">
        <v>0</v>
      </c>
      <c r="G21" s="3">
        <v>0</v>
      </c>
      <c r="H21" s="3">
        <v>0</v>
      </c>
      <c r="I21" s="3">
        <v>6.2068965517241378E-2</v>
      </c>
      <c r="J21" s="3">
        <v>4.708520179372197E-2</v>
      </c>
      <c r="K21" s="3"/>
      <c r="L21" s="3"/>
      <c r="M21" s="3"/>
      <c r="N21" s="3"/>
      <c r="O21" s="3"/>
      <c r="P21" s="3"/>
    </row>
    <row r="22" spans="1:16" x14ac:dyDescent="0.2">
      <c r="A22" s="3"/>
      <c r="B22" s="3">
        <v>2013</v>
      </c>
      <c r="C22" s="3">
        <v>4.0816326530612242E-2</v>
      </c>
      <c r="D22" s="3">
        <v>0.10381861575178998</v>
      </c>
      <c r="E22" s="3">
        <v>4.1666666666666664E-2</v>
      </c>
      <c r="F22" s="3">
        <v>0</v>
      </c>
      <c r="G22" s="3">
        <v>0</v>
      </c>
      <c r="H22" s="3">
        <v>0</v>
      </c>
      <c r="I22" s="3">
        <v>6.235011990407674E-2</v>
      </c>
      <c r="J22" s="3">
        <v>5.5E-2</v>
      </c>
      <c r="K22" s="3"/>
      <c r="L22" s="3"/>
      <c r="M22" s="3"/>
      <c r="N22" s="3"/>
      <c r="O22" s="3"/>
      <c r="P22" s="3"/>
    </row>
    <row r="23" spans="1:16" x14ac:dyDescent="0.2">
      <c r="A23" s="3"/>
      <c r="B23" s="3">
        <v>2014</v>
      </c>
      <c r="C23" s="3">
        <v>9.6153846153846159E-2</v>
      </c>
      <c r="D23" s="3">
        <v>3.0181086519114688E-2</v>
      </c>
      <c r="E23" s="3">
        <v>4.7619047619047616E-2</v>
      </c>
      <c r="F23" s="3">
        <v>6.25E-2</v>
      </c>
      <c r="G23" s="3">
        <v>0</v>
      </c>
      <c r="H23" s="3">
        <v>4.6296296296296294E-2</v>
      </c>
      <c r="I23" s="3">
        <v>5.5825242718446605E-2</v>
      </c>
      <c r="J23" s="3">
        <v>7.9822616407982258E-2</v>
      </c>
      <c r="K23" s="3">
        <v>5.3534303534303537E-2</v>
      </c>
      <c r="L23" s="3">
        <v>0</v>
      </c>
      <c r="M23" s="3">
        <v>9.0909090909090912E-2</v>
      </c>
      <c r="N23" s="3">
        <v>9.0090090090090089E-3</v>
      </c>
      <c r="O23" s="3"/>
      <c r="P23" s="3"/>
    </row>
    <row r="24" spans="1:16" x14ac:dyDescent="0.2">
      <c r="A24" s="3"/>
      <c r="B24" s="3">
        <v>2015</v>
      </c>
      <c r="C24" s="3">
        <v>9.0909090909090912E-2</v>
      </c>
      <c r="D24" s="3">
        <v>2.8571428571428571E-2</v>
      </c>
      <c r="E24" s="3">
        <v>4.6272493573264781E-2</v>
      </c>
      <c r="F24" s="3">
        <v>5.8823529411764705E-2</v>
      </c>
      <c r="G24" s="3">
        <v>0</v>
      </c>
      <c r="H24" s="3">
        <v>4.9504950495049507E-2</v>
      </c>
      <c r="I24" s="3">
        <v>5.793450881612091E-2</v>
      </c>
      <c r="J24" s="3">
        <v>8.3950617283950618E-2</v>
      </c>
      <c r="K24" s="3">
        <v>5.3834808259587023E-2</v>
      </c>
      <c r="L24" s="3">
        <v>0</v>
      </c>
      <c r="M24" s="3">
        <v>9.375E-2</v>
      </c>
      <c r="N24" s="3">
        <v>9.0909090909090905E-3</v>
      </c>
      <c r="O24" s="3"/>
      <c r="P24" s="3"/>
    </row>
    <row r="25" spans="1:16" x14ac:dyDescent="0.2">
      <c r="A25" s="3"/>
      <c r="B25" s="3">
        <v>2016</v>
      </c>
      <c r="C25" s="3">
        <v>8.9285714285714288E-2</v>
      </c>
      <c r="D25" s="3">
        <v>4.7043010752688172E-2</v>
      </c>
      <c r="E25" s="3">
        <v>4.5576407506702415E-2</v>
      </c>
      <c r="F25" s="3">
        <v>9.0909090909090912E-2</v>
      </c>
      <c r="G25" s="3">
        <v>0</v>
      </c>
      <c r="H25" s="3">
        <v>4.4444444444444446E-2</v>
      </c>
      <c r="I25" s="3">
        <v>6.0453400503778336E-2</v>
      </c>
      <c r="J25" s="3">
        <v>8.2568807339449546E-2</v>
      </c>
      <c r="K25" s="3">
        <v>5.4032889584964758E-2</v>
      </c>
      <c r="L25" s="3">
        <v>0</v>
      </c>
      <c r="M25" s="3">
        <v>9.0909090909090912E-2</v>
      </c>
      <c r="N25" s="3">
        <v>9.0090090090090089E-3</v>
      </c>
      <c r="O25" s="3"/>
      <c r="P25" s="3"/>
    </row>
    <row r="26" spans="1:16" x14ac:dyDescent="0.2">
      <c r="A26" s="3"/>
      <c r="B26" s="3">
        <v>2017</v>
      </c>
      <c r="C26" s="3">
        <v>8.4745762711864403E-2</v>
      </c>
      <c r="D26" s="3">
        <v>3.0706243602865915E-2</v>
      </c>
      <c r="E26" s="3">
        <v>4.793028322440087E-2</v>
      </c>
      <c r="F26" s="3">
        <v>5.5555555555555552E-2</v>
      </c>
      <c r="G26" s="3">
        <v>0</v>
      </c>
      <c r="H26" s="3">
        <v>0.05</v>
      </c>
      <c r="I26" s="3">
        <v>5.6206088992974239E-2</v>
      </c>
      <c r="J26" s="3">
        <v>8.3950617283950618E-2</v>
      </c>
      <c r="K26" s="3">
        <v>5.372168284789644E-2</v>
      </c>
      <c r="L26" s="3">
        <v>0</v>
      </c>
      <c r="M26" s="3">
        <v>9.375E-2</v>
      </c>
      <c r="N26" s="3">
        <v>9.5238095238095247E-3</v>
      </c>
      <c r="O26" s="3"/>
      <c r="P26" s="3"/>
    </row>
    <row r="27" spans="1:16" x14ac:dyDescent="0.2">
      <c r="A27" s="3"/>
      <c r="B27" s="3">
        <v>2018</v>
      </c>
      <c r="C27" s="3">
        <v>8.1967213114754092E-2</v>
      </c>
      <c r="D27" s="3">
        <v>2.9478458049886622E-2</v>
      </c>
      <c r="E27" s="3">
        <v>4.4642857142857144E-2</v>
      </c>
      <c r="F27" s="3">
        <v>5.2631578947368418E-2</v>
      </c>
      <c r="G27" s="3">
        <v>0</v>
      </c>
      <c r="H27" s="3">
        <v>5.0505050505050504E-2</v>
      </c>
      <c r="I27" s="3">
        <v>5.647058823529412E-2</v>
      </c>
      <c r="J27" s="3">
        <v>7.7272727272727271E-2</v>
      </c>
      <c r="K27" s="3">
        <v>5.3538461538461542E-2</v>
      </c>
      <c r="L27" s="3">
        <v>0</v>
      </c>
      <c r="M27" s="3">
        <v>6.0606060606060608E-2</v>
      </c>
      <c r="N27" s="3">
        <v>1.8691588785046728E-2</v>
      </c>
      <c r="O27" s="3">
        <v>0</v>
      </c>
      <c r="P27" s="3">
        <v>0</v>
      </c>
    </row>
    <row r="28" spans="1:16" x14ac:dyDescent="0.2">
      <c r="A28" s="3"/>
      <c r="B28" s="3">
        <v>2019</v>
      </c>
      <c r="C28" s="3">
        <v>8.0645161290322578E-2</v>
      </c>
      <c r="D28" s="3">
        <v>3.118279569892473E-2</v>
      </c>
      <c r="E28" s="3">
        <v>4.3478260869565216E-2</v>
      </c>
      <c r="F28" s="3">
        <v>5.5555555555555552E-2</v>
      </c>
      <c r="G28" s="3">
        <v>0</v>
      </c>
      <c r="H28" s="3">
        <v>4.3956043956043959E-2</v>
      </c>
      <c r="I28" s="3">
        <v>6.0526315789473685E-2</v>
      </c>
      <c r="J28" s="3">
        <v>8.2500000000000004E-2</v>
      </c>
      <c r="K28" s="3">
        <v>5.9106529209621991E-2</v>
      </c>
      <c r="L28" s="3">
        <v>0</v>
      </c>
      <c r="M28" s="3">
        <v>6.25E-2</v>
      </c>
      <c r="N28" s="3">
        <v>1.9047619047619049E-2</v>
      </c>
      <c r="O28" s="3">
        <v>0</v>
      </c>
      <c r="P28" s="3">
        <v>0</v>
      </c>
    </row>
    <row r="29" spans="1:16" x14ac:dyDescent="0.2">
      <c r="A29" s="3"/>
      <c r="B29" s="62">
        <v>2020</v>
      </c>
      <c r="C29" s="62">
        <v>9.0909090909090912E-2</v>
      </c>
      <c r="D29" s="62">
        <v>2.976190476190476E-2</v>
      </c>
      <c r="E29" s="62">
        <v>4.4897959183673466E-2</v>
      </c>
      <c r="F29" s="62">
        <v>5.8823529411764705E-2</v>
      </c>
      <c r="G29" s="62">
        <v>0</v>
      </c>
      <c r="H29" s="62">
        <v>4.716981132075472E-2</v>
      </c>
      <c r="I29" s="62">
        <v>6.2656641604010022E-2</v>
      </c>
      <c r="J29" s="62">
        <v>8.7533156498673742E-2</v>
      </c>
      <c r="K29" s="62">
        <v>6.1797752808988762E-2</v>
      </c>
      <c r="L29" s="62">
        <v>0</v>
      </c>
      <c r="M29" s="62">
        <v>9.375E-2</v>
      </c>
      <c r="N29" s="62">
        <v>1.9047619047619049E-2</v>
      </c>
      <c r="O29" s="62"/>
      <c r="P29" s="62"/>
    </row>
    <row r="30" spans="1:16" s="2" customFormat="1" ht="17" x14ac:dyDescent="0.2">
      <c r="A30" s="31" t="s">
        <v>358</v>
      </c>
      <c r="B30" s="2">
        <v>2050</v>
      </c>
      <c r="C30" s="2">
        <v>0.14580419580419718</v>
      </c>
      <c r="D30" s="2">
        <v>-0.12789606978707493</v>
      </c>
      <c r="E30" s="2">
        <v>3.0564989194195747E-2</v>
      </c>
      <c r="F30" s="2">
        <v>0.20363636363636309</v>
      </c>
      <c r="G30" s="2">
        <v>0</v>
      </c>
      <c r="H30" s="2">
        <v>0.15193934091571912</v>
      </c>
      <c r="I30" s="2">
        <v>4.1666666666666484E-2</v>
      </c>
      <c r="J30" s="2">
        <v>0.60131578947367659</v>
      </c>
      <c r="K30" s="2">
        <v>7.5344242960341992E-2</v>
      </c>
      <c r="L30" s="2">
        <v>0</v>
      </c>
      <c r="M30" s="2">
        <v>-3.2098452169500566E-2</v>
      </c>
      <c r="N30" s="2">
        <v>0.10523353967360793</v>
      </c>
      <c r="O30" s="2">
        <v>0</v>
      </c>
      <c r="P30" s="2">
        <v>0</v>
      </c>
    </row>
    <row r="31" spans="1:16" s="2" customFormat="1" ht="17" x14ac:dyDescent="0.2">
      <c r="A31" s="31" t="s">
        <v>359</v>
      </c>
      <c r="B31" s="2">
        <v>2050</v>
      </c>
      <c r="C31" s="2">
        <v>0.25526399999999999</v>
      </c>
      <c r="D31" s="2">
        <v>-0.13675999999999999</v>
      </c>
      <c r="E31" s="2">
        <v>3.3890000000000003E-2</v>
      </c>
      <c r="F31" s="2">
        <v>0.29844900000000002</v>
      </c>
      <c r="G31" s="2">
        <v>0</v>
      </c>
      <c r="H31" s="2">
        <v>0.240596</v>
      </c>
      <c r="I31" s="2">
        <v>4.3491000000000002E-2</v>
      </c>
      <c r="J31" s="2">
        <v>0.23444400000000001</v>
      </c>
      <c r="K31" s="2">
        <v>9.6712999999999993E-2</v>
      </c>
      <c r="L31" s="2">
        <v>0</v>
      </c>
      <c r="M31" s="2">
        <v>-1.5591000000000001E-2</v>
      </c>
      <c r="N31" s="2">
        <v>8.3720000000000003E-2</v>
      </c>
      <c r="O31" s="2">
        <v>0</v>
      </c>
      <c r="P31" s="2">
        <v>0</v>
      </c>
    </row>
    <row r="32" spans="1:16" s="2" customFormat="1" ht="34" x14ac:dyDescent="0.2">
      <c r="A32" s="32" t="s">
        <v>360</v>
      </c>
      <c r="B32" s="2">
        <v>2050</v>
      </c>
      <c r="C32" s="2">
        <f>C31</f>
        <v>0.25526399999999999</v>
      </c>
      <c r="D32" s="2">
        <v>0</v>
      </c>
      <c r="E32" s="2">
        <f t="shared" ref="E32:P32" si="14">E31</f>
        <v>3.3890000000000003E-2</v>
      </c>
      <c r="F32" s="2">
        <f t="shared" si="14"/>
        <v>0.29844900000000002</v>
      </c>
      <c r="G32" s="2">
        <f t="shared" si="14"/>
        <v>0</v>
      </c>
      <c r="H32" s="2">
        <f t="shared" si="14"/>
        <v>0.240596</v>
      </c>
      <c r="I32" s="2">
        <f t="shared" si="14"/>
        <v>4.3491000000000002E-2</v>
      </c>
      <c r="J32" s="2">
        <f t="shared" si="14"/>
        <v>0.23444400000000001</v>
      </c>
      <c r="K32" s="2">
        <f t="shared" si="14"/>
        <v>9.6712999999999993E-2</v>
      </c>
      <c r="L32" s="2">
        <f t="shared" si="14"/>
        <v>0</v>
      </c>
      <c r="M32" s="2">
        <v>0</v>
      </c>
      <c r="N32" s="2">
        <f t="shared" si="14"/>
        <v>8.3720000000000003E-2</v>
      </c>
      <c r="O32" s="2">
        <f t="shared" si="14"/>
        <v>0</v>
      </c>
      <c r="P32" s="2">
        <f t="shared" si="14"/>
        <v>0</v>
      </c>
    </row>
    <row r="35" spans="2:11" x14ac:dyDescent="0.2"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2:11" x14ac:dyDescent="0.2">
      <c r="B36" s="5"/>
      <c r="C36" s="6"/>
      <c r="D36" s="6"/>
      <c r="E36" s="6"/>
      <c r="F36" s="6"/>
      <c r="G36" s="6"/>
      <c r="H36" s="6"/>
      <c r="I36" s="6"/>
      <c r="J36" s="6"/>
      <c r="K36" s="6"/>
    </row>
    <row r="37" spans="2:11" x14ac:dyDescent="0.2">
      <c r="B37" s="5"/>
      <c r="C37" s="6"/>
      <c r="D37" s="6"/>
      <c r="E37" s="6"/>
      <c r="F37" s="6"/>
      <c r="G37" s="6"/>
      <c r="H37" s="6"/>
      <c r="I37" s="6"/>
      <c r="J37" s="6"/>
      <c r="K37" s="6"/>
    </row>
    <row r="38" spans="2:11" x14ac:dyDescent="0.2">
      <c r="B38" s="5"/>
      <c r="C38" s="6"/>
      <c r="D38" s="6"/>
      <c r="E38" s="6"/>
      <c r="F38" s="6"/>
      <c r="G38" s="6"/>
      <c r="H38" s="6"/>
      <c r="I38" s="6"/>
      <c r="J38" s="6"/>
      <c r="K38" s="6"/>
    </row>
    <row r="39" spans="2:11" x14ac:dyDescent="0.2">
      <c r="B39" s="5"/>
      <c r="C39" s="6"/>
      <c r="D39" s="6"/>
      <c r="E39" s="6"/>
      <c r="F39" s="6"/>
      <c r="G39" s="6"/>
      <c r="H39" s="6"/>
      <c r="I39" s="6"/>
      <c r="J39" s="6"/>
      <c r="K39" s="6"/>
    </row>
    <row r="40" spans="2:11" x14ac:dyDescent="0.2">
      <c r="B40" s="5"/>
      <c r="C40" s="6"/>
      <c r="D40" s="6"/>
      <c r="E40" s="6"/>
      <c r="F40" s="6"/>
      <c r="G40" s="6"/>
      <c r="H40" s="6"/>
      <c r="I40" s="6"/>
      <c r="J40" s="6"/>
      <c r="K40" s="6"/>
    </row>
    <row r="41" spans="2:11" x14ac:dyDescent="0.2">
      <c r="B41" s="5"/>
      <c r="C41" s="6"/>
      <c r="D41" s="6"/>
      <c r="E41" s="6"/>
      <c r="F41" s="6"/>
      <c r="G41" s="6"/>
      <c r="H41" s="6"/>
      <c r="I41" s="6"/>
      <c r="J41" s="6"/>
      <c r="K41" s="6"/>
    </row>
    <row r="42" spans="2:11" x14ac:dyDescent="0.2">
      <c r="B42" s="5"/>
      <c r="C42" s="6"/>
      <c r="D42" s="6"/>
      <c r="E42" s="6"/>
      <c r="F42" s="6"/>
      <c r="G42" s="6"/>
      <c r="H42" s="6"/>
      <c r="I42" s="6"/>
      <c r="J42" s="6"/>
      <c r="K42" s="6"/>
    </row>
    <row r="43" spans="2:11" x14ac:dyDescent="0.2">
      <c r="B43" s="5"/>
      <c r="C43" s="6"/>
      <c r="D43" s="6"/>
      <c r="E43" s="6"/>
      <c r="F43" s="6"/>
      <c r="G43" s="6"/>
      <c r="H43" s="6"/>
      <c r="I43" s="6"/>
      <c r="J43" s="6"/>
      <c r="K43" s="6"/>
    </row>
    <row r="44" spans="2:11" x14ac:dyDescent="0.2">
      <c r="B44" s="5"/>
      <c r="C44" s="6"/>
      <c r="D44" s="6"/>
      <c r="E44" s="6"/>
      <c r="F44" s="6"/>
      <c r="G44" s="6"/>
      <c r="H44" s="6"/>
      <c r="I44" s="6"/>
      <c r="J44" s="6"/>
      <c r="K44" s="6"/>
    </row>
    <row r="45" spans="2:11" x14ac:dyDescent="0.2">
      <c r="B45" s="5"/>
      <c r="C45" s="6"/>
      <c r="D45" s="6"/>
      <c r="E45" s="6"/>
      <c r="F45" s="6"/>
      <c r="G45" s="6"/>
      <c r="H45" s="6"/>
      <c r="I45" s="6"/>
      <c r="J45" s="6"/>
      <c r="K45" s="6"/>
    </row>
    <row r="46" spans="2:11" x14ac:dyDescent="0.2">
      <c r="B46" s="5"/>
      <c r="C46" s="6"/>
      <c r="D46" s="6"/>
      <c r="E46" s="6"/>
      <c r="F46" s="6"/>
      <c r="G46" s="6"/>
      <c r="H46" s="6"/>
      <c r="I46" s="6"/>
      <c r="J46" s="6"/>
      <c r="K46" s="6"/>
    </row>
    <row r="47" spans="2:11" x14ac:dyDescent="0.2">
      <c r="B47" s="5"/>
      <c r="C47" s="6"/>
      <c r="D47" s="6"/>
      <c r="E47" s="6"/>
      <c r="F47" s="6"/>
      <c r="G47" s="6"/>
      <c r="H47" s="6"/>
      <c r="I47" s="6"/>
      <c r="J47" s="6"/>
      <c r="K47" s="6"/>
    </row>
  </sheetData>
  <mergeCells count="14">
    <mergeCell ref="AM1:AO1"/>
    <mergeCell ref="AP1:AR1"/>
    <mergeCell ref="U1:W1"/>
    <mergeCell ref="X1:Z1"/>
    <mergeCell ref="AA1:AC1"/>
    <mergeCell ref="AD1:AF1"/>
    <mergeCell ref="AG1:AI1"/>
    <mergeCell ref="AJ1:AL1"/>
    <mergeCell ref="R1:T1"/>
    <mergeCell ref="C1:E1"/>
    <mergeCell ref="F1:H1"/>
    <mergeCell ref="I1:K1"/>
    <mergeCell ref="L1:N1"/>
    <mergeCell ref="O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Summary &amp; References</vt:lpstr>
      <vt:lpstr>food_needed_2050</vt:lpstr>
      <vt:lpstr>plant_production</vt:lpstr>
      <vt:lpstr>animal_production</vt:lpstr>
      <vt:lpstr>fertilizer</vt:lpstr>
      <vt:lpstr>slaughtered_producing_animals</vt:lpstr>
      <vt:lpstr>feed</vt:lpstr>
      <vt:lpstr>exports</vt:lpstr>
      <vt:lpstr>losses</vt:lpstr>
      <vt:lpstr>land_use</vt:lpstr>
      <vt:lpstr>self_sufficiency</vt:lpstr>
      <vt:lpstr>conv_yields_2050</vt:lpstr>
      <vt:lpstr>organic_yields</vt:lpstr>
      <vt:lpstr>organic_animals</vt:lpstr>
      <vt:lpstr>organic_area</vt:lpstr>
      <vt:lpstr>feuille_2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Agathe Crosnier</dc:creator>
  <cp:keywords/>
  <dc:description/>
  <cp:lastModifiedBy>Agathe Crosnier</cp:lastModifiedBy>
  <cp:revision/>
  <dcterms:created xsi:type="dcterms:W3CDTF">2023-05-24T09:34:04Z</dcterms:created>
  <dcterms:modified xsi:type="dcterms:W3CDTF">2024-11-04T09:16:29Z</dcterms:modified>
  <cp:category/>
  <cp:contentStatus/>
</cp:coreProperties>
</file>