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58632368d9c7e/Documents/"/>
    </mc:Choice>
  </mc:AlternateContent>
  <xr:revisionPtr revIDLastSave="0" documentId="8_{2A6A02FE-71E8-4D75-A494-74001DCDBCDE}" xr6:coauthVersionLast="47" xr6:coauthVersionMax="47" xr10:uidLastSave="{00000000-0000-0000-0000-000000000000}"/>
  <bookViews>
    <workbookView xWindow="-120" yWindow="-120" windowWidth="29040" windowHeight="15840" xr2:uid="{5FA33DAC-1895-4137-B924-D47F5E3B0431}"/>
  </bookViews>
  <sheets>
    <sheet name="Forecast" sheetId="1" r:id="rId1"/>
  </sheets>
  <definedNames>
    <definedName name="PalisadeReportWorkbookCreatedBy" hidden="1">"StatTools"</definedName>
    <definedName name="PalisadeReportWorksheetCreatedBy" localSheetId="0" hidden="1">"StatTools"</definedName>
    <definedName name="StatToolsHeader" localSheetId="0">Forecast!$1:$5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8" i="1" l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D43" i="1" l="1"/>
  <c r="C43" i="1"/>
  <c r="E43" i="1" s="1"/>
  <c r="F44" i="1" l="1"/>
  <c r="G44" i="1" s="1"/>
  <c r="C44" i="1"/>
  <c r="D44" i="1" l="1"/>
  <c r="F45" i="1" s="1"/>
  <c r="G45" i="1" s="1"/>
  <c r="E44" i="1"/>
  <c r="C45" i="1" l="1"/>
  <c r="D45" i="1" s="1"/>
  <c r="F46" i="1" s="1"/>
  <c r="G46" i="1" s="1"/>
  <c r="E45" i="1" l="1"/>
  <c r="C46" i="1"/>
  <c r="D46" i="1" s="1"/>
  <c r="C47" i="1" s="1"/>
  <c r="E46" i="1" l="1"/>
  <c r="D47" i="1"/>
  <c r="C48" i="1" s="1"/>
  <c r="E47" i="1"/>
  <c r="F47" i="1"/>
  <c r="G47" i="1" s="1"/>
  <c r="D48" i="1" l="1"/>
  <c r="F49" i="1" s="1"/>
  <c r="G49" i="1" s="1"/>
  <c r="E48" i="1"/>
  <c r="F48" i="1"/>
  <c r="G48" i="1" s="1"/>
  <c r="C49" i="1" l="1"/>
  <c r="D49" i="1" l="1"/>
  <c r="F50" i="1" s="1"/>
  <c r="G50" i="1" s="1"/>
  <c r="E49" i="1"/>
  <c r="C50" i="1" l="1"/>
  <c r="D50" i="1" l="1"/>
  <c r="F51" i="1" s="1"/>
  <c r="G51" i="1" s="1"/>
  <c r="E50" i="1"/>
  <c r="C51" i="1" l="1"/>
  <c r="D51" i="1" s="1"/>
  <c r="C52" i="1" s="1"/>
  <c r="E51" i="1" l="1"/>
  <c r="D52" i="1"/>
  <c r="C53" i="1" s="1"/>
  <c r="E52" i="1"/>
  <c r="F52" i="1"/>
  <c r="G52" i="1" s="1"/>
  <c r="D53" i="1" l="1"/>
  <c r="F54" i="1" s="1"/>
  <c r="G54" i="1" s="1"/>
  <c r="E53" i="1"/>
  <c r="F53" i="1"/>
  <c r="G53" i="1" s="1"/>
  <c r="C54" i="1" l="1"/>
  <c r="D54" i="1" l="1"/>
  <c r="C55" i="1" s="1"/>
  <c r="E54" i="1"/>
  <c r="F55" i="1" l="1"/>
  <c r="G55" i="1" s="1"/>
  <c r="D55" i="1"/>
  <c r="C56" i="1" s="1"/>
  <c r="E55" i="1"/>
  <c r="F56" i="1" l="1"/>
  <c r="G56" i="1" s="1"/>
  <c r="D56" i="1"/>
  <c r="C57" i="1" s="1"/>
  <c r="E56" i="1"/>
  <c r="F57" i="1" l="1"/>
  <c r="G57" i="1" s="1"/>
  <c r="D57" i="1"/>
  <c r="C58" i="1" s="1"/>
  <c r="E57" i="1"/>
  <c r="D58" i="1" l="1"/>
  <c r="C59" i="1" s="1"/>
  <c r="E58" i="1"/>
  <c r="F58" i="1"/>
  <c r="G58" i="1" s="1"/>
  <c r="F59" i="1" l="1"/>
  <c r="G59" i="1" s="1"/>
  <c r="D59" i="1"/>
  <c r="C60" i="1" s="1"/>
  <c r="E59" i="1"/>
  <c r="D60" i="1" l="1"/>
  <c r="C61" i="1" s="1"/>
  <c r="E60" i="1"/>
  <c r="F60" i="1"/>
  <c r="G60" i="1" s="1"/>
  <c r="F61" i="1" l="1"/>
  <c r="G61" i="1" s="1"/>
  <c r="D61" i="1"/>
  <c r="F62" i="1" s="1"/>
  <c r="G62" i="1" s="1"/>
  <c r="E61" i="1"/>
  <c r="C62" i="1" l="1"/>
  <c r="E62" i="1" l="1"/>
  <c r="D62" i="1"/>
  <c r="C63" i="1" s="1"/>
  <c r="E63" i="1" s="1"/>
  <c r="D63" i="1" l="1"/>
  <c r="C64" i="1" s="1"/>
  <c r="F63" i="1"/>
  <c r="G63" i="1" s="1"/>
  <c r="D64" i="1" l="1"/>
  <c r="F65" i="1" s="1"/>
  <c r="G65" i="1" s="1"/>
  <c r="E64" i="1"/>
  <c r="F64" i="1"/>
  <c r="G64" i="1" s="1"/>
  <c r="C65" i="1" l="1"/>
  <c r="D65" i="1" l="1"/>
  <c r="C66" i="1" s="1"/>
  <c r="E65" i="1"/>
  <c r="E66" i="1" l="1"/>
  <c r="D66" i="1"/>
  <c r="C67" i="1" s="1"/>
  <c r="F66" i="1"/>
  <c r="G66" i="1" s="1"/>
  <c r="D67" i="1" l="1"/>
  <c r="C68" i="1" s="1"/>
  <c r="E67" i="1"/>
  <c r="F67" i="1"/>
  <c r="G67" i="1" s="1"/>
  <c r="D68" i="1" l="1"/>
  <c r="C69" i="1" s="1"/>
  <c r="E68" i="1"/>
  <c r="F68" i="1"/>
  <c r="G68" i="1" s="1"/>
  <c r="F69" i="1" l="1"/>
  <c r="G69" i="1" s="1"/>
  <c r="E69" i="1"/>
  <c r="D69" i="1"/>
  <c r="C70" i="1" l="1"/>
  <c r="F70" i="1"/>
  <c r="G70" i="1" s="1"/>
  <c r="D70" i="1" l="1"/>
  <c r="C71" i="1" s="1"/>
  <c r="E70" i="1"/>
  <c r="F71" i="1" l="1"/>
  <c r="G71" i="1" s="1"/>
  <c r="E71" i="1"/>
  <c r="D71" i="1"/>
  <c r="C72" i="1" s="1"/>
  <c r="F72" i="1" l="1"/>
  <c r="G72" i="1" s="1"/>
  <c r="D72" i="1"/>
  <c r="C73" i="1" s="1"/>
  <c r="E72" i="1"/>
  <c r="F73" i="1" l="1"/>
  <c r="G73" i="1" s="1"/>
  <c r="D73" i="1"/>
  <c r="C74" i="1" s="1"/>
  <c r="E73" i="1"/>
  <c r="F74" i="1" l="1"/>
  <c r="G74" i="1" s="1"/>
  <c r="D74" i="1"/>
  <c r="C75" i="1" s="1"/>
  <c r="E74" i="1"/>
  <c r="F75" i="1" l="1"/>
  <c r="G75" i="1" s="1"/>
  <c r="D75" i="1"/>
  <c r="C76" i="1" s="1"/>
  <c r="E75" i="1"/>
  <c r="F76" i="1" l="1"/>
  <c r="G76" i="1" s="1"/>
  <c r="D76" i="1"/>
  <c r="C77" i="1" s="1"/>
  <c r="E76" i="1"/>
  <c r="F77" i="1" l="1"/>
  <c r="G77" i="1" s="1"/>
  <c r="D77" i="1"/>
  <c r="C78" i="1" s="1"/>
  <c r="E77" i="1"/>
  <c r="F78" i="1" l="1"/>
  <c r="G78" i="1" s="1"/>
  <c r="D78" i="1"/>
  <c r="C79" i="1" s="1"/>
  <c r="E78" i="1"/>
  <c r="F79" i="1" l="1"/>
  <c r="G79" i="1" s="1"/>
  <c r="D79" i="1"/>
  <c r="C80" i="1" s="1"/>
  <c r="E79" i="1"/>
  <c r="D80" i="1" l="1"/>
  <c r="C81" i="1" s="1"/>
  <c r="E80" i="1"/>
  <c r="F80" i="1"/>
  <c r="G80" i="1" s="1"/>
  <c r="F81" i="1" l="1"/>
  <c r="G81" i="1" s="1"/>
  <c r="E81" i="1"/>
  <c r="D81" i="1"/>
  <c r="C82" i="1" s="1"/>
  <c r="F82" i="1" l="1"/>
  <c r="G82" i="1" s="1"/>
  <c r="E82" i="1"/>
  <c r="D82" i="1"/>
  <c r="C83" i="1" s="1"/>
  <c r="F83" i="1" l="1"/>
  <c r="G83" i="1" s="1"/>
  <c r="E83" i="1"/>
  <c r="D83" i="1"/>
  <c r="C84" i="1" s="1"/>
  <c r="D84" i="1" l="1"/>
  <c r="C85" i="1" s="1"/>
  <c r="E84" i="1"/>
  <c r="F84" i="1"/>
  <c r="G84" i="1" s="1"/>
  <c r="F85" i="1" l="1"/>
  <c r="G85" i="1" s="1"/>
  <c r="E85" i="1"/>
  <c r="D85" i="1"/>
  <c r="C86" i="1" s="1"/>
  <c r="F86" i="1" l="1"/>
  <c r="G86" i="1" s="1"/>
  <c r="E86" i="1"/>
  <c r="D86" i="1"/>
  <c r="F87" i="1" s="1"/>
  <c r="G87" i="1" s="1"/>
  <c r="C87" i="1" l="1"/>
  <c r="E87" i="1" s="1"/>
  <c r="D87" i="1" l="1"/>
  <c r="C88" i="1" s="1"/>
  <c r="D88" i="1" s="1"/>
  <c r="C89" i="1" s="1"/>
  <c r="F88" i="1" l="1"/>
  <c r="G88" i="1" s="1"/>
  <c r="E88" i="1"/>
  <c r="D89" i="1"/>
  <c r="C90" i="1" s="1"/>
  <c r="E89" i="1"/>
  <c r="F89" i="1"/>
  <c r="G89" i="1" s="1"/>
  <c r="D90" i="1" l="1"/>
  <c r="C91" i="1" s="1"/>
  <c r="E90" i="1"/>
  <c r="F90" i="1"/>
  <c r="G90" i="1" s="1"/>
  <c r="D91" i="1" l="1"/>
  <c r="C92" i="1" s="1"/>
  <c r="E91" i="1"/>
  <c r="F91" i="1"/>
  <c r="G91" i="1" s="1"/>
  <c r="F92" i="1" l="1"/>
  <c r="G92" i="1" s="1"/>
  <c r="E92" i="1"/>
  <c r="D92" i="1"/>
  <c r="C93" i="1" l="1"/>
  <c r="F93" i="1"/>
  <c r="G93" i="1" s="1"/>
  <c r="E93" i="1" l="1"/>
  <c r="D93" i="1"/>
  <c r="C94" i="1" s="1"/>
  <c r="E94" i="1" l="1"/>
  <c r="D94" i="1"/>
  <c r="C95" i="1" s="1"/>
  <c r="F94" i="1"/>
  <c r="G94" i="1" s="1"/>
  <c r="F95" i="1" l="1"/>
  <c r="G95" i="1" s="1"/>
  <c r="D95" i="1"/>
  <c r="C96" i="1" s="1"/>
  <c r="E95" i="1"/>
  <c r="F96" i="1" l="1"/>
  <c r="G96" i="1" s="1"/>
  <c r="E96" i="1"/>
  <c r="D96" i="1"/>
  <c r="C97" i="1" s="1"/>
  <c r="F97" i="1" l="1"/>
  <c r="G97" i="1" s="1"/>
  <c r="E97" i="1"/>
  <c r="D97" i="1"/>
  <c r="F98" i="1" s="1"/>
  <c r="G98" i="1" s="1"/>
  <c r="C98" i="1" l="1"/>
  <c r="E98" i="1" s="1"/>
  <c r="D98" i="1" l="1"/>
  <c r="F99" i="1" s="1"/>
  <c r="G99" i="1" s="1"/>
  <c r="C99" i="1" l="1"/>
  <c r="E99" i="1" s="1"/>
  <c r="D99" i="1" l="1"/>
  <c r="C100" i="1" s="1"/>
  <c r="E100" i="1" s="1"/>
  <c r="D100" i="1" l="1"/>
  <c r="F101" i="1" s="1"/>
  <c r="G101" i="1" s="1"/>
  <c r="F100" i="1"/>
  <c r="G100" i="1" s="1"/>
  <c r="C101" i="1" l="1"/>
  <c r="E101" i="1" l="1"/>
  <c r="D101" i="1"/>
  <c r="F102" i="1" s="1"/>
  <c r="G102" i="1" s="1"/>
  <c r="C102" i="1" l="1"/>
  <c r="D102" i="1" l="1"/>
  <c r="F103" i="1" s="1"/>
  <c r="G103" i="1" s="1"/>
  <c r="E102" i="1"/>
  <c r="C103" i="1" l="1"/>
  <c r="D103" i="1" l="1"/>
  <c r="C104" i="1" s="1"/>
  <c r="E103" i="1"/>
  <c r="F104" i="1" l="1"/>
  <c r="G104" i="1" s="1"/>
  <c r="D104" i="1"/>
  <c r="F105" i="1" s="1"/>
  <c r="G105" i="1" s="1"/>
  <c r="E104" i="1"/>
  <c r="C105" i="1" l="1"/>
  <c r="D105" i="1" s="1"/>
  <c r="F106" i="1" s="1"/>
  <c r="G106" i="1" s="1"/>
  <c r="E105" i="1" l="1"/>
  <c r="C106" i="1"/>
  <c r="D106" i="1" s="1"/>
  <c r="F107" i="1" s="1"/>
  <c r="G107" i="1" s="1"/>
  <c r="E106" i="1" l="1"/>
  <c r="C107" i="1"/>
  <c r="D107" i="1" l="1"/>
  <c r="F108" i="1" s="1"/>
  <c r="G108" i="1" s="1"/>
  <c r="E107" i="1"/>
  <c r="C108" i="1" l="1"/>
  <c r="D108" i="1" l="1"/>
  <c r="F109" i="1" s="1"/>
  <c r="G109" i="1" s="1"/>
  <c r="E108" i="1"/>
  <c r="C109" i="1" l="1"/>
  <c r="E109" i="1" l="1"/>
  <c r="D109" i="1"/>
  <c r="F110" i="1" s="1"/>
  <c r="G110" i="1" s="1"/>
  <c r="C110" i="1" l="1"/>
  <c r="D110" i="1" s="1"/>
  <c r="F111" i="1" s="1"/>
  <c r="G111" i="1" s="1"/>
  <c r="E110" i="1" l="1"/>
  <c r="C111" i="1"/>
  <c r="E111" i="1" l="1"/>
  <c r="D111" i="1"/>
  <c r="C112" i="1" s="1"/>
  <c r="F112" i="1" l="1"/>
  <c r="G112" i="1" s="1"/>
  <c r="D112" i="1"/>
  <c r="F113" i="1" s="1"/>
  <c r="G113" i="1" s="1"/>
  <c r="E112" i="1"/>
  <c r="C113" i="1" l="1"/>
  <c r="D113" i="1" l="1"/>
  <c r="F114" i="1" s="1"/>
  <c r="G114" i="1" s="1"/>
  <c r="E113" i="1"/>
  <c r="C114" i="1" l="1"/>
  <c r="E114" i="1" l="1"/>
  <c r="D114" i="1"/>
  <c r="F115" i="1" s="1"/>
  <c r="G115" i="1" s="1"/>
  <c r="C115" i="1" l="1"/>
  <c r="D115" i="1" s="1"/>
  <c r="F116" i="1" s="1"/>
  <c r="G116" i="1" s="1"/>
  <c r="E115" i="1" l="1"/>
  <c r="C116" i="1"/>
  <c r="E116" i="1" s="1"/>
  <c r="D116" i="1" l="1"/>
  <c r="F117" i="1" s="1"/>
  <c r="G117" i="1" s="1"/>
  <c r="C117" i="1" l="1"/>
  <c r="E117" i="1" s="1"/>
  <c r="D117" i="1" l="1"/>
  <c r="F118" i="1" s="1"/>
  <c r="G118" i="1" s="1"/>
  <c r="C118" i="1" l="1"/>
  <c r="E118" i="1" s="1"/>
  <c r="D118" i="1" l="1"/>
  <c r="C119" i="1" s="1"/>
  <c r="D119" i="1" s="1"/>
  <c r="F120" i="1" s="1"/>
  <c r="G120" i="1" s="1"/>
  <c r="F119" i="1" l="1"/>
  <c r="G119" i="1" s="1"/>
  <c r="C120" i="1"/>
  <c r="D120" i="1" s="1"/>
  <c r="F121" i="1" s="1"/>
  <c r="G121" i="1" s="1"/>
  <c r="E119" i="1"/>
  <c r="E120" i="1" l="1"/>
  <c r="C121" i="1"/>
  <c r="E121" i="1" l="1"/>
  <c r="D121" i="1"/>
  <c r="F122" i="1" s="1"/>
  <c r="G122" i="1" s="1"/>
  <c r="C122" i="1" l="1"/>
  <c r="D122" i="1" s="1"/>
  <c r="F123" i="1" s="1"/>
  <c r="G123" i="1" s="1"/>
  <c r="E122" i="1" l="1"/>
  <c r="C123" i="1"/>
  <c r="E123" i="1" l="1"/>
  <c r="D123" i="1"/>
  <c r="F124" i="1" s="1"/>
  <c r="G124" i="1" s="1"/>
  <c r="C124" i="1" l="1"/>
  <c r="D124" i="1" s="1"/>
  <c r="F125" i="1" s="1"/>
  <c r="G125" i="1" s="1"/>
  <c r="E124" i="1" l="1"/>
  <c r="C125" i="1"/>
  <c r="D125" i="1" l="1"/>
  <c r="F126" i="1" s="1"/>
  <c r="G126" i="1" s="1"/>
  <c r="E125" i="1"/>
  <c r="C126" i="1" l="1"/>
  <c r="E126" i="1" s="1"/>
  <c r="D126" i="1" l="1"/>
  <c r="F127" i="1" s="1"/>
  <c r="G127" i="1" s="1"/>
  <c r="C127" i="1" l="1"/>
  <c r="D127" i="1" s="1"/>
  <c r="F128" i="1" l="1"/>
  <c r="G128" i="1" s="1"/>
  <c r="C128" i="1"/>
  <c r="D128" i="1" s="1"/>
  <c r="F129" i="1" s="1"/>
  <c r="G129" i="1" s="1"/>
  <c r="E127" i="1"/>
  <c r="E128" i="1" l="1"/>
  <c r="C129" i="1"/>
  <c r="D129" i="1" l="1"/>
  <c r="F130" i="1" s="1"/>
  <c r="G130" i="1" s="1"/>
  <c r="E129" i="1"/>
  <c r="C130" i="1" l="1"/>
  <c r="D130" i="1" l="1"/>
  <c r="F131" i="1" s="1"/>
  <c r="G131" i="1" s="1"/>
  <c r="E130" i="1"/>
  <c r="C131" i="1" l="1"/>
  <c r="E131" i="1" s="1"/>
  <c r="D131" i="1" l="1"/>
  <c r="F132" i="1" s="1"/>
  <c r="G132" i="1" s="1"/>
  <c r="C132" i="1" l="1"/>
  <c r="D132" i="1" s="1"/>
  <c r="F133" i="1" s="1"/>
  <c r="G133" i="1" s="1"/>
  <c r="E132" i="1" l="1"/>
  <c r="C133" i="1"/>
  <c r="D133" i="1" l="1"/>
  <c r="C134" i="1" s="1"/>
  <c r="E133" i="1"/>
  <c r="F134" i="1" l="1"/>
  <c r="G134" i="1" s="1"/>
  <c r="D134" i="1"/>
  <c r="C135" i="1" s="1"/>
  <c r="E134" i="1"/>
  <c r="F135" i="1" l="1"/>
  <c r="G135" i="1" s="1"/>
  <c r="E135" i="1"/>
  <c r="D135" i="1"/>
  <c r="C136" i="1" s="1"/>
  <c r="F136" i="1" l="1"/>
  <c r="G136" i="1" s="1"/>
  <c r="D136" i="1"/>
  <c r="C137" i="1" s="1"/>
  <c r="E136" i="1"/>
  <c r="F137" i="1" l="1"/>
  <c r="G137" i="1" s="1"/>
  <c r="D137" i="1"/>
  <c r="C138" i="1" s="1"/>
  <c r="E137" i="1"/>
  <c r="D138" i="1" l="1"/>
  <c r="C139" i="1" s="1"/>
  <c r="E138" i="1"/>
  <c r="F138" i="1"/>
  <c r="G138" i="1" s="1"/>
  <c r="F139" i="1" l="1"/>
  <c r="G139" i="1" s="1"/>
  <c r="D139" i="1"/>
  <c r="F140" i="1" s="1"/>
  <c r="G140" i="1" s="1"/>
  <c r="E139" i="1"/>
  <c r="C140" i="1" l="1"/>
  <c r="E140" i="1" l="1"/>
  <c r="D140" i="1"/>
  <c r="F141" i="1" s="1"/>
  <c r="G141" i="1" s="1"/>
  <c r="C141" i="1" l="1"/>
  <c r="D141" i="1" s="1"/>
  <c r="C142" i="1" s="1"/>
  <c r="E141" i="1" l="1"/>
  <c r="F142" i="1"/>
  <c r="G142" i="1" s="1"/>
  <c r="D142" i="1"/>
  <c r="C143" i="1" s="1"/>
  <c r="E142" i="1"/>
  <c r="F143" i="1" l="1"/>
  <c r="G143" i="1" s="1"/>
  <c r="D143" i="1"/>
  <c r="F144" i="1" s="1"/>
  <c r="G144" i="1" s="1"/>
  <c r="E143" i="1"/>
  <c r="C144" i="1" l="1"/>
  <c r="E144" i="1" s="1"/>
  <c r="D144" i="1" l="1"/>
  <c r="C145" i="1" s="1"/>
  <c r="D145" i="1" s="1"/>
  <c r="C146" i="1" s="1"/>
  <c r="F145" i="1" l="1"/>
  <c r="G145" i="1" s="1"/>
  <c r="E145" i="1"/>
  <c r="F146" i="1"/>
  <c r="G146" i="1" s="1"/>
  <c r="D146" i="1"/>
  <c r="C147" i="1" s="1"/>
  <c r="E146" i="1"/>
  <c r="F147" i="1" l="1"/>
  <c r="G147" i="1" s="1"/>
  <c r="D147" i="1"/>
  <c r="C148" i="1" s="1"/>
  <c r="E147" i="1"/>
  <c r="F148" i="1" l="1"/>
  <c r="G148" i="1" s="1"/>
  <c r="D148" i="1"/>
  <c r="C149" i="1" s="1"/>
  <c r="E148" i="1"/>
  <c r="F149" i="1" l="1"/>
  <c r="G149" i="1" s="1"/>
  <c r="E149" i="1"/>
  <c r="D149" i="1"/>
  <c r="C150" i="1" s="1"/>
  <c r="F150" i="1" l="1"/>
  <c r="G150" i="1" s="1"/>
  <c r="D150" i="1"/>
  <c r="F151" i="1" s="1"/>
  <c r="G151" i="1" s="1"/>
  <c r="E150" i="1"/>
  <c r="C151" i="1" l="1"/>
  <c r="D151" i="1" s="1"/>
  <c r="C152" i="1" s="1"/>
  <c r="E151" i="1" l="1"/>
  <c r="F152" i="1"/>
  <c r="G152" i="1" s="1"/>
  <c r="D152" i="1"/>
  <c r="C153" i="1" s="1"/>
  <c r="E152" i="1"/>
  <c r="F153" i="1" l="1"/>
  <c r="G153" i="1" s="1"/>
  <c r="E153" i="1"/>
  <c r="D153" i="1"/>
  <c r="C154" i="1" s="1"/>
  <c r="F154" i="1" l="1"/>
  <c r="G154" i="1" s="1"/>
  <c r="D154" i="1"/>
  <c r="F155" i="1" s="1"/>
  <c r="G155" i="1" s="1"/>
  <c r="E154" i="1"/>
  <c r="C155" i="1" l="1"/>
  <c r="E155" i="1" s="1"/>
  <c r="D155" i="1" l="1"/>
  <c r="C156" i="1" s="1"/>
  <c r="F156" i="1" l="1"/>
  <c r="G156" i="1" s="1"/>
  <c r="E156" i="1"/>
  <c r="D156" i="1"/>
  <c r="C157" i="1" s="1"/>
  <c r="F157" i="1" l="1"/>
  <c r="G157" i="1" s="1"/>
  <c r="E157" i="1"/>
  <c r="D157" i="1"/>
  <c r="C158" i="1" s="1"/>
  <c r="F158" i="1" l="1"/>
  <c r="G158" i="1" s="1"/>
  <c r="D158" i="1"/>
  <c r="C159" i="1" s="1"/>
  <c r="E158" i="1"/>
  <c r="F159" i="1" l="1"/>
  <c r="G159" i="1" s="1"/>
  <c r="D159" i="1"/>
  <c r="F160" i="1" s="1"/>
  <c r="G160" i="1" s="1"/>
  <c r="E159" i="1"/>
  <c r="C160" i="1" l="1"/>
  <c r="D160" i="1" l="1"/>
  <c r="F161" i="1" s="1"/>
  <c r="G161" i="1" s="1"/>
  <c r="E160" i="1"/>
  <c r="C161" i="1" l="1"/>
  <c r="D161" i="1" l="1"/>
  <c r="F162" i="1" s="1"/>
  <c r="G162" i="1" s="1"/>
  <c r="E161" i="1"/>
  <c r="C162" i="1" l="1"/>
  <c r="E162" i="1" s="1"/>
  <c r="D162" i="1" l="1"/>
  <c r="C163" i="1" s="1"/>
  <c r="E163" i="1" s="1"/>
  <c r="D163" i="1" l="1"/>
  <c r="F164" i="1" s="1"/>
  <c r="G164" i="1" s="1"/>
  <c r="F163" i="1"/>
  <c r="G163" i="1" s="1"/>
  <c r="C164" i="1" l="1"/>
  <c r="D164" i="1" s="1"/>
  <c r="C165" i="1" s="1"/>
  <c r="D165" i="1" s="1"/>
  <c r="C166" i="1" s="1"/>
  <c r="E165" i="1" l="1"/>
  <c r="F165" i="1"/>
  <c r="G165" i="1" s="1"/>
  <c r="E164" i="1"/>
  <c r="F166" i="1"/>
  <c r="G166" i="1" s="1"/>
  <c r="D166" i="1"/>
  <c r="C167" i="1" s="1"/>
  <c r="E166" i="1"/>
  <c r="F167" i="1" l="1"/>
  <c r="G167" i="1" s="1"/>
  <c r="E167" i="1"/>
  <c r="D167" i="1"/>
  <c r="F168" i="1" s="1"/>
  <c r="G168" i="1" s="1"/>
  <c r="C168" i="1" l="1"/>
  <c r="D168" i="1" s="1"/>
  <c r="F169" i="1" s="1"/>
  <c r="G169" i="1" s="1"/>
  <c r="E168" i="1" l="1"/>
  <c r="C169" i="1"/>
  <c r="E169" i="1" l="1"/>
  <c r="D169" i="1"/>
  <c r="C170" i="1" s="1"/>
  <c r="E170" i="1" l="1"/>
  <c r="D170" i="1"/>
  <c r="F171" i="1" s="1"/>
  <c r="G171" i="1" s="1"/>
  <c r="F170" i="1"/>
  <c r="G170" i="1" s="1"/>
  <c r="C171" i="1" l="1"/>
  <c r="E171" i="1" l="1"/>
  <c r="D171" i="1"/>
  <c r="C172" i="1" s="1"/>
  <c r="F172" i="1" l="1"/>
  <c r="G172" i="1" s="1"/>
  <c r="E172" i="1"/>
  <c r="D172" i="1"/>
  <c r="C173" i="1" s="1"/>
  <c r="D173" i="1" l="1"/>
  <c r="E173" i="1"/>
  <c r="F173" i="1"/>
  <c r="G173" i="1" s="1"/>
  <c r="C174" i="1" l="1"/>
  <c r="F174" i="1"/>
  <c r="G174" i="1" s="1"/>
  <c r="D174" i="1" l="1"/>
  <c r="F175" i="1" s="1"/>
  <c r="G175" i="1" s="1"/>
  <c r="E174" i="1"/>
  <c r="C175" i="1" l="1"/>
  <c r="E175" i="1" l="1"/>
  <c r="D175" i="1"/>
  <c r="C176" i="1" s="1"/>
  <c r="F176" i="1" l="1"/>
  <c r="G176" i="1" s="1"/>
  <c r="D176" i="1"/>
  <c r="C177" i="1" s="1"/>
  <c r="E176" i="1"/>
  <c r="F177" i="1" l="1"/>
  <c r="G177" i="1" s="1"/>
  <c r="D177" i="1"/>
  <c r="C178" i="1" s="1"/>
  <c r="E177" i="1"/>
  <c r="F178" i="1" l="1"/>
  <c r="G178" i="1" s="1"/>
  <c r="E178" i="1"/>
  <c r="D178" i="1"/>
  <c r="F179" i="1" s="1"/>
  <c r="G179" i="1" s="1"/>
  <c r="C179" i="1" l="1"/>
  <c r="E179" i="1" s="1"/>
  <c r="D179" i="1" l="1"/>
  <c r="C180" i="1" s="1"/>
  <c r="D180" i="1" s="1"/>
  <c r="E180" i="1" l="1"/>
  <c r="F180" i="1"/>
  <c r="G180" i="1" s="1"/>
  <c r="F181" i="1"/>
  <c r="G181" i="1" s="1"/>
  <c r="C181" i="1"/>
  <c r="E181" i="1" s="1"/>
  <c r="D181" i="1" l="1"/>
  <c r="F182" i="1" s="1"/>
  <c r="G182" i="1" s="1"/>
  <c r="C182" i="1" l="1"/>
  <c r="D182" i="1" l="1"/>
  <c r="C183" i="1" s="1"/>
  <c r="E182" i="1"/>
  <c r="F183" i="1" l="1"/>
  <c r="G183" i="1" s="1"/>
  <c r="D183" i="1"/>
  <c r="C184" i="1" s="1"/>
  <c r="E183" i="1"/>
  <c r="F184" i="1" l="1"/>
  <c r="G184" i="1" s="1"/>
  <c r="D184" i="1"/>
  <c r="E184" i="1"/>
  <c r="C185" i="1" l="1"/>
  <c r="F185" i="1"/>
  <c r="G185" i="1" s="1"/>
  <c r="D185" i="1" l="1"/>
  <c r="C186" i="1" s="1"/>
  <c r="E185" i="1"/>
  <c r="D186" i="1" l="1"/>
  <c r="F187" i="1" s="1"/>
  <c r="G187" i="1" s="1"/>
  <c r="E186" i="1"/>
  <c r="F186" i="1"/>
  <c r="G186" i="1" s="1"/>
  <c r="C187" i="1" l="1"/>
  <c r="D187" i="1" l="1"/>
  <c r="F188" i="1" s="1"/>
  <c r="G188" i="1" s="1"/>
  <c r="E187" i="1"/>
  <c r="C188" i="1" l="1"/>
  <c r="E188" i="1" s="1"/>
  <c r="D188" i="1" l="1"/>
  <c r="C189" i="1" s="1"/>
  <c r="D189" i="1" s="1"/>
  <c r="E189" i="1" l="1"/>
  <c r="F189" i="1"/>
  <c r="G189" i="1" s="1"/>
  <c r="C190" i="1"/>
  <c r="D190" i="1" s="1"/>
  <c r="C191" i="1" s="1"/>
  <c r="F190" i="1"/>
  <c r="G190" i="1" s="1"/>
  <c r="E190" i="1" l="1"/>
  <c r="F191" i="1"/>
  <c r="G191" i="1" s="1"/>
  <c r="D191" i="1"/>
  <c r="F192" i="1" s="1"/>
  <c r="G192" i="1" s="1"/>
  <c r="E191" i="1"/>
  <c r="C192" i="1" l="1"/>
  <c r="D192" i="1" s="1"/>
  <c r="C193" i="1" s="1"/>
  <c r="E192" i="1" l="1"/>
  <c r="F193" i="1"/>
  <c r="G193" i="1" s="1"/>
  <c r="E193" i="1"/>
  <c r="D193" i="1"/>
  <c r="C194" i="1" s="1"/>
  <c r="F194" i="1" l="1"/>
  <c r="G194" i="1" s="1"/>
  <c r="D194" i="1"/>
  <c r="C195" i="1" s="1"/>
  <c r="E194" i="1"/>
  <c r="F195" i="1" l="1"/>
  <c r="G195" i="1" s="1"/>
  <c r="D195" i="1"/>
  <c r="C196" i="1" s="1"/>
  <c r="E195" i="1"/>
  <c r="D196" i="1" l="1"/>
  <c r="C197" i="1" s="1"/>
  <c r="E196" i="1"/>
  <c r="F196" i="1"/>
  <c r="G196" i="1" s="1"/>
  <c r="F197" i="1" l="1"/>
  <c r="G197" i="1" s="1"/>
  <c r="E197" i="1"/>
  <c r="D197" i="1"/>
  <c r="C198" i="1" s="1"/>
  <c r="D198" i="1" l="1"/>
  <c r="F199" i="1" s="1"/>
  <c r="G199" i="1" s="1"/>
  <c r="E198" i="1"/>
  <c r="F198" i="1"/>
  <c r="G198" i="1" s="1"/>
  <c r="C199" i="1" l="1"/>
  <c r="D199" i="1" s="1"/>
  <c r="C200" i="1" s="1"/>
  <c r="E199" i="1" l="1"/>
  <c r="F200" i="1"/>
  <c r="G200" i="1" s="1"/>
  <c r="E200" i="1"/>
  <c r="D200" i="1"/>
  <c r="C201" i="1" s="1"/>
  <c r="F201" i="1" l="1"/>
  <c r="G201" i="1" s="1"/>
  <c r="E201" i="1"/>
  <c r="D201" i="1"/>
  <c r="F202" i="1" s="1"/>
  <c r="G202" i="1" s="1"/>
  <c r="C202" i="1" l="1"/>
  <c r="D202" i="1" l="1"/>
  <c r="F203" i="1" s="1"/>
  <c r="G203" i="1" s="1"/>
  <c r="E202" i="1"/>
  <c r="C203" i="1" l="1"/>
  <c r="E203" i="1" l="1"/>
  <c r="D203" i="1"/>
  <c r="F204" i="1" s="1"/>
  <c r="G204" i="1" s="1"/>
  <c r="C204" i="1" l="1"/>
  <c r="D204" i="1" s="1"/>
  <c r="C205" i="1" s="1"/>
  <c r="E204" i="1" l="1"/>
  <c r="D205" i="1"/>
  <c r="C206" i="1" s="1"/>
  <c r="E205" i="1"/>
  <c r="F205" i="1"/>
  <c r="G205" i="1" s="1"/>
  <c r="D206" i="1" l="1"/>
  <c r="C207" i="1" s="1"/>
  <c r="E206" i="1"/>
  <c r="F206" i="1"/>
  <c r="G206" i="1" s="1"/>
  <c r="F207" i="1" l="1"/>
  <c r="G207" i="1" s="1"/>
  <c r="D207" i="1"/>
  <c r="C208" i="1" s="1"/>
  <c r="E207" i="1"/>
  <c r="F208" i="1" l="1"/>
  <c r="G208" i="1" s="1"/>
  <c r="D208" i="1"/>
  <c r="C209" i="1" s="1"/>
  <c r="E208" i="1"/>
  <c r="E209" i="1" l="1"/>
  <c r="D209" i="1"/>
  <c r="F210" i="1" s="1"/>
  <c r="G210" i="1" s="1"/>
  <c r="F209" i="1"/>
  <c r="G209" i="1" s="1"/>
  <c r="C210" i="1" l="1"/>
  <c r="E210" i="1" s="1"/>
  <c r="D210" i="1" l="1"/>
  <c r="F211" i="1" s="1"/>
  <c r="G211" i="1" s="1"/>
  <c r="C211" i="1" l="1"/>
  <c r="E211" i="1" s="1"/>
  <c r="D211" i="1" l="1"/>
  <c r="F212" i="1" s="1"/>
  <c r="G212" i="1" s="1"/>
  <c r="C212" i="1" l="1"/>
  <c r="D212" i="1" s="1"/>
  <c r="F213" i="1" s="1"/>
  <c r="G213" i="1" s="1"/>
  <c r="E212" i="1" l="1"/>
  <c r="C213" i="1"/>
  <c r="E213" i="1" s="1"/>
  <c r="D213" i="1" l="1"/>
  <c r="F214" i="1" s="1"/>
  <c r="G214" i="1" s="1"/>
  <c r="C214" i="1" l="1"/>
  <c r="E214" i="1" s="1"/>
  <c r="D214" i="1" l="1"/>
  <c r="C215" i="1" s="1"/>
  <c r="D215" i="1" l="1"/>
  <c r="F216" i="1" s="1"/>
  <c r="G216" i="1" s="1"/>
  <c r="E215" i="1"/>
  <c r="F215" i="1"/>
  <c r="G215" i="1" s="1"/>
  <c r="C216" i="1" l="1"/>
  <c r="D216" i="1" s="1"/>
  <c r="C217" i="1" l="1"/>
  <c r="F217" i="1"/>
  <c r="G217" i="1" s="1"/>
  <c r="E216" i="1"/>
  <c r="D217" i="1" l="1"/>
  <c r="C218" i="1" s="1"/>
  <c r="D218" i="1" s="1"/>
  <c r="C219" i="1" s="1"/>
  <c r="E217" i="1"/>
  <c r="E218" i="1" l="1"/>
  <c r="F218" i="1"/>
  <c r="G218" i="1" s="1"/>
  <c r="F219" i="1"/>
  <c r="G219" i="1" s="1"/>
  <c r="E219" i="1"/>
  <c r="D219" i="1"/>
  <c r="F220" i="1" s="1"/>
  <c r="G220" i="1" s="1"/>
  <c r="C220" i="1" l="1"/>
  <c r="D220" i="1" s="1"/>
  <c r="F221" i="1" s="1"/>
  <c r="G221" i="1" s="1"/>
  <c r="E220" i="1" l="1"/>
  <c r="C221" i="1"/>
  <c r="E221" i="1" l="1"/>
  <c r="D221" i="1"/>
  <c r="C222" i="1" s="1"/>
  <c r="F222" i="1" l="1"/>
  <c r="G222" i="1" s="1"/>
  <c r="D222" i="1"/>
  <c r="C223" i="1" s="1"/>
  <c r="E222" i="1"/>
  <c r="D223" i="1" l="1"/>
  <c r="F224" i="1" s="1"/>
  <c r="G224" i="1" s="1"/>
  <c r="E223" i="1"/>
  <c r="F223" i="1"/>
  <c r="G223" i="1" s="1"/>
  <c r="C224" i="1" l="1"/>
  <c r="E224" i="1" s="1"/>
  <c r="D224" i="1" l="1"/>
  <c r="C225" i="1" s="1"/>
  <c r="E225" i="1" l="1"/>
  <c r="D225" i="1"/>
  <c r="F226" i="1" s="1"/>
  <c r="G226" i="1" s="1"/>
  <c r="F225" i="1"/>
  <c r="G225" i="1" s="1"/>
  <c r="C226" i="1" l="1"/>
  <c r="D226" i="1" l="1"/>
  <c r="C227" i="1" s="1"/>
  <c r="E226" i="1"/>
  <c r="F227" i="1" l="1"/>
  <c r="G227" i="1" s="1"/>
  <c r="E227" i="1"/>
  <c r="D227" i="1"/>
  <c r="C228" i="1" s="1"/>
  <c r="F228" i="1" l="1"/>
  <c r="G228" i="1" s="1"/>
  <c r="E228" i="1"/>
  <c r="D228" i="1"/>
  <c r="C229" i="1" s="1"/>
  <c r="F229" i="1" l="1"/>
  <c r="G229" i="1" s="1"/>
  <c r="D229" i="1"/>
  <c r="C230" i="1" s="1"/>
  <c r="E229" i="1"/>
  <c r="F230" i="1" l="1"/>
  <c r="G230" i="1" s="1"/>
  <c r="E230" i="1"/>
  <c r="D230" i="1"/>
  <c r="F231" i="1" s="1"/>
  <c r="G231" i="1" s="1"/>
  <c r="C231" i="1" l="1"/>
  <c r="D231" i="1" l="1"/>
  <c r="C232" i="1" s="1"/>
  <c r="E231" i="1"/>
  <c r="D232" i="1" l="1"/>
  <c r="F233" i="1" s="1"/>
  <c r="G233" i="1" s="1"/>
  <c r="E232" i="1"/>
  <c r="F232" i="1"/>
  <c r="G232" i="1" s="1"/>
  <c r="C233" i="1" l="1"/>
  <c r="D233" i="1" l="1"/>
  <c r="E233" i="1"/>
  <c r="F234" i="1" l="1"/>
  <c r="G234" i="1" s="1"/>
  <c r="C234" i="1"/>
  <c r="D234" i="1" l="1"/>
  <c r="F235" i="1" s="1"/>
  <c r="G235" i="1" s="1"/>
  <c r="E234" i="1"/>
  <c r="C235" i="1" l="1"/>
  <c r="D235" i="1" s="1"/>
  <c r="F236" i="1" s="1"/>
  <c r="G236" i="1" s="1"/>
  <c r="E235" i="1" l="1"/>
  <c r="C236" i="1"/>
  <c r="D236" i="1" l="1"/>
  <c r="C237" i="1" s="1"/>
  <c r="E236" i="1"/>
  <c r="D237" i="1" l="1"/>
  <c r="C238" i="1" s="1"/>
  <c r="E237" i="1"/>
  <c r="F237" i="1"/>
  <c r="G237" i="1" s="1"/>
  <c r="F238" i="1" l="1"/>
  <c r="G238" i="1" s="1"/>
  <c r="D238" i="1"/>
  <c r="F239" i="1" s="1"/>
  <c r="G239" i="1" s="1"/>
  <c r="E238" i="1"/>
  <c r="C239" i="1" l="1"/>
  <c r="E239" i="1" s="1"/>
  <c r="D239" i="1" l="1"/>
  <c r="C240" i="1" s="1"/>
  <c r="E240" i="1" s="1"/>
  <c r="F240" i="1" l="1"/>
  <c r="G240" i="1" s="1"/>
  <c r="D240" i="1"/>
  <c r="C241" i="1" s="1"/>
  <c r="E241" i="1" s="1"/>
  <c r="D241" i="1" l="1"/>
  <c r="C242" i="1" s="1"/>
  <c r="E242" i="1" s="1"/>
  <c r="F241" i="1"/>
  <c r="G241" i="1" s="1"/>
  <c r="D242" i="1" l="1"/>
  <c r="F243" i="1" s="1"/>
  <c r="G243" i="1" s="1"/>
  <c r="F242" i="1"/>
  <c r="G242" i="1" s="1"/>
  <c r="C243" i="1" l="1"/>
  <c r="D243" i="1" s="1"/>
  <c r="F244" i="1" s="1"/>
  <c r="G244" i="1" s="1"/>
  <c r="E243" i="1" l="1"/>
  <c r="C244" i="1"/>
  <c r="E244" i="1" l="1"/>
  <c r="D244" i="1"/>
  <c r="F245" i="1" s="1"/>
  <c r="G245" i="1" s="1"/>
  <c r="C245" i="1" l="1"/>
  <c r="D245" i="1" s="1"/>
  <c r="C246" i="1" s="1"/>
  <c r="E245" i="1" l="1"/>
  <c r="F246" i="1"/>
  <c r="G246" i="1" s="1"/>
  <c r="E246" i="1"/>
  <c r="D246" i="1"/>
  <c r="C247" i="1" s="1"/>
  <c r="F247" i="1" l="1"/>
  <c r="G247" i="1" s="1"/>
  <c r="E247" i="1"/>
  <c r="D247" i="1"/>
  <c r="C248" i="1" s="1"/>
  <c r="F248" i="1" l="1"/>
  <c r="G248" i="1" s="1"/>
  <c r="E248" i="1"/>
  <c r="D248" i="1"/>
  <c r="F249" i="1" s="1"/>
  <c r="G249" i="1" s="1"/>
  <c r="C249" i="1" l="1"/>
  <c r="E249" i="1" s="1"/>
  <c r="D249" i="1" l="1"/>
  <c r="F250" i="1" s="1"/>
  <c r="G250" i="1" s="1"/>
  <c r="C250" i="1" l="1"/>
  <c r="D250" i="1" s="1"/>
  <c r="C251" i="1" s="1"/>
  <c r="D251" i="1" s="1"/>
  <c r="C252" i="1" s="1"/>
  <c r="E251" i="1" l="1"/>
  <c r="F251" i="1"/>
  <c r="G251" i="1" s="1"/>
  <c r="E250" i="1"/>
  <c r="F252" i="1"/>
  <c r="G252" i="1" s="1"/>
  <c r="E252" i="1"/>
  <c r="D252" i="1"/>
  <c r="F253" i="1" s="1"/>
  <c r="G253" i="1" s="1"/>
  <c r="C253" i="1" l="1"/>
  <c r="E253" i="1" l="1"/>
  <c r="D253" i="1"/>
  <c r="C254" i="1" s="1"/>
  <c r="F254" i="1" l="1"/>
  <c r="G254" i="1" s="1"/>
  <c r="D254" i="1"/>
  <c r="F255" i="1" s="1"/>
  <c r="G255" i="1" s="1"/>
  <c r="E254" i="1"/>
  <c r="C255" i="1" l="1"/>
  <c r="D255" i="1" l="1"/>
  <c r="C256" i="1" s="1"/>
  <c r="E255" i="1"/>
  <c r="F256" i="1" l="1"/>
  <c r="G256" i="1" s="1"/>
  <c r="D256" i="1"/>
  <c r="C257" i="1" s="1"/>
  <c r="E256" i="1"/>
  <c r="F257" i="1" l="1"/>
  <c r="G257" i="1" s="1"/>
  <c r="E257" i="1"/>
  <c r="D257" i="1"/>
  <c r="F258" i="1" s="1"/>
  <c r="G258" i="1" s="1"/>
  <c r="B15" i="1"/>
  <c r="B17" i="1"/>
  <c r="B16" i="1"/>
  <c r="C258" i="1" l="1"/>
  <c r="E258" i="1" s="1"/>
  <c r="D258" i="1" l="1"/>
  <c r="F25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Austin</author>
  </authors>
  <commentList>
    <comment ref="A8" authorId="0" shapeId="0" xr:uid="{2DE321EA-95E6-4752-8082-5072E58C10A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constants are calculated to minimize Root Mean Sq Error if Optimize option is chosen.</t>
        </r>
      </text>
    </comment>
    <comment ref="A15" authorId="0" shapeId="0" xr:uid="{4404CE0D-AF84-436B-B9AA-206B2B96343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average of absolute forecast errors.</t>
        </r>
      </text>
    </comment>
    <comment ref="A16" authorId="0" shapeId="0" xr:uid="{8F5DE600-86F2-4815-A16B-B1EFF5A332C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square root of the sum of squared forecast errors.</t>
        </r>
      </text>
    </comment>
    <comment ref="A17" authorId="0" shapeId="0" xr:uid="{2A1361E2-6B6D-4D46-A877-8DF01EB3476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average of the absolute percentage forecast errors.</t>
        </r>
      </text>
    </comment>
    <comment ref="B258" authorId="0" shapeId="0" xr:uid="{40C087A6-5CDF-4B34-BF50-474E4AB90B8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 future forecasting period begins here (below the line)</t>
        </r>
      </text>
    </comment>
  </commentList>
</comments>
</file>

<file path=xl/sharedStrings.xml><?xml version="1.0" encoding="utf-8"?>
<sst xmlns="http://schemas.openxmlformats.org/spreadsheetml/2006/main" count="25" uniqueCount="24">
  <si>
    <t>StatTools Report</t>
  </si>
  <si>
    <t>Analysis:</t>
  </si>
  <si>
    <t>Forecast</t>
  </si>
  <si>
    <t>Performed By:</t>
  </si>
  <si>
    <t>Austin</t>
  </si>
  <si>
    <t>Date:</t>
  </si>
  <si>
    <t>Wednesday, December 9, 2020</t>
  </si>
  <si>
    <t>Updating:</t>
  </si>
  <si>
    <t>Live/Unlinked</t>
  </si>
  <si>
    <t>Winters' Exponential Smoothing Forecasts for Total Sales</t>
  </si>
  <si>
    <t>Forecasting Constants (Optimized)</t>
  </si>
  <si>
    <t>Level (Alpha)</t>
  </si>
  <si>
    <t>Trend (Beta)</t>
  </si>
  <si>
    <t>Season (Gamma)</t>
  </si>
  <si>
    <t>Winters' Exponential</t>
  </si>
  <si>
    <t>Mean Abs Err</t>
  </si>
  <si>
    <t>Root Mean Sq Err</t>
  </si>
  <si>
    <t>Mean Abs Per% Err</t>
  </si>
  <si>
    <t>Forecasting Data</t>
  </si>
  <si>
    <t>Total Sales</t>
  </si>
  <si>
    <t>Level</t>
  </si>
  <si>
    <t>Trend</t>
  </si>
  <si>
    <t>Season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</si>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</sst>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2" fillId="0" borderId="3" xfId="0" applyNumberFormat="1" applyFont="1" applyBorder="1" applyAlignment="1">
      <alignment horizontal="left"/>
    </xf>
    <xf numFmtId="2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Forecast and Original Observations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Sales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Forecast!$A$43:$A$259</c:f>
              <c:numCache>
                <c:formatCode>@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Forecast!$B$43:$B$259</c:f>
              <c:numCache>
                <c:formatCode>0.00</c:formatCode>
                <c:ptCount val="217"/>
                <c:pt idx="0">
                  <c:v>1519</c:v>
                </c:pt>
                <c:pt idx="1">
                  <c:v>1551</c:v>
                </c:pt>
                <c:pt idx="2">
                  <c:v>1606</c:v>
                </c:pt>
                <c:pt idx="3">
                  <c:v>1686</c:v>
                </c:pt>
                <c:pt idx="4">
                  <c:v>1834</c:v>
                </c:pt>
                <c:pt idx="5">
                  <c:v>1786</c:v>
                </c:pt>
                <c:pt idx="6">
                  <c:v>1924</c:v>
                </c:pt>
                <c:pt idx="7">
                  <c:v>1874</c:v>
                </c:pt>
                <c:pt idx="8">
                  <c:v>1781</c:v>
                </c:pt>
                <c:pt idx="9">
                  <c:v>1894</c:v>
                </c:pt>
                <c:pt idx="10">
                  <c:v>1843</c:v>
                </c:pt>
                <c:pt idx="11">
                  <c:v>2527</c:v>
                </c:pt>
                <c:pt idx="12">
                  <c:v>1623</c:v>
                </c:pt>
                <c:pt idx="13">
                  <c:v>1539</c:v>
                </c:pt>
                <c:pt idx="14">
                  <c:v>1688</c:v>
                </c:pt>
                <c:pt idx="15">
                  <c:v>1725</c:v>
                </c:pt>
                <c:pt idx="16">
                  <c:v>1807</c:v>
                </c:pt>
                <c:pt idx="17">
                  <c:v>1804</c:v>
                </c:pt>
                <c:pt idx="18">
                  <c:v>1962</c:v>
                </c:pt>
                <c:pt idx="19">
                  <c:v>1788</c:v>
                </c:pt>
                <c:pt idx="20">
                  <c:v>1717</c:v>
                </c:pt>
                <c:pt idx="21">
                  <c:v>1769</c:v>
                </c:pt>
                <c:pt idx="22">
                  <c:v>1794</c:v>
                </c:pt>
                <c:pt idx="23">
                  <c:v>2459</c:v>
                </c:pt>
                <c:pt idx="24">
                  <c:v>1557</c:v>
                </c:pt>
                <c:pt idx="25">
                  <c:v>1514</c:v>
                </c:pt>
                <c:pt idx="26">
                  <c:v>1724</c:v>
                </c:pt>
                <c:pt idx="27">
                  <c:v>1769</c:v>
                </c:pt>
                <c:pt idx="28">
                  <c:v>1842</c:v>
                </c:pt>
                <c:pt idx="29">
                  <c:v>1869</c:v>
                </c:pt>
                <c:pt idx="30">
                  <c:v>1994</c:v>
                </c:pt>
                <c:pt idx="31">
                  <c:v>1870</c:v>
                </c:pt>
                <c:pt idx="32">
                  <c:v>1834</c:v>
                </c:pt>
                <c:pt idx="33">
                  <c:v>1817</c:v>
                </c:pt>
                <c:pt idx="34">
                  <c:v>1857</c:v>
                </c:pt>
                <c:pt idx="35">
                  <c:v>2593</c:v>
                </c:pt>
                <c:pt idx="36">
                  <c:v>1565</c:v>
                </c:pt>
                <c:pt idx="37">
                  <c:v>1510</c:v>
                </c:pt>
                <c:pt idx="38">
                  <c:v>1736</c:v>
                </c:pt>
                <c:pt idx="39">
                  <c:v>1709</c:v>
                </c:pt>
                <c:pt idx="40">
                  <c:v>1818</c:v>
                </c:pt>
                <c:pt idx="41">
                  <c:v>1873</c:v>
                </c:pt>
                <c:pt idx="42">
                  <c:v>1898</c:v>
                </c:pt>
                <c:pt idx="43">
                  <c:v>1872</c:v>
                </c:pt>
                <c:pt idx="44">
                  <c:v>1856</c:v>
                </c:pt>
                <c:pt idx="45">
                  <c:v>1800</c:v>
                </c:pt>
                <c:pt idx="46">
                  <c:v>1892</c:v>
                </c:pt>
                <c:pt idx="47">
                  <c:v>2616</c:v>
                </c:pt>
                <c:pt idx="48">
                  <c:v>1690</c:v>
                </c:pt>
                <c:pt idx="49">
                  <c:v>1662</c:v>
                </c:pt>
                <c:pt idx="50">
                  <c:v>1849</c:v>
                </c:pt>
                <c:pt idx="51">
                  <c:v>1810</c:v>
                </c:pt>
                <c:pt idx="52">
                  <c:v>1970</c:v>
                </c:pt>
                <c:pt idx="53">
                  <c:v>1971</c:v>
                </c:pt>
                <c:pt idx="54">
                  <c:v>2047</c:v>
                </c:pt>
                <c:pt idx="55">
                  <c:v>2075</c:v>
                </c:pt>
                <c:pt idx="56">
                  <c:v>1791</c:v>
                </c:pt>
                <c:pt idx="57">
                  <c:v>1870</c:v>
                </c:pt>
                <c:pt idx="58">
                  <c:v>2003</c:v>
                </c:pt>
                <c:pt idx="59">
                  <c:v>2562</c:v>
                </c:pt>
                <c:pt idx="60">
                  <c:v>1716</c:v>
                </c:pt>
                <c:pt idx="61">
                  <c:v>1629</c:v>
                </c:pt>
                <c:pt idx="62">
                  <c:v>1862</c:v>
                </c:pt>
                <c:pt idx="63">
                  <c:v>1826</c:v>
                </c:pt>
                <c:pt idx="64">
                  <c:v>2071</c:v>
                </c:pt>
                <c:pt idx="65">
                  <c:v>2012</c:v>
                </c:pt>
                <c:pt idx="66">
                  <c:v>2109</c:v>
                </c:pt>
                <c:pt idx="67">
                  <c:v>2092</c:v>
                </c:pt>
                <c:pt idx="68">
                  <c:v>1904</c:v>
                </c:pt>
                <c:pt idx="69">
                  <c:v>2063</c:v>
                </c:pt>
                <c:pt idx="70">
                  <c:v>2096</c:v>
                </c:pt>
                <c:pt idx="71">
                  <c:v>2842</c:v>
                </c:pt>
                <c:pt idx="72">
                  <c:v>1859</c:v>
                </c:pt>
                <c:pt idx="73">
                  <c:v>1780</c:v>
                </c:pt>
                <c:pt idx="74">
                  <c:v>1906</c:v>
                </c:pt>
                <c:pt idx="75">
                  <c:v>1976</c:v>
                </c:pt>
                <c:pt idx="76">
                  <c:v>2153</c:v>
                </c:pt>
                <c:pt idx="77">
                  <c:v>2072</c:v>
                </c:pt>
                <c:pt idx="78">
                  <c:v>2222</c:v>
                </c:pt>
                <c:pt idx="79">
                  <c:v>2130</c:v>
                </c:pt>
                <c:pt idx="80">
                  <c:v>2041</c:v>
                </c:pt>
                <c:pt idx="81">
                  <c:v>2174</c:v>
                </c:pt>
                <c:pt idx="82">
                  <c:v>2166</c:v>
                </c:pt>
                <c:pt idx="83">
                  <c:v>3054</c:v>
                </c:pt>
                <c:pt idx="84">
                  <c:v>1877</c:v>
                </c:pt>
                <c:pt idx="85">
                  <c:v>1818</c:v>
                </c:pt>
                <c:pt idx="86">
                  <c:v>1998</c:v>
                </c:pt>
                <c:pt idx="87">
                  <c:v>2111</c:v>
                </c:pt>
                <c:pt idx="88">
                  <c:v>2224</c:v>
                </c:pt>
                <c:pt idx="89">
                  <c:v>2159</c:v>
                </c:pt>
                <c:pt idx="90">
                  <c:v>2353</c:v>
                </c:pt>
                <c:pt idx="91">
                  <c:v>2153</c:v>
                </c:pt>
                <c:pt idx="92">
                  <c:v>2139</c:v>
                </c:pt>
                <c:pt idx="93">
                  <c:v>2232</c:v>
                </c:pt>
                <c:pt idx="94">
                  <c:v>2287</c:v>
                </c:pt>
                <c:pt idx="95">
                  <c:v>3284</c:v>
                </c:pt>
                <c:pt idx="96">
                  <c:v>1931</c:v>
                </c:pt>
                <c:pt idx="97">
                  <c:v>1987</c:v>
                </c:pt>
                <c:pt idx="98">
                  <c:v>2203</c:v>
                </c:pt>
                <c:pt idx="99">
                  <c:v>2144</c:v>
                </c:pt>
                <c:pt idx="100">
                  <c:v>2371</c:v>
                </c:pt>
                <c:pt idx="101">
                  <c:v>2427</c:v>
                </c:pt>
                <c:pt idx="102">
                  <c:v>2477</c:v>
                </c:pt>
                <c:pt idx="103">
                  <c:v>2435</c:v>
                </c:pt>
                <c:pt idx="104">
                  <c:v>2371</c:v>
                </c:pt>
                <c:pt idx="105">
                  <c:v>2365</c:v>
                </c:pt>
                <c:pt idx="106">
                  <c:v>2562</c:v>
                </c:pt>
                <c:pt idx="107">
                  <c:v>3395</c:v>
                </c:pt>
                <c:pt idx="108">
                  <c:v>2121</c:v>
                </c:pt>
                <c:pt idx="109">
                  <c:v>2063</c:v>
                </c:pt>
                <c:pt idx="110">
                  <c:v>2340</c:v>
                </c:pt>
                <c:pt idx="111">
                  <c:v>2244</c:v>
                </c:pt>
                <c:pt idx="112">
                  <c:v>2484</c:v>
                </c:pt>
                <c:pt idx="113">
                  <c:v>2540</c:v>
                </c:pt>
                <c:pt idx="114">
                  <c:v>2496</c:v>
                </c:pt>
                <c:pt idx="115">
                  <c:v>2532</c:v>
                </c:pt>
                <c:pt idx="116">
                  <c:v>2329</c:v>
                </c:pt>
                <c:pt idx="117">
                  <c:v>2423</c:v>
                </c:pt>
                <c:pt idx="118">
                  <c:v>2652</c:v>
                </c:pt>
                <c:pt idx="119">
                  <c:v>3559</c:v>
                </c:pt>
                <c:pt idx="120">
                  <c:v>2125</c:v>
                </c:pt>
                <c:pt idx="121">
                  <c:v>2121</c:v>
                </c:pt>
                <c:pt idx="122">
                  <c:v>2379</c:v>
                </c:pt>
                <c:pt idx="123">
                  <c:v>2312</c:v>
                </c:pt>
                <c:pt idx="124">
                  <c:v>2583</c:v>
                </c:pt>
                <c:pt idx="125">
                  <c:v>2500</c:v>
                </c:pt>
                <c:pt idx="126">
                  <c:v>2582</c:v>
                </c:pt>
                <c:pt idx="127">
                  <c:v>2610</c:v>
                </c:pt>
                <c:pt idx="128">
                  <c:v>2310</c:v>
                </c:pt>
                <c:pt idx="129">
                  <c:v>2415</c:v>
                </c:pt>
                <c:pt idx="130">
                  <c:v>2617</c:v>
                </c:pt>
                <c:pt idx="131">
                  <c:v>3507</c:v>
                </c:pt>
                <c:pt idx="132">
                  <c:v>2134</c:v>
                </c:pt>
                <c:pt idx="133">
                  <c:v>2059</c:v>
                </c:pt>
                <c:pt idx="134">
                  <c:v>2289</c:v>
                </c:pt>
                <c:pt idx="135">
                  <c:v>2348</c:v>
                </c:pt>
                <c:pt idx="136">
                  <c:v>2593</c:v>
                </c:pt>
                <c:pt idx="137">
                  <c:v>2450</c:v>
                </c:pt>
                <c:pt idx="138">
                  <c:v>2629</c:v>
                </c:pt>
                <c:pt idx="139">
                  <c:v>2678</c:v>
                </c:pt>
                <c:pt idx="140">
                  <c:v>2478</c:v>
                </c:pt>
                <c:pt idx="141">
                  <c:v>2659</c:v>
                </c:pt>
                <c:pt idx="142">
                  <c:v>2678</c:v>
                </c:pt>
                <c:pt idx="143">
                  <c:v>3681</c:v>
                </c:pt>
                <c:pt idx="144">
                  <c:v>2308</c:v>
                </c:pt>
                <c:pt idx="145">
                  <c:v>2232</c:v>
                </c:pt>
                <c:pt idx="146">
                  <c:v>2411</c:v>
                </c:pt>
                <c:pt idx="147">
                  <c:v>2567</c:v>
                </c:pt>
                <c:pt idx="148">
                  <c:v>2702</c:v>
                </c:pt>
                <c:pt idx="149">
                  <c:v>2660</c:v>
                </c:pt>
                <c:pt idx="150">
                  <c:v>2886</c:v>
                </c:pt>
                <c:pt idx="151">
                  <c:v>2641</c:v>
                </c:pt>
                <c:pt idx="152">
                  <c:v>2639</c:v>
                </c:pt>
                <c:pt idx="153">
                  <c:v>2753</c:v>
                </c:pt>
                <c:pt idx="154">
                  <c:v>2792</c:v>
                </c:pt>
                <c:pt idx="155">
                  <c:v>3843</c:v>
                </c:pt>
                <c:pt idx="156">
                  <c:v>2241</c:v>
                </c:pt>
                <c:pt idx="157">
                  <c:v>2337</c:v>
                </c:pt>
                <c:pt idx="158">
                  <c:v>2553</c:v>
                </c:pt>
                <c:pt idx="159">
                  <c:v>2663</c:v>
                </c:pt>
                <c:pt idx="160">
                  <c:v>2734</c:v>
                </c:pt>
                <c:pt idx="161">
                  <c:v>2808</c:v>
                </c:pt>
                <c:pt idx="162">
                  <c:v>2951</c:v>
                </c:pt>
                <c:pt idx="163">
                  <c:v>2819</c:v>
                </c:pt>
                <c:pt idx="164">
                  <c:v>2813</c:v>
                </c:pt>
                <c:pt idx="165">
                  <c:v>2832</c:v>
                </c:pt>
                <c:pt idx="166">
                  <c:v>2968</c:v>
                </c:pt>
                <c:pt idx="167">
                  <c:v>4186</c:v>
                </c:pt>
                <c:pt idx="168">
                  <c:v>2462</c:v>
                </c:pt>
                <c:pt idx="169">
                  <c:v>2560</c:v>
                </c:pt>
                <c:pt idx="170">
                  <c:v>2799</c:v>
                </c:pt>
                <c:pt idx="171">
                  <c:v>2840</c:v>
                </c:pt>
                <c:pt idx="172">
                  <c:v>3072</c:v>
                </c:pt>
                <c:pt idx="173">
                  <c:v>3112</c:v>
                </c:pt>
                <c:pt idx="174">
                  <c:v>3176</c:v>
                </c:pt>
                <c:pt idx="175">
                  <c:v>3082</c:v>
                </c:pt>
                <c:pt idx="176">
                  <c:v>3059</c:v>
                </c:pt>
                <c:pt idx="177">
                  <c:v>2965</c:v>
                </c:pt>
                <c:pt idx="178">
                  <c:v>3192</c:v>
                </c:pt>
                <c:pt idx="179">
                  <c:v>4354</c:v>
                </c:pt>
                <c:pt idx="180">
                  <c:v>2610</c:v>
                </c:pt>
                <c:pt idx="181">
                  <c:v>2641</c:v>
                </c:pt>
                <c:pt idx="182">
                  <c:v>3049</c:v>
                </c:pt>
                <c:pt idx="183">
                  <c:v>2911</c:v>
                </c:pt>
                <c:pt idx="184">
                  <c:v>3312</c:v>
                </c:pt>
                <c:pt idx="185">
                  <c:v>3422</c:v>
                </c:pt>
                <c:pt idx="186">
                  <c:v>3383</c:v>
                </c:pt>
                <c:pt idx="187">
                  <c:v>3357</c:v>
                </c:pt>
                <c:pt idx="188">
                  <c:v>3123</c:v>
                </c:pt>
                <c:pt idx="189">
                  <c:v>3158</c:v>
                </c:pt>
                <c:pt idx="190">
                  <c:v>3374</c:v>
                </c:pt>
                <c:pt idx="191">
                  <c:v>4508</c:v>
                </c:pt>
                <c:pt idx="192">
                  <c:v>2767</c:v>
                </c:pt>
                <c:pt idx="193">
                  <c:v>2910</c:v>
                </c:pt>
                <c:pt idx="194">
                  <c:v>3106</c:v>
                </c:pt>
                <c:pt idx="195">
                  <c:v>3126</c:v>
                </c:pt>
                <c:pt idx="196">
                  <c:v>3574</c:v>
                </c:pt>
                <c:pt idx="197">
                  <c:v>3438</c:v>
                </c:pt>
                <c:pt idx="198">
                  <c:v>3691</c:v>
                </c:pt>
                <c:pt idx="199">
                  <c:v>3647</c:v>
                </c:pt>
                <c:pt idx="200">
                  <c:v>3303</c:v>
                </c:pt>
                <c:pt idx="201">
                  <c:v>3516</c:v>
                </c:pt>
                <c:pt idx="202">
                  <c:v>3548</c:v>
                </c:pt>
                <c:pt idx="203">
                  <c:v>4660</c:v>
                </c:pt>
                <c:pt idx="204">
                  <c:v>3036</c:v>
                </c:pt>
                <c:pt idx="205">
                  <c:v>2897</c:v>
                </c:pt>
                <c:pt idx="206">
                  <c:v>3140</c:v>
                </c:pt>
                <c:pt idx="207">
                  <c:v>3256</c:v>
                </c:pt>
                <c:pt idx="208">
                  <c:v>3606</c:v>
                </c:pt>
                <c:pt idx="209">
                  <c:v>3437</c:v>
                </c:pt>
                <c:pt idx="210">
                  <c:v>3692</c:v>
                </c:pt>
                <c:pt idx="211">
                  <c:v>3524</c:v>
                </c:pt>
                <c:pt idx="212">
                  <c:v>3376</c:v>
                </c:pt>
                <c:pt idx="213">
                  <c:v>3536</c:v>
                </c:pt>
                <c:pt idx="214">
                  <c:v>3455</c:v>
                </c:pt>
                <c:pt idx="215">
                  <c:v>4720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7-451E-9B88-3397C26CCCB5}"/>
            </c:ext>
          </c:extLst>
        </c:ser>
        <c:ser>
          <c:idx val="1"/>
          <c:order val="1"/>
          <c:tx>
            <c:v>Forecast</c:v>
          </c:tx>
          <c:spPr>
            <a:ln>
              <a:solidFill>
                <a:srgbClr val="993366"/>
              </a:solidFill>
              <a:prstDash val="solid"/>
            </a:ln>
          </c:spPr>
          <c:marker>
            <c:symbol val="none"/>
          </c:marker>
          <c:cat>
            <c:numRef>
              <c:f>Forecast!$A$43:$A$259</c:f>
              <c:numCache>
                <c:formatCode>@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Forecast!$F$43:$F$259</c:f>
              <c:numCache>
                <c:formatCode>0.00</c:formatCode>
                <c:ptCount val="217"/>
                <c:pt idx="1">
                  <c:v>1499.3705849891082</c:v>
                </c:pt>
                <c:pt idx="2">
                  <c:v>1671.1020537524232</c:v>
                </c:pt>
                <c:pt idx="3">
                  <c:v>1678.8819714062536</c:v>
                </c:pt>
                <c:pt idx="4">
                  <c:v>1829.0545939661743</c:v>
                </c:pt>
                <c:pt idx="5">
                  <c:v>1816.9071345690245</c:v>
                </c:pt>
                <c:pt idx="6">
                  <c:v>1900.427487084625</c:v>
                </c:pt>
                <c:pt idx="7">
                  <c:v>1852.5709500226926</c:v>
                </c:pt>
                <c:pt idx="8">
                  <c:v>1761.2225595070292</c:v>
                </c:pt>
                <c:pt idx="9">
                  <c:v>1820.7270833626576</c:v>
                </c:pt>
                <c:pt idx="10">
                  <c:v>1899.7721495955111</c:v>
                </c:pt>
                <c:pt idx="11">
                  <c:v>2585.1136054942576</c:v>
                </c:pt>
                <c:pt idx="12">
                  <c:v>1600.036657337261</c:v>
                </c:pt>
                <c:pt idx="13">
                  <c:v>1596.2761315558439</c:v>
                </c:pt>
                <c:pt idx="14">
                  <c:v>1730.7715557840049</c:v>
                </c:pt>
                <c:pt idx="15">
                  <c:v>1760.9739474198504</c:v>
                </c:pt>
                <c:pt idx="16">
                  <c:v>1911.5012502935888</c:v>
                </c:pt>
                <c:pt idx="17">
                  <c:v>1875.3897211934445</c:v>
                </c:pt>
                <c:pt idx="18">
                  <c:v>1970.101405356183</c:v>
                </c:pt>
                <c:pt idx="19">
                  <c:v>1913.7075025346826</c:v>
                </c:pt>
                <c:pt idx="20">
                  <c:v>1800.8043419575592</c:v>
                </c:pt>
                <c:pt idx="21">
                  <c:v>1859.7792841442877</c:v>
                </c:pt>
                <c:pt idx="22">
                  <c:v>1880.1495603325627</c:v>
                </c:pt>
                <c:pt idx="23">
                  <c:v>2549.3921937153491</c:v>
                </c:pt>
                <c:pt idx="24">
                  <c:v>1585.179459216459</c:v>
                </c:pt>
                <c:pt idx="25">
                  <c:v>1548.2481899098138</c:v>
                </c:pt>
                <c:pt idx="26">
                  <c:v>1679.0388538674201</c:v>
                </c:pt>
                <c:pt idx="27">
                  <c:v>1712.789985272881</c:v>
                </c:pt>
                <c:pt idx="28">
                  <c:v>1845.7354080645775</c:v>
                </c:pt>
                <c:pt idx="29">
                  <c:v>1823.9597492746761</c:v>
                </c:pt>
                <c:pt idx="30">
                  <c:v>1942.1287684986885</c:v>
                </c:pt>
                <c:pt idx="31">
                  <c:v>1857.4328668456126</c:v>
                </c:pt>
                <c:pt idx="32">
                  <c:v>1768.191133275031</c:v>
                </c:pt>
                <c:pt idx="33">
                  <c:v>1839.9805524715398</c:v>
                </c:pt>
                <c:pt idx="34">
                  <c:v>1868.8073995890202</c:v>
                </c:pt>
                <c:pt idx="35">
                  <c:v>2552.8061151053416</c:v>
                </c:pt>
                <c:pt idx="36">
                  <c:v>1604.9293506192205</c:v>
                </c:pt>
                <c:pt idx="37">
                  <c:v>1566.1584702459445</c:v>
                </c:pt>
                <c:pt idx="38">
                  <c:v>1720.1547589504958</c:v>
                </c:pt>
                <c:pt idx="39">
                  <c:v>1755.711923564412</c:v>
                </c:pt>
                <c:pt idx="40">
                  <c:v>1863.5047640606733</c:v>
                </c:pt>
                <c:pt idx="41">
                  <c:v>1850.4169475395452</c:v>
                </c:pt>
                <c:pt idx="42">
                  <c:v>1968.436710242878</c:v>
                </c:pt>
                <c:pt idx="43">
                  <c:v>1859.2921216850043</c:v>
                </c:pt>
                <c:pt idx="44">
                  <c:v>1782.9052514934779</c:v>
                </c:pt>
                <c:pt idx="45">
                  <c:v>1829.8940084326346</c:v>
                </c:pt>
                <c:pt idx="46">
                  <c:v>1859.368754277044</c:v>
                </c:pt>
                <c:pt idx="47">
                  <c:v>2559.5784876019211</c:v>
                </c:pt>
                <c:pt idx="48">
                  <c:v>1591.7168716889817</c:v>
                </c:pt>
                <c:pt idx="49">
                  <c:v>1562.5259518122421</c:v>
                </c:pt>
                <c:pt idx="50">
                  <c:v>1756.9171561920502</c:v>
                </c:pt>
                <c:pt idx="51">
                  <c:v>1786.6066048675048</c:v>
                </c:pt>
                <c:pt idx="52">
                  <c:v>1908.9651300937085</c:v>
                </c:pt>
                <c:pt idx="53">
                  <c:v>1930.354837963838</c:v>
                </c:pt>
                <c:pt idx="54">
                  <c:v>2034.1908754084911</c:v>
                </c:pt>
                <c:pt idx="55">
                  <c:v>1958.1028418981005</c:v>
                </c:pt>
                <c:pt idx="56">
                  <c:v>1911.77649187463</c:v>
                </c:pt>
                <c:pt idx="57">
                  <c:v>1917.0969850839595</c:v>
                </c:pt>
                <c:pt idx="58">
                  <c:v>1969.1759947401365</c:v>
                </c:pt>
                <c:pt idx="59">
                  <c:v>2720.6532833107822</c:v>
                </c:pt>
                <c:pt idx="60">
                  <c:v>1698.9250804818548</c:v>
                </c:pt>
                <c:pt idx="61">
                  <c:v>1661.9838709958708</c:v>
                </c:pt>
                <c:pt idx="62">
                  <c:v>1848.4216989556924</c:v>
                </c:pt>
                <c:pt idx="63">
                  <c:v>1851.6063981243312</c:v>
                </c:pt>
                <c:pt idx="64">
                  <c:v>1982.3797143991276</c:v>
                </c:pt>
                <c:pt idx="65">
                  <c:v>2000.8529368866434</c:v>
                </c:pt>
                <c:pt idx="66">
                  <c:v>2096.1231573420168</c:v>
                </c:pt>
                <c:pt idx="67">
                  <c:v>2045.7794421149104</c:v>
                </c:pt>
                <c:pt idx="68">
                  <c:v>1923.6125503516216</c:v>
                </c:pt>
                <c:pt idx="69">
                  <c:v>1959.5935957031561</c:v>
                </c:pt>
                <c:pt idx="70">
                  <c:v>2052.5741809678298</c:v>
                </c:pt>
                <c:pt idx="71">
                  <c:v>2780.8059946524581</c:v>
                </c:pt>
                <c:pt idx="72">
                  <c:v>1785.9199607320759</c:v>
                </c:pt>
                <c:pt idx="73">
                  <c:v>1741.2007600874731</c:v>
                </c:pt>
                <c:pt idx="74">
                  <c:v>1963.0584757842935</c:v>
                </c:pt>
                <c:pt idx="75">
                  <c:v>1951.3547509684572</c:v>
                </c:pt>
                <c:pt idx="76">
                  <c:v>2131.9153098470033</c:v>
                </c:pt>
                <c:pt idx="77">
                  <c:v>2125.3693941879292</c:v>
                </c:pt>
                <c:pt idx="78">
                  <c:v>2222.8789306921067</c:v>
                </c:pt>
                <c:pt idx="79">
                  <c:v>2180.2461917404207</c:v>
                </c:pt>
                <c:pt idx="80">
                  <c:v>2024.2754548601411</c:v>
                </c:pt>
                <c:pt idx="81">
                  <c:v>2102.9385482677662</c:v>
                </c:pt>
                <c:pt idx="82">
                  <c:v>2181.76811983267</c:v>
                </c:pt>
                <c:pt idx="83">
                  <c:v>2949.4406559020731</c:v>
                </c:pt>
                <c:pt idx="84">
                  <c:v>1907.4138338978973</c:v>
                </c:pt>
                <c:pt idx="85">
                  <c:v>1840.0097495218852</c:v>
                </c:pt>
                <c:pt idx="86">
                  <c:v>2038.2296276356756</c:v>
                </c:pt>
                <c:pt idx="87">
                  <c:v>2050.5779692054475</c:v>
                </c:pt>
                <c:pt idx="88">
                  <c:v>2242.3144413037689</c:v>
                </c:pt>
                <c:pt idx="89">
                  <c:v>2209.8331743849967</c:v>
                </c:pt>
                <c:pt idx="90">
                  <c:v>2326.8005371954678</c:v>
                </c:pt>
                <c:pt idx="91">
                  <c:v>2270.6187527193197</c:v>
                </c:pt>
                <c:pt idx="92">
                  <c:v>2119.2317856634158</c:v>
                </c:pt>
                <c:pt idx="93">
                  <c:v>2216.1097015712749</c:v>
                </c:pt>
                <c:pt idx="94">
                  <c:v>2266.6024568768598</c:v>
                </c:pt>
                <c:pt idx="95">
                  <c:v>3103.0452969140197</c:v>
                </c:pt>
                <c:pt idx="96">
                  <c:v>1983.2832735816125</c:v>
                </c:pt>
                <c:pt idx="97">
                  <c:v>1912.6532751516725</c:v>
                </c:pt>
                <c:pt idx="98">
                  <c:v>2125.3327259310208</c:v>
                </c:pt>
                <c:pt idx="99">
                  <c:v>2180.4861749516253</c:v>
                </c:pt>
                <c:pt idx="100">
                  <c:v>2350.1072529648309</c:v>
                </c:pt>
                <c:pt idx="101">
                  <c:v>2311.6341621315514</c:v>
                </c:pt>
                <c:pt idx="102">
                  <c:v>2477.3644973579785</c:v>
                </c:pt>
                <c:pt idx="103">
                  <c:v>2375.9788456099595</c:v>
                </c:pt>
                <c:pt idx="104">
                  <c:v>2276.1155411264149</c:v>
                </c:pt>
                <c:pt idx="105">
                  <c:v>2391.2578789020063</c:v>
                </c:pt>
                <c:pt idx="106">
                  <c:v>2446.9375857537975</c:v>
                </c:pt>
                <c:pt idx="107">
                  <c:v>3414.3637866427057</c:v>
                </c:pt>
                <c:pt idx="108">
                  <c:v>2122.9488991188618</c:v>
                </c:pt>
                <c:pt idx="109">
                  <c:v>2092.5970065683096</c:v>
                </c:pt>
                <c:pt idx="110">
                  <c:v>2314.4257905114082</c:v>
                </c:pt>
                <c:pt idx="111">
                  <c:v>2337.0630624233872</c:v>
                </c:pt>
                <c:pt idx="112">
                  <c:v>2532.4151369782935</c:v>
                </c:pt>
                <c:pt idx="113">
                  <c:v>2512.4669709734303</c:v>
                </c:pt>
                <c:pt idx="114">
                  <c:v>2646.8419228388507</c:v>
                </c:pt>
                <c:pt idx="115">
                  <c:v>2539.9618617425876</c:v>
                </c:pt>
                <c:pt idx="116">
                  <c:v>2435.5996594509602</c:v>
                </c:pt>
                <c:pt idx="117">
                  <c:v>2497.7005045777469</c:v>
                </c:pt>
                <c:pt idx="118">
                  <c:v>2586.6015391461897</c:v>
                </c:pt>
                <c:pt idx="119">
                  <c:v>3544.440056622449</c:v>
                </c:pt>
                <c:pt idx="120">
                  <c:v>2204.9543112004767</c:v>
                </c:pt>
                <c:pt idx="121">
                  <c:v>2153.5247009192121</c:v>
                </c:pt>
                <c:pt idx="122">
                  <c:v>2392.8914163802547</c:v>
                </c:pt>
                <c:pt idx="123">
                  <c:v>2373.8398847306776</c:v>
                </c:pt>
                <c:pt idx="124">
                  <c:v>2585.1067577118347</c:v>
                </c:pt>
                <c:pt idx="125">
                  <c:v>2585.5713682588353</c:v>
                </c:pt>
                <c:pt idx="126">
                  <c:v>2655.9409509426941</c:v>
                </c:pt>
                <c:pt idx="127">
                  <c:v>2588.9548719334048</c:v>
                </c:pt>
                <c:pt idx="128">
                  <c:v>2453.3389022439924</c:v>
                </c:pt>
                <c:pt idx="129">
                  <c:v>2516.6774427714454</c:v>
                </c:pt>
                <c:pt idx="130">
                  <c:v>2637.0422510216017</c:v>
                </c:pt>
                <c:pt idx="131">
                  <c:v>3572.6257765768623</c:v>
                </c:pt>
                <c:pt idx="132">
                  <c:v>2187.4967330648269</c:v>
                </c:pt>
                <c:pt idx="133">
                  <c:v>2145.9999222622055</c:v>
                </c:pt>
                <c:pt idx="134">
                  <c:v>2377.8795577883211</c:v>
                </c:pt>
                <c:pt idx="135">
                  <c:v>2331.4068703511798</c:v>
                </c:pt>
                <c:pt idx="136">
                  <c:v>2557.8516143256152</c:v>
                </c:pt>
                <c:pt idx="137">
                  <c:v>2533.0659157564714</c:v>
                </c:pt>
                <c:pt idx="138">
                  <c:v>2599.1095102070576</c:v>
                </c:pt>
                <c:pt idx="139">
                  <c:v>2562.8682037698704</c:v>
                </c:pt>
                <c:pt idx="140">
                  <c:v>2389.2707435405891</c:v>
                </c:pt>
                <c:pt idx="141">
                  <c:v>2484.7038346805775</c:v>
                </c:pt>
                <c:pt idx="142">
                  <c:v>2656.6999985877906</c:v>
                </c:pt>
                <c:pt idx="143">
                  <c:v>3595.6830937558789</c:v>
                </c:pt>
                <c:pt idx="144">
                  <c:v>2208.9609274723166</c:v>
                </c:pt>
                <c:pt idx="145">
                  <c:v>2175.6808718989159</c:v>
                </c:pt>
                <c:pt idx="146">
                  <c:v>2434.0890638423425</c:v>
                </c:pt>
                <c:pt idx="147">
                  <c:v>2428.1163200173696</c:v>
                </c:pt>
                <c:pt idx="148">
                  <c:v>2689.7394334351134</c:v>
                </c:pt>
                <c:pt idx="149">
                  <c:v>2635.1166630450703</c:v>
                </c:pt>
                <c:pt idx="150">
                  <c:v>2756.8342856862168</c:v>
                </c:pt>
                <c:pt idx="151">
                  <c:v>2762.0322349252224</c:v>
                </c:pt>
                <c:pt idx="152">
                  <c:v>2553.5989990558414</c:v>
                </c:pt>
                <c:pt idx="153">
                  <c:v>2684.6510063116484</c:v>
                </c:pt>
                <c:pt idx="154">
                  <c:v>2816.9711666860553</c:v>
                </c:pt>
                <c:pt idx="155">
                  <c:v>3829.5951274533422</c:v>
                </c:pt>
                <c:pt idx="156">
                  <c:v>2365.1763706327652</c:v>
                </c:pt>
                <c:pt idx="157">
                  <c:v>2297.1408009542624</c:v>
                </c:pt>
                <c:pt idx="158">
                  <c:v>2545.1909149614867</c:v>
                </c:pt>
                <c:pt idx="159">
                  <c:v>2589.8586997046805</c:v>
                </c:pt>
                <c:pt idx="160">
                  <c:v>2822.2815722263085</c:v>
                </c:pt>
                <c:pt idx="161">
                  <c:v>2759.1211388236957</c:v>
                </c:pt>
                <c:pt idx="162">
                  <c:v>2918.5841386348907</c:v>
                </c:pt>
                <c:pt idx="163">
                  <c:v>2842.9485991351717</c:v>
                </c:pt>
                <c:pt idx="164">
                  <c:v>2694.1301641695472</c:v>
                </c:pt>
                <c:pt idx="165">
                  <c:v>2830.3298758163769</c:v>
                </c:pt>
                <c:pt idx="166">
                  <c:v>2935.511967507025</c:v>
                </c:pt>
                <c:pt idx="167">
                  <c:v>4013.2331307869204</c:v>
                </c:pt>
                <c:pt idx="168">
                  <c:v>2452.2274465894102</c:v>
                </c:pt>
                <c:pt idx="169">
                  <c:v>2444.1274072748083</c:v>
                </c:pt>
                <c:pt idx="170">
                  <c:v>2709.7532700907313</c:v>
                </c:pt>
                <c:pt idx="171">
                  <c:v>2789.1167848339314</c:v>
                </c:pt>
                <c:pt idx="172">
                  <c:v>2992.8143168908623</c:v>
                </c:pt>
                <c:pt idx="173">
                  <c:v>2988.5610076180442</c:v>
                </c:pt>
                <c:pt idx="174">
                  <c:v>3170.5988894672914</c:v>
                </c:pt>
                <c:pt idx="175">
                  <c:v>3076.2282116067731</c:v>
                </c:pt>
                <c:pt idx="176">
                  <c:v>2966.4515323725186</c:v>
                </c:pt>
                <c:pt idx="177">
                  <c:v>3083.1185507658879</c:v>
                </c:pt>
                <c:pt idx="178">
                  <c:v>3199.977123995016</c:v>
                </c:pt>
                <c:pt idx="179">
                  <c:v>4413.5264779223344</c:v>
                </c:pt>
                <c:pt idx="180">
                  <c:v>2656.707058553367</c:v>
                </c:pt>
                <c:pt idx="181">
                  <c:v>2675.3550848199598</c:v>
                </c:pt>
                <c:pt idx="182">
                  <c:v>2937.9129187669059</c:v>
                </c:pt>
                <c:pt idx="183">
                  <c:v>3014.616525525355</c:v>
                </c:pt>
                <c:pt idx="184">
                  <c:v>3224.3457509654882</c:v>
                </c:pt>
                <c:pt idx="185">
                  <c:v>3232.2337387100933</c:v>
                </c:pt>
                <c:pt idx="186">
                  <c:v>3398.9324790633427</c:v>
                </c:pt>
                <c:pt idx="187">
                  <c:v>3295.6555718494974</c:v>
                </c:pt>
                <c:pt idx="188">
                  <c:v>3208.8258803177637</c:v>
                </c:pt>
                <c:pt idx="189">
                  <c:v>3252.5918866784382</c:v>
                </c:pt>
                <c:pt idx="190">
                  <c:v>3410.9849910360758</c:v>
                </c:pt>
                <c:pt idx="191">
                  <c:v>4684.6774966576049</c:v>
                </c:pt>
                <c:pt idx="192">
                  <c:v>2808.1412711381763</c:v>
                </c:pt>
                <c:pt idx="193">
                  <c:v>2830.5966889880783</c:v>
                </c:pt>
                <c:pt idx="194">
                  <c:v>3163.1512606160304</c:v>
                </c:pt>
                <c:pt idx="195">
                  <c:v>3163.0589902687771</c:v>
                </c:pt>
                <c:pt idx="196">
                  <c:v>3445.9277513431057</c:v>
                </c:pt>
                <c:pt idx="197">
                  <c:v>3485.2902429764981</c:v>
                </c:pt>
                <c:pt idx="198">
                  <c:v>3573.7880166631435</c:v>
                </c:pt>
                <c:pt idx="199">
                  <c:v>3497.5104800570139</c:v>
                </c:pt>
                <c:pt idx="200">
                  <c:v>3370.2575647959943</c:v>
                </c:pt>
                <c:pt idx="201">
                  <c:v>3414.9056670015307</c:v>
                </c:pt>
                <c:pt idx="202">
                  <c:v>3620.7007900260514</c:v>
                </c:pt>
                <c:pt idx="203">
                  <c:v>4931.9794554085038</c:v>
                </c:pt>
                <c:pt idx="204">
                  <c:v>2969.5001612749934</c:v>
                </c:pt>
                <c:pt idx="205">
                  <c:v>3039.7709211799365</c:v>
                </c:pt>
                <c:pt idx="206">
                  <c:v>3328.2357114064966</c:v>
                </c:pt>
                <c:pt idx="207">
                  <c:v>3318.1989782656115</c:v>
                </c:pt>
                <c:pt idx="208">
                  <c:v>3656.7532919069681</c:v>
                </c:pt>
                <c:pt idx="209">
                  <c:v>3624.8650417563831</c:v>
                </c:pt>
                <c:pt idx="210">
                  <c:v>3742.5228581818192</c:v>
                </c:pt>
                <c:pt idx="211">
                  <c:v>3647.3956610873788</c:v>
                </c:pt>
                <c:pt idx="212">
                  <c:v>3419.7185725767772</c:v>
                </c:pt>
                <c:pt idx="213">
                  <c:v>3504.2446396502023</c:v>
                </c:pt>
                <c:pt idx="214">
                  <c:v>3647.6164092336135</c:v>
                </c:pt>
                <c:pt idx="215">
                  <c:v>4888.7438874101836</c:v>
                </c:pt>
                <c:pt idx="216">
                  <c:v>3003.2027031749321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7-451E-9B88-3397C26CC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1152"/>
        <c:axId val="1972658240"/>
      </c:lineChart>
      <c:catAx>
        <c:axId val="19726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1972658240"/>
        <c:crosses val="autoZero"/>
        <c:auto val="1"/>
        <c:lblAlgn val="ctr"/>
        <c:lblOffset val="100"/>
        <c:noMultiLvlLbl val="0"/>
      </c:catAx>
      <c:valAx>
        <c:axId val="1972658240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972661152"/>
        <c:crosses val="autoZero"/>
        <c:crossBetween val="between"/>
      </c:valAx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18</xdr:row>
      <xdr:rowOff>0</xdr:rowOff>
    </xdr:from>
    <xdr:to>
      <xdr:col>3</xdr:col>
      <xdr:colOff>495300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F82B5-1F1E-42D3-A96D-70CD5A105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2" name="gwm_3214          ">
          <a:extLst xmlns:a="http://schemas.openxmlformats.org/drawingml/2006/main">
            <a:ext uri="{FF2B5EF4-FFF2-40B4-BE49-F238E27FC236}">
              <a16:creationId xmlns:a16="http://schemas.microsoft.com/office/drawing/2014/main" id="{6D20BF76-2909-4279-B1D8-ED21718E73D4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3" name="gwm_3214         ">
          <a:extLst xmlns:a="http://schemas.openxmlformats.org/drawingml/2006/main">
            <a:ext uri="{FF2B5EF4-FFF2-40B4-BE49-F238E27FC236}">
              <a16:creationId xmlns:a16="http://schemas.microsoft.com/office/drawing/2014/main" id="{BC3C06D1-2771-4E8D-B6D4-0C0F06F1A19A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4" name="gwm_3214        ">
          <a:extLst xmlns:a="http://schemas.openxmlformats.org/drawingml/2006/main">
            <a:ext uri="{FF2B5EF4-FFF2-40B4-BE49-F238E27FC236}">
              <a16:creationId xmlns:a16="http://schemas.microsoft.com/office/drawing/2014/main" id="{C9335C9E-D73C-4222-99D6-A021D99CEB8C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5" name="gwm_3214       ">
          <a:extLst xmlns:a="http://schemas.openxmlformats.org/drawingml/2006/main">
            <a:ext uri="{FF2B5EF4-FFF2-40B4-BE49-F238E27FC236}">
              <a16:creationId xmlns:a16="http://schemas.microsoft.com/office/drawing/2014/main" id="{CEBEBE46-EBFA-468B-ABB9-B26F7C8BC482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6" name="gwm_3214      ">
          <a:extLst xmlns:a="http://schemas.openxmlformats.org/drawingml/2006/main">
            <a:ext uri="{FF2B5EF4-FFF2-40B4-BE49-F238E27FC236}">
              <a16:creationId xmlns:a16="http://schemas.microsoft.com/office/drawing/2014/main" id="{AFA7B59E-4669-4E8C-A882-FCCF57EFD4DC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7" name="gwm_3214     ">
          <a:extLst xmlns:a="http://schemas.openxmlformats.org/drawingml/2006/main">
            <a:ext uri="{FF2B5EF4-FFF2-40B4-BE49-F238E27FC236}">
              <a16:creationId xmlns:a16="http://schemas.microsoft.com/office/drawing/2014/main" id="{32FAFA49-8DD8-4F6E-B921-4BD2D2FD2C74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8" name="gwm_3214    ">
          <a:extLst xmlns:a="http://schemas.openxmlformats.org/drawingml/2006/main">
            <a:ext uri="{FF2B5EF4-FFF2-40B4-BE49-F238E27FC236}">
              <a16:creationId xmlns:a16="http://schemas.microsoft.com/office/drawing/2014/main" id="{F8682943-A1AF-4D8F-9BD6-ECA56B8AAEA2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9" name="gwm_3214   ">
          <a:extLst xmlns:a="http://schemas.openxmlformats.org/drawingml/2006/main">
            <a:ext uri="{FF2B5EF4-FFF2-40B4-BE49-F238E27FC236}">
              <a16:creationId xmlns:a16="http://schemas.microsoft.com/office/drawing/2014/main" id="{0827DEF2-9021-4C68-B996-CDE5D37E5B54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0" name="gwm_3214  ">
          <a:extLst xmlns:a="http://schemas.openxmlformats.org/drawingml/2006/main">
            <a:ext uri="{FF2B5EF4-FFF2-40B4-BE49-F238E27FC236}">
              <a16:creationId xmlns:a16="http://schemas.microsoft.com/office/drawing/2014/main" id="{E71C6C98-BC1B-4DFD-899C-BDCC155211D3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objClick" textlink="">
      <cdr:nvSpPr>
        <cdr:cNvPr id="11" name="gwm_3214 ">
          <a:extLst xmlns:a="http://schemas.openxmlformats.org/drawingml/2006/main">
            <a:ext uri="{FF2B5EF4-FFF2-40B4-BE49-F238E27FC236}">
              <a16:creationId xmlns:a16="http://schemas.microsoft.com/office/drawing/2014/main" id="{6A824DD1-8F48-4433-AE3D-CAFF4065D834}"/>
            </a:ext>
          </a:extLst>
        </cdr:cNvPr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Textbook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E750-95A7-4151-8794-6A44041DDC2E}">
  <dimension ref="A1:G259"/>
  <sheetViews>
    <sheetView showGridLines="0" tabSelected="1" workbookViewId="0">
      <selection activeCell="A4" sqref="A4:XFD4"/>
    </sheetView>
  </sheetViews>
  <sheetFormatPr defaultColWidth="12.7109375" defaultRowHeight="15"/>
  <cols>
    <col min="1" max="1" width="39.7109375" bestFit="1" customWidth="1"/>
    <col min="2" max="7" width="12.7109375" customWidth="1"/>
  </cols>
  <sheetData>
    <row r="1" spans="1:2" s="1" customFormat="1" ht="18.75">
      <c r="A1" s="7" t="s">
        <v>0</v>
      </c>
      <c r="B1" s="5"/>
    </row>
    <row r="2" spans="1:2" s="1" customFormat="1" ht="11.25">
      <c r="A2" s="3" t="s">
        <v>1</v>
      </c>
      <c r="B2" s="5" t="s">
        <v>2</v>
      </c>
    </row>
    <row r="3" spans="1:2" s="1" customFormat="1" ht="11.25">
      <c r="A3" s="3" t="s">
        <v>3</v>
      </c>
      <c r="B3" s="5" t="s">
        <v>4</v>
      </c>
    </row>
    <row r="4" spans="1:2" s="1" customFormat="1" ht="11.25" hidden="1">
      <c r="A4" s="3" t="s">
        <v>5</v>
      </c>
      <c r="B4" s="5" t="s">
        <v>6</v>
      </c>
    </row>
    <row r="5" spans="1:2" s="2" customFormat="1" ht="11.25">
      <c r="A5" s="4" t="s">
        <v>7</v>
      </c>
      <c r="B5" s="6" t="s">
        <v>8</v>
      </c>
    </row>
    <row r="7" spans="1:2" ht="15" customHeight="1">
      <c r="A7" s="11" t="s">
        <v>9</v>
      </c>
      <c r="B7" s="8"/>
    </row>
    <row r="8" spans="1:2" ht="15" customHeight="1" thickBot="1">
      <c r="A8" s="12" t="s">
        <v>10</v>
      </c>
      <c r="B8" s="9"/>
    </row>
    <row r="9" spans="1:2" ht="15" customHeight="1" thickTop="1">
      <c r="A9" s="10" t="s">
        <v>11</v>
      </c>
      <c r="B9" s="13">
        <v>0.1</v>
      </c>
    </row>
    <row r="10" spans="1:2" ht="15" customHeight="1">
      <c r="A10" s="10" t="s">
        <v>12</v>
      </c>
      <c r="B10" s="13">
        <v>0.1</v>
      </c>
    </row>
    <row r="11" spans="1:2" ht="15" customHeight="1">
      <c r="A11" s="10" t="s">
        <v>13</v>
      </c>
      <c r="B11" s="13">
        <v>0.3</v>
      </c>
    </row>
    <row r="12" spans="1:2" ht="15" customHeight="1"/>
    <row r="13" spans="1:2" ht="15" customHeight="1">
      <c r="A13" s="11"/>
      <c r="B13" s="8"/>
    </row>
    <row r="14" spans="1:2" ht="15" customHeight="1" thickBot="1">
      <c r="A14" s="12" t="s">
        <v>14</v>
      </c>
      <c r="B14" s="9"/>
    </row>
    <row r="15" spans="1:2" ht="15" customHeight="1" thickTop="1">
      <c r="A15" s="10" t="s">
        <v>15</v>
      </c>
      <c r="B15" s="14" t="e">
        <f ca="1">_xll.StatMeanAbs(G44:G258)</f>
        <v>#NAME?</v>
      </c>
    </row>
    <row r="16" spans="1:2" ht="15" customHeight="1">
      <c r="A16" s="10" t="s">
        <v>16</v>
      </c>
      <c r="B16" s="14" t="e">
        <f ca="1">SQRT(SUMSQ(G44:G258)/_xll.StatCount(G44:G258))</f>
        <v>#NAME?</v>
      </c>
    </row>
    <row r="17" spans="1:2" ht="15" customHeight="1">
      <c r="A17" s="10" t="s">
        <v>17</v>
      </c>
      <c r="B17" s="17" t="e">
        <f ca="1">_xll.StatPairMeanAbsQuotient(G44:G258,B44:B258)</f>
        <v>#NAME?</v>
      </c>
    </row>
    <row r="18" spans="1:2" ht="15" customHeight="1"/>
    <row r="19" spans="1:2" ht="15" customHeight="1"/>
    <row r="20" spans="1:2" ht="15" customHeight="1"/>
    <row r="21" spans="1:2" ht="15" customHeight="1"/>
    <row r="22" spans="1:2" ht="15" customHeight="1"/>
    <row r="23" spans="1:2" ht="15" customHeight="1"/>
    <row r="24" spans="1:2" ht="15" customHeight="1"/>
    <row r="25" spans="1:2" ht="15" customHeight="1"/>
    <row r="26" spans="1:2" ht="15" customHeight="1"/>
    <row r="27" spans="1:2" ht="15" customHeight="1"/>
    <row r="28" spans="1:2" ht="15" customHeight="1"/>
    <row r="29" spans="1:2" ht="15" customHeight="1"/>
    <row r="30" spans="1:2" ht="15" customHeight="1"/>
    <row r="31" spans="1:2" ht="15" customHeight="1"/>
    <row r="32" spans="1:2" ht="15" customHeight="1"/>
    <row r="33" spans="1:7" ht="15" customHeight="1"/>
    <row r="34" spans="1:7" ht="15" customHeight="1"/>
    <row r="35" spans="1:7" ht="15" customHeight="1"/>
    <row r="36" spans="1:7" ht="15" customHeight="1"/>
    <row r="37" spans="1:7" ht="15" customHeight="1"/>
    <row r="38" spans="1:7" ht="15" customHeight="1"/>
    <row r="39" spans="1:7" ht="15" customHeight="1"/>
    <row r="40" spans="1:7" ht="15" customHeight="1"/>
    <row r="41" spans="1:7" ht="15" customHeight="1">
      <c r="A41" s="11"/>
      <c r="B41" s="8"/>
      <c r="C41" s="8"/>
      <c r="D41" s="8"/>
      <c r="E41" s="8"/>
      <c r="F41" s="8"/>
      <c r="G41" s="8"/>
    </row>
    <row r="42" spans="1:7" ht="15" customHeight="1" thickBot="1">
      <c r="A42" s="12" t="s">
        <v>18</v>
      </c>
      <c r="B42" s="9" t="s">
        <v>19</v>
      </c>
      <c r="C42" s="9" t="s">
        <v>20</v>
      </c>
      <c r="D42" s="9" t="s">
        <v>21</v>
      </c>
      <c r="E42" s="9" t="s">
        <v>22</v>
      </c>
      <c r="F42" s="9" t="s">
        <v>2</v>
      </c>
      <c r="G42" s="9" t="s">
        <v>23</v>
      </c>
    </row>
    <row r="43" spans="1:7" ht="15" customHeight="1" thickTop="1">
      <c r="A43" s="10">
        <v>1</v>
      </c>
      <c r="B43" s="14">
        <f xml:space="preserve"> 1519</f>
        <v>1519</v>
      </c>
      <c r="C43" s="14">
        <f>B43/ 0.85696772729756</f>
        <v>1772.528826482361</v>
      </c>
      <c r="D43" s="14">
        <f>(B258/ 1.38716628724008-B43/ 0.85696772729756)/ 216</f>
        <v>7.5467192226442288</v>
      </c>
      <c r="E43" s="14">
        <f>$B$11*(B43/C43)+(1-$B$11)* 0.85696772729756</f>
        <v>0.85696772729755988</v>
      </c>
      <c r="F43" s="14"/>
      <c r="G43" s="14"/>
    </row>
    <row r="44" spans="1:7" ht="15" customHeight="1">
      <c r="A44" s="10">
        <v>2</v>
      </c>
      <c r="B44" s="14">
        <f xml:space="preserve"> 1551</f>
        <v>1551</v>
      </c>
      <c r="C44" s="14">
        <f>$B$9*B44/ 0.842307276568578+(1-$B$9)*(C43+D43)</f>
        <v>1786.2050683206974</v>
      </c>
      <c r="D44" s="14">
        <f>$B$10*(C44-C43)+(1-$B$10)*D43</f>
        <v>8.1596714842134475</v>
      </c>
      <c r="E44" s="14">
        <f>$B$11*(B44/C44)+(1-$B$11)* 0.842307276568578</f>
        <v>0.850111499219254</v>
      </c>
      <c r="F44" s="14">
        <f>(C43+D43)* 0.842307276568578</f>
        <v>1499.3705849891082</v>
      </c>
      <c r="G44" s="14">
        <f>B44-F44</f>
        <v>51.629415010891762</v>
      </c>
    </row>
    <row r="45" spans="1:7" ht="15" customHeight="1">
      <c r="A45" s="10">
        <v>3</v>
      </c>
      <c r="B45" s="14">
        <f xml:space="preserve"> 1606</f>
        <v>1606</v>
      </c>
      <c r="C45" s="14">
        <f>$B$9*B45/ 0.931305668620144+(1-$B$9)*(C44+D44)</f>
        <v>1787.3743331161081</v>
      </c>
      <c r="D45" s="14">
        <f t="shared" ref="D45:D108" si="0">$B$10*(C45-C44)+(1-$B$10)*D44</f>
        <v>7.4606308153331788</v>
      </c>
      <c r="E45" s="14">
        <f>$B$11*(B45/C45)+(1-$B$11)* 0.931305668620144</f>
        <v>0.9214713803082436</v>
      </c>
      <c r="F45" s="14">
        <f>(C44+D44)* 0.931305668620144</f>
        <v>1671.1020537524232</v>
      </c>
      <c r="G45" s="14">
        <f t="shared" ref="G45:G108" si="1">B45-F45</f>
        <v>-65.102053752423217</v>
      </c>
    </row>
    <row r="46" spans="1:7" ht="15" customHeight="1">
      <c r="A46" s="10">
        <v>4</v>
      </c>
      <c r="B46" s="14">
        <f xml:space="preserve"> 1686</f>
        <v>1686</v>
      </c>
      <c r="C46" s="14">
        <f>$B$9*B46/ 0.935396292776021+(1-$B$9)*(C45+D45)</f>
        <v>1795.5959278831608</v>
      </c>
      <c r="D46" s="14">
        <f t="shared" si="0"/>
        <v>7.5367272105051306</v>
      </c>
      <c r="E46" s="14">
        <f>$B$11*(B46/C46)+(1-$B$11)* 0.935396292776021</f>
        <v>0.93646661583170832</v>
      </c>
      <c r="F46" s="14">
        <f>(C45+D45)* 0.935396292776021</f>
        <v>1678.8819714062536</v>
      </c>
      <c r="G46" s="14">
        <f t="shared" si="1"/>
        <v>7.1180285937464305</v>
      </c>
    </row>
    <row r="47" spans="1:7" ht="15" customHeight="1">
      <c r="A47" s="10">
        <v>5</v>
      </c>
      <c r="B47" s="14">
        <f xml:space="preserve"> 1834</f>
        <v>1834</v>
      </c>
      <c r="C47" s="14">
        <f>$B$9*B47/ 1.01437605757917+(1-$B$9)*(C46+D46)</f>
        <v>1803.6201869115628</v>
      </c>
      <c r="D47" s="14">
        <f t="shared" si="0"/>
        <v>7.585480392294814</v>
      </c>
      <c r="E47" s="14">
        <f>$B$11*(B47/C47)+(1-$B$11)* 1.01437605757917</f>
        <v>1.0151163795376525</v>
      </c>
      <c r="F47" s="14">
        <f>(C46+D46)* 1.01437605757917</f>
        <v>1829.0545939661743</v>
      </c>
      <c r="G47" s="14">
        <f t="shared" si="1"/>
        <v>4.9454060338257477</v>
      </c>
    </row>
    <row r="48" spans="1:7" ht="15" customHeight="1">
      <c r="A48" s="10">
        <v>6</v>
      </c>
      <c r="B48" s="14">
        <f xml:space="preserve"> 1786</f>
        <v>1786</v>
      </c>
      <c r="C48" s="14">
        <f>$B$9*B48/ 1.00314788506247+(1-$B$9)*(C47+D47)</f>
        <v>1808.1246525273475</v>
      </c>
      <c r="D48" s="14">
        <f t="shared" si="0"/>
        <v>7.2773789146438066</v>
      </c>
      <c r="E48" s="14">
        <f>$B$11*(B48/C48)+(1-$B$11)* 1.00314788506247</f>
        <v>0.99853264665953556</v>
      </c>
      <c r="F48" s="14">
        <f>(C47+D47)* 1.00314788506247</f>
        <v>1816.9071345690245</v>
      </c>
      <c r="G48" s="14">
        <f t="shared" si="1"/>
        <v>-30.907134569024493</v>
      </c>
    </row>
    <row r="49" spans="1:7" ht="15" customHeight="1">
      <c r="A49" s="10">
        <v>7</v>
      </c>
      <c r="B49" s="14">
        <f xml:space="preserve"> 1924</f>
        <v>1924</v>
      </c>
      <c r="C49" s="14">
        <f>$B$9*B49/ 1.04683560675268+(1-$B$9)*(C48+D48)</f>
        <v>1817.653818901581</v>
      </c>
      <c r="D49" s="14">
        <f t="shared" si="0"/>
        <v>7.5025576606027711</v>
      </c>
      <c r="E49" s="14">
        <f>$B$11*(B49/C49)+(1-$B$11)* 1.04683560675268</f>
        <v>1.0503371417649945</v>
      </c>
      <c r="F49" s="14">
        <f>(C48+D48)* 1.04683560675268</f>
        <v>1900.427487084625</v>
      </c>
      <c r="G49" s="14">
        <f t="shared" si="1"/>
        <v>23.572512915375</v>
      </c>
    </row>
    <row r="50" spans="1:7" ht="15" customHeight="1">
      <c r="A50" s="10">
        <v>8</v>
      </c>
      <c r="B50" s="14">
        <f xml:space="preserve"> 1874</f>
        <v>1874</v>
      </c>
      <c r="C50" s="14">
        <f>$B$9*B50/ 1.0150203970534+(1-$B$9)*(C49+D49)</f>
        <v>1827.2675705873992</v>
      </c>
      <c r="D50" s="14">
        <f t="shared" si="0"/>
        <v>7.7136770631243161</v>
      </c>
      <c r="E50" s="14">
        <f>$B$11*(B50/C50)+(1-$B$11)* 1.0150203970534</f>
        <v>1.0181867880007385</v>
      </c>
      <c r="F50" s="14">
        <f>(C49+D49)* 1.0150203970534</f>
        <v>1852.5709500226926</v>
      </c>
      <c r="G50" s="14">
        <f t="shared" si="1"/>
        <v>21.429049977307386</v>
      </c>
    </row>
    <row r="51" spans="1:7" ht="15" customHeight="1">
      <c r="A51" s="10">
        <v>9</v>
      </c>
      <c r="B51" s="14">
        <f xml:space="preserve"> 1781</f>
        <v>1781</v>
      </c>
      <c r="C51" s="14">
        <f>$B$9*B51/ 0.959804118849752+(1-$B$9)*(C50+D50)</f>
        <v>1837.0418181465818</v>
      </c>
      <c r="D51" s="14">
        <f t="shared" si="0"/>
        <v>7.9197341127301488</v>
      </c>
      <c r="E51" s="14">
        <f>$B$11*(B51/C51)+(1-$B$11)* 0.959804118849752</f>
        <v>0.96271091655046492</v>
      </c>
      <c r="F51" s="14">
        <f>(C50+D50)* 0.959804118849752</f>
        <v>1761.2225595070292</v>
      </c>
      <c r="G51" s="14">
        <f t="shared" si="1"/>
        <v>19.777440492970754</v>
      </c>
    </row>
    <row r="52" spans="1:7" ht="15" customHeight="1">
      <c r="A52" s="10">
        <v>10</v>
      </c>
      <c r="B52" s="14">
        <f xml:space="preserve"> 1894</f>
        <v>1894</v>
      </c>
      <c r="C52" s="14">
        <f>$B$9*B52/ 0.986864512776986+(1-$B$9)*(C51+D51)</f>
        <v>1852.3863725551755</v>
      </c>
      <c r="D52" s="14">
        <f t="shared" si="0"/>
        <v>8.6622161423165043</v>
      </c>
      <c r="E52" s="14">
        <f>$B$11*(B52/C52)+(1-$B$11)* 0.986864512776986</f>
        <v>0.99754462130358501</v>
      </c>
      <c r="F52" s="14">
        <f>(C51+D51)* 0.986864512776986</f>
        <v>1820.7270833626576</v>
      </c>
      <c r="G52" s="14">
        <f t="shared" si="1"/>
        <v>73.272916637342405</v>
      </c>
    </row>
    <row r="53" spans="1:7" ht="15" customHeight="1">
      <c r="A53" s="10">
        <v>11</v>
      </c>
      <c r="B53" s="14">
        <f xml:space="preserve"> 1843</f>
        <v>1843</v>
      </c>
      <c r="C53" s="14">
        <f>$B$9*B53/ 1.02080738844391+(1-$B$9)*(C52+D52)</f>
        <v>1855.4870939201028</v>
      </c>
      <c r="D53" s="14">
        <f t="shared" si="0"/>
        <v>8.1060666645775807</v>
      </c>
      <c r="E53" s="14">
        <f>$B$11*(B53/C53)+(1-$B$11)* 1.02080738844391</f>
        <v>1.0125462259486195</v>
      </c>
      <c r="F53" s="14">
        <f>(C52+D52)* 1.02080738844391</f>
        <v>1899.7721495955111</v>
      </c>
      <c r="G53" s="14">
        <f t="shared" si="1"/>
        <v>-56.77214959551111</v>
      </c>
    </row>
    <row r="54" spans="1:7" ht="15" customHeight="1">
      <c r="A54" s="10">
        <v>12</v>
      </c>
      <c r="B54" s="14">
        <f xml:space="preserve"> 2527</f>
        <v>2527</v>
      </c>
      <c r="C54" s="14">
        <f>$B$9*B54/ 1.38716628724008+(1-$B$9)*(C53+D53)</f>
        <v>1859.4037850189088</v>
      </c>
      <c r="D54" s="14">
        <f t="shared" si="0"/>
        <v>7.6871291080004269</v>
      </c>
      <c r="E54" s="14">
        <f>$B$11*(B54/C54)+(1-$B$11)* 1.38716628724008</f>
        <v>1.3787277363401258</v>
      </c>
      <c r="F54" s="14">
        <f>(C53+D53)* 1.38716628724008</f>
        <v>2585.1136054942576</v>
      </c>
      <c r="G54" s="14">
        <f t="shared" si="1"/>
        <v>-58.113605494257627</v>
      </c>
    </row>
    <row r="55" spans="1:7" ht="15" customHeight="1">
      <c r="A55" s="10">
        <v>13</v>
      </c>
      <c r="B55" s="14">
        <f xml:space="preserve"> 1623</f>
        <v>1623</v>
      </c>
      <c r="C55" s="14">
        <f>$B$9*B55/E43+(1-$B$9)*(C54+D54)</f>
        <v>1869.7705182626628</v>
      </c>
      <c r="D55" s="14">
        <f t="shared" si="0"/>
        <v>7.9550895215757818</v>
      </c>
      <c r="E55" s="14">
        <f>$B$11*(B55/C55)+(1-$B$11)*E43</f>
        <v>0.86028369706945496</v>
      </c>
      <c r="F55" s="14">
        <f>(C54+D54)*E43</f>
        <v>1600.036657337261</v>
      </c>
      <c r="G55" s="14">
        <f t="shared" si="1"/>
        <v>22.963342662739024</v>
      </c>
    </row>
    <row r="56" spans="1:7" ht="15" customHeight="1">
      <c r="A56" s="10">
        <v>14</v>
      </c>
      <c r="B56" s="14">
        <f xml:space="preserve"> 1539</f>
        <v>1539</v>
      </c>
      <c r="C56" s="14">
        <f t="shared" ref="C56:C119" si="2">$B$9*B56/E44+(1-$B$9)*(C55+D55)</f>
        <v>1870.9881231591692</v>
      </c>
      <c r="D56" s="14">
        <f t="shared" si="0"/>
        <v>7.2813410590688408</v>
      </c>
      <c r="E56" s="14">
        <f t="shared" ref="E56:E119" si="3">$B$11*(B56/C56)+(1-$B$11)*E44</f>
        <v>0.8418460509629786</v>
      </c>
      <c r="F56" s="14">
        <f t="shared" ref="F56:F119" si="4">(C55+D55)*E44</f>
        <v>1596.2761315558439</v>
      </c>
      <c r="G56" s="14">
        <f t="shared" si="1"/>
        <v>-57.276131555843904</v>
      </c>
    </row>
    <row r="57" spans="1:7" ht="15" customHeight="1">
      <c r="A57" s="10">
        <v>15</v>
      </c>
      <c r="B57" s="14">
        <f xml:space="preserve"> 1688</f>
        <v>1688</v>
      </c>
      <c r="C57" s="14">
        <f t="shared" si="2"/>
        <v>1873.6278055950806</v>
      </c>
      <c r="D57" s="14">
        <f t="shared" si="0"/>
        <v>6.8171751967531051</v>
      </c>
      <c r="E57" s="14">
        <f t="shared" si="3"/>
        <v>0.91530776551388815</v>
      </c>
      <c r="F57" s="14">
        <f t="shared" si="4"/>
        <v>1730.7715557840049</v>
      </c>
      <c r="G57" s="14">
        <f t="shared" si="1"/>
        <v>-42.771555784004931</v>
      </c>
    </row>
    <row r="58" spans="1:7" ht="15" customHeight="1">
      <c r="A58" s="10">
        <v>16</v>
      </c>
      <c r="B58" s="14">
        <f xml:space="preserve"> 1725</f>
        <v>1725</v>
      </c>
      <c r="C58" s="14">
        <f t="shared" si="2"/>
        <v>1876.6035253879056</v>
      </c>
      <c r="D58" s="14">
        <f t="shared" si="0"/>
        <v>6.4330296563602918</v>
      </c>
      <c r="E58" s="14">
        <f t="shared" si="3"/>
        <v>0.93129079383630198</v>
      </c>
      <c r="F58" s="14">
        <f t="shared" si="4"/>
        <v>1760.9739474198504</v>
      </c>
      <c r="G58" s="14">
        <f t="shared" si="1"/>
        <v>-35.973947419850447</v>
      </c>
    </row>
    <row r="59" spans="1:7" ht="15" customHeight="1">
      <c r="A59" s="10">
        <v>17</v>
      </c>
      <c r="B59" s="14">
        <f xml:space="preserve"> 1807</f>
        <v>1807</v>
      </c>
      <c r="C59" s="14">
        <f t="shared" si="2"/>
        <v>1872.742045724932</v>
      </c>
      <c r="D59" s="14">
        <f t="shared" si="0"/>
        <v>5.4035787244269047</v>
      </c>
      <c r="E59" s="14">
        <f t="shared" si="3"/>
        <v>1.0000500559915568</v>
      </c>
      <c r="F59" s="14">
        <f t="shared" si="4"/>
        <v>1911.5012502935888</v>
      </c>
      <c r="G59" s="14">
        <f t="shared" si="1"/>
        <v>-104.50125029358878</v>
      </c>
    </row>
    <row r="60" spans="1:7" ht="15" customHeight="1">
      <c r="A60" s="10">
        <v>18</v>
      </c>
      <c r="B60" s="14">
        <f xml:space="preserve"> 1804</f>
        <v>1804</v>
      </c>
      <c r="C60" s="14">
        <f t="shared" si="2"/>
        <v>1870.9961615417344</v>
      </c>
      <c r="D60" s="14">
        <f t="shared" si="0"/>
        <v>4.6886324336644511</v>
      </c>
      <c r="E60" s="14">
        <f t="shared" si="3"/>
        <v>0.98823052786398069</v>
      </c>
      <c r="F60" s="14">
        <f t="shared" si="4"/>
        <v>1875.3897211934445</v>
      </c>
      <c r="G60" s="14">
        <f t="shared" si="1"/>
        <v>-71.389721193444529</v>
      </c>
    </row>
    <row r="61" spans="1:7" ht="15" customHeight="1">
      <c r="A61" s="10">
        <v>19</v>
      </c>
      <c r="B61" s="14">
        <f xml:space="preserve"> 1962</f>
        <v>1962</v>
      </c>
      <c r="C61" s="14">
        <f t="shared" si="2"/>
        <v>1874.91347921997</v>
      </c>
      <c r="D61" s="14">
        <f t="shared" si="0"/>
        <v>4.6115009581215638</v>
      </c>
      <c r="E61" s="14">
        <f t="shared" si="3"/>
        <v>1.0491704855590347</v>
      </c>
      <c r="F61" s="14">
        <f t="shared" si="4"/>
        <v>1970.101405356183</v>
      </c>
      <c r="G61" s="14">
        <f t="shared" si="1"/>
        <v>-8.1014053561830224</v>
      </c>
    </row>
    <row r="62" spans="1:7" ht="15" customHeight="1">
      <c r="A62" s="10">
        <v>20</v>
      </c>
      <c r="B62" s="14">
        <f xml:space="preserve"> 1788</f>
        <v>1788</v>
      </c>
      <c r="C62" s="14">
        <f t="shared" si="2"/>
        <v>1867.1787678704741</v>
      </c>
      <c r="D62" s="14">
        <f t="shared" si="0"/>
        <v>3.3768797273598166</v>
      </c>
      <c r="E62" s="14">
        <f t="shared" si="3"/>
        <v>1.0000090825402836</v>
      </c>
      <c r="F62" s="14">
        <f t="shared" si="4"/>
        <v>1913.7075025346826</v>
      </c>
      <c r="G62" s="14">
        <f t="shared" si="1"/>
        <v>-125.70750253468259</v>
      </c>
    </row>
    <row r="63" spans="1:7" ht="15" customHeight="1">
      <c r="A63" s="10">
        <v>21</v>
      </c>
      <c r="B63" s="14">
        <f xml:space="preserve"> 1717</f>
        <v>1717</v>
      </c>
      <c r="C63" s="14">
        <f t="shared" si="2"/>
        <v>1861.8506105491379</v>
      </c>
      <c r="D63" s="14">
        <f t="shared" si="0"/>
        <v>2.5063760224902132</v>
      </c>
      <c r="E63" s="14">
        <f t="shared" si="3"/>
        <v>0.95055786184224245</v>
      </c>
      <c r="F63" s="14">
        <f t="shared" si="4"/>
        <v>1800.8043419575592</v>
      </c>
      <c r="G63" s="14">
        <f t="shared" si="1"/>
        <v>-83.804341957559245</v>
      </c>
    </row>
    <row r="64" spans="1:7" ht="15" customHeight="1">
      <c r="A64" s="10">
        <v>22</v>
      </c>
      <c r="B64" s="14">
        <f xml:space="preserve"> 1769</f>
        <v>1769</v>
      </c>
      <c r="C64" s="14">
        <f t="shared" si="2"/>
        <v>1855.2567135406678</v>
      </c>
      <c r="D64" s="14">
        <f t="shared" si="0"/>
        <v>1.5963487193941828</v>
      </c>
      <c r="E64" s="14">
        <f t="shared" si="3"/>
        <v>0.98433329235914968</v>
      </c>
      <c r="F64" s="14">
        <f t="shared" si="4"/>
        <v>1859.7792841442877</v>
      </c>
      <c r="G64" s="14">
        <f t="shared" si="1"/>
        <v>-90.779284144287658</v>
      </c>
    </row>
    <row r="65" spans="1:7" ht="15" customHeight="1">
      <c r="A65" s="10">
        <v>23</v>
      </c>
      <c r="B65" s="14">
        <f xml:space="preserve"> 1794</f>
        <v>1794</v>
      </c>
      <c r="C65" s="14">
        <f t="shared" si="2"/>
        <v>1848.3448521532246</v>
      </c>
      <c r="D65" s="14">
        <f t="shared" si="0"/>
        <v>0.74552770871044483</v>
      </c>
      <c r="E65" s="14">
        <f t="shared" si="3"/>
        <v>0.99996178789708656</v>
      </c>
      <c r="F65" s="14">
        <f t="shared" si="4"/>
        <v>1880.1495603325627</v>
      </c>
      <c r="G65" s="14">
        <f t="shared" si="1"/>
        <v>-86.149560332562714</v>
      </c>
    </row>
    <row r="66" spans="1:7" ht="15" customHeight="1">
      <c r="A66" s="10">
        <v>24</v>
      </c>
      <c r="B66" s="14">
        <f xml:space="preserve"> 2459</f>
        <v>2459</v>
      </c>
      <c r="C66" s="14">
        <f t="shared" si="2"/>
        <v>1842.5341765352871</v>
      </c>
      <c r="D66" s="14">
        <f t="shared" si="0"/>
        <v>8.9907376045652576E-2</v>
      </c>
      <c r="E66" s="14">
        <f t="shared" si="3"/>
        <v>1.3654819075170006</v>
      </c>
      <c r="F66" s="14">
        <f t="shared" si="4"/>
        <v>2549.3921937153491</v>
      </c>
      <c r="G66" s="14">
        <f t="shared" si="1"/>
        <v>-90.392193715349094</v>
      </c>
    </row>
    <row r="67" spans="1:7" ht="15" customHeight="1">
      <c r="A67" s="10">
        <v>25</v>
      </c>
      <c r="B67" s="14">
        <f xml:space="preserve"> 1557</f>
        <v>1557</v>
      </c>
      <c r="C67" s="14">
        <f t="shared" si="2"/>
        <v>1839.3484831632945</v>
      </c>
      <c r="D67" s="14">
        <f t="shared" si="0"/>
        <v>-0.23765269875816836</v>
      </c>
      <c r="E67" s="14">
        <f t="shared" si="3"/>
        <v>0.85614720305644498</v>
      </c>
      <c r="F67" s="14">
        <f t="shared" si="4"/>
        <v>1585.179459216459</v>
      </c>
      <c r="G67" s="14">
        <f t="shared" si="1"/>
        <v>-28.179459216459009</v>
      </c>
    </row>
    <row r="68" spans="1:7" ht="15" customHeight="1">
      <c r="A68" s="10">
        <v>26</v>
      </c>
      <c r="B68" s="14">
        <f xml:space="preserve"> 1514</f>
        <v>1514</v>
      </c>
      <c r="C68" s="14">
        <f t="shared" si="2"/>
        <v>1835.0426056542356</v>
      </c>
      <c r="D68" s="14">
        <f t="shared" si="0"/>
        <v>-0.64447517978824886</v>
      </c>
      <c r="E68" s="14">
        <f t="shared" si="3"/>
        <v>0.83680692476113594</v>
      </c>
      <c r="F68" s="14">
        <f t="shared" si="4"/>
        <v>1548.2481899098138</v>
      </c>
      <c r="G68" s="14">
        <f t="shared" si="1"/>
        <v>-34.248189909813846</v>
      </c>
    </row>
    <row r="69" spans="1:7" ht="15" customHeight="1">
      <c r="A69" s="10">
        <v>27</v>
      </c>
      <c r="B69" s="14">
        <f xml:space="preserve"> 1724</f>
        <v>1724</v>
      </c>
      <c r="C69" s="14">
        <f t="shared" si="2"/>
        <v>1839.3102647124144</v>
      </c>
      <c r="D69" s="14">
        <f t="shared" si="0"/>
        <v>-0.15326175599153613</v>
      </c>
      <c r="E69" s="14">
        <f t="shared" si="3"/>
        <v>0.92190779906379849</v>
      </c>
      <c r="F69" s="14">
        <f t="shared" si="4"/>
        <v>1679.0388538674201</v>
      </c>
      <c r="G69" s="14">
        <f t="shared" si="1"/>
        <v>44.96114613257987</v>
      </c>
    </row>
    <row r="70" spans="1:7" ht="15" customHeight="1">
      <c r="A70" s="10">
        <v>28</v>
      </c>
      <c r="B70" s="14">
        <f xml:space="preserve"> 1769</f>
        <v>1769</v>
      </c>
      <c r="C70" s="14">
        <f t="shared" si="2"/>
        <v>1845.1927132951423</v>
      </c>
      <c r="D70" s="14">
        <f t="shared" si="0"/>
        <v>0.45030927788040498</v>
      </c>
      <c r="E70" s="14">
        <f t="shared" si="3"/>
        <v>0.93951579053554624</v>
      </c>
      <c r="F70" s="14">
        <f t="shared" si="4"/>
        <v>1712.789985272881</v>
      </c>
      <c r="G70" s="14">
        <f t="shared" si="1"/>
        <v>56.21001472711896</v>
      </c>
    </row>
    <row r="71" spans="1:7" ht="15" customHeight="1">
      <c r="A71" s="10">
        <v>29</v>
      </c>
      <c r="B71" s="14">
        <f xml:space="preserve"> 1842</f>
        <v>1842</v>
      </c>
      <c r="C71" s="14">
        <f t="shared" si="2"/>
        <v>1845.2695004635848</v>
      </c>
      <c r="D71" s="14">
        <f t="shared" si="0"/>
        <v>0.41295706693661244</v>
      </c>
      <c r="E71" s="14">
        <f t="shared" si="3"/>
        <v>0.99950349074611022</v>
      </c>
      <c r="F71" s="14">
        <f t="shared" si="4"/>
        <v>1845.7354080645775</v>
      </c>
      <c r="G71" s="14">
        <f t="shared" si="1"/>
        <v>-3.7354080645775412</v>
      </c>
    </row>
    <row r="72" spans="1:7" ht="15" customHeight="1">
      <c r="A72" s="10">
        <v>30</v>
      </c>
      <c r="B72" s="14">
        <f xml:space="preserve"> 1869</f>
        <v>1869</v>
      </c>
      <c r="C72" s="14">
        <f t="shared" si="2"/>
        <v>1850.2401239307567</v>
      </c>
      <c r="D72" s="14">
        <f t="shared" si="0"/>
        <v>0.86872370696014034</v>
      </c>
      <c r="E72" s="14">
        <f t="shared" si="3"/>
        <v>0.9948031167612541</v>
      </c>
      <c r="F72" s="14">
        <f t="shared" si="4"/>
        <v>1823.9597492746761</v>
      </c>
      <c r="G72" s="14">
        <f t="shared" si="1"/>
        <v>45.040250725323858</v>
      </c>
    </row>
    <row r="73" spans="1:7" ht="15" customHeight="1">
      <c r="A73" s="10">
        <v>31</v>
      </c>
      <c r="B73" s="14">
        <f xml:space="preserve"> 1994</f>
        <v>1994</v>
      </c>
      <c r="C73" s="14">
        <f t="shared" si="2"/>
        <v>1856.052870769827</v>
      </c>
      <c r="D73" s="14">
        <f t="shared" si="0"/>
        <v>1.3631260201711577</v>
      </c>
      <c r="E73" s="14">
        <f t="shared" si="3"/>
        <v>1.0567161932950138</v>
      </c>
      <c r="F73" s="14">
        <f t="shared" si="4"/>
        <v>1942.1287684986885</v>
      </c>
      <c r="G73" s="14">
        <f t="shared" si="1"/>
        <v>51.871231501311513</v>
      </c>
    </row>
    <row r="74" spans="1:7" ht="15" customHeight="1">
      <c r="A74" s="10">
        <v>32</v>
      </c>
      <c r="B74" s="14">
        <f xml:space="preserve"> 1870</f>
        <v>1870</v>
      </c>
      <c r="C74" s="14">
        <f t="shared" si="2"/>
        <v>1858.6726986913914</v>
      </c>
      <c r="D74" s="14">
        <f t="shared" si="0"/>
        <v>1.4887962103104786</v>
      </c>
      <c r="E74" s="14">
        <f t="shared" si="3"/>
        <v>1.0018346465323051</v>
      </c>
      <c r="F74" s="14">
        <f t="shared" si="4"/>
        <v>1857.4328668456126</v>
      </c>
      <c r="G74" s="14">
        <f t="shared" si="1"/>
        <v>12.56713315438742</v>
      </c>
    </row>
    <row r="75" spans="1:7" ht="15" customHeight="1">
      <c r="A75" s="10">
        <v>33</v>
      </c>
      <c r="B75" s="14">
        <f xml:space="preserve"> 1834</f>
        <v>1834</v>
      </c>
      <c r="C75" s="14">
        <f t="shared" si="2"/>
        <v>1867.0846785780145</v>
      </c>
      <c r="D75" s="14">
        <f t="shared" si="0"/>
        <v>2.1811145779417465</v>
      </c>
      <c r="E75" s="14">
        <f t="shared" si="3"/>
        <v>0.96007451323979676</v>
      </c>
      <c r="F75" s="14">
        <f t="shared" si="4"/>
        <v>1768.191133275031</v>
      </c>
      <c r="G75" s="14">
        <f t="shared" si="1"/>
        <v>65.808866724968993</v>
      </c>
    </row>
    <row r="76" spans="1:7" ht="15" customHeight="1">
      <c r="A76" s="10">
        <v>34</v>
      </c>
      <c r="B76" s="14">
        <f xml:space="preserve"> 1817</f>
        <v>1817</v>
      </c>
      <c r="C76" s="14">
        <f t="shared" si="2"/>
        <v>1866.9311619238397</v>
      </c>
      <c r="D76" s="14">
        <f t="shared" si="0"/>
        <v>1.9476514547300883</v>
      </c>
      <c r="E76" s="14">
        <f t="shared" si="3"/>
        <v>0.98100979051084269</v>
      </c>
      <c r="F76" s="14">
        <f t="shared" si="4"/>
        <v>1839.9805524715398</v>
      </c>
      <c r="G76" s="14">
        <f t="shared" si="1"/>
        <v>-22.980552471539795</v>
      </c>
    </row>
    <row r="77" spans="1:7" ht="15" customHeight="1">
      <c r="A77" s="10">
        <v>35</v>
      </c>
      <c r="B77" s="14">
        <f xml:space="preserve"> 1857</f>
        <v>1857</v>
      </c>
      <c r="C77" s="14">
        <f t="shared" si="2"/>
        <v>1867.6980282993868</v>
      </c>
      <c r="D77" s="14">
        <f t="shared" si="0"/>
        <v>1.8295729468117918</v>
      </c>
      <c r="E77" s="14">
        <f t="shared" si="3"/>
        <v>0.99825487498036714</v>
      </c>
      <c r="F77" s="14">
        <f t="shared" si="4"/>
        <v>1868.8073995890202</v>
      </c>
      <c r="G77" s="14">
        <f t="shared" si="1"/>
        <v>-11.807399589020179</v>
      </c>
    </row>
    <row r="78" spans="1:7" ht="15" customHeight="1">
      <c r="A78" s="10">
        <v>36</v>
      </c>
      <c r="B78" s="14">
        <f xml:space="preserve"> 2593</f>
        <v>2593</v>
      </c>
      <c r="C78" s="14">
        <f t="shared" si="2"/>
        <v>1872.4711689839614</v>
      </c>
      <c r="D78" s="14">
        <f t="shared" si="0"/>
        <v>2.1239297205880758</v>
      </c>
      <c r="E78" s="14">
        <f t="shared" si="3"/>
        <v>1.3712776437084671</v>
      </c>
      <c r="F78" s="14">
        <f t="shared" si="4"/>
        <v>2552.8061151053416</v>
      </c>
      <c r="G78" s="14">
        <f t="shared" si="1"/>
        <v>40.193884894658368</v>
      </c>
    </row>
    <row r="79" spans="1:7" ht="15" customHeight="1">
      <c r="A79" s="10">
        <v>37</v>
      </c>
      <c r="B79" s="14">
        <f xml:space="preserve"> 1565</f>
        <v>1565</v>
      </c>
      <c r="C79" s="14">
        <f t="shared" si="2"/>
        <v>1869.9312569637048</v>
      </c>
      <c r="D79" s="14">
        <f t="shared" si="0"/>
        <v>1.6575455465036004</v>
      </c>
      <c r="E79" s="14">
        <f t="shared" si="3"/>
        <v>0.85038179075744158</v>
      </c>
      <c r="F79" s="14">
        <f t="shared" si="4"/>
        <v>1604.9293506192205</v>
      </c>
      <c r="G79" s="14">
        <f t="shared" si="1"/>
        <v>-39.929350619220486</v>
      </c>
    </row>
    <row r="80" spans="1:7" ht="15" customHeight="1">
      <c r="A80" s="10">
        <v>38</v>
      </c>
      <c r="B80" s="14">
        <f xml:space="preserve"> 1510</f>
        <v>1510</v>
      </c>
      <c r="C80" s="14">
        <f t="shared" si="2"/>
        <v>1864.8777597852722</v>
      </c>
      <c r="D80" s="14">
        <f t="shared" si="0"/>
        <v>0.9864412740099896</v>
      </c>
      <c r="E80" s="14">
        <f t="shared" si="3"/>
        <v>0.82867621115975165</v>
      </c>
      <c r="F80" s="14">
        <f t="shared" si="4"/>
        <v>1566.1584702459445</v>
      </c>
      <c r="G80" s="14">
        <f t="shared" si="1"/>
        <v>-56.1584702459445</v>
      </c>
    </row>
    <row r="81" spans="1:7" ht="15" customHeight="1">
      <c r="A81" s="10">
        <v>39</v>
      </c>
      <c r="B81" s="14">
        <f xml:space="preserve"> 1736</f>
        <v>1736</v>
      </c>
      <c r="C81" s="14">
        <f t="shared" si="2"/>
        <v>1867.5829457174352</v>
      </c>
      <c r="D81" s="14">
        <f t="shared" si="0"/>
        <v>1.1583157398252883</v>
      </c>
      <c r="E81" s="14">
        <f t="shared" si="3"/>
        <v>0.92419857554212115</v>
      </c>
      <c r="F81" s="14">
        <f t="shared" si="4"/>
        <v>1720.1547589504958</v>
      </c>
      <c r="G81" s="14">
        <f t="shared" si="1"/>
        <v>15.845241049504239</v>
      </c>
    </row>
    <row r="82" spans="1:7" ht="15" customHeight="1">
      <c r="A82" s="10">
        <v>40</v>
      </c>
      <c r="B82" s="14">
        <f xml:space="preserve"> 1709</f>
        <v>1709</v>
      </c>
      <c r="C82" s="14">
        <f t="shared" si="2"/>
        <v>1863.769346771528</v>
      </c>
      <c r="D82" s="14">
        <f t="shared" si="0"/>
        <v>0.66112427125204065</v>
      </c>
      <c r="E82" s="14">
        <f t="shared" si="3"/>
        <v>0.9327487410697749</v>
      </c>
      <c r="F82" s="14">
        <f t="shared" si="4"/>
        <v>1755.711923564412</v>
      </c>
      <c r="G82" s="14">
        <f t="shared" si="1"/>
        <v>-46.711923564412018</v>
      </c>
    </row>
    <row r="83" spans="1:7" ht="15" customHeight="1">
      <c r="A83" s="10">
        <v>41</v>
      </c>
      <c r="B83" s="14">
        <f xml:space="preserve"> 1818</f>
        <v>1818</v>
      </c>
      <c r="C83" s="14">
        <f t="shared" si="2"/>
        <v>1859.8777341607204</v>
      </c>
      <c r="D83" s="14">
        <f t="shared" si="0"/>
        <v>0.20585058304606962</v>
      </c>
      <c r="E83" s="14">
        <f t="shared" si="3"/>
        <v>0.99289752624063898</v>
      </c>
      <c r="F83" s="14">
        <f t="shared" si="4"/>
        <v>1863.5047640606733</v>
      </c>
      <c r="G83" s="14">
        <f t="shared" si="1"/>
        <v>-45.504764060673324</v>
      </c>
    </row>
    <row r="84" spans="1:7" ht="15" customHeight="1">
      <c r="A84" s="10">
        <v>42</v>
      </c>
      <c r="B84" s="14">
        <f xml:space="preserve"> 1873</f>
        <v>1873</v>
      </c>
      <c r="C84" s="14">
        <f t="shared" si="2"/>
        <v>1862.3536874485085</v>
      </c>
      <c r="D84" s="14">
        <f t="shared" si="0"/>
        <v>0.43286085352027426</v>
      </c>
      <c r="E84" s="14">
        <f t="shared" si="3"/>
        <v>0.99807715874662817</v>
      </c>
      <c r="F84" s="14">
        <f t="shared" si="4"/>
        <v>1850.4169475395452</v>
      </c>
      <c r="G84" s="14">
        <f t="shared" si="1"/>
        <v>22.583052460454837</v>
      </c>
    </row>
    <row r="85" spans="1:7" ht="15" customHeight="1">
      <c r="A85" s="10">
        <v>43</v>
      </c>
      <c r="B85" s="14">
        <f xml:space="preserve"> 1898</f>
        <v>1898</v>
      </c>
      <c r="C85" s="14">
        <f t="shared" si="2"/>
        <v>1856.1209260006192</v>
      </c>
      <c r="D85" s="14">
        <f t="shared" si="0"/>
        <v>-0.23370137662068208</v>
      </c>
      <c r="E85" s="14">
        <f t="shared" si="3"/>
        <v>1.0464701411659885</v>
      </c>
      <c r="F85" s="14">
        <f t="shared" si="4"/>
        <v>1968.436710242878</v>
      </c>
      <c r="G85" s="14">
        <f t="shared" si="1"/>
        <v>-70.436710242878007</v>
      </c>
    </row>
    <row r="86" spans="1:7" ht="15" customHeight="1">
      <c r="A86" s="10">
        <v>44</v>
      </c>
      <c r="B86" s="14">
        <f xml:space="preserve"> 1872</f>
        <v>1872</v>
      </c>
      <c r="C86" s="14">
        <f t="shared" si="2"/>
        <v>1857.1556852785568</v>
      </c>
      <c r="D86" s="14">
        <f t="shared" si="0"/>
        <v>-0.10685531116485288</v>
      </c>
      <c r="E86" s="14">
        <f t="shared" si="3"/>
        <v>1.0036821637718381</v>
      </c>
      <c r="F86" s="14">
        <f t="shared" si="4"/>
        <v>1859.2921216850043</v>
      </c>
      <c r="G86" s="14">
        <f t="shared" si="1"/>
        <v>12.707878314995696</v>
      </c>
    </row>
    <row r="87" spans="1:7" ht="15" customHeight="1">
      <c r="A87" s="10">
        <v>45</v>
      </c>
      <c r="B87" s="14">
        <f xml:space="preserve"> 1856</f>
        <v>1856</v>
      </c>
      <c r="C87" s="14">
        <f t="shared" si="2"/>
        <v>1864.6622753300712</v>
      </c>
      <c r="D87" s="14">
        <f t="shared" si="0"/>
        <v>0.65448922510307461</v>
      </c>
      <c r="E87" s="14">
        <f t="shared" si="3"/>
        <v>0.97065851140282455</v>
      </c>
      <c r="F87" s="14">
        <f t="shared" si="4"/>
        <v>1782.9052514934779</v>
      </c>
      <c r="G87" s="14">
        <f t="shared" si="1"/>
        <v>73.094748506522137</v>
      </c>
    </row>
    <row r="88" spans="1:7" ht="15" customHeight="1">
      <c r="A88" s="10">
        <v>46</v>
      </c>
      <c r="B88" s="14">
        <f xml:space="preserve"> 1800</f>
        <v>1800</v>
      </c>
      <c r="C88" s="14">
        <f t="shared" si="2"/>
        <v>1862.2694954329095</v>
      </c>
      <c r="D88" s="14">
        <f t="shared" si="0"/>
        <v>0.34976231287659265</v>
      </c>
      <c r="E88" s="14">
        <f t="shared" si="3"/>
        <v>0.9766756260429148</v>
      </c>
      <c r="F88" s="14">
        <f t="shared" si="4"/>
        <v>1829.8940084326346</v>
      </c>
      <c r="G88" s="14">
        <f t="shared" si="1"/>
        <v>-29.894008432634564</v>
      </c>
    </row>
    <row r="89" spans="1:7" ht="15" customHeight="1">
      <c r="A89" s="10">
        <v>47</v>
      </c>
      <c r="B89" s="14">
        <f xml:space="preserve"> 1892</f>
        <v>1892</v>
      </c>
      <c r="C89" s="14">
        <f t="shared" si="2"/>
        <v>1865.8880868335077</v>
      </c>
      <c r="D89" s="14">
        <f t="shared" si="0"/>
        <v>0.67664522164875684</v>
      </c>
      <c r="E89" s="14">
        <f t="shared" si="3"/>
        <v>1.0029767210585794</v>
      </c>
      <c r="F89" s="14">
        <f t="shared" si="4"/>
        <v>1859.368754277044</v>
      </c>
      <c r="G89" s="14">
        <f t="shared" si="1"/>
        <v>32.63124572295601</v>
      </c>
    </row>
    <row r="90" spans="1:7" ht="15" customHeight="1">
      <c r="A90" s="10">
        <v>48</v>
      </c>
      <c r="B90" s="14">
        <f xml:space="preserve"> 2616</f>
        <v>2616</v>
      </c>
      <c r="C90" s="14">
        <f t="shared" si="2"/>
        <v>1870.6792534766169</v>
      </c>
      <c r="D90" s="14">
        <f t="shared" si="0"/>
        <v>1.0880973637947948</v>
      </c>
      <c r="E90" s="14">
        <f t="shared" si="3"/>
        <v>1.379421107276136</v>
      </c>
      <c r="F90" s="14">
        <f t="shared" si="4"/>
        <v>2559.5784876019211</v>
      </c>
      <c r="G90" s="14">
        <f t="shared" si="1"/>
        <v>56.421512398078903</v>
      </c>
    </row>
    <row r="91" spans="1:7" ht="15" customHeight="1">
      <c r="A91" s="10">
        <v>49</v>
      </c>
      <c r="B91" s="14">
        <f xml:space="preserve"> 1690</f>
        <v>1690</v>
      </c>
      <c r="C91" s="14">
        <f t="shared" si="2"/>
        <v>1883.3248805734361</v>
      </c>
      <c r="D91" s="14">
        <f t="shared" si="0"/>
        <v>2.2438503370972382</v>
      </c>
      <c r="E91" s="14">
        <f t="shared" si="3"/>
        <v>0.86447200159557114</v>
      </c>
      <c r="F91" s="14">
        <f t="shared" si="4"/>
        <v>1591.7168716889817</v>
      </c>
      <c r="G91" s="14">
        <f t="shared" si="1"/>
        <v>98.283128311018345</v>
      </c>
    </row>
    <row r="92" spans="1:7" ht="15" customHeight="1">
      <c r="A92" s="10">
        <v>50</v>
      </c>
      <c r="B92" s="14">
        <f xml:space="preserve"> 1662</f>
        <v>1662</v>
      </c>
      <c r="C92" s="14">
        <f t="shared" si="2"/>
        <v>1897.5727014418633</v>
      </c>
      <c r="D92" s="14">
        <f t="shared" si="0"/>
        <v>3.4442473902302346</v>
      </c>
      <c r="E92" s="14">
        <f t="shared" si="3"/>
        <v>0.84283007888259909</v>
      </c>
      <c r="F92" s="14">
        <f t="shared" si="4"/>
        <v>1562.5259518122421</v>
      </c>
      <c r="G92" s="14">
        <f t="shared" si="1"/>
        <v>99.474048187757944</v>
      </c>
    </row>
    <row r="93" spans="1:7" ht="15" customHeight="1">
      <c r="A93" s="10">
        <v>51</v>
      </c>
      <c r="B93" s="14">
        <f xml:space="preserve"> 1849</f>
        <v>1849</v>
      </c>
      <c r="C93" s="14">
        <f t="shared" si="2"/>
        <v>1910.9804833196829</v>
      </c>
      <c r="D93" s="14">
        <f t="shared" si="0"/>
        <v>4.4406008389891731</v>
      </c>
      <c r="E93" s="14">
        <f t="shared" si="3"/>
        <v>0.93720884333143761</v>
      </c>
      <c r="F93" s="14">
        <f t="shared" si="4"/>
        <v>1756.9171561920502</v>
      </c>
      <c r="G93" s="14">
        <f t="shared" si="1"/>
        <v>92.082843807949757</v>
      </c>
    </row>
    <row r="94" spans="1:7" ht="15" customHeight="1">
      <c r="A94" s="10">
        <v>52</v>
      </c>
      <c r="B94" s="14">
        <f xml:space="preserve"> 1810</f>
        <v>1810</v>
      </c>
      <c r="C94" s="14">
        <f t="shared" si="2"/>
        <v>1917.9290902381726</v>
      </c>
      <c r="D94" s="14">
        <f t="shared" si="0"/>
        <v>4.6914014469392322</v>
      </c>
      <c r="E94" s="14">
        <f t="shared" si="3"/>
        <v>0.93604198935404237</v>
      </c>
      <c r="F94" s="14">
        <f t="shared" si="4"/>
        <v>1786.6066048675048</v>
      </c>
      <c r="G94" s="14">
        <f t="shared" si="1"/>
        <v>23.393395132495243</v>
      </c>
    </row>
    <row r="95" spans="1:7" ht="15" customHeight="1">
      <c r="A95" s="10">
        <v>53</v>
      </c>
      <c r="B95" s="14">
        <f xml:space="preserve"> 1970</f>
        <v>1970</v>
      </c>
      <c r="C95" s="14">
        <f t="shared" si="2"/>
        <v>1928.7676386255807</v>
      </c>
      <c r="D95" s="14">
        <f t="shared" si="0"/>
        <v>5.3061161409861173</v>
      </c>
      <c r="E95" s="14">
        <f t="shared" si="3"/>
        <v>1.0014415387721027</v>
      </c>
      <c r="F95" s="14">
        <f t="shared" si="4"/>
        <v>1908.9651300937085</v>
      </c>
      <c r="G95" s="14">
        <f t="shared" si="1"/>
        <v>61.034869906291533</v>
      </c>
    </row>
    <row r="96" spans="1:7" ht="15" customHeight="1">
      <c r="A96" s="10">
        <v>54</v>
      </c>
      <c r="B96" s="14">
        <f xml:space="preserve"> 1971</f>
        <v>1971</v>
      </c>
      <c r="C96" s="14">
        <f t="shared" si="2"/>
        <v>1938.1461014463771</v>
      </c>
      <c r="D96" s="14">
        <f t="shared" si="0"/>
        <v>5.7133508089671414</v>
      </c>
      <c r="E96" s="14">
        <f t="shared" si="3"/>
        <v>1.0037393705590265</v>
      </c>
      <c r="F96" s="14">
        <f t="shared" si="4"/>
        <v>1930.354837963838</v>
      </c>
      <c r="G96" s="14">
        <f t="shared" si="1"/>
        <v>40.645162036161992</v>
      </c>
    </row>
    <row r="97" spans="1:7" ht="15" customHeight="1">
      <c r="A97" s="10">
        <v>55</v>
      </c>
      <c r="B97" s="14">
        <f xml:space="preserve"> 2047</f>
        <v>2047</v>
      </c>
      <c r="C97" s="14">
        <f t="shared" si="2"/>
        <v>1945.0834837960087</v>
      </c>
      <c r="D97" s="14">
        <f t="shared" si="0"/>
        <v>5.8357539630335937</v>
      </c>
      <c r="E97" s="14">
        <f t="shared" si="3"/>
        <v>1.0482481952539076</v>
      </c>
      <c r="F97" s="14">
        <f t="shared" si="4"/>
        <v>2034.1908754084911</v>
      </c>
      <c r="G97" s="14">
        <f t="shared" si="1"/>
        <v>12.809124591508862</v>
      </c>
    </row>
    <row r="98" spans="1:7" ht="15" customHeight="1">
      <c r="A98" s="10">
        <v>56</v>
      </c>
      <c r="B98" s="14">
        <f xml:space="preserve"> 2075</f>
        <v>2075</v>
      </c>
      <c r="C98" s="14">
        <f t="shared" si="2"/>
        <v>1962.5660680327417</v>
      </c>
      <c r="D98" s="14">
        <f t="shared" si="0"/>
        <v>7.000436990403526</v>
      </c>
      <c r="E98" s="14">
        <f t="shared" si="3"/>
        <v>1.0197642887008349</v>
      </c>
      <c r="F98" s="14">
        <f t="shared" si="4"/>
        <v>1958.1028418981005</v>
      </c>
      <c r="G98" s="14">
        <f t="shared" si="1"/>
        <v>116.89715810189955</v>
      </c>
    </row>
    <row r="99" spans="1:7" ht="15" customHeight="1">
      <c r="A99" s="10">
        <v>57</v>
      </c>
      <c r="B99" s="14">
        <f xml:space="preserve"> 1791</f>
        <v>1791</v>
      </c>
      <c r="C99" s="14">
        <f t="shared" si="2"/>
        <v>1957.1237673913411</v>
      </c>
      <c r="D99" s="14">
        <f t="shared" si="0"/>
        <v>5.7561632272231122</v>
      </c>
      <c r="E99" s="14">
        <f t="shared" si="3"/>
        <v>0.95399648248596369</v>
      </c>
      <c r="F99" s="14">
        <f t="shared" si="4"/>
        <v>1911.77649187463</v>
      </c>
      <c r="G99" s="14">
        <f t="shared" si="1"/>
        <v>-120.77649187462998</v>
      </c>
    </row>
    <row r="100" spans="1:7" ht="15" customHeight="1">
      <c r="A100" s="10">
        <v>58</v>
      </c>
      <c r="B100" s="14">
        <f xml:space="preserve"> 1870</f>
        <v>1870</v>
      </c>
      <c r="C100" s="14">
        <f t="shared" si="2"/>
        <v>1958.0577579515982</v>
      </c>
      <c r="D100" s="14">
        <f t="shared" si="0"/>
        <v>5.2739459605265155</v>
      </c>
      <c r="E100" s="14">
        <f t="shared" si="3"/>
        <v>0.97018134061081795</v>
      </c>
      <c r="F100" s="14">
        <f t="shared" si="4"/>
        <v>1917.0969850839595</v>
      </c>
      <c r="G100" s="14">
        <f t="shared" si="1"/>
        <v>-47.096985083959453</v>
      </c>
    </row>
    <row r="101" spans="1:7" ht="15" customHeight="1">
      <c r="A101" s="10">
        <v>59</v>
      </c>
      <c r="B101" s="14">
        <f xml:space="preserve"> 2003</f>
        <v>2003</v>
      </c>
      <c r="C101" s="14">
        <f t="shared" si="2"/>
        <v>1966.7040658572919</v>
      </c>
      <c r="D101" s="14">
        <f t="shared" si="0"/>
        <v>5.611182155043231</v>
      </c>
      <c r="E101" s="14">
        <f t="shared" si="3"/>
        <v>1.0076202673748282</v>
      </c>
      <c r="F101" s="14">
        <f t="shared" si="4"/>
        <v>1969.1759947401365</v>
      </c>
      <c r="G101" s="14">
        <f t="shared" si="1"/>
        <v>33.824005259863497</v>
      </c>
    </row>
    <row r="102" spans="1:7" ht="15" customHeight="1">
      <c r="A102" s="10">
        <v>60</v>
      </c>
      <c r="B102" s="14">
        <f xml:space="preserve"> 2562</f>
        <v>2562</v>
      </c>
      <c r="C102" s="14">
        <f t="shared" si="2"/>
        <v>1960.8138085698095</v>
      </c>
      <c r="D102" s="14">
        <f t="shared" si="0"/>
        <v>4.4610382107906652</v>
      </c>
      <c r="E102" s="14">
        <f t="shared" si="3"/>
        <v>1.3575748787833066</v>
      </c>
      <c r="F102" s="14">
        <f t="shared" si="4"/>
        <v>2720.6532833107822</v>
      </c>
      <c r="G102" s="14">
        <f t="shared" si="1"/>
        <v>-158.65328331078217</v>
      </c>
    </row>
    <row r="103" spans="1:7" ht="15" customHeight="1">
      <c r="A103" s="10">
        <v>61</v>
      </c>
      <c r="B103" s="14">
        <f xml:space="preserve"> 1716</f>
        <v>1716</v>
      </c>
      <c r="C103" s="14">
        <f t="shared" si="2"/>
        <v>1967.2500315739342</v>
      </c>
      <c r="D103" s="14">
        <f t="shared" si="0"/>
        <v>4.6585566901240707</v>
      </c>
      <c r="E103" s="14">
        <f t="shared" si="3"/>
        <v>0.8668154903214097</v>
      </c>
      <c r="F103" s="14">
        <f t="shared" si="4"/>
        <v>1698.9250804818548</v>
      </c>
      <c r="G103" s="14">
        <f t="shared" si="1"/>
        <v>17.07491951814518</v>
      </c>
    </row>
    <row r="104" spans="1:7" ht="15" customHeight="1">
      <c r="A104" s="10">
        <v>62</v>
      </c>
      <c r="B104" s="14">
        <f xml:space="preserve"> 1629</f>
        <v>1629</v>
      </c>
      <c r="C104" s="14">
        <f t="shared" si="2"/>
        <v>1967.9951219768086</v>
      </c>
      <c r="D104" s="14">
        <f t="shared" si="0"/>
        <v>4.2672100613991075</v>
      </c>
      <c r="E104" s="14">
        <f t="shared" si="3"/>
        <v>0.83830484146232553</v>
      </c>
      <c r="F104" s="14">
        <f t="shared" si="4"/>
        <v>1661.9838709958708</v>
      </c>
      <c r="G104" s="14">
        <f t="shared" si="1"/>
        <v>-32.983870995870802</v>
      </c>
    </row>
    <row r="105" spans="1:7" ht="15" customHeight="1">
      <c r="A105" s="10">
        <v>63</v>
      </c>
      <c r="B105" s="14">
        <f xml:space="preserve"> 1862</f>
        <v>1862</v>
      </c>
      <c r="C105" s="14">
        <f t="shared" si="2"/>
        <v>1973.7111340998742</v>
      </c>
      <c r="D105" s="14">
        <f t="shared" si="0"/>
        <v>4.4120902675657607</v>
      </c>
      <c r="E105" s="14">
        <f t="shared" si="3"/>
        <v>0.93906632957581393</v>
      </c>
      <c r="F105" s="14">
        <f t="shared" si="4"/>
        <v>1848.4216989556924</v>
      </c>
      <c r="G105" s="14">
        <f t="shared" si="1"/>
        <v>13.578301044307636</v>
      </c>
    </row>
    <row r="106" spans="1:7" ht="15" customHeight="1">
      <c r="A106" s="10">
        <v>64</v>
      </c>
      <c r="B106" s="14">
        <f xml:space="preserve"> 1826</f>
        <v>1826</v>
      </c>
      <c r="C106" s="14">
        <f t="shared" si="2"/>
        <v>1975.3876207924336</v>
      </c>
      <c r="D106" s="14">
        <f t="shared" si="0"/>
        <v>4.1385299100651212</v>
      </c>
      <c r="E106" s="14">
        <f t="shared" si="3"/>
        <v>0.9325420547483998</v>
      </c>
      <c r="F106" s="14">
        <f t="shared" si="4"/>
        <v>1851.6063981243312</v>
      </c>
      <c r="G106" s="14">
        <f t="shared" si="1"/>
        <v>-25.606398124331236</v>
      </c>
    </row>
    <row r="107" spans="1:7" ht="15" customHeight="1">
      <c r="A107" s="10">
        <v>65</v>
      </c>
      <c r="B107" s="14">
        <f xml:space="preserve"> 2071</f>
        <v>2071</v>
      </c>
      <c r="C107" s="14">
        <f t="shared" si="2"/>
        <v>1988.3754226939054</v>
      </c>
      <c r="D107" s="14">
        <f t="shared" si="0"/>
        <v>5.0234571092057907</v>
      </c>
      <c r="E107" s="14">
        <f t="shared" si="3"/>
        <v>1.0134752205603326</v>
      </c>
      <c r="F107" s="14">
        <f t="shared" si="4"/>
        <v>1982.3797143991276</v>
      </c>
      <c r="G107" s="14">
        <f t="shared" si="1"/>
        <v>88.620285600872421</v>
      </c>
    </row>
    <row r="108" spans="1:7" ht="15" customHeight="1">
      <c r="A108" s="10">
        <v>66</v>
      </c>
      <c r="B108" s="14">
        <f xml:space="preserve"> 2012</f>
        <v>2012</v>
      </c>
      <c r="C108" s="14">
        <f t="shared" si="2"/>
        <v>1994.5094333432348</v>
      </c>
      <c r="D108" s="14">
        <f t="shared" si="0"/>
        <v>5.1345124632181527</v>
      </c>
      <c r="E108" s="14">
        <f t="shared" si="3"/>
        <v>1.0052483667012815</v>
      </c>
      <c r="F108" s="14">
        <f t="shared" si="4"/>
        <v>2000.8529368866434</v>
      </c>
      <c r="G108" s="14">
        <f t="shared" si="1"/>
        <v>11.14706311335658</v>
      </c>
    </row>
    <row r="109" spans="1:7" ht="15" customHeight="1">
      <c r="A109" s="10">
        <v>67</v>
      </c>
      <c r="B109" s="14">
        <f xml:space="preserve"> 2109</f>
        <v>2109</v>
      </c>
      <c r="C109" s="14">
        <f t="shared" si="2"/>
        <v>2000.8723612443507</v>
      </c>
      <c r="D109" s="14">
        <f t="shared" ref="D109:D172" si="5">$B$10*(C109-C108)+(1-$B$10)*D108</f>
        <v>5.2573540070079261</v>
      </c>
      <c r="E109" s="14">
        <f t="shared" si="3"/>
        <v>1.0499858110983751</v>
      </c>
      <c r="F109" s="14">
        <f t="shared" si="4"/>
        <v>2096.1231573420168</v>
      </c>
      <c r="G109" s="14">
        <f t="shared" ref="G109:G172" si="6">B109-F109</f>
        <v>12.876842657983161</v>
      </c>
    </row>
    <row r="110" spans="1:7" ht="15" customHeight="1">
      <c r="A110" s="10">
        <v>68</v>
      </c>
      <c r="B110" s="14">
        <f xml:space="preserve"> 2092</f>
        <v>2092</v>
      </c>
      <c r="C110" s="14">
        <f t="shared" si="2"/>
        <v>2010.6621899023364</v>
      </c>
      <c r="D110" s="14">
        <f t="shared" si="5"/>
        <v>5.7106014721057043</v>
      </c>
      <c r="E110" s="14">
        <f t="shared" si="3"/>
        <v>1.0259709755782462</v>
      </c>
      <c r="F110" s="14">
        <f t="shared" si="4"/>
        <v>2045.7794421149104</v>
      </c>
      <c r="G110" s="14">
        <f t="shared" si="6"/>
        <v>46.220557885089647</v>
      </c>
    </row>
    <row r="111" spans="1:7" ht="15" customHeight="1">
      <c r="A111" s="10">
        <v>69</v>
      </c>
      <c r="B111" s="14">
        <f xml:space="preserve"> 1904</f>
        <v>1904</v>
      </c>
      <c r="C111" s="14">
        <f t="shared" si="2"/>
        <v>2014.3169609063345</v>
      </c>
      <c r="D111" s="14">
        <f t="shared" si="5"/>
        <v>5.5050184252949466</v>
      </c>
      <c r="E111" s="14">
        <f t="shared" si="3"/>
        <v>0.95136760694268507</v>
      </c>
      <c r="F111" s="14">
        <f t="shared" si="4"/>
        <v>1923.6125503516216</v>
      </c>
      <c r="G111" s="14">
        <f t="shared" si="6"/>
        <v>-19.612550351621621</v>
      </c>
    </row>
    <row r="112" spans="1:7" ht="15" customHeight="1">
      <c r="A112" s="10">
        <v>70</v>
      </c>
      <c r="B112" s="14">
        <f xml:space="preserve"> 2063</f>
        <v>2063</v>
      </c>
      <c r="C112" s="14">
        <f t="shared" si="2"/>
        <v>2030.4804407932506</v>
      </c>
      <c r="D112" s="14">
        <f t="shared" si="5"/>
        <v>6.5708645714570615</v>
      </c>
      <c r="E112" s="14">
        <f t="shared" si="3"/>
        <v>0.98393164748362905</v>
      </c>
      <c r="F112" s="14">
        <f t="shared" si="4"/>
        <v>1959.5935957031561</v>
      </c>
      <c r="G112" s="14">
        <f t="shared" si="6"/>
        <v>103.4064042968439</v>
      </c>
    </row>
    <row r="113" spans="1:7" ht="15" customHeight="1">
      <c r="A113" s="10">
        <v>71</v>
      </c>
      <c r="B113" s="14">
        <f xml:space="preserve"> 2096</f>
        <v>2096</v>
      </c>
      <c r="C113" s="14">
        <f t="shared" si="2"/>
        <v>2041.3610458927849</v>
      </c>
      <c r="D113" s="14">
        <f t="shared" si="5"/>
        <v>7.0018386242647805</v>
      </c>
      <c r="E113" s="14">
        <f t="shared" si="3"/>
        <v>1.0133639701667847</v>
      </c>
      <c r="F113" s="14">
        <f t="shared" si="4"/>
        <v>2052.5741809678298</v>
      </c>
      <c r="G113" s="14">
        <f t="shared" si="6"/>
        <v>43.425819032170239</v>
      </c>
    </row>
    <row r="114" spans="1:7" ht="15" customHeight="1">
      <c r="A114" s="10">
        <v>72</v>
      </c>
      <c r="B114" s="14">
        <f xml:space="preserve"> 2842</f>
        <v>2842</v>
      </c>
      <c r="C114" s="14">
        <f t="shared" si="2"/>
        <v>2052.8704815788328</v>
      </c>
      <c r="D114" s="14">
        <f t="shared" si="5"/>
        <v>7.4525983304430969</v>
      </c>
      <c r="E114" s="14">
        <f t="shared" si="3"/>
        <v>1.3656233073578794</v>
      </c>
      <c r="F114" s="14">
        <f t="shared" si="4"/>
        <v>2780.8059946524581</v>
      </c>
      <c r="G114" s="14">
        <f t="shared" si="6"/>
        <v>61.194005347541861</v>
      </c>
    </row>
    <row r="115" spans="1:7" ht="15" customHeight="1">
      <c r="A115" s="10">
        <v>73</v>
      </c>
      <c r="B115" s="14">
        <f xml:space="preserve"> 1859</f>
        <v>1859</v>
      </c>
      <c r="C115" s="14">
        <f t="shared" si="2"/>
        <v>2068.7539443878081</v>
      </c>
      <c r="D115" s="14">
        <f t="shared" si="5"/>
        <v>8.2956847782963177</v>
      </c>
      <c r="E115" s="14">
        <f t="shared" si="3"/>
        <v>0.87635341079564877</v>
      </c>
      <c r="F115" s="14">
        <f t="shared" si="4"/>
        <v>1785.9199607320759</v>
      </c>
      <c r="G115" s="14">
        <f t="shared" si="6"/>
        <v>73.080039267924121</v>
      </c>
    </row>
    <row r="116" spans="1:7" ht="15" customHeight="1">
      <c r="A116" s="10">
        <v>74</v>
      </c>
      <c r="B116" s="14">
        <f xml:space="preserve"> 1780</f>
        <v>1780</v>
      </c>
      <c r="C116" s="14">
        <f t="shared" si="2"/>
        <v>2081.6779264147335</v>
      </c>
      <c r="D116" s="14">
        <f t="shared" si="5"/>
        <v>8.7585145031592244</v>
      </c>
      <c r="E116" s="14">
        <f t="shared" si="3"/>
        <v>0.84333722166074776</v>
      </c>
      <c r="F116" s="14">
        <f t="shared" si="4"/>
        <v>1741.2007600874731</v>
      </c>
      <c r="G116" s="14">
        <f t="shared" si="6"/>
        <v>38.7992399125269</v>
      </c>
    </row>
    <row r="117" spans="1:7" ht="15" customHeight="1">
      <c r="A117" s="10">
        <v>75</v>
      </c>
      <c r="B117" s="14">
        <f xml:space="preserve"> 1906</f>
        <v>1906</v>
      </c>
      <c r="C117" s="14">
        <f t="shared" si="2"/>
        <v>2084.3603551306337</v>
      </c>
      <c r="D117" s="14">
        <f t="shared" si="5"/>
        <v>8.1509059244333208</v>
      </c>
      <c r="E117" s="14">
        <f t="shared" si="3"/>
        <v>0.93167519472533655</v>
      </c>
      <c r="F117" s="14">
        <f t="shared" si="4"/>
        <v>1963.0584757842935</v>
      </c>
      <c r="G117" s="14">
        <f t="shared" si="6"/>
        <v>-57.058475784293478</v>
      </c>
    </row>
    <row r="118" spans="1:7" ht="15" customHeight="1">
      <c r="A118" s="10">
        <v>76</v>
      </c>
      <c r="B118" s="14">
        <f xml:space="preserve"> 1976</f>
        <v>1976</v>
      </c>
      <c r="C118" s="14">
        <f t="shared" si="2"/>
        <v>2095.1540640156468</v>
      </c>
      <c r="D118" s="14">
        <f t="shared" si="5"/>
        <v>8.4151862204912966</v>
      </c>
      <c r="E118" s="14">
        <f t="shared" si="3"/>
        <v>0.93571805853389844</v>
      </c>
      <c r="F118" s="14">
        <f t="shared" si="4"/>
        <v>1951.3547509684572</v>
      </c>
      <c r="G118" s="14">
        <f t="shared" si="6"/>
        <v>24.645249031542789</v>
      </c>
    </row>
    <row r="119" spans="1:7" ht="15" customHeight="1">
      <c r="A119" s="10">
        <v>77</v>
      </c>
      <c r="B119" s="14">
        <f xml:space="preserve"> 2153</f>
        <v>2153</v>
      </c>
      <c r="C119" s="14">
        <f t="shared" si="2"/>
        <v>2105.6496849350092</v>
      </c>
      <c r="D119" s="14">
        <f t="shared" si="5"/>
        <v>8.6232296903784089</v>
      </c>
      <c r="E119" s="14">
        <f t="shared" si="3"/>
        <v>1.0161788356877866</v>
      </c>
      <c r="F119" s="14">
        <f t="shared" si="4"/>
        <v>2131.9153098470033</v>
      </c>
      <c r="G119" s="14">
        <f t="shared" si="6"/>
        <v>21.0846901529967</v>
      </c>
    </row>
    <row r="120" spans="1:7" ht="15" customHeight="1">
      <c r="A120" s="10">
        <v>78</v>
      </c>
      <c r="B120" s="14">
        <f xml:space="preserve"> 2072</f>
        <v>2072</v>
      </c>
      <c r="C120" s="14">
        <f t="shared" ref="C120:C183" si="7">$B$9*B120/E108+(1-$B$9)*(C119+D119)</f>
        <v>2108.9638391813701</v>
      </c>
      <c r="D120" s="14">
        <f t="shared" si="5"/>
        <v>8.0923221459766559</v>
      </c>
      <c r="E120" s="14">
        <f t="shared" ref="E120:E183" si="8">$B$11*(B120/C120)+(1-$B$11)*E108</f>
        <v>0.99841575242737601</v>
      </c>
      <c r="F120" s="14">
        <f t="shared" ref="F120:F183" si="9">(C119+D119)*E108</f>
        <v>2125.3693941879292</v>
      </c>
      <c r="G120" s="14">
        <f t="shared" si="6"/>
        <v>-53.369394187929174</v>
      </c>
    </row>
    <row r="121" spans="1:7" ht="15" customHeight="1">
      <c r="A121" s="10">
        <v>79</v>
      </c>
      <c r="B121" s="14">
        <f xml:space="preserve"> 2222</f>
        <v>2222</v>
      </c>
      <c r="C121" s="14">
        <f t="shared" si="7"/>
        <v>2116.9724525112069</v>
      </c>
      <c r="D121" s="14">
        <f t="shared" si="5"/>
        <v>8.0839512643626765</v>
      </c>
      <c r="E121" s="14">
        <f t="shared" si="8"/>
        <v>1.0498737117242962</v>
      </c>
      <c r="F121" s="14">
        <f t="shared" si="9"/>
        <v>2222.8789306921067</v>
      </c>
      <c r="G121" s="14">
        <f t="shared" si="6"/>
        <v>-0.87893069210667818</v>
      </c>
    </row>
    <row r="122" spans="1:7" ht="15" customHeight="1">
      <c r="A122" s="10">
        <v>80</v>
      </c>
      <c r="B122" s="14">
        <f xml:space="preserve"> 2130</f>
        <v>2130</v>
      </c>
      <c r="C122" s="14">
        <f t="shared" si="7"/>
        <v>2120.1589755893483</v>
      </c>
      <c r="D122" s="14">
        <f t="shared" si="5"/>
        <v>7.594208445740545</v>
      </c>
      <c r="E122" s="14">
        <f t="shared" si="8"/>
        <v>1.0195721762777632</v>
      </c>
      <c r="F122" s="14">
        <f t="shared" si="9"/>
        <v>2180.2461917404207</v>
      </c>
      <c r="G122" s="14">
        <f t="shared" si="6"/>
        <v>-50.246191740420727</v>
      </c>
    </row>
    <row r="123" spans="1:7" ht="15" customHeight="1">
      <c r="A123" s="10">
        <v>81</v>
      </c>
      <c r="B123" s="14">
        <f xml:space="preserve"> 2041</f>
        <v>2041</v>
      </c>
      <c r="C123" s="14">
        <f t="shared" si="7"/>
        <v>2129.5111317534902</v>
      </c>
      <c r="D123" s="14">
        <f t="shared" si="5"/>
        <v>7.7700032175806797</v>
      </c>
      <c r="E123" s="14">
        <f t="shared" si="8"/>
        <v>0.9534881063946149</v>
      </c>
      <c r="F123" s="14">
        <f t="shared" si="9"/>
        <v>2024.2754548601411</v>
      </c>
      <c r="G123" s="14">
        <f t="shared" si="6"/>
        <v>16.724545139858947</v>
      </c>
    </row>
    <row r="124" spans="1:7" ht="15" customHeight="1">
      <c r="A124" s="10">
        <v>82</v>
      </c>
      <c r="B124" s="14">
        <f xml:space="preserve"> 2174</f>
        <v>2174</v>
      </c>
      <c r="C124" s="14">
        <f t="shared" si="7"/>
        <v>2144.5033289023236</v>
      </c>
      <c r="D124" s="14">
        <f t="shared" si="5"/>
        <v>8.4922226107059515</v>
      </c>
      <c r="E124" s="14">
        <f t="shared" si="8"/>
        <v>0.99287851723622755</v>
      </c>
      <c r="F124" s="14">
        <f t="shared" si="9"/>
        <v>2102.9385482677662</v>
      </c>
      <c r="G124" s="14">
        <f t="shared" si="6"/>
        <v>71.061451732233763</v>
      </c>
    </row>
    <row r="125" spans="1:7" ht="15" customHeight="1">
      <c r="A125" s="10">
        <v>83</v>
      </c>
      <c r="B125" s="14">
        <f xml:space="preserve"> 2166</f>
        <v>2166</v>
      </c>
      <c r="C125" s="14">
        <f t="shared" si="7"/>
        <v>2151.4395341000486</v>
      </c>
      <c r="D125" s="14">
        <f t="shared" si="5"/>
        <v>8.3366208694078594</v>
      </c>
      <c r="E125" s="14">
        <f t="shared" si="8"/>
        <v>1.0113851126217122</v>
      </c>
      <c r="F125" s="14">
        <f t="shared" si="9"/>
        <v>2181.76811983267</v>
      </c>
      <c r="G125" s="14">
        <f t="shared" si="6"/>
        <v>-15.768119832669981</v>
      </c>
    </row>
    <row r="126" spans="1:7" ht="15" customHeight="1">
      <c r="A126" s="10">
        <v>84</v>
      </c>
      <c r="B126" s="14">
        <f xml:space="preserve"> 3054</f>
        <v>3054</v>
      </c>
      <c r="C126" s="14">
        <f t="shared" si="7"/>
        <v>2167.4326839357218</v>
      </c>
      <c r="D126" s="14">
        <f t="shared" si="5"/>
        <v>9.1022737660343935</v>
      </c>
      <c r="E126" s="14">
        <f t="shared" si="8"/>
        <v>1.3786484052608865</v>
      </c>
      <c r="F126" s="14">
        <f t="shared" si="9"/>
        <v>2949.4406559020731</v>
      </c>
      <c r="G126" s="14">
        <f t="shared" si="6"/>
        <v>104.5593440979269</v>
      </c>
    </row>
    <row r="127" spans="1:7" ht="15" customHeight="1">
      <c r="A127" s="10">
        <v>85</v>
      </c>
      <c r="B127" s="14">
        <f xml:space="preserve"> 1877</f>
        <v>1877</v>
      </c>
      <c r="C127" s="14">
        <f t="shared" si="7"/>
        <v>2173.0644589824915</v>
      </c>
      <c r="D127" s="14">
        <f t="shared" si="5"/>
        <v>8.7552238941079228</v>
      </c>
      <c r="E127" s="14">
        <f t="shared" si="8"/>
        <v>0.8725745375466345</v>
      </c>
      <c r="F127" s="14">
        <f t="shared" si="9"/>
        <v>1907.4138338978973</v>
      </c>
      <c r="G127" s="14">
        <f t="shared" si="6"/>
        <v>-30.413833897897348</v>
      </c>
    </row>
    <row r="128" spans="1:7" ht="15" customHeight="1">
      <c r="A128" s="10">
        <v>86</v>
      </c>
      <c r="B128" s="14">
        <f xml:space="preserve"> 1818</f>
        <v>1818</v>
      </c>
      <c r="C128" s="14">
        <f t="shared" si="7"/>
        <v>2179.209843187733</v>
      </c>
      <c r="D128" s="14">
        <f t="shared" si="5"/>
        <v>8.4942399252212812</v>
      </c>
      <c r="E128" s="14">
        <f t="shared" si="8"/>
        <v>0.84061025510014509</v>
      </c>
      <c r="F128" s="14">
        <f t="shared" si="9"/>
        <v>1840.0097495218852</v>
      </c>
      <c r="G128" s="14">
        <f t="shared" si="6"/>
        <v>-22.009749521885169</v>
      </c>
    </row>
    <row r="129" spans="1:7" ht="15" customHeight="1">
      <c r="A129" s="10">
        <v>87</v>
      </c>
      <c r="B129" s="14">
        <f xml:space="preserve"> 1998</f>
        <v>1998</v>
      </c>
      <c r="C129" s="14">
        <f t="shared" si="7"/>
        <v>2183.3860946268987</v>
      </c>
      <c r="D129" s="14">
        <f t="shared" si="5"/>
        <v>8.0624410766157286</v>
      </c>
      <c r="E129" s="14">
        <f t="shared" si="8"/>
        <v>0.92670035335927547</v>
      </c>
      <c r="F129" s="14">
        <f t="shared" si="9"/>
        <v>2038.2296276356756</v>
      </c>
      <c r="G129" s="14">
        <f t="shared" si="6"/>
        <v>-40.22962763567557</v>
      </c>
    </row>
    <row r="130" spans="1:7" ht="15" customHeight="1">
      <c r="A130" s="10">
        <v>88</v>
      </c>
      <c r="B130" s="14">
        <f xml:space="preserve"> 2111</f>
        <v>2111</v>
      </c>
      <c r="C130" s="14">
        <f t="shared" si="7"/>
        <v>2197.9058259357053</v>
      </c>
      <c r="D130" s="14">
        <f t="shared" si="5"/>
        <v>8.7081700998348079</v>
      </c>
      <c r="E130" s="14">
        <f t="shared" si="8"/>
        <v>0.94314055504035532</v>
      </c>
      <c r="F130" s="14">
        <f t="shared" si="9"/>
        <v>2050.5779692054475</v>
      </c>
      <c r="G130" s="14">
        <f t="shared" si="6"/>
        <v>60.422030794552484</v>
      </c>
    </row>
    <row r="131" spans="1:7" ht="15" customHeight="1">
      <c r="A131" s="10">
        <v>89</v>
      </c>
      <c r="B131" s="14">
        <f xml:space="preserve"> 2224</f>
        <v>2224</v>
      </c>
      <c r="C131" s="14">
        <f t="shared" si="7"/>
        <v>2204.8117107821404</v>
      </c>
      <c r="D131" s="14">
        <f t="shared" si="5"/>
        <v>8.5279415744948395</v>
      </c>
      <c r="E131" s="14">
        <f t="shared" si="8"/>
        <v>1.0139360595233478</v>
      </c>
      <c r="F131" s="14">
        <f t="shared" si="9"/>
        <v>2242.3144413037689</v>
      </c>
      <c r="G131" s="14">
        <f t="shared" si="6"/>
        <v>-18.314441303768945</v>
      </c>
    </row>
    <row r="132" spans="1:7" ht="15" customHeight="1">
      <c r="A132" s="10">
        <v>90</v>
      </c>
      <c r="B132" s="14">
        <f xml:space="preserve"> 2159</f>
        <v>2159</v>
      </c>
      <c r="C132" s="14">
        <f t="shared" si="7"/>
        <v>2208.2482689062631</v>
      </c>
      <c r="D132" s="14">
        <f t="shared" si="5"/>
        <v>8.0188032294576264</v>
      </c>
      <c r="E132" s="14">
        <f t="shared" si="8"/>
        <v>0.9922004381091416</v>
      </c>
      <c r="F132" s="14">
        <f t="shared" si="9"/>
        <v>2209.8331743849967</v>
      </c>
      <c r="G132" s="14">
        <f t="shared" si="6"/>
        <v>-50.83317438499671</v>
      </c>
    </row>
    <row r="133" spans="1:7" ht="15" customHeight="1">
      <c r="A133" s="10">
        <v>91</v>
      </c>
      <c r="B133" s="14">
        <f xml:space="preserve"> 2353</f>
        <v>2353</v>
      </c>
      <c r="C133" s="14">
        <f t="shared" si="7"/>
        <v>2218.7625592130671</v>
      </c>
      <c r="D133" s="14">
        <f t="shared" si="5"/>
        <v>8.268351937192266</v>
      </c>
      <c r="E133" s="14">
        <f t="shared" si="8"/>
        <v>1.0530619099962792</v>
      </c>
      <c r="F133" s="14">
        <f t="shared" si="9"/>
        <v>2326.8005371954678</v>
      </c>
      <c r="G133" s="14">
        <f t="shared" si="6"/>
        <v>26.199462804532232</v>
      </c>
    </row>
    <row r="134" spans="1:7" ht="15" customHeight="1">
      <c r="A134" s="10">
        <v>92</v>
      </c>
      <c r="B134" s="14">
        <f xml:space="preserve"> 2153</f>
        <v>2153</v>
      </c>
      <c r="C134" s="14">
        <f t="shared" si="7"/>
        <v>2215.4948222439575</v>
      </c>
      <c r="D134" s="14">
        <f t="shared" si="5"/>
        <v>7.1147430465620802</v>
      </c>
      <c r="E134" s="14">
        <f t="shared" si="8"/>
        <v>1.0052381038550386</v>
      </c>
      <c r="F134" s="14">
        <f t="shared" si="9"/>
        <v>2270.6187527193197</v>
      </c>
      <c r="G134" s="14">
        <f t="shared" si="6"/>
        <v>-117.61875271931967</v>
      </c>
    </row>
    <row r="135" spans="1:7" ht="15" customHeight="1">
      <c r="A135" s="10">
        <v>93</v>
      </c>
      <c r="B135" s="14">
        <f xml:space="preserve"> 2139</f>
        <v>2139</v>
      </c>
      <c r="C135" s="14">
        <f t="shared" si="7"/>
        <v>2224.682817615746</v>
      </c>
      <c r="D135" s="14">
        <f t="shared" si="5"/>
        <v>7.3220682790847196</v>
      </c>
      <c r="E135" s="14">
        <f t="shared" si="8"/>
        <v>0.95588728789977795</v>
      </c>
      <c r="F135" s="14">
        <f t="shared" si="9"/>
        <v>2119.2317856634158</v>
      </c>
      <c r="G135" s="14">
        <f t="shared" si="6"/>
        <v>19.768214336584151</v>
      </c>
    </row>
    <row r="136" spans="1:7" ht="15" customHeight="1">
      <c r="A136" s="10">
        <v>94</v>
      </c>
      <c r="B136" s="14">
        <f xml:space="preserve"> 2232</f>
        <v>2232</v>
      </c>
      <c r="C136" s="14">
        <f t="shared" si="7"/>
        <v>2233.6053131528361</v>
      </c>
      <c r="D136" s="14">
        <f t="shared" si="5"/>
        <v>7.4821110048852546</v>
      </c>
      <c r="E136" s="14">
        <f t="shared" si="8"/>
        <v>0.99479934924289015</v>
      </c>
      <c r="F136" s="14">
        <f t="shared" si="9"/>
        <v>2216.1097015712749</v>
      </c>
      <c r="G136" s="14">
        <f t="shared" si="6"/>
        <v>15.890298428725146</v>
      </c>
    </row>
    <row r="137" spans="1:7" ht="15" customHeight="1">
      <c r="A137" s="10">
        <v>95</v>
      </c>
      <c r="B137" s="14">
        <f xml:space="preserve"> 2287</f>
        <v>2287</v>
      </c>
      <c r="C137" s="14">
        <f t="shared" si="7"/>
        <v>2243.1042170557566</v>
      </c>
      <c r="D137" s="14">
        <f t="shared" si="5"/>
        <v>7.6837902946887864</v>
      </c>
      <c r="E137" s="14">
        <f t="shared" si="8"/>
        <v>1.0138403425666127</v>
      </c>
      <c r="F137" s="14">
        <f t="shared" si="9"/>
        <v>2266.6024568768598</v>
      </c>
      <c r="G137" s="14">
        <f t="shared" si="6"/>
        <v>20.397543123140167</v>
      </c>
    </row>
    <row r="138" spans="1:7" ht="15" customHeight="1">
      <c r="A138" s="10">
        <v>96</v>
      </c>
      <c r="B138" s="14">
        <f xml:space="preserve"> 3284</f>
        <v>3284</v>
      </c>
      <c r="C138" s="14">
        <f t="shared" si="7"/>
        <v>2263.9135223400149</v>
      </c>
      <c r="D138" s="14">
        <f t="shared" si="5"/>
        <v>8.9963417936457333</v>
      </c>
      <c r="E138" s="14">
        <f t="shared" si="8"/>
        <v>1.4002295166200847</v>
      </c>
      <c r="F138" s="14">
        <f t="shared" si="9"/>
        <v>3103.0452969140197</v>
      </c>
      <c r="G138" s="14">
        <f t="shared" si="6"/>
        <v>180.95470308598033</v>
      </c>
    </row>
    <row r="139" spans="1:7" ht="15" customHeight="1">
      <c r="A139" s="10">
        <v>97</v>
      </c>
      <c r="B139" s="14">
        <f xml:space="preserve"> 1931</f>
        <v>1931</v>
      </c>
      <c r="C139" s="14">
        <f t="shared" si="7"/>
        <v>2266.9180237427395</v>
      </c>
      <c r="D139" s="14">
        <f t="shared" si="5"/>
        <v>8.3971577545536196</v>
      </c>
      <c r="E139" s="14">
        <f t="shared" si="8"/>
        <v>0.86634736756554753</v>
      </c>
      <c r="F139" s="14">
        <f t="shared" si="9"/>
        <v>1983.2832735816125</v>
      </c>
      <c r="G139" s="14">
        <f t="shared" si="6"/>
        <v>-52.283273581612548</v>
      </c>
    </row>
    <row r="140" spans="1:7" ht="15" customHeight="1">
      <c r="A140" s="10">
        <v>98</v>
      </c>
      <c r="B140" s="14">
        <f xml:space="preserve"> 1987</f>
        <v>1987</v>
      </c>
      <c r="C140" s="14">
        <f t="shared" si="7"/>
        <v>2284.1595566874898</v>
      </c>
      <c r="D140" s="14">
        <f t="shared" si="5"/>
        <v>9.2815952735732932</v>
      </c>
      <c r="E140" s="14">
        <f t="shared" si="8"/>
        <v>0.84939843964280426</v>
      </c>
      <c r="F140" s="14">
        <f t="shared" si="9"/>
        <v>1912.6532751516725</v>
      </c>
      <c r="G140" s="14">
        <f t="shared" si="6"/>
        <v>74.34672484832754</v>
      </c>
    </row>
    <row r="141" spans="1:7" ht="15" customHeight="1">
      <c r="A141" s="10">
        <v>99</v>
      </c>
      <c r="B141" s="14">
        <f xml:space="preserve"> 2203</f>
        <v>2203</v>
      </c>
      <c r="C141" s="14">
        <f t="shared" si="7"/>
        <v>2301.8222077993864</v>
      </c>
      <c r="D141" s="14">
        <f t="shared" si="5"/>
        <v>10.119700857405624</v>
      </c>
      <c r="E141" s="14">
        <f t="shared" si="8"/>
        <v>0.93581059824594393</v>
      </c>
      <c r="F141" s="14">
        <f t="shared" si="9"/>
        <v>2125.3327259310208</v>
      </c>
      <c r="G141" s="14">
        <f t="shared" si="6"/>
        <v>77.667274068979168</v>
      </c>
    </row>
    <row r="142" spans="1:7" ht="15" customHeight="1">
      <c r="A142" s="10">
        <v>100</v>
      </c>
      <c r="B142" s="14">
        <f xml:space="preserve"> 2144</f>
        <v>2144</v>
      </c>
      <c r="C142" s="14">
        <f t="shared" si="7"/>
        <v>2308.0733256808362</v>
      </c>
      <c r="D142" s="14">
        <f t="shared" si="5"/>
        <v>9.7328425598100381</v>
      </c>
      <c r="E142" s="14">
        <f t="shared" si="8"/>
        <v>0.93887237728043382</v>
      </c>
      <c r="F142" s="14">
        <f t="shared" si="9"/>
        <v>2180.4861749516253</v>
      </c>
      <c r="G142" s="14">
        <f t="shared" si="6"/>
        <v>-36.486174951625344</v>
      </c>
    </row>
    <row r="143" spans="1:7" ht="15" customHeight="1">
      <c r="A143" s="10">
        <v>101</v>
      </c>
      <c r="B143" s="14">
        <f xml:space="preserve"> 2371</f>
        <v>2371</v>
      </c>
      <c r="C143" s="14">
        <f t="shared" si="7"/>
        <v>2319.8667268763647</v>
      </c>
      <c r="D143" s="14">
        <f t="shared" si="5"/>
        <v>9.9388984233818878</v>
      </c>
      <c r="E143" s="14">
        <f t="shared" si="8"/>
        <v>1.0163676826998613</v>
      </c>
      <c r="F143" s="14">
        <f t="shared" si="9"/>
        <v>2350.1072529648309</v>
      </c>
      <c r="G143" s="14">
        <f t="shared" si="6"/>
        <v>20.892747035169123</v>
      </c>
    </row>
    <row r="144" spans="1:7" ht="15" customHeight="1">
      <c r="A144" s="10">
        <v>102</v>
      </c>
      <c r="B144" s="14">
        <f xml:space="preserve"> 2427</f>
        <v>2427</v>
      </c>
      <c r="C144" s="14">
        <f t="shared" si="7"/>
        <v>2341.4328967095744</v>
      </c>
      <c r="D144" s="14">
        <f t="shared" si="5"/>
        <v>11.101625564364664</v>
      </c>
      <c r="E144" s="14">
        <f t="shared" si="8"/>
        <v>1.0055037346794831</v>
      </c>
      <c r="F144" s="14">
        <f t="shared" si="9"/>
        <v>2311.6341621315514</v>
      </c>
      <c r="G144" s="14">
        <f t="shared" si="6"/>
        <v>115.36583786844858</v>
      </c>
    </row>
    <row r="145" spans="1:7" ht="15" customHeight="1">
      <c r="A145" s="10">
        <v>103</v>
      </c>
      <c r="B145" s="14">
        <f xml:space="preserve"> 2477</f>
        <v>2477</v>
      </c>
      <c r="C145" s="14">
        <f t="shared" si="7"/>
        <v>2352.4999091752675</v>
      </c>
      <c r="D145" s="14">
        <f t="shared" si="5"/>
        <v>11.098164254497508</v>
      </c>
      <c r="E145" s="14">
        <f t="shared" si="8"/>
        <v>1.053020076078977</v>
      </c>
      <c r="F145" s="14">
        <f t="shared" si="9"/>
        <v>2477.3644973579785</v>
      </c>
      <c r="G145" s="14">
        <f t="shared" si="6"/>
        <v>-0.36449735797850735</v>
      </c>
    </row>
    <row r="146" spans="1:7" ht="15" customHeight="1">
      <c r="A146" s="10">
        <v>104</v>
      </c>
      <c r="B146" s="14">
        <f xml:space="preserve"> 2435</f>
        <v>2435</v>
      </c>
      <c r="C146" s="14">
        <f t="shared" si="7"/>
        <v>2369.4694340719548</v>
      </c>
      <c r="D146" s="14">
        <f t="shared" si="5"/>
        <v>11.685300318716486</v>
      </c>
      <c r="E146" s="14">
        <f t="shared" si="8"/>
        <v>1.0119635384422767</v>
      </c>
      <c r="F146" s="14">
        <f t="shared" si="9"/>
        <v>2375.9788456099595</v>
      </c>
      <c r="G146" s="14">
        <f t="shared" si="6"/>
        <v>59.021154390040465</v>
      </c>
    </row>
    <row r="147" spans="1:7" ht="15" customHeight="1">
      <c r="A147" s="10">
        <v>105</v>
      </c>
      <c r="B147" s="14">
        <f xml:space="preserve"> 2371</f>
        <v>2371</v>
      </c>
      <c r="C147" s="14">
        <f t="shared" si="7"/>
        <v>2391.0810573028698</v>
      </c>
      <c r="D147" s="14">
        <f t="shared" si="5"/>
        <v>12.67793260993634</v>
      </c>
      <c r="E147" s="14">
        <f t="shared" si="8"/>
        <v>0.96660160635319148</v>
      </c>
      <c r="F147" s="14">
        <f t="shared" si="9"/>
        <v>2276.1155411264149</v>
      </c>
      <c r="G147" s="14">
        <f t="shared" si="6"/>
        <v>94.884458873585118</v>
      </c>
    </row>
    <row r="148" spans="1:7" ht="15" customHeight="1">
      <c r="A148" s="10">
        <v>106</v>
      </c>
      <c r="B148" s="14">
        <f xml:space="preserve"> 2365</f>
        <v>2365</v>
      </c>
      <c r="C148" s="14">
        <f t="shared" si="7"/>
        <v>2401.1194748264734</v>
      </c>
      <c r="D148" s="14">
        <f t="shared" si="5"/>
        <v>12.413981101303065</v>
      </c>
      <c r="E148" s="14">
        <f t="shared" si="8"/>
        <v>0.9918467151162379</v>
      </c>
      <c r="F148" s="14">
        <f t="shared" si="9"/>
        <v>2391.2578789020063</v>
      </c>
      <c r="G148" s="14">
        <f t="shared" si="6"/>
        <v>-26.257878902006269</v>
      </c>
    </row>
    <row r="149" spans="1:7" ht="15" customHeight="1">
      <c r="A149" s="10">
        <v>107</v>
      </c>
      <c r="B149" s="14">
        <f xml:space="preserve"> 2562</f>
        <v>2562</v>
      </c>
      <c r="C149" s="14">
        <f t="shared" si="7"/>
        <v>2424.8826210196794</v>
      </c>
      <c r="D149" s="14">
        <f t="shared" si="5"/>
        <v>13.548897610493359</v>
      </c>
      <c r="E149" s="14">
        <f t="shared" si="8"/>
        <v>1.0266520356263826</v>
      </c>
      <c r="F149" s="14">
        <f t="shared" si="9"/>
        <v>2446.9375857537975</v>
      </c>
      <c r="G149" s="14">
        <f t="shared" si="6"/>
        <v>115.06241424620248</v>
      </c>
    </row>
    <row r="150" spans="1:7" ht="15" customHeight="1">
      <c r="A150" s="10">
        <v>108</v>
      </c>
      <c r="B150" s="14">
        <f xml:space="preserve"> 3395</f>
        <v>3395</v>
      </c>
      <c r="C150" s="14">
        <f t="shared" si="7"/>
        <v>2437.0486177262233</v>
      </c>
      <c r="D150" s="14">
        <f t="shared" si="5"/>
        <v>13.410607520098409</v>
      </c>
      <c r="E150" s="14">
        <f t="shared" si="8"/>
        <v>1.3980842075952657</v>
      </c>
      <c r="F150" s="14">
        <f t="shared" si="9"/>
        <v>3414.3637866427057</v>
      </c>
      <c r="G150" s="14">
        <f t="shared" si="6"/>
        <v>-19.363786642705691</v>
      </c>
    </row>
    <row r="151" spans="1:7" ht="15" customHeight="1">
      <c r="A151" s="10">
        <v>109</v>
      </c>
      <c r="B151" s="14">
        <f xml:space="preserve"> 2121</f>
        <v>2121</v>
      </c>
      <c r="C151" s="14">
        <f t="shared" si="7"/>
        <v>2450.2342693923738</v>
      </c>
      <c r="D151" s="14">
        <f t="shared" si="5"/>
        <v>13.388111934703623</v>
      </c>
      <c r="E151" s="14">
        <f t="shared" si="8"/>
        <v>0.8661326114629716</v>
      </c>
      <c r="F151" s="14">
        <f t="shared" si="9"/>
        <v>2122.9488991188618</v>
      </c>
      <c r="G151" s="14">
        <f t="shared" si="6"/>
        <v>-1.9488991188618456</v>
      </c>
    </row>
    <row r="152" spans="1:7" ht="15" customHeight="1">
      <c r="A152" s="10">
        <v>110</v>
      </c>
      <c r="B152" s="14">
        <f xml:space="preserve"> 2063</f>
        <v>2063</v>
      </c>
      <c r="C152" s="14">
        <f t="shared" si="7"/>
        <v>2460.1379145342312</v>
      </c>
      <c r="D152" s="14">
        <f t="shared" si="5"/>
        <v>13.039665255419001</v>
      </c>
      <c r="E152" s="14">
        <f t="shared" si="8"/>
        <v>0.84615016980954305</v>
      </c>
      <c r="F152" s="14">
        <f t="shared" si="9"/>
        <v>2092.5970065683096</v>
      </c>
      <c r="G152" s="14">
        <f t="shared" si="6"/>
        <v>-29.597006568309553</v>
      </c>
    </row>
    <row r="153" spans="1:7" ht="15" customHeight="1">
      <c r="A153" s="10">
        <v>111</v>
      </c>
      <c r="B153" s="14">
        <f xml:space="preserve"> 2340</f>
        <v>2340</v>
      </c>
      <c r="C153" s="14">
        <f t="shared" si="7"/>
        <v>2475.910420124706</v>
      </c>
      <c r="D153" s="14">
        <f t="shared" si="5"/>
        <v>13.31294928892458</v>
      </c>
      <c r="E153" s="14">
        <f t="shared" si="8"/>
        <v>0.93859948612564836</v>
      </c>
      <c r="F153" s="14">
        <f t="shared" si="9"/>
        <v>2314.4257905114082</v>
      </c>
      <c r="G153" s="14">
        <f t="shared" si="6"/>
        <v>25.574209488591805</v>
      </c>
    </row>
    <row r="154" spans="1:7" ht="15" customHeight="1">
      <c r="A154" s="10">
        <v>112</v>
      </c>
      <c r="B154" s="14">
        <f xml:space="preserve"> 2244</f>
        <v>2244</v>
      </c>
      <c r="C154" s="14">
        <f t="shared" si="7"/>
        <v>2479.3111529425323</v>
      </c>
      <c r="D154" s="14">
        <f t="shared" si="5"/>
        <v>12.321727641814755</v>
      </c>
      <c r="E154" s="14">
        <f t="shared" si="8"/>
        <v>0.92873769659523908</v>
      </c>
      <c r="F154" s="14">
        <f t="shared" si="9"/>
        <v>2337.0630624233872</v>
      </c>
      <c r="G154" s="14">
        <f t="shared" si="6"/>
        <v>-93.063062423387237</v>
      </c>
    </row>
    <row r="155" spans="1:7" ht="15" customHeight="1">
      <c r="A155" s="10">
        <v>113</v>
      </c>
      <c r="B155" s="14">
        <f xml:space="preserve"> 2484</f>
        <v>2484</v>
      </c>
      <c r="C155" s="14">
        <f t="shared" si="7"/>
        <v>2486.8693350877329</v>
      </c>
      <c r="D155" s="14">
        <f t="shared" si="5"/>
        <v>11.845373092153338</v>
      </c>
      <c r="E155" s="14">
        <f t="shared" si="8"/>
        <v>1.0111112396693802</v>
      </c>
      <c r="F155" s="14">
        <f t="shared" si="9"/>
        <v>2532.4151369782935</v>
      </c>
      <c r="G155" s="14">
        <f t="shared" si="6"/>
        <v>-48.415136978293503</v>
      </c>
    </row>
    <row r="156" spans="1:7" ht="15" customHeight="1">
      <c r="A156" s="10">
        <v>114</v>
      </c>
      <c r="B156" s="14">
        <f xml:space="preserve"> 2540</f>
        <v>2540</v>
      </c>
      <c r="C156" s="14">
        <f t="shared" si="7"/>
        <v>2501.4529405779335</v>
      </c>
      <c r="D156" s="14">
        <f t="shared" si="5"/>
        <v>12.119196331958067</v>
      </c>
      <c r="E156" s="14">
        <f t="shared" si="8"/>
        <v>1.0084755746515979</v>
      </c>
      <c r="F156" s="14">
        <f t="shared" si="9"/>
        <v>2512.4669709734303</v>
      </c>
      <c r="G156" s="14">
        <f t="shared" si="6"/>
        <v>27.533029026569693</v>
      </c>
    </row>
    <row r="157" spans="1:7" ht="15" customHeight="1">
      <c r="A157" s="10">
        <v>115</v>
      </c>
      <c r="B157" s="14">
        <f xml:space="preserve"> 2496</f>
        <v>2496</v>
      </c>
      <c r="C157" s="14">
        <f t="shared" si="7"/>
        <v>2499.2474410882764</v>
      </c>
      <c r="D157" s="14">
        <f t="shared" si="5"/>
        <v>10.686726749796552</v>
      </c>
      <c r="E157" s="14">
        <f t="shared" si="8"/>
        <v>1.0367242429826127</v>
      </c>
      <c r="F157" s="14">
        <f t="shared" si="9"/>
        <v>2646.8419228388507</v>
      </c>
      <c r="G157" s="14">
        <f t="shared" si="6"/>
        <v>-150.84192283885068</v>
      </c>
    </row>
    <row r="158" spans="1:7" ht="15" customHeight="1">
      <c r="A158" s="10">
        <v>116</v>
      </c>
      <c r="B158" s="14">
        <f xml:space="preserve"> 2532</f>
        <v>2532</v>
      </c>
      <c r="C158" s="14">
        <f t="shared" si="7"/>
        <v>2509.1473942597636</v>
      </c>
      <c r="D158" s="14">
        <f t="shared" si="5"/>
        <v>10.608049391965611</v>
      </c>
      <c r="E158" s="14">
        <f t="shared" si="8"/>
        <v>1.0111067921724415</v>
      </c>
      <c r="F158" s="14">
        <f t="shared" si="9"/>
        <v>2539.9618617425876</v>
      </c>
      <c r="G158" s="14">
        <f t="shared" si="6"/>
        <v>-7.9618617425876437</v>
      </c>
    </row>
    <row r="159" spans="1:7" ht="15" customHeight="1">
      <c r="A159" s="10">
        <v>117</v>
      </c>
      <c r="B159" s="14">
        <f xml:space="preserve"> 2329</f>
        <v>2329</v>
      </c>
      <c r="C159" s="14">
        <f t="shared" si="7"/>
        <v>2508.7271504283049</v>
      </c>
      <c r="D159" s="14">
        <f t="shared" si="5"/>
        <v>9.5052200696231779</v>
      </c>
      <c r="E159" s="14">
        <f t="shared" si="8"/>
        <v>0.95512889277138746</v>
      </c>
      <c r="F159" s="14">
        <f t="shared" si="9"/>
        <v>2435.5996594509602</v>
      </c>
      <c r="G159" s="14">
        <f t="shared" si="6"/>
        <v>-106.59965945096019</v>
      </c>
    </row>
    <row r="160" spans="1:7" ht="15" customHeight="1">
      <c r="A160" s="10">
        <v>118</v>
      </c>
      <c r="B160" s="14">
        <f xml:space="preserve"> 2423</f>
        <v>2423</v>
      </c>
      <c r="C160" s="14">
        <f t="shared" si="7"/>
        <v>2510.7009139291586</v>
      </c>
      <c r="D160" s="14">
        <f t="shared" si="5"/>
        <v>8.7520744127462287</v>
      </c>
      <c r="E160" s="14">
        <f t="shared" si="8"/>
        <v>0.9838134459506056</v>
      </c>
      <c r="F160" s="14">
        <f t="shared" si="9"/>
        <v>2497.7005045777469</v>
      </c>
      <c r="G160" s="14">
        <f t="shared" si="6"/>
        <v>-74.700504577746869</v>
      </c>
    </row>
    <row r="161" spans="1:7" ht="15" customHeight="1">
      <c r="A161" s="10">
        <v>119</v>
      </c>
      <c r="B161" s="14">
        <f xml:space="preserve"> 2652</f>
        <v>2652</v>
      </c>
      <c r="C161" s="14">
        <f t="shared" si="7"/>
        <v>2525.8230590751609</v>
      </c>
      <c r="D161" s="14">
        <f t="shared" si="5"/>
        <v>9.3890814860718432</v>
      </c>
      <c r="E161" s="14">
        <f t="shared" si="8"/>
        <v>1.0336428596142648</v>
      </c>
      <c r="F161" s="14">
        <f t="shared" si="9"/>
        <v>2586.6015391461897</v>
      </c>
      <c r="G161" s="14">
        <f t="shared" si="6"/>
        <v>65.39846085381032</v>
      </c>
    </row>
    <row r="162" spans="1:7" ht="15" customHeight="1">
      <c r="A162" s="10">
        <v>120</v>
      </c>
      <c r="B162" s="14">
        <f xml:space="preserve"> 3559</f>
        <v>3559</v>
      </c>
      <c r="C162" s="14">
        <f t="shared" si="7"/>
        <v>2536.2535616214559</v>
      </c>
      <c r="D162" s="14">
        <f t="shared" si="5"/>
        <v>9.4932235920941554</v>
      </c>
      <c r="E162" s="14">
        <f t="shared" si="8"/>
        <v>1.3996342043193415</v>
      </c>
      <c r="F162" s="14">
        <f t="shared" si="9"/>
        <v>3544.440056622449</v>
      </c>
      <c r="G162" s="14">
        <f t="shared" si="6"/>
        <v>14.559943377551008</v>
      </c>
    </row>
    <row r="163" spans="1:7" ht="15" customHeight="1">
      <c r="A163" s="10">
        <v>121</v>
      </c>
      <c r="B163" s="14">
        <f xml:space="preserve"> 2125</f>
        <v>2125</v>
      </c>
      <c r="C163" s="14">
        <f t="shared" si="7"/>
        <v>2536.515599348671</v>
      </c>
      <c r="D163" s="14">
        <f t="shared" si="5"/>
        <v>8.5701050056062513</v>
      </c>
      <c r="E163" s="14">
        <f t="shared" si="8"/>
        <v>0.85762185598814944</v>
      </c>
      <c r="F163" s="14">
        <f t="shared" si="9"/>
        <v>2204.9543112004767</v>
      </c>
      <c r="G163" s="14">
        <f t="shared" si="6"/>
        <v>-79.954311200476695</v>
      </c>
    </row>
    <row r="164" spans="1:7" ht="15" customHeight="1">
      <c r="A164" s="10">
        <v>122</v>
      </c>
      <c r="B164" s="14">
        <f xml:space="preserve"> 2121</f>
        <v>2121</v>
      </c>
      <c r="C164" s="14">
        <f t="shared" si="7"/>
        <v>2541.2418593632005</v>
      </c>
      <c r="D164" s="14">
        <f t="shared" si="5"/>
        <v>8.1857205064985816</v>
      </c>
      <c r="E164" s="14">
        <f t="shared" si="8"/>
        <v>0.84269450925687606</v>
      </c>
      <c r="F164" s="14">
        <f t="shared" si="9"/>
        <v>2153.5247009192121</v>
      </c>
      <c r="G164" s="14">
        <f t="shared" si="6"/>
        <v>-32.524700919212137</v>
      </c>
    </row>
    <row r="165" spans="1:7" ht="15" customHeight="1">
      <c r="A165" s="10">
        <v>123</v>
      </c>
      <c r="B165" s="14">
        <f xml:space="preserve"> 2379</f>
        <v>2379</v>
      </c>
      <c r="C165" s="14">
        <f t="shared" si="7"/>
        <v>2547.9475645292268</v>
      </c>
      <c r="D165" s="14">
        <f t="shared" si="5"/>
        <v>8.0377189724513531</v>
      </c>
      <c r="E165" s="14">
        <f t="shared" si="8"/>
        <v>0.93712744546245597</v>
      </c>
      <c r="F165" s="14">
        <f t="shared" si="9"/>
        <v>2392.8914163802547</v>
      </c>
      <c r="G165" s="14">
        <f t="shared" si="6"/>
        <v>-13.891416380254668</v>
      </c>
    </row>
    <row r="166" spans="1:7" ht="15" customHeight="1">
      <c r="A166" s="10">
        <v>124</v>
      </c>
      <c r="B166" s="14">
        <f xml:space="preserve"> 2312</f>
        <v>2312</v>
      </c>
      <c r="C166" s="14">
        <f t="shared" si="7"/>
        <v>2549.3267958622314</v>
      </c>
      <c r="D166" s="14">
        <f t="shared" si="5"/>
        <v>7.3718702085066736</v>
      </c>
      <c r="E166" s="14">
        <f t="shared" si="8"/>
        <v>0.92218821502058046</v>
      </c>
      <c r="F166" s="14">
        <f t="shared" si="9"/>
        <v>2373.8398847306776</v>
      </c>
      <c r="G166" s="14">
        <f t="shared" si="6"/>
        <v>-61.839884730677568</v>
      </c>
    </row>
    <row r="167" spans="1:7" ht="15" customHeight="1">
      <c r="A167" s="10">
        <v>125</v>
      </c>
      <c r="B167" s="14">
        <f xml:space="preserve"> 2583</f>
        <v>2583</v>
      </c>
      <c r="C167" s="14">
        <f t="shared" si="7"/>
        <v>2556.4903054444112</v>
      </c>
      <c r="D167" s="14">
        <f t="shared" si="5"/>
        <v>7.3510341458739878</v>
      </c>
      <c r="E167" s="14">
        <f t="shared" si="8"/>
        <v>1.0108887375222044</v>
      </c>
      <c r="F167" s="14">
        <f t="shared" si="9"/>
        <v>2585.1067577118347</v>
      </c>
      <c r="G167" s="14">
        <f t="shared" si="6"/>
        <v>-2.106757711834689</v>
      </c>
    </row>
    <row r="168" spans="1:7" ht="15" customHeight="1">
      <c r="A168" s="10">
        <v>126</v>
      </c>
      <c r="B168" s="14">
        <f xml:space="preserve"> 2500</f>
        <v>2500</v>
      </c>
      <c r="C168" s="14">
        <f t="shared" si="7"/>
        <v>2555.3561198775124</v>
      </c>
      <c r="D168" s="14">
        <f t="shared" si="5"/>
        <v>6.5025121745967045</v>
      </c>
      <c r="E168" s="14">
        <f t="shared" si="8"/>
        <v>0.99943406797072365</v>
      </c>
      <c r="F168" s="14">
        <f t="shared" si="9"/>
        <v>2585.5713682588353</v>
      </c>
      <c r="G168" s="14">
        <f t="shared" si="6"/>
        <v>-85.571368258835264</v>
      </c>
    </row>
    <row r="169" spans="1:7" ht="15" customHeight="1">
      <c r="A169" s="10">
        <v>127</v>
      </c>
      <c r="B169" s="14">
        <f xml:space="preserve"> 2582</f>
        <v>2582</v>
      </c>
      <c r="C169" s="14">
        <f t="shared" si="7"/>
        <v>2554.7264605568262</v>
      </c>
      <c r="D169" s="14">
        <f t="shared" si="5"/>
        <v>5.789295025068415</v>
      </c>
      <c r="E169" s="14">
        <f t="shared" si="8"/>
        <v>1.0289096855093338</v>
      </c>
      <c r="F169" s="14">
        <f t="shared" si="9"/>
        <v>2655.9409509426941</v>
      </c>
      <c r="G169" s="14">
        <f t="shared" si="6"/>
        <v>-73.940950942694144</v>
      </c>
    </row>
    <row r="170" spans="1:7" ht="15" customHeight="1">
      <c r="A170" s="10">
        <v>128</v>
      </c>
      <c r="B170" s="14">
        <f xml:space="preserve"> 2610</f>
        <v>2610</v>
      </c>
      <c r="C170" s="14">
        <f t="shared" si="7"/>
        <v>2562.5971507648283</v>
      </c>
      <c r="D170" s="14">
        <f t="shared" si="5"/>
        <v>5.9974345433617824</v>
      </c>
      <c r="E170" s="14">
        <f t="shared" si="8"/>
        <v>1.0133241459911191</v>
      </c>
      <c r="F170" s="14">
        <f t="shared" si="9"/>
        <v>2588.9548719334048</v>
      </c>
      <c r="G170" s="14">
        <f t="shared" si="6"/>
        <v>21.045128066595225</v>
      </c>
    </row>
    <row r="171" spans="1:7" ht="15" customHeight="1">
      <c r="A171" s="10">
        <v>129</v>
      </c>
      <c r="B171" s="14">
        <f xml:space="preserve"> 2310</f>
        <v>2310</v>
      </c>
      <c r="C171" s="14">
        <f t="shared" si="7"/>
        <v>2553.5873016495329</v>
      </c>
      <c r="D171" s="14">
        <f t="shared" si="5"/>
        <v>4.4967061774960735</v>
      </c>
      <c r="E171" s="14">
        <f t="shared" si="8"/>
        <v>0.93997315340000265</v>
      </c>
      <c r="F171" s="14">
        <f t="shared" si="9"/>
        <v>2453.3389022439924</v>
      </c>
      <c r="G171" s="14">
        <f t="shared" si="6"/>
        <v>-143.33890224399238</v>
      </c>
    </row>
    <row r="172" spans="1:7" ht="15" customHeight="1">
      <c r="A172" s="10">
        <v>130</v>
      </c>
      <c r="B172" s="14">
        <f xml:space="preserve"> 2415</f>
        <v>2415</v>
      </c>
      <c r="C172" s="14">
        <f t="shared" si="7"/>
        <v>2547.7489749821384</v>
      </c>
      <c r="D172" s="14">
        <f t="shared" si="5"/>
        <v>3.4632028930070122</v>
      </c>
      <c r="E172" s="14">
        <f t="shared" si="8"/>
        <v>0.97303808706797357</v>
      </c>
      <c r="F172" s="14">
        <f t="shared" si="9"/>
        <v>2516.6774427714454</v>
      </c>
      <c r="G172" s="14">
        <f t="shared" si="6"/>
        <v>-101.67744277144539</v>
      </c>
    </row>
    <row r="173" spans="1:7" ht="15" customHeight="1">
      <c r="A173" s="10">
        <v>131</v>
      </c>
      <c r="B173" s="14">
        <f xml:space="preserve"> 2617</f>
        <v>2617</v>
      </c>
      <c r="C173" s="14">
        <f t="shared" si="7"/>
        <v>2549.2731860042895</v>
      </c>
      <c r="D173" s="14">
        <f t="shared" ref="D173:D236" si="10">$B$10*(C173-C172)+(1-$B$10)*D172</f>
        <v>3.2693037059214234</v>
      </c>
      <c r="E173" s="14">
        <f t="shared" si="8"/>
        <v>1.0315201338877551</v>
      </c>
      <c r="F173" s="14">
        <f t="shared" si="9"/>
        <v>2637.0422510216017</v>
      </c>
      <c r="G173" s="14">
        <f t="shared" ref="G173:G236" si="11">B173-F173</f>
        <v>-20.042251021601714</v>
      </c>
    </row>
    <row r="174" spans="1:7" ht="15" customHeight="1">
      <c r="A174" s="10">
        <v>132</v>
      </c>
      <c r="B174" s="14">
        <f xml:space="preserve"> 3507</f>
        <v>3507</v>
      </c>
      <c r="C174" s="14">
        <f t="shared" si="7"/>
        <v>2547.8537091435219</v>
      </c>
      <c r="D174" s="14">
        <f t="shared" si="10"/>
        <v>2.8004256492525168</v>
      </c>
      <c r="E174" s="14">
        <f t="shared" si="8"/>
        <v>1.3926797392289147</v>
      </c>
      <c r="F174" s="14">
        <f t="shared" si="9"/>
        <v>3572.6257765768623</v>
      </c>
      <c r="G174" s="14">
        <f t="shared" si="11"/>
        <v>-65.625776576862336</v>
      </c>
    </row>
    <row r="175" spans="1:7" ht="15" customHeight="1">
      <c r="A175" s="10">
        <v>133</v>
      </c>
      <c r="B175" s="14">
        <f xml:space="preserve"> 2134</f>
        <v>2134</v>
      </c>
      <c r="C175" s="14">
        <f t="shared" si="7"/>
        <v>2544.4163351505081</v>
      </c>
      <c r="D175" s="14">
        <f t="shared" si="10"/>
        <v>2.1766456850258842</v>
      </c>
      <c r="E175" s="14">
        <f t="shared" si="8"/>
        <v>0.85194506570506512</v>
      </c>
      <c r="F175" s="14">
        <f t="shared" si="9"/>
        <v>2187.4967330648269</v>
      </c>
      <c r="G175" s="14">
        <f t="shared" si="11"/>
        <v>-53.496733064826913</v>
      </c>
    </row>
    <row r="176" spans="1:7" ht="15" customHeight="1">
      <c r="A176" s="10">
        <v>134</v>
      </c>
      <c r="B176" s="14">
        <f xml:space="preserve"> 2059</f>
        <v>2059</v>
      </c>
      <c r="C176" s="14">
        <f t="shared" si="7"/>
        <v>2536.2689640884773</v>
      </c>
      <c r="D176" s="14">
        <f t="shared" si="10"/>
        <v>1.1442440103202214</v>
      </c>
      <c r="E176" s="14">
        <f t="shared" si="8"/>
        <v>0.83343288151021566</v>
      </c>
      <c r="F176" s="14">
        <f t="shared" si="9"/>
        <v>2145.9999222622055</v>
      </c>
      <c r="G176" s="14">
        <f t="shared" si="11"/>
        <v>-86.999922262205473</v>
      </c>
    </row>
    <row r="177" spans="1:7" ht="15" customHeight="1">
      <c r="A177" s="10">
        <v>135</v>
      </c>
      <c r="B177" s="14">
        <f xml:space="preserve"> 2289</f>
        <v>2289</v>
      </c>
      <c r="C177" s="14">
        <f t="shared" si="7"/>
        <v>2527.9289529722751</v>
      </c>
      <c r="D177" s="14">
        <f t="shared" si="10"/>
        <v>0.19581849766797155</v>
      </c>
      <c r="E177" s="14">
        <f t="shared" si="8"/>
        <v>0.92763450438330453</v>
      </c>
      <c r="F177" s="14">
        <f t="shared" si="9"/>
        <v>2377.8795577883211</v>
      </c>
      <c r="G177" s="14">
        <f t="shared" si="11"/>
        <v>-88.879557788321108</v>
      </c>
    </row>
    <row r="178" spans="1:7" ht="15" customHeight="1">
      <c r="A178" s="10">
        <v>136</v>
      </c>
      <c r="B178" s="14">
        <f xml:space="preserve"> 2348</f>
        <v>2348</v>
      </c>
      <c r="C178" s="14">
        <f t="shared" si="7"/>
        <v>2529.9240928425816</v>
      </c>
      <c r="D178" s="14">
        <f t="shared" si="10"/>
        <v>0.3757506349318247</v>
      </c>
      <c r="E178" s="14">
        <f t="shared" si="8"/>
        <v>0.92395907645387654</v>
      </c>
      <c r="F178" s="14">
        <f t="shared" si="9"/>
        <v>2331.4068703511798</v>
      </c>
      <c r="G178" s="14">
        <f t="shared" si="11"/>
        <v>16.593129648820195</v>
      </c>
    </row>
    <row r="179" spans="1:7" ht="15" customHeight="1">
      <c r="A179" s="10">
        <v>137</v>
      </c>
      <c r="B179" s="14">
        <f xml:space="preserve"> 2593</f>
        <v>2593</v>
      </c>
      <c r="C179" s="14">
        <f t="shared" si="7"/>
        <v>2533.7768221369588</v>
      </c>
      <c r="D179" s="14">
        <f t="shared" si="10"/>
        <v>0.72344850087636636</v>
      </c>
      <c r="E179" s="14">
        <f t="shared" si="8"/>
        <v>1.0146341597903268</v>
      </c>
      <c r="F179" s="14">
        <f t="shared" si="9"/>
        <v>2557.8516143256152</v>
      </c>
      <c r="G179" s="14">
        <f t="shared" si="11"/>
        <v>35.148385674384826</v>
      </c>
    </row>
    <row r="180" spans="1:7" ht="15" customHeight="1">
      <c r="A180" s="10">
        <v>138</v>
      </c>
      <c r="B180" s="14">
        <f xml:space="preserve"> 2450</f>
        <v>2450</v>
      </c>
      <c r="C180" s="14">
        <f t="shared" si="7"/>
        <v>2526.1889754340273</v>
      </c>
      <c r="D180" s="14">
        <f t="shared" si="10"/>
        <v>-0.1076810195044231</v>
      </c>
      <c r="E180" s="14">
        <f t="shared" si="8"/>
        <v>0.99055595256750295</v>
      </c>
      <c r="F180" s="14">
        <f t="shared" si="9"/>
        <v>2533.0659157564714</v>
      </c>
      <c r="G180" s="14">
        <f t="shared" si="11"/>
        <v>-83.065915756471441</v>
      </c>
    </row>
    <row r="181" spans="1:7" ht="15" customHeight="1">
      <c r="A181" s="10">
        <v>139</v>
      </c>
      <c r="B181" s="14">
        <f xml:space="preserve"> 2629</f>
        <v>2629</v>
      </c>
      <c r="C181" s="14">
        <f t="shared" si="7"/>
        <v>2528.9863588933499</v>
      </c>
      <c r="D181" s="14">
        <f t="shared" si="10"/>
        <v>0.18282542837828381</v>
      </c>
      <c r="E181" s="14">
        <f t="shared" si="8"/>
        <v>1.0321008582160249</v>
      </c>
      <c r="F181" s="14">
        <f t="shared" si="9"/>
        <v>2599.1095102070576</v>
      </c>
      <c r="G181" s="14">
        <f t="shared" si="11"/>
        <v>29.89048979294239</v>
      </c>
    </row>
    <row r="182" spans="1:7" ht="15" customHeight="1">
      <c r="A182" s="10">
        <v>140</v>
      </c>
      <c r="B182" s="14">
        <f xml:space="preserve"> 2678</f>
        <v>2678</v>
      </c>
      <c r="C182" s="14">
        <f t="shared" si="7"/>
        <v>2540.5309777503771</v>
      </c>
      <c r="D182" s="14">
        <f t="shared" si="10"/>
        <v>1.3190047712431772</v>
      </c>
      <c r="E182" s="14">
        <f t="shared" si="8"/>
        <v>1.0255600074131519</v>
      </c>
      <c r="F182" s="14">
        <f t="shared" si="9"/>
        <v>2562.8682037698704</v>
      </c>
      <c r="G182" s="14">
        <f t="shared" si="11"/>
        <v>115.13179623012957</v>
      </c>
    </row>
    <row r="183" spans="1:7" ht="15" customHeight="1">
      <c r="A183" s="10">
        <v>141</v>
      </c>
      <c r="B183" s="14">
        <f xml:space="preserve"> 2478</f>
        <v>2478</v>
      </c>
      <c r="C183" s="14">
        <f t="shared" si="7"/>
        <v>2551.2895347193044</v>
      </c>
      <c r="D183" s="14">
        <f t="shared" si="10"/>
        <v>2.2629599910115816</v>
      </c>
      <c r="E183" s="14">
        <f t="shared" si="8"/>
        <v>0.94936326726909614</v>
      </c>
      <c r="F183" s="14">
        <f t="shared" si="9"/>
        <v>2389.2707435405891</v>
      </c>
      <c r="G183" s="14">
        <f t="shared" si="11"/>
        <v>88.729256459410863</v>
      </c>
    </row>
    <row r="184" spans="1:7" ht="15" customHeight="1">
      <c r="A184" s="10">
        <v>142</v>
      </c>
      <c r="B184" s="14">
        <f xml:space="preserve"> 2659</f>
        <v>2659</v>
      </c>
      <c r="C184" s="14">
        <f t="shared" ref="C184:C247" si="12">$B$9*B184/E172+(1-$B$9)*(C183+D183)</f>
        <v>2571.4650684970857</v>
      </c>
      <c r="D184" s="14">
        <f t="shared" si="10"/>
        <v>4.0542173696885548</v>
      </c>
      <c r="E184" s="14">
        <f t="shared" ref="E184:E247" si="13">$B$11*(B184/C184)+(1-$B$11)*E172</f>
        <v>0.99133892467715357</v>
      </c>
      <c r="F184" s="14">
        <f t="shared" ref="F184:F247" si="14">(C183+D183)*E172</f>
        <v>2484.7038346805775</v>
      </c>
      <c r="G184" s="14">
        <f t="shared" si="11"/>
        <v>174.29616531942247</v>
      </c>
    </row>
    <row r="185" spans="1:7" ht="15" customHeight="1">
      <c r="A185" s="10">
        <v>143</v>
      </c>
      <c r="B185" s="14">
        <f xml:space="preserve"> 2678</f>
        <v>2678</v>
      </c>
      <c r="C185" s="14">
        <f t="shared" si="12"/>
        <v>2577.5841996491095</v>
      </c>
      <c r="D185" s="14">
        <f t="shared" si="10"/>
        <v>4.2607087479220782</v>
      </c>
      <c r="E185" s="14">
        <f t="shared" si="13"/>
        <v>1.033751292963792</v>
      </c>
      <c r="F185" s="14">
        <f t="shared" si="14"/>
        <v>2656.6999985877906</v>
      </c>
      <c r="G185" s="14">
        <f t="shared" si="11"/>
        <v>21.30000141220944</v>
      </c>
    </row>
    <row r="186" spans="1:7" ht="15" customHeight="1">
      <c r="A186" s="10">
        <v>144</v>
      </c>
      <c r="B186" s="14">
        <f xml:space="preserve"> 3681</f>
        <v>3681</v>
      </c>
      <c r="C186" s="14">
        <f t="shared" si="12"/>
        <v>2587.9710050035173</v>
      </c>
      <c r="D186" s="14">
        <f t="shared" si="10"/>
        <v>4.8733184085706602</v>
      </c>
      <c r="E186" s="14">
        <f t="shared" si="13"/>
        <v>1.4015807526642956</v>
      </c>
      <c r="F186" s="14">
        <f t="shared" si="14"/>
        <v>3595.6830937558789</v>
      </c>
      <c r="G186" s="14">
        <f t="shared" si="11"/>
        <v>85.316906244121128</v>
      </c>
    </row>
    <row r="187" spans="1:7" ht="15" customHeight="1">
      <c r="A187" s="10">
        <v>145</v>
      </c>
      <c r="B187" s="14">
        <f xml:space="preserve"> 2308</f>
        <v>2308</v>
      </c>
      <c r="C187" s="14">
        <f t="shared" si="12"/>
        <v>2604.469377246483</v>
      </c>
      <c r="D187" s="14">
        <f t="shared" si="10"/>
        <v>6.0358237920101558</v>
      </c>
      <c r="E187" s="14">
        <f t="shared" si="13"/>
        <v>0.86221224327915702</v>
      </c>
      <c r="F187" s="14">
        <f t="shared" si="14"/>
        <v>2208.9609274723166</v>
      </c>
      <c r="G187" s="14">
        <f t="shared" si="11"/>
        <v>99.039072527683402</v>
      </c>
    </row>
    <row r="188" spans="1:7" ht="15" customHeight="1">
      <c r="A188" s="10">
        <v>146</v>
      </c>
      <c r="B188" s="14">
        <f xml:space="preserve"> 2232</f>
        <v>2232</v>
      </c>
      <c r="C188" s="14">
        <f t="shared" si="12"/>
        <v>2617.2626891758741</v>
      </c>
      <c r="D188" s="14">
        <f t="shared" si="10"/>
        <v>6.7115726057482572</v>
      </c>
      <c r="E188" s="14">
        <f t="shared" si="13"/>
        <v>0.83924283121460719</v>
      </c>
      <c r="F188" s="14">
        <f t="shared" si="14"/>
        <v>2175.6808718989159</v>
      </c>
      <c r="G188" s="14">
        <f t="shared" si="11"/>
        <v>56.319128101084061</v>
      </c>
    </row>
    <row r="189" spans="1:7" ht="15" customHeight="1">
      <c r="A189" s="10">
        <v>147</v>
      </c>
      <c r="B189" s="14">
        <f xml:space="preserve"> 2411</f>
        <v>2411</v>
      </c>
      <c r="C189" s="14">
        <f t="shared" si="12"/>
        <v>2621.4852357985178</v>
      </c>
      <c r="D189" s="14">
        <f t="shared" si="10"/>
        <v>6.462670007437799</v>
      </c>
      <c r="E189" s="14">
        <f t="shared" si="13"/>
        <v>0.92525644512426253</v>
      </c>
      <c r="F189" s="14">
        <f t="shared" si="14"/>
        <v>2434.0890638423425</v>
      </c>
      <c r="G189" s="14">
        <f t="shared" si="11"/>
        <v>-23.089063842342512</v>
      </c>
    </row>
    <row r="190" spans="1:7" ht="15" customHeight="1">
      <c r="A190" s="10">
        <v>148</v>
      </c>
      <c r="B190" s="14">
        <f xml:space="preserve"> 2567</f>
        <v>2567</v>
      </c>
      <c r="C190" s="14">
        <f t="shared" si="12"/>
        <v>2642.97927283529</v>
      </c>
      <c r="D190" s="14">
        <f t="shared" si="10"/>
        <v>7.9658067103712362</v>
      </c>
      <c r="E190" s="14">
        <f t="shared" si="13"/>
        <v>0.93814707784333984</v>
      </c>
      <c r="F190" s="14">
        <f t="shared" si="14"/>
        <v>2428.1163200173696</v>
      </c>
      <c r="G190" s="14">
        <f t="shared" si="11"/>
        <v>138.88367998263038</v>
      </c>
    </row>
    <row r="191" spans="1:7" ht="15" customHeight="1">
      <c r="A191" s="10">
        <v>149</v>
      </c>
      <c r="B191" s="14">
        <f xml:space="preserve"> 2702</f>
        <v>2702</v>
      </c>
      <c r="C191" s="14">
        <f t="shared" si="12"/>
        <v>2652.153452676665</v>
      </c>
      <c r="D191" s="14">
        <f t="shared" si="10"/>
        <v>8.0866440234716137</v>
      </c>
      <c r="E191" s="14">
        <f t="shared" si="13"/>
        <v>1.0158823352943416</v>
      </c>
      <c r="F191" s="14">
        <f t="shared" si="14"/>
        <v>2689.7394334351134</v>
      </c>
      <c r="G191" s="14">
        <f t="shared" si="11"/>
        <v>12.260566564886631</v>
      </c>
    </row>
    <row r="192" spans="1:7" ht="15" customHeight="1">
      <c r="A192" s="10">
        <v>150</v>
      </c>
      <c r="B192" s="14">
        <f xml:space="preserve"> 2660</f>
        <v>2660</v>
      </c>
      <c r="C192" s="14">
        <f t="shared" si="12"/>
        <v>2662.7521543875832</v>
      </c>
      <c r="D192" s="14">
        <f t="shared" si="10"/>
        <v>8.3378497922162769</v>
      </c>
      <c r="E192" s="14">
        <f t="shared" si="13"/>
        <v>0.9930790942601162</v>
      </c>
      <c r="F192" s="14">
        <f t="shared" si="14"/>
        <v>2635.1166630450703</v>
      </c>
      <c r="G192" s="14">
        <f t="shared" si="11"/>
        <v>24.883336954929746</v>
      </c>
    </row>
    <row r="193" spans="1:7" ht="15" customHeight="1">
      <c r="A193" s="10">
        <v>151</v>
      </c>
      <c r="B193" s="14">
        <f xml:space="preserve"> 2886</f>
        <v>2886</v>
      </c>
      <c r="C193" s="14">
        <f t="shared" si="12"/>
        <v>2683.6048386831876</v>
      </c>
      <c r="D193" s="14">
        <f t="shared" si="10"/>
        <v>9.589333242555087</v>
      </c>
      <c r="E193" s="14">
        <f t="shared" si="13"/>
        <v>1.045096341888589</v>
      </c>
      <c r="F193" s="14">
        <f t="shared" si="14"/>
        <v>2756.8342856862168</v>
      </c>
      <c r="G193" s="14">
        <f t="shared" si="11"/>
        <v>129.16571431378316</v>
      </c>
    </row>
    <row r="194" spans="1:7" ht="15" customHeight="1">
      <c r="A194" s="10">
        <v>152</v>
      </c>
      <c r="B194" s="14">
        <f xml:space="preserve"> 2641</f>
        <v>2641</v>
      </c>
      <c r="C194" s="14">
        <f t="shared" si="12"/>
        <v>2681.3925967813971</v>
      </c>
      <c r="D194" s="14">
        <f t="shared" si="10"/>
        <v>8.4091757281205251</v>
      </c>
      <c r="E194" s="14">
        <f t="shared" si="13"/>
        <v>1.0133727941460473</v>
      </c>
      <c r="F194" s="14">
        <f t="shared" si="14"/>
        <v>2762.0322349252224</v>
      </c>
      <c r="G194" s="14">
        <f t="shared" si="11"/>
        <v>-121.03223492522238</v>
      </c>
    </row>
    <row r="195" spans="1:7" ht="15" customHeight="1">
      <c r="A195" s="10">
        <v>153</v>
      </c>
      <c r="B195" s="14">
        <f xml:space="preserve"> 2639</f>
        <v>2639</v>
      </c>
      <c r="C195" s="14">
        <f t="shared" si="12"/>
        <v>2698.7973808175807</v>
      </c>
      <c r="D195" s="14">
        <f t="shared" si="10"/>
        <v>9.3087365589268352</v>
      </c>
      <c r="E195" s="14">
        <f t="shared" si="13"/>
        <v>0.95790717294308836</v>
      </c>
      <c r="F195" s="14">
        <f t="shared" si="14"/>
        <v>2553.5989990558414</v>
      </c>
      <c r="G195" s="14">
        <f t="shared" si="11"/>
        <v>85.401000944158568</v>
      </c>
    </row>
    <row r="196" spans="1:7" ht="15" customHeight="1">
      <c r="A196" s="10">
        <v>154</v>
      </c>
      <c r="B196" s="14">
        <f xml:space="preserve"> 2753</f>
        <v>2753</v>
      </c>
      <c r="C196" s="14">
        <f t="shared" si="12"/>
        <v>2715.0007315177418</v>
      </c>
      <c r="D196" s="14">
        <f t="shared" si="10"/>
        <v>9.9981979730502601</v>
      </c>
      <c r="E196" s="14">
        <f t="shared" si="13"/>
        <v>0.99813606033963209</v>
      </c>
      <c r="F196" s="14">
        <f t="shared" si="14"/>
        <v>2684.6510063116484</v>
      </c>
      <c r="G196" s="14">
        <f t="shared" si="11"/>
        <v>68.348993688351584</v>
      </c>
    </row>
    <row r="197" spans="1:7" ht="15" customHeight="1">
      <c r="A197" s="10">
        <v>155</v>
      </c>
      <c r="B197" s="14">
        <f xml:space="preserve"> 2792</f>
        <v>2792</v>
      </c>
      <c r="C197" s="14">
        <f t="shared" si="12"/>
        <v>2722.5833420225081</v>
      </c>
      <c r="D197" s="14">
        <f t="shared" si="10"/>
        <v>9.7566392262218642</v>
      </c>
      <c r="E197" s="14">
        <f t="shared" si="13"/>
        <v>1.0312748894314665</v>
      </c>
      <c r="F197" s="14">
        <f t="shared" si="14"/>
        <v>2816.9711666860553</v>
      </c>
      <c r="G197" s="14">
        <f t="shared" si="11"/>
        <v>-24.971166686055312</v>
      </c>
    </row>
    <row r="198" spans="1:7" ht="15" customHeight="1">
      <c r="A198" s="10">
        <v>156</v>
      </c>
      <c r="B198" s="14">
        <f xml:space="preserve"> 3843</f>
        <v>3843</v>
      </c>
      <c r="C198" s="14">
        <f t="shared" si="12"/>
        <v>2733.2963922526042</v>
      </c>
      <c r="D198" s="14">
        <f t="shared" si="10"/>
        <v>9.8522803266092875</v>
      </c>
      <c r="E198" s="14">
        <f t="shared" si="13"/>
        <v>1.4029049104094475</v>
      </c>
      <c r="F198" s="14">
        <f t="shared" si="14"/>
        <v>3829.5951274533422</v>
      </c>
      <c r="G198" s="14">
        <f t="shared" si="11"/>
        <v>13.404872546657771</v>
      </c>
    </row>
    <row r="199" spans="1:7" ht="15" customHeight="1">
      <c r="A199" s="10">
        <v>157</v>
      </c>
      <c r="B199" s="14">
        <f xml:space="preserve"> 2241</f>
        <v>2241</v>
      </c>
      <c r="C199" s="14">
        <f t="shared" si="12"/>
        <v>2728.7466072408115</v>
      </c>
      <c r="D199" s="14">
        <f t="shared" si="10"/>
        <v>8.4120737927690925</v>
      </c>
      <c r="E199" s="14">
        <f t="shared" si="13"/>
        <v>0.84992542266273174</v>
      </c>
      <c r="F199" s="14">
        <f t="shared" si="14"/>
        <v>2365.1763706327652</v>
      </c>
      <c r="G199" s="14">
        <f t="shared" si="11"/>
        <v>-124.17637063276516</v>
      </c>
    </row>
    <row r="200" spans="1:7" ht="15" customHeight="1">
      <c r="A200" s="10">
        <v>158</v>
      </c>
      <c r="B200" s="14">
        <f xml:space="preserve"> 2337</f>
        <v>2337</v>
      </c>
      <c r="C200" s="14">
        <f t="shared" si="12"/>
        <v>2741.9081048669727</v>
      </c>
      <c r="D200" s="14">
        <f t="shared" si="10"/>
        <v>8.8870161761083075</v>
      </c>
      <c r="E200" s="14">
        <f t="shared" si="13"/>
        <v>0.84316782918344724</v>
      </c>
      <c r="F200" s="14">
        <f t="shared" si="14"/>
        <v>2297.1408009542624</v>
      </c>
      <c r="G200" s="14">
        <f t="shared" si="11"/>
        <v>39.859199045737569</v>
      </c>
    </row>
    <row r="201" spans="1:7" ht="15" customHeight="1">
      <c r="A201" s="10">
        <v>159</v>
      </c>
      <c r="B201" s="14">
        <f xml:space="preserve"> 2553</f>
        <v>2553</v>
      </c>
      <c r="C201" s="14">
        <f t="shared" si="12"/>
        <v>2751.6391124661795</v>
      </c>
      <c r="D201" s="14">
        <f t="shared" si="10"/>
        <v>8.971415318418158</v>
      </c>
      <c r="E201" s="14">
        <f t="shared" si="13"/>
        <v>0.92602269857328723</v>
      </c>
      <c r="F201" s="14">
        <f t="shared" si="14"/>
        <v>2545.1909149614867</v>
      </c>
      <c r="G201" s="14">
        <f t="shared" si="11"/>
        <v>7.8090850385133308</v>
      </c>
    </row>
    <row r="202" spans="1:7" ht="15" customHeight="1">
      <c r="A202" s="10">
        <v>160</v>
      </c>
      <c r="B202" s="14">
        <f xml:space="preserve"> 2663</f>
        <v>2663</v>
      </c>
      <c r="C202" s="14">
        <f t="shared" si="12"/>
        <v>2768.4068853092049</v>
      </c>
      <c r="D202" s="14">
        <f t="shared" si="10"/>
        <v>9.7510510708788765</v>
      </c>
      <c r="E202" s="14">
        <f t="shared" si="13"/>
        <v>0.94528047690564221</v>
      </c>
      <c r="F202" s="14">
        <f t="shared" si="14"/>
        <v>2589.8586997046805</v>
      </c>
      <c r="G202" s="14">
        <f t="shared" si="11"/>
        <v>73.141300295319525</v>
      </c>
    </row>
    <row r="203" spans="1:7" ht="15" customHeight="1">
      <c r="A203" s="10">
        <v>161</v>
      </c>
      <c r="B203" s="14">
        <f xml:space="preserve"> 2734</f>
        <v>2734</v>
      </c>
      <c r="C203" s="14">
        <f t="shared" si="12"/>
        <v>2769.4677988356871</v>
      </c>
      <c r="D203" s="14">
        <f t="shared" si="10"/>
        <v>8.8820373164392059</v>
      </c>
      <c r="E203" s="14">
        <f t="shared" si="13"/>
        <v>1.0072756186857843</v>
      </c>
      <c r="F203" s="14">
        <f t="shared" si="14"/>
        <v>2822.2815722263085</v>
      </c>
      <c r="G203" s="14">
        <f t="shared" si="11"/>
        <v>-88.281572226308526</v>
      </c>
    </row>
    <row r="204" spans="1:7" ht="15" customHeight="1">
      <c r="A204" s="10">
        <v>162</v>
      </c>
      <c r="B204" s="14">
        <f xml:space="preserve"> 2808</f>
        <v>2808</v>
      </c>
      <c r="C204" s="14">
        <f t="shared" si="12"/>
        <v>2783.2717866250359</v>
      </c>
      <c r="D204" s="14">
        <f t="shared" si="10"/>
        <v>9.3742323637301723</v>
      </c>
      <c r="E204" s="14">
        <f t="shared" si="13"/>
        <v>0.99782074133210585</v>
      </c>
      <c r="F204" s="14">
        <f t="shared" si="14"/>
        <v>2759.1211388236957</v>
      </c>
      <c r="G204" s="14">
        <f t="shared" si="11"/>
        <v>48.878861176304326</v>
      </c>
    </row>
    <row r="205" spans="1:7" ht="15" customHeight="1">
      <c r="A205" s="10">
        <v>163</v>
      </c>
      <c r="B205" s="14">
        <f xml:space="preserve"> 2951</f>
        <v>2951</v>
      </c>
      <c r="C205" s="14">
        <f t="shared" si="12"/>
        <v>2795.7477293350612</v>
      </c>
      <c r="D205" s="14">
        <f t="shared" si="10"/>
        <v>9.6844033983596827</v>
      </c>
      <c r="E205" s="14">
        <f t="shared" si="13"/>
        <v>1.0482269113876694</v>
      </c>
      <c r="F205" s="14">
        <f t="shared" si="14"/>
        <v>2918.5841386348907</v>
      </c>
      <c r="G205" s="14">
        <f t="shared" si="11"/>
        <v>32.415861365109322</v>
      </c>
    </row>
    <row r="206" spans="1:7" ht="15" customHeight="1">
      <c r="A206" s="10">
        <v>164</v>
      </c>
      <c r="B206" s="14">
        <f xml:space="preserve"> 2819</f>
        <v>2819</v>
      </c>
      <c r="C206" s="14">
        <f t="shared" si="12"/>
        <v>2803.0688761635274</v>
      </c>
      <c r="D206" s="14">
        <f t="shared" si="10"/>
        <v>9.4480777413703372</v>
      </c>
      <c r="E206" s="14">
        <f t="shared" si="13"/>
        <v>1.0110659932602459</v>
      </c>
      <c r="F206" s="14">
        <f t="shared" si="14"/>
        <v>2842.9485991351717</v>
      </c>
      <c r="G206" s="14">
        <f t="shared" si="11"/>
        <v>-23.948599135171662</v>
      </c>
    </row>
    <row r="207" spans="1:7" ht="15" customHeight="1">
      <c r="A207" s="10">
        <v>165</v>
      </c>
      <c r="B207" s="14">
        <f xml:space="preserve"> 2813</f>
        <v>2813</v>
      </c>
      <c r="C207" s="14">
        <f t="shared" si="12"/>
        <v>2824.9262811537205</v>
      </c>
      <c r="D207" s="14">
        <f t="shared" si="10"/>
        <v>10.689010466252617</v>
      </c>
      <c r="E207" s="14">
        <f t="shared" si="13"/>
        <v>0.96926848027643031</v>
      </c>
      <c r="F207" s="14">
        <f t="shared" si="14"/>
        <v>2694.1301641695472</v>
      </c>
      <c r="G207" s="14">
        <f t="shared" si="11"/>
        <v>118.86983583045276</v>
      </c>
    </row>
    <row r="208" spans="1:7" ht="15" customHeight="1">
      <c r="A208" s="10">
        <v>166</v>
      </c>
      <c r="B208" s="14">
        <f xml:space="preserve"> 2832</f>
        <v>2832</v>
      </c>
      <c r="C208" s="14">
        <f t="shared" si="12"/>
        <v>2835.7826159207357</v>
      </c>
      <c r="D208" s="14">
        <f t="shared" si="10"/>
        <v>10.705742896328868</v>
      </c>
      <c r="E208" s="14">
        <f t="shared" si="13"/>
        <v>0.99829507588865418</v>
      </c>
      <c r="F208" s="14">
        <f t="shared" si="14"/>
        <v>2830.3298758163769</v>
      </c>
      <c r="G208" s="14">
        <f t="shared" si="11"/>
        <v>1.670124183623102</v>
      </c>
    </row>
    <row r="209" spans="1:7" ht="15" customHeight="1">
      <c r="A209" s="10">
        <v>167</v>
      </c>
      <c r="B209" s="14">
        <f xml:space="preserve"> 2968</f>
        <v>2968</v>
      </c>
      <c r="C209" s="14">
        <f t="shared" si="12"/>
        <v>2849.6386374504254</v>
      </c>
      <c r="D209" s="14">
        <f t="shared" si="10"/>
        <v>11.020770759664957</v>
      </c>
      <c r="E209" s="14">
        <f t="shared" si="13"/>
        <v>1.034353093333471</v>
      </c>
      <c r="F209" s="14">
        <f t="shared" si="14"/>
        <v>2935.511967507025</v>
      </c>
      <c r="G209" s="14">
        <f t="shared" si="11"/>
        <v>32.48803249297498</v>
      </c>
    </row>
    <row r="210" spans="1:7" ht="15" customHeight="1">
      <c r="A210" s="10">
        <v>168</v>
      </c>
      <c r="B210" s="14">
        <f xml:space="preserve"> 4186</f>
        <v>4186</v>
      </c>
      <c r="C210" s="14">
        <f t="shared" si="12"/>
        <v>2872.9743461599946</v>
      </c>
      <c r="D210" s="14">
        <f t="shared" si="10"/>
        <v>12.252264554655381</v>
      </c>
      <c r="E210" s="14">
        <f t="shared" si="13"/>
        <v>1.4191414127471309</v>
      </c>
      <c r="F210" s="14">
        <f t="shared" si="14"/>
        <v>4013.2331307869204</v>
      </c>
      <c r="G210" s="14">
        <f t="shared" si="11"/>
        <v>172.76686921307964</v>
      </c>
    </row>
    <row r="211" spans="1:7" ht="15" customHeight="1">
      <c r="A211" s="10">
        <v>169</v>
      </c>
      <c r="B211" s="14">
        <f xml:space="preserve"> 2462</f>
        <v>2462</v>
      </c>
      <c r="C211" s="14">
        <f t="shared" si="12"/>
        <v>2886.3764237629498</v>
      </c>
      <c r="D211" s="14">
        <f t="shared" si="10"/>
        <v>12.36724585948536</v>
      </c>
      <c r="E211" s="14">
        <f t="shared" si="13"/>
        <v>0.85083957557748535</v>
      </c>
      <c r="F211" s="14">
        <f t="shared" si="14"/>
        <v>2452.2274465894102</v>
      </c>
      <c r="G211" s="14">
        <f t="shared" si="11"/>
        <v>9.7725534105898078</v>
      </c>
    </row>
    <row r="212" spans="1:7" ht="15" customHeight="1">
      <c r="A212" s="10">
        <v>170</v>
      </c>
      <c r="B212" s="14">
        <f xml:space="preserve"> 2560</f>
        <v>2560</v>
      </c>
      <c r="C212" s="14">
        <f t="shared" si="12"/>
        <v>2912.4861997231628</v>
      </c>
      <c r="D212" s="14">
        <f t="shared" si="10"/>
        <v>13.741498869558127</v>
      </c>
      <c r="E212" s="14">
        <f t="shared" si="13"/>
        <v>0.85390971700381724</v>
      </c>
      <c r="F212" s="14">
        <f t="shared" si="14"/>
        <v>2444.1274072748083</v>
      </c>
      <c r="G212" s="14">
        <f t="shared" si="11"/>
        <v>115.87259272519168</v>
      </c>
    </row>
    <row r="213" spans="1:7" ht="15" customHeight="1">
      <c r="A213" s="10">
        <v>171</v>
      </c>
      <c r="B213" s="14">
        <f xml:space="preserve"> 2799</f>
        <v>2799</v>
      </c>
      <c r="C213" s="14">
        <f t="shared" si="12"/>
        <v>2935.8653381502363</v>
      </c>
      <c r="D213" s="14">
        <f t="shared" si="10"/>
        <v>14.705262825309664</v>
      </c>
      <c r="E213" s="14">
        <f t="shared" si="13"/>
        <v>0.93423036966854411</v>
      </c>
      <c r="F213" s="14">
        <f t="shared" si="14"/>
        <v>2709.7532700907313</v>
      </c>
      <c r="G213" s="14">
        <f t="shared" si="11"/>
        <v>89.246729909268652</v>
      </c>
    </row>
    <row r="214" spans="1:7" ht="15" customHeight="1">
      <c r="A214" s="10">
        <v>172</v>
      </c>
      <c r="B214" s="14">
        <f xml:space="preserve"> 2840</f>
        <v>2840</v>
      </c>
      <c r="C214" s="14">
        <f t="shared" si="12"/>
        <v>2955.9534705480391</v>
      </c>
      <c r="D214" s="14">
        <f t="shared" si="10"/>
        <v>15.243549782558983</v>
      </c>
      <c r="E214" s="14">
        <f t="shared" si="13"/>
        <v>0.94992820503523667</v>
      </c>
      <c r="F214" s="14">
        <f t="shared" si="14"/>
        <v>2789.1167848339314</v>
      </c>
      <c r="G214" s="14">
        <f t="shared" si="11"/>
        <v>50.883215166068567</v>
      </c>
    </row>
    <row r="215" spans="1:7" ht="15" customHeight="1">
      <c r="A215" s="10">
        <v>173</v>
      </c>
      <c r="B215" s="14">
        <f xml:space="preserve"> 3072</f>
        <v>3072</v>
      </c>
      <c r="C215" s="14">
        <f t="shared" si="12"/>
        <v>2979.0583922967394</v>
      </c>
      <c r="D215" s="14">
        <f t="shared" si="10"/>
        <v>16.029686979173107</v>
      </c>
      <c r="E215" s="14">
        <f t="shared" si="13"/>
        <v>1.0144524281416687</v>
      </c>
      <c r="F215" s="14">
        <f t="shared" si="14"/>
        <v>2992.8143168908623</v>
      </c>
      <c r="G215" s="14">
        <f t="shared" si="11"/>
        <v>79.185683109137699</v>
      </c>
    </row>
    <row r="216" spans="1:7" ht="15" customHeight="1">
      <c r="A216" s="10">
        <v>174</v>
      </c>
      <c r="B216" s="14">
        <f xml:space="preserve"> 3112</f>
        <v>3112</v>
      </c>
      <c r="C216" s="14">
        <f t="shared" si="12"/>
        <v>3007.4589378148085</v>
      </c>
      <c r="D216" s="14">
        <f t="shared" si="10"/>
        <v>17.266772833062703</v>
      </c>
      <c r="E216" s="14">
        <f t="shared" si="13"/>
        <v>1.0089026974393251</v>
      </c>
      <c r="F216" s="14">
        <f t="shared" si="14"/>
        <v>2988.5610076180442</v>
      </c>
      <c r="G216" s="14">
        <f t="shared" si="11"/>
        <v>123.43899238195581</v>
      </c>
    </row>
    <row r="217" spans="1:7" ht="15" customHeight="1">
      <c r="A217" s="10">
        <v>175</v>
      </c>
      <c r="B217" s="14">
        <f xml:space="preserve"> 3176</f>
        <v>3176</v>
      </c>
      <c r="C217" s="14">
        <f t="shared" si="12"/>
        <v>3025.2409722266411</v>
      </c>
      <c r="D217" s="14">
        <f t="shared" si="10"/>
        <v>17.318298990939702</v>
      </c>
      <c r="E217" s="14">
        <f t="shared" si="13"/>
        <v>1.0487089555809153</v>
      </c>
      <c r="F217" s="14">
        <f t="shared" si="14"/>
        <v>3170.5988894672914</v>
      </c>
      <c r="G217" s="14">
        <f t="shared" si="11"/>
        <v>5.4011105327085716</v>
      </c>
    </row>
    <row r="218" spans="1:7" ht="15" customHeight="1">
      <c r="A218" s="10">
        <v>176</v>
      </c>
      <c r="B218" s="14">
        <f xml:space="preserve"> 3082</f>
        <v>3082</v>
      </c>
      <c r="C218" s="14">
        <f t="shared" si="12"/>
        <v>3043.1301329053149</v>
      </c>
      <c r="D218" s="14">
        <f t="shared" si="10"/>
        <v>17.375385159713108</v>
      </c>
      <c r="E218" s="14">
        <f t="shared" si="13"/>
        <v>1.0115780919212003</v>
      </c>
      <c r="F218" s="14">
        <f t="shared" si="14"/>
        <v>3076.2282116067731</v>
      </c>
      <c r="G218" s="14">
        <f t="shared" si="11"/>
        <v>5.7717883932268705</v>
      </c>
    </row>
    <row r="219" spans="1:7" ht="15" customHeight="1">
      <c r="A219" s="10">
        <v>177</v>
      </c>
      <c r="B219" s="14">
        <f xml:space="preserve"> 3059</f>
        <v>3059</v>
      </c>
      <c r="C219" s="14">
        <f t="shared" si="12"/>
        <v>3070.0537979803189</v>
      </c>
      <c r="D219" s="14">
        <f t="shared" si="10"/>
        <v>18.330213151242198</v>
      </c>
      <c r="E219" s="14">
        <f t="shared" si="13"/>
        <v>0.97740777942351975</v>
      </c>
      <c r="F219" s="14">
        <f t="shared" si="14"/>
        <v>2966.4515323725186</v>
      </c>
      <c r="G219" s="14">
        <f t="shared" si="11"/>
        <v>92.548467627481386</v>
      </c>
    </row>
    <row r="220" spans="1:7" ht="15" customHeight="1">
      <c r="A220" s="10">
        <v>178</v>
      </c>
      <c r="B220" s="14">
        <f xml:space="preserve"> 2965</f>
        <v>2965</v>
      </c>
      <c r="C220" s="14">
        <f t="shared" si="12"/>
        <v>3076.5519833455137</v>
      </c>
      <c r="D220" s="14">
        <f t="shared" si="10"/>
        <v>17.147010372637457</v>
      </c>
      <c r="E220" s="14">
        <f t="shared" si="13"/>
        <v>0.9879289228447814</v>
      </c>
      <c r="F220" s="14">
        <f t="shared" si="14"/>
        <v>3083.1185507658879</v>
      </c>
      <c r="G220" s="14">
        <f t="shared" si="11"/>
        <v>-118.1185507658879</v>
      </c>
    </row>
    <row r="221" spans="1:7" ht="15" customHeight="1">
      <c r="A221" s="10">
        <v>179</v>
      </c>
      <c r="B221" s="14">
        <f xml:space="preserve"> 3192</f>
        <v>3192</v>
      </c>
      <c r="C221" s="14">
        <f t="shared" si="12"/>
        <v>3092.9277750650213</v>
      </c>
      <c r="D221" s="14">
        <f t="shared" si="10"/>
        <v>17.069888507324467</v>
      </c>
      <c r="E221" s="14">
        <f t="shared" si="13"/>
        <v>1.0336567228924869</v>
      </c>
      <c r="F221" s="14">
        <f t="shared" si="14"/>
        <v>3199.977123995016</v>
      </c>
      <c r="G221" s="14">
        <f t="shared" si="11"/>
        <v>-7.9771239950159725</v>
      </c>
    </row>
    <row r="222" spans="1:7" ht="15" customHeight="1">
      <c r="A222" s="10">
        <v>180</v>
      </c>
      <c r="B222" s="14">
        <f xml:space="preserve"> 4354</f>
        <v>4354</v>
      </c>
      <c r="C222" s="14">
        <f t="shared" si="12"/>
        <v>3105.8031219017516</v>
      </c>
      <c r="D222" s="14">
        <f t="shared" si="10"/>
        <v>16.650434340265058</v>
      </c>
      <c r="E222" s="14">
        <f t="shared" si="13"/>
        <v>1.4139665357803033</v>
      </c>
      <c r="F222" s="14">
        <f t="shared" si="14"/>
        <v>4413.5264779223344</v>
      </c>
      <c r="G222" s="14">
        <f t="shared" si="11"/>
        <v>-59.526477922334379</v>
      </c>
    </row>
    <row r="223" spans="1:7" ht="15" customHeight="1">
      <c r="A223" s="10">
        <v>181</v>
      </c>
      <c r="B223" s="14">
        <f xml:space="preserve"> 2610</f>
        <v>2610</v>
      </c>
      <c r="C223" s="14">
        <f t="shared" si="12"/>
        <v>3116.9640303790866</v>
      </c>
      <c r="D223" s="14">
        <f t="shared" si="10"/>
        <v>16.101481753972045</v>
      </c>
      <c r="E223" s="14">
        <f t="shared" si="13"/>
        <v>0.84679368166068081</v>
      </c>
      <c r="F223" s="14">
        <f t="shared" si="14"/>
        <v>2656.707058553367</v>
      </c>
      <c r="G223" s="14">
        <f t="shared" si="11"/>
        <v>-46.707058553367006</v>
      </c>
    </row>
    <row r="224" spans="1:7" ht="15" customHeight="1">
      <c r="A224" s="10">
        <v>182</v>
      </c>
      <c r="B224" s="14">
        <f xml:space="preserve"> 2641</f>
        <v>2641</v>
      </c>
      <c r="C224" s="14">
        <f t="shared" si="12"/>
        <v>3129.0422431462034</v>
      </c>
      <c r="D224" s="14">
        <f t="shared" si="10"/>
        <v>15.699154855286524</v>
      </c>
      <c r="E224" s="14">
        <f t="shared" si="13"/>
        <v>0.85094527223746508</v>
      </c>
      <c r="F224" s="14">
        <f t="shared" si="14"/>
        <v>2675.3550848199598</v>
      </c>
      <c r="G224" s="14">
        <f t="shared" si="11"/>
        <v>-34.355084819959757</v>
      </c>
    </row>
    <row r="225" spans="1:7" ht="15" customHeight="1">
      <c r="A225" s="10">
        <v>183</v>
      </c>
      <c r="B225" s="14">
        <f xml:space="preserve"> 3049</f>
        <v>3049</v>
      </c>
      <c r="C225" s="14">
        <f t="shared" si="12"/>
        <v>3156.6321569448655</v>
      </c>
      <c r="D225" s="14">
        <f t="shared" si="10"/>
        <v>16.888230749624086</v>
      </c>
      <c r="E225" s="14">
        <f t="shared" si="13"/>
        <v>0.94373211407260682</v>
      </c>
      <c r="F225" s="14">
        <f t="shared" si="14"/>
        <v>2937.9129187669059</v>
      </c>
      <c r="G225" s="14">
        <f t="shared" si="11"/>
        <v>111.08708123309407</v>
      </c>
    </row>
    <row r="226" spans="1:7" ht="15" customHeight="1">
      <c r="A226" s="10">
        <v>184</v>
      </c>
      <c r="B226" s="14">
        <f xml:space="preserve"> 2911</f>
        <v>2911</v>
      </c>
      <c r="C226" s="14">
        <f t="shared" si="12"/>
        <v>3162.6125606633395</v>
      </c>
      <c r="D226" s="14">
        <f t="shared" si="10"/>
        <v>15.797448046509077</v>
      </c>
      <c r="E226" s="14">
        <f t="shared" si="13"/>
        <v>0.94108220782400132</v>
      </c>
      <c r="F226" s="14">
        <f t="shared" si="14"/>
        <v>3014.616525525355</v>
      </c>
      <c r="G226" s="14">
        <f t="shared" si="11"/>
        <v>-103.61652552535497</v>
      </c>
    </row>
    <row r="227" spans="1:7" ht="15" customHeight="1">
      <c r="A227" s="10">
        <v>185</v>
      </c>
      <c r="B227" s="14">
        <f xml:space="preserve"> 3312</f>
        <v>3312</v>
      </c>
      <c r="C227" s="14">
        <f t="shared" si="12"/>
        <v>3187.0505567141631</v>
      </c>
      <c r="D227" s="14">
        <f t="shared" si="10"/>
        <v>16.661502846940529</v>
      </c>
      <c r="E227" s="14">
        <f t="shared" si="13"/>
        <v>1.0218783057103378</v>
      </c>
      <c r="F227" s="14">
        <f t="shared" si="14"/>
        <v>3224.3457509654882</v>
      </c>
      <c r="G227" s="14">
        <f t="shared" si="11"/>
        <v>87.654249034511849</v>
      </c>
    </row>
    <row r="228" spans="1:7" ht="15" customHeight="1">
      <c r="A228" s="10">
        <v>186</v>
      </c>
      <c r="B228" s="14">
        <f xml:space="preserve"> 3422</f>
        <v>3422</v>
      </c>
      <c r="C228" s="14">
        <f t="shared" si="12"/>
        <v>3222.5212333071495</v>
      </c>
      <c r="D228" s="14">
        <f t="shared" si="10"/>
        <v>18.542420221545111</v>
      </c>
      <c r="E228" s="14">
        <f t="shared" si="13"/>
        <v>1.0248023259720105</v>
      </c>
      <c r="F228" s="14">
        <f t="shared" si="14"/>
        <v>3232.2337387100933</v>
      </c>
      <c r="G228" s="14">
        <f t="shared" si="11"/>
        <v>189.76626128990665</v>
      </c>
    </row>
    <row r="229" spans="1:7" ht="15" customHeight="1">
      <c r="A229" s="10">
        <v>187</v>
      </c>
      <c r="B229" s="14">
        <f xml:space="preserve"> 3383</f>
        <v>3383</v>
      </c>
      <c r="C229" s="14">
        <f t="shared" si="12"/>
        <v>3239.5444065556849</v>
      </c>
      <c r="D229" s="14">
        <f t="shared" si="10"/>
        <v>18.390495524244137</v>
      </c>
      <c r="E229" s="14">
        <f t="shared" si="13"/>
        <v>1.0473810622702393</v>
      </c>
      <c r="F229" s="14">
        <f t="shared" si="14"/>
        <v>3398.9324790633427</v>
      </c>
      <c r="G229" s="14">
        <f t="shared" si="11"/>
        <v>-15.932479063342726</v>
      </c>
    </row>
    <row r="230" spans="1:7" ht="15" customHeight="1">
      <c r="A230" s="10">
        <v>188</v>
      </c>
      <c r="B230" s="14">
        <f xml:space="preserve"> 3357</f>
        <v>3357</v>
      </c>
      <c r="C230" s="14">
        <f t="shared" si="12"/>
        <v>3263.9991326757104</v>
      </c>
      <c r="D230" s="14">
        <f t="shared" si="10"/>
        <v>18.996918583822275</v>
      </c>
      <c r="E230" s="14">
        <f t="shared" si="13"/>
        <v>1.0166525404511721</v>
      </c>
      <c r="F230" s="14">
        <f t="shared" si="14"/>
        <v>3295.6555718494974</v>
      </c>
      <c r="G230" s="14">
        <f t="shared" si="11"/>
        <v>61.344428150502608</v>
      </c>
    </row>
    <row r="231" spans="1:7" ht="15" customHeight="1">
      <c r="A231" s="10">
        <v>189</v>
      </c>
      <c r="B231" s="14">
        <f xml:space="preserve"> 3123</f>
        <v>3123</v>
      </c>
      <c r="C231" s="14">
        <f t="shared" si="12"/>
        <v>3274.215081624895</v>
      </c>
      <c r="D231" s="14">
        <f t="shared" si="10"/>
        <v>18.11882162035851</v>
      </c>
      <c r="E231" s="14">
        <f t="shared" si="13"/>
        <v>0.97033036174993903</v>
      </c>
      <c r="F231" s="14">
        <f t="shared" si="14"/>
        <v>3208.8258803177637</v>
      </c>
      <c r="G231" s="14">
        <f t="shared" si="11"/>
        <v>-85.825880317763676</v>
      </c>
    </row>
    <row r="232" spans="1:7" ht="15" customHeight="1">
      <c r="A232" s="10">
        <v>190</v>
      </c>
      <c r="B232" s="14">
        <f xml:space="preserve"> 3158</f>
        <v>3158</v>
      </c>
      <c r="C232" s="14">
        <f t="shared" si="12"/>
        <v>3282.7591368333078</v>
      </c>
      <c r="D232" s="14">
        <f t="shared" si="10"/>
        <v>17.161344979163943</v>
      </c>
      <c r="E232" s="14">
        <f t="shared" si="13"/>
        <v>0.98014894011116693</v>
      </c>
      <c r="F232" s="14">
        <f t="shared" si="14"/>
        <v>3252.5918866784382</v>
      </c>
      <c r="G232" s="14">
        <f t="shared" si="11"/>
        <v>-94.591886678438186</v>
      </c>
    </row>
    <row r="233" spans="1:7" ht="15" customHeight="1">
      <c r="A233" s="10">
        <v>191</v>
      </c>
      <c r="B233" s="14">
        <f xml:space="preserve"> 3374</f>
        <v>3374</v>
      </c>
      <c r="C233" s="14">
        <f t="shared" si="12"/>
        <v>3296.3424089168029</v>
      </c>
      <c r="D233" s="14">
        <f t="shared" si="10"/>
        <v>16.803537689597057</v>
      </c>
      <c r="E233" s="14">
        <f t="shared" si="13"/>
        <v>1.0306273205000873</v>
      </c>
      <c r="F233" s="14">
        <f t="shared" si="14"/>
        <v>3410.9849910360758</v>
      </c>
      <c r="G233" s="14">
        <f t="shared" si="11"/>
        <v>-36.984991036075826</v>
      </c>
    </row>
    <row r="234" spans="1:7" ht="15" customHeight="1">
      <c r="A234" s="10">
        <v>192</v>
      </c>
      <c r="B234" s="14">
        <f xml:space="preserve"> 4508</f>
        <v>4508</v>
      </c>
      <c r="C234" s="14">
        <f t="shared" si="12"/>
        <v>3300.6507784261921</v>
      </c>
      <c r="D234" s="14">
        <f t="shared" si="10"/>
        <v>15.554020871576272</v>
      </c>
      <c r="E234" s="14">
        <f t="shared" si="13"/>
        <v>1.3995139543653439</v>
      </c>
      <c r="F234" s="14">
        <f t="shared" si="14"/>
        <v>4684.6774966576049</v>
      </c>
      <c r="G234" s="14">
        <f t="shared" si="11"/>
        <v>-176.67749665760493</v>
      </c>
    </row>
    <row r="235" spans="1:7" ht="15" customHeight="1">
      <c r="A235" s="10">
        <v>193</v>
      </c>
      <c r="B235" s="14">
        <f xml:space="preserve"> 2767</f>
        <v>2767</v>
      </c>
      <c r="C235" s="14">
        <f t="shared" si="12"/>
        <v>3311.3463229027284</v>
      </c>
      <c r="D235" s="14">
        <f t="shared" si="10"/>
        <v>15.068173232072271</v>
      </c>
      <c r="E235" s="14">
        <f t="shared" si="13"/>
        <v>0.84343911160846996</v>
      </c>
      <c r="F235" s="14">
        <f t="shared" si="14"/>
        <v>2808.1412711381763</v>
      </c>
      <c r="G235" s="14">
        <f t="shared" si="11"/>
        <v>-41.141271138176307</v>
      </c>
    </row>
    <row r="236" spans="1:7" ht="15" customHeight="1">
      <c r="A236" s="10">
        <v>194</v>
      </c>
      <c r="B236" s="14">
        <f xml:space="preserve"> 2910</f>
        <v>2910</v>
      </c>
      <c r="C236" s="14">
        <f t="shared" si="12"/>
        <v>3335.7456850611038</v>
      </c>
      <c r="D236" s="14">
        <f t="shared" si="10"/>
        <v>16.001292124702587</v>
      </c>
      <c r="E236" s="14">
        <f t="shared" si="13"/>
        <v>0.85737228916181607</v>
      </c>
      <c r="F236" s="14">
        <f t="shared" si="14"/>
        <v>2830.5966889880783</v>
      </c>
      <c r="G236" s="14">
        <f t="shared" si="11"/>
        <v>79.403311011921687</v>
      </c>
    </row>
    <row r="237" spans="1:7" ht="15" customHeight="1">
      <c r="A237" s="10">
        <v>195</v>
      </c>
      <c r="B237" s="14">
        <f xml:space="preserve"> 3106</f>
        <v>3106</v>
      </c>
      <c r="C237" s="14">
        <f t="shared" si="12"/>
        <v>3345.6910997006798</v>
      </c>
      <c r="D237" s="14">
        <f t="shared" ref="D237:D258" si="15">$B$10*(C237-C236)+(1-$B$10)*D236</f>
        <v>15.395704376189931</v>
      </c>
      <c r="E237" s="14">
        <f t="shared" si="13"/>
        <v>0.93911996073672088</v>
      </c>
      <c r="F237" s="14">
        <f t="shared" si="14"/>
        <v>3163.1512606160304</v>
      </c>
      <c r="G237" s="14">
        <f t="shared" ref="G237:G258" si="16">B237-F237</f>
        <v>-57.151260616030413</v>
      </c>
    </row>
    <row r="238" spans="1:7" ht="15" customHeight="1">
      <c r="A238" s="10">
        <v>196</v>
      </c>
      <c r="B238" s="14">
        <f xml:space="preserve"> 3126</f>
        <v>3126</v>
      </c>
      <c r="C238" s="14">
        <f t="shared" si="12"/>
        <v>3357.1488919624262</v>
      </c>
      <c r="D238" s="14">
        <f t="shared" si="15"/>
        <v>15.001913164745574</v>
      </c>
      <c r="E238" s="14">
        <f t="shared" si="13"/>
        <v>0.93810172417714077</v>
      </c>
      <c r="F238" s="14">
        <f t="shared" si="14"/>
        <v>3163.0589902687771</v>
      </c>
      <c r="G238" s="14">
        <f t="shared" si="16"/>
        <v>-37.058990268777052</v>
      </c>
    </row>
    <row r="239" spans="1:7" ht="15" customHeight="1">
      <c r="A239" s="10">
        <v>197</v>
      </c>
      <c r="B239" s="14">
        <f xml:space="preserve"> 3574</f>
        <v>3574</v>
      </c>
      <c r="C239" s="14">
        <f t="shared" si="12"/>
        <v>3384.6838286722668</v>
      </c>
      <c r="D239" s="14">
        <f t="shared" si="15"/>
        <v>16.255215519255078</v>
      </c>
      <c r="E239" s="14">
        <f t="shared" si="13"/>
        <v>1.0320947716751738</v>
      </c>
      <c r="F239" s="14">
        <f t="shared" si="14"/>
        <v>3445.9277513431057</v>
      </c>
      <c r="G239" s="14">
        <f t="shared" si="16"/>
        <v>128.07224865689432</v>
      </c>
    </row>
    <row r="240" spans="1:7" ht="15" customHeight="1">
      <c r="A240" s="10">
        <v>198</v>
      </c>
      <c r="B240" s="14">
        <f xml:space="preserve"> 3438</f>
        <v>3438</v>
      </c>
      <c r="C240" s="14">
        <f t="shared" si="12"/>
        <v>3396.324472017162</v>
      </c>
      <c r="D240" s="14">
        <f t="shared" si="15"/>
        <v>15.793758301819084</v>
      </c>
      <c r="E240" s="14">
        <f t="shared" si="13"/>
        <v>1.0210428601998633</v>
      </c>
      <c r="F240" s="14">
        <f t="shared" si="14"/>
        <v>3485.2902429764981</v>
      </c>
      <c r="G240" s="14">
        <f t="shared" si="16"/>
        <v>-47.290242976498121</v>
      </c>
    </row>
    <row r="241" spans="1:7" ht="15" customHeight="1">
      <c r="A241" s="10">
        <v>199</v>
      </c>
      <c r="B241" s="14">
        <f xml:space="preserve"> 3691</f>
        <v>3691</v>
      </c>
      <c r="C241" s="14">
        <f t="shared" si="12"/>
        <v>3423.30918913609</v>
      </c>
      <c r="D241" s="14">
        <f t="shared" si="15"/>
        <v>16.912854183529983</v>
      </c>
      <c r="E241" s="14">
        <f t="shared" si="13"/>
        <v>1.0566256948033987</v>
      </c>
      <c r="F241" s="14">
        <f t="shared" si="14"/>
        <v>3573.7880166631435</v>
      </c>
      <c r="G241" s="14">
        <f t="shared" si="16"/>
        <v>117.21198333685652</v>
      </c>
    </row>
    <row r="242" spans="1:7" ht="15" customHeight="1">
      <c r="A242" s="10">
        <v>200</v>
      </c>
      <c r="B242" s="14">
        <f xml:space="preserve"> 3647</f>
        <v>3647</v>
      </c>
      <c r="C242" s="14">
        <f t="shared" si="12"/>
        <v>3454.9261348351583</v>
      </c>
      <c r="D242" s="14">
        <f t="shared" si="15"/>
        <v>18.383263335083818</v>
      </c>
      <c r="E242" s="14">
        <f t="shared" si="13"/>
        <v>1.0283350392396828</v>
      </c>
      <c r="F242" s="14">
        <f t="shared" si="14"/>
        <v>3497.5104800570139</v>
      </c>
      <c r="G242" s="14">
        <f t="shared" si="16"/>
        <v>149.48951994298613</v>
      </c>
    </row>
    <row r="243" spans="1:7" ht="15" customHeight="1">
      <c r="A243" s="10">
        <v>201</v>
      </c>
      <c r="B243" s="14">
        <f xml:space="preserve"> 3303</f>
        <v>3303</v>
      </c>
      <c r="C243" s="14">
        <f t="shared" si="12"/>
        <v>3466.377989296805</v>
      </c>
      <c r="D243" s="14">
        <f t="shared" si="15"/>
        <v>17.690122447740105</v>
      </c>
      <c r="E243" s="14">
        <f t="shared" si="13"/>
        <v>0.96509159593992333</v>
      </c>
      <c r="F243" s="14">
        <f t="shared" si="14"/>
        <v>3370.2575647959943</v>
      </c>
      <c r="G243" s="14">
        <f t="shared" si="16"/>
        <v>-67.257564795994313</v>
      </c>
    </row>
    <row r="244" spans="1:7" ht="15" customHeight="1">
      <c r="A244" s="10">
        <v>202</v>
      </c>
      <c r="B244" s="14">
        <f xml:space="preserve"> 3516</f>
        <v>3516</v>
      </c>
      <c r="C244" s="14">
        <f t="shared" si="12"/>
        <v>3494.3822924635492</v>
      </c>
      <c r="D244" s="14">
        <f t="shared" si="15"/>
        <v>18.721540519640513</v>
      </c>
      <c r="E244" s="14">
        <f t="shared" si="13"/>
        <v>0.98796018330812796</v>
      </c>
      <c r="F244" s="14">
        <f t="shared" si="14"/>
        <v>3414.9056670015307</v>
      </c>
      <c r="G244" s="14">
        <f t="shared" si="16"/>
        <v>101.09433299846933</v>
      </c>
    </row>
    <row r="245" spans="1:7" ht="15" customHeight="1">
      <c r="A245" s="10">
        <v>203</v>
      </c>
      <c r="B245" s="14">
        <f xml:space="preserve"> 3548</f>
        <v>3548</v>
      </c>
      <c r="C245" s="14">
        <f t="shared" si="12"/>
        <v>3506.0498001063229</v>
      </c>
      <c r="D245" s="14">
        <f t="shared" si="15"/>
        <v>18.016137231953831</v>
      </c>
      <c r="E245" s="14">
        <f t="shared" si="13"/>
        <v>1.0250286512209348</v>
      </c>
      <c r="F245" s="14">
        <f t="shared" si="14"/>
        <v>3620.7007900260514</v>
      </c>
      <c r="G245" s="14">
        <f t="shared" si="16"/>
        <v>-72.700790026051436</v>
      </c>
    </row>
    <row r="246" spans="1:7" ht="15" customHeight="1">
      <c r="A246" s="10">
        <v>204</v>
      </c>
      <c r="B246" s="14">
        <f xml:space="preserve"> 4660</f>
        <v>4660</v>
      </c>
      <c r="C246" s="14">
        <f t="shared" si="12"/>
        <v>3504.6320864245258</v>
      </c>
      <c r="D246" s="14">
        <f t="shared" si="15"/>
        <v>16.072752140578739</v>
      </c>
      <c r="E246" s="14">
        <f t="shared" si="13"/>
        <v>1.3785604131235254</v>
      </c>
      <c r="F246" s="14">
        <f t="shared" si="14"/>
        <v>4931.9794554085038</v>
      </c>
      <c r="G246" s="14">
        <f t="shared" si="16"/>
        <v>-271.97945540850378</v>
      </c>
    </row>
    <row r="247" spans="1:7" ht="15" customHeight="1">
      <c r="A247" s="10">
        <v>205</v>
      </c>
      <c r="B247" s="14">
        <f xml:space="preserve"> 3036</f>
        <v>3036</v>
      </c>
      <c r="C247" s="14">
        <f t="shared" si="12"/>
        <v>3528.5892060090318</v>
      </c>
      <c r="D247" s="14">
        <f t="shared" si="15"/>
        <v>16.861188884971469</v>
      </c>
      <c r="E247" s="14">
        <f t="shared" si="13"/>
        <v>0.8485275351702648</v>
      </c>
      <c r="F247" s="14">
        <f t="shared" si="14"/>
        <v>2969.5001612749934</v>
      </c>
      <c r="G247" s="14">
        <f t="shared" si="16"/>
        <v>66.499838725006612</v>
      </c>
    </row>
    <row r="248" spans="1:7" ht="15" customHeight="1">
      <c r="A248" s="10">
        <v>206</v>
      </c>
      <c r="B248" s="14">
        <f xml:space="preserve"> 2897</f>
        <v>2897</v>
      </c>
      <c r="C248" s="14">
        <f t="shared" ref="C248:C258" si="17">$B$9*B248/E236+(1-$B$9)*(C247+D247)</f>
        <v>3528.7982447155191</v>
      </c>
      <c r="D248" s="14">
        <f t="shared" si="15"/>
        <v>15.195973867123049</v>
      </c>
      <c r="E248" s="14">
        <f t="shared" ref="E248:E258" si="18">$B$11*(B248/C248)+(1-$B$11)*E236</f>
        <v>0.84644841478721555</v>
      </c>
      <c r="F248" s="14">
        <f t="shared" ref="F248:F258" si="19">(C247+D247)*E236</f>
        <v>3039.7709211799365</v>
      </c>
      <c r="G248" s="14">
        <f t="shared" si="16"/>
        <v>-142.77092117993652</v>
      </c>
    </row>
    <row r="249" spans="1:7" ht="15" customHeight="1">
      <c r="A249" s="10">
        <v>207</v>
      </c>
      <c r="B249" s="14">
        <f xml:space="preserve"> 3140</f>
        <v>3140</v>
      </c>
      <c r="C249" s="14">
        <f t="shared" si="17"/>
        <v>3523.9503776170181</v>
      </c>
      <c r="D249" s="14">
        <f t="shared" si="15"/>
        <v>13.19158977056065</v>
      </c>
      <c r="E249" s="14">
        <f t="shared" si="18"/>
        <v>0.9246976117721698</v>
      </c>
      <c r="F249" s="14">
        <f t="shared" si="19"/>
        <v>3328.2357114064966</v>
      </c>
      <c r="G249" s="14">
        <f t="shared" si="16"/>
        <v>-188.23571140649665</v>
      </c>
    </row>
    <row r="250" spans="1:7" ht="15" customHeight="1">
      <c r="A250" s="10">
        <v>208</v>
      </c>
      <c r="B250" s="14">
        <f xml:space="preserve"> 3256</f>
        <v>3256</v>
      </c>
      <c r="C250" s="14">
        <f t="shared" si="17"/>
        <v>3530.5116652931906</v>
      </c>
      <c r="D250" s="14">
        <f t="shared" si="15"/>
        <v>12.528559561121833</v>
      </c>
      <c r="E250" s="14">
        <f t="shared" si="18"/>
        <v>0.93334498472296856</v>
      </c>
      <c r="F250" s="14">
        <f t="shared" si="19"/>
        <v>3318.1989782656115</v>
      </c>
      <c r="G250" s="14">
        <f t="shared" si="16"/>
        <v>-62.198978265611458</v>
      </c>
    </row>
    <row r="251" spans="1:7" ht="15" customHeight="1">
      <c r="A251" s="10">
        <v>209</v>
      </c>
      <c r="B251" s="14">
        <f xml:space="preserve"> 3606</f>
        <v>3606</v>
      </c>
      <c r="C251" s="14">
        <f t="shared" si="17"/>
        <v>3538.1227218013137</v>
      </c>
      <c r="D251" s="14">
        <f t="shared" si="15"/>
        <v>12.036809255821955</v>
      </c>
      <c r="E251" s="14">
        <f t="shared" si="18"/>
        <v>1.0282217039801378</v>
      </c>
      <c r="F251" s="14">
        <f t="shared" si="19"/>
        <v>3656.7532919069681</v>
      </c>
      <c r="G251" s="14">
        <f t="shared" si="16"/>
        <v>-50.753291906968116</v>
      </c>
    </row>
    <row r="252" spans="1:7" ht="15" customHeight="1">
      <c r="A252" s="10">
        <v>210</v>
      </c>
      <c r="B252" s="14">
        <f xml:space="preserve"> 3437</f>
        <v>3437</v>
      </c>
      <c r="C252" s="14">
        <f t="shared" si="17"/>
        <v>3531.7602014031768</v>
      </c>
      <c r="D252" s="14">
        <f t="shared" si="15"/>
        <v>10.19687629042607</v>
      </c>
      <c r="E252" s="14">
        <f t="shared" si="18"/>
        <v>1.0066807409217564</v>
      </c>
      <c r="F252" s="14">
        <f t="shared" si="19"/>
        <v>3624.8650417563831</v>
      </c>
      <c r="G252" s="14">
        <f t="shared" si="16"/>
        <v>-187.86504175638311</v>
      </c>
    </row>
    <row r="253" spans="1:7" ht="15" customHeight="1">
      <c r="A253" s="10">
        <v>211</v>
      </c>
      <c r="B253" s="14">
        <f xml:space="preserve"> 3692</f>
        <v>3692</v>
      </c>
      <c r="C253" s="14">
        <f t="shared" si="17"/>
        <v>3537.1755492459897</v>
      </c>
      <c r="D253" s="14">
        <f t="shared" si="15"/>
        <v>9.7187234456647555</v>
      </c>
      <c r="E253" s="14">
        <f t="shared" si="18"/>
        <v>1.0527691794794705</v>
      </c>
      <c r="F253" s="14">
        <f t="shared" si="19"/>
        <v>3742.5228581818192</v>
      </c>
      <c r="G253" s="14">
        <f t="shared" si="16"/>
        <v>-50.522858181819174</v>
      </c>
    </row>
    <row r="254" spans="1:7" ht="15" customHeight="1">
      <c r="A254" s="10">
        <v>212</v>
      </c>
      <c r="B254" s="14">
        <f xml:space="preserve"> 3524</f>
        <v>3524</v>
      </c>
      <c r="C254" s="14">
        <f t="shared" si="17"/>
        <v>3534.8947145341681</v>
      </c>
      <c r="D254" s="14">
        <f t="shared" si="15"/>
        <v>8.5187676299161161</v>
      </c>
      <c r="E254" s="14">
        <f t="shared" si="18"/>
        <v>1.0189099131230248</v>
      </c>
      <c r="F254" s="14">
        <f t="shared" si="19"/>
        <v>3647.3956610873788</v>
      </c>
      <c r="G254" s="14">
        <f t="shared" si="16"/>
        <v>-123.39566108737881</v>
      </c>
    </row>
    <row r="255" spans="1:7" ht="15" customHeight="1">
      <c r="A255" s="10">
        <v>213</v>
      </c>
      <c r="B255" s="14">
        <f xml:space="preserve"> 3376</f>
        <v>3376</v>
      </c>
      <c r="C255" s="14">
        <f t="shared" si="17"/>
        <v>3538.8834901135165</v>
      </c>
      <c r="D255" s="14">
        <f t="shared" si="15"/>
        <v>8.0657684248593426</v>
      </c>
      <c r="E255" s="14">
        <f t="shared" si="18"/>
        <v>0.96175607652293582</v>
      </c>
      <c r="F255" s="14">
        <f t="shared" si="19"/>
        <v>3419.7185725767772</v>
      </c>
      <c r="G255" s="14">
        <f t="shared" si="16"/>
        <v>-43.718572576777206</v>
      </c>
    </row>
    <row r="256" spans="1:7" ht="15" customHeight="1">
      <c r="A256" s="10">
        <v>214</v>
      </c>
      <c r="B256" s="14">
        <f xml:space="preserve"> 3536</f>
        <v>3536</v>
      </c>
      <c r="C256" s="14">
        <f t="shared" si="17"/>
        <v>3550.1634933715518</v>
      </c>
      <c r="D256" s="14">
        <f t="shared" si="15"/>
        <v>8.3871919081769413</v>
      </c>
      <c r="E256" s="14">
        <f t="shared" si="18"/>
        <v>0.99037526850362756</v>
      </c>
      <c r="F256" s="14">
        <f t="shared" si="19"/>
        <v>3504.2446396502023</v>
      </c>
      <c r="G256" s="14">
        <f t="shared" si="16"/>
        <v>31.755360349797684</v>
      </c>
    </row>
    <row r="257" spans="1:7" ht="15" customHeight="1">
      <c r="A257" s="10">
        <v>215</v>
      </c>
      <c r="B257" s="14">
        <f xml:space="preserve"> 3455</f>
        <v>3455</v>
      </c>
      <c r="C257" s="14">
        <f t="shared" si="17"/>
        <v>3539.7593657391303</v>
      </c>
      <c r="D257" s="14">
        <f t="shared" si="15"/>
        <v>6.5080599541170994</v>
      </c>
      <c r="E257" s="14">
        <f t="shared" si="18"/>
        <v>1.0103365704550953</v>
      </c>
      <c r="F257" s="14">
        <f t="shared" si="19"/>
        <v>3647.6164092336135</v>
      </c>
      <c r="G257" s="14">
        <f t="shared" si="16"/>
        <v>-192.61640923361347</v>
      </c>
    </row>
    <row r="258" spans="1:7" ht="15" customHeight="1">
      <c r="A258" s="15">
        <v>216</v>
      </c>
      <c r="B258" s="16">
        <f xml:space="preserve"> 4720</f>
        <v>4720</v>
      </c>
      <c r="C258" s="16">
        <f t="shared" si="17"/>
        <v>3534.0268386428879</v>
      </c>
      <c r="D258" s="16">
        <f t="shared" si="15"/>
        <v>5.2840012490811503</v>
      </c>
      <c r="E258" s="16">
        <f t="shared" si="18"/>
        <v>1.3656683634360234</v>
      </c>
      <c r="F258" s="16">
        <f t="shared" si="19"/>
        <v>4888.7438874101836</v>
      </c>
      <c r="G258" s="16">
        <f t="shared" si="16"/>
        <v>-168.74388741018356</v>
      </c>
    </row>
    <row r="259" spans="1:7" ht="15" customHeight="1">
      <c r="A259" s="10">
        <v>217</v>
      </c>
      <c r="B259" s="14"/>
      <c r="C259" s="14"/>
      <c r="D259" s="14"/>
      <c r="E259" s="14"/>
      <c r="F259" s="14">
        <f>(C258+(1*D258))*E247</f>
        <v>3003.2027031749321</v>
      </c>
      <c r="G259" s="14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</dc:creator>
  <cp:keywords/>
  <dc:description/>
  <cp:lastModifiedBy/>
  <cp:revision/>
  <dcterms:created xsi:type="dcterms:W3CDTF">2020-12-10T02:36:24Z</dcterms:created>
  <dcterms:modified xsi:type="dcterms:W3CDTF">2023-02-01T01:27:21Z</dcterms:modified>
  <cp:category/>
  <cp:contentStatus/>
</cp:coreProperties>
</file>