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hemnitz\"/>
    </mc:Choice>
  </mc:AlternateContent>
  <xr:revisionPtr revIDLastSave="0" documentId="13_ncr:1_{E92FA6F6-ACAD-4148-99C6-C09587C8AF53}" xr6:coauthVersionLast="47" xr6:coauthVersionMax="47" xr10:uidLastSave="{00000000-0000-0000-0000-000000000000}"/>
  <bookViews>
    <workbookView xWindow="-108" yWindow="-108" windowWidth="30936" windowHeight="16944" activeTab="1" xr2:uid="{00000000-000D-0000-FFFF-FFFF00000000}"/>
  </bookViews>
  <sheets>
    <sheet name="Erträge" sheetId="1" r:id="rId1"/>
    <sheet name="Erträge_R" sheetId="4" r:id="rId2"/>
    <sheet name="Längen_Rispen" sheetId="3" r:id="rId3"/>
    <sheet name="Kum. Erträge lichtabhängig" sheetId="7" r:id="rId4"/>
    <sheet name="Kum. Erträge Substrate" sheetId="8" r:id="rId5"/>
    <sheet name="Tab_Erträge_Statistik" sheetId="5" r:id="rId6"/>
  </sheets>
  <definedNames>
    <definedName name="_xlnm._FilterDatabase" localSheetId="1" hidden="1">Erträge_R!$A$1:$I$552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4" l="1"/>
  <c r="G130" i="1"/>
  <c r="G112" i="1"/>
  <c r="G111" i="1"/>
  <c r="G110" i="1"/>
  <c r="G109" i="1"/>
  <c r="G108" i="1"/>
  <c r="J534" i="4" l="1"/>
  <c r="J515" i="4"/>
  <c r="J496" i="4"/>
  <c r="J477" i="4"/>
  <c r="J458" i="4"/>
  <c r="J439" i="4"/>
  <c r="J420" i="4"/>
  <c r="J401" i="4"/>
  <c r="J382" i="4"/>
  <c r="J363" i="4"/>
  <c r="J344" i="4"/>
  <c r="J325" i="4"/>
  <c r="J306" i="4"/>
  <c r="J287" i="4"/>
  <c r="J268" i="4"/>
  <c r="J249" i="4"/>
  <c r="J230" i="4"/>
  <c r="J211" i="4"/>
  <c r="J192" i="4"/>
  <c r="J173" i="4"/>
  <c r="J154" i="4"/>
  <c r="J135" i="4"/>
  <c r="J116" i="4"/>
  <c r="J97" i="4"/>
  <c r="J78" i="4"/>
  <c r="J59" i="4"/>
  <c r="J40" i="4"/>
  <c r="J21" i="4"/>
  <c r="P6" i="4"/>
  <c r="O6" i="4"/>
  <c r="O2" i="4"/>
  <c r="O3" i="4"/>
  <c r="O4" i="4"/>
  <c r="O5" i="4"/>
  <c r="O7" i="4"/>
  <c r="P2" i="4"/>
  <c r="P3" i="4"/>
  <c r="P4" i="4"/>
  <c r="P5" i="4"/>
  <c r="P7" i="4"/>
  <c r="H552" i="4" l="1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G498" i="4"/>
  <c r="H498" i="4" s="1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G478" i="4"/>
  <c r="H477" i="4"/>
  <c r="H476" i="4"/>
  <c r="H475" i="4"/>
  <c r="H474" i="4"/>
  <c r="H473" i="4"/>
  <c r="H472" i="4"/>
  <c r="H471" i="4"/>
  <c r="H470" i="4"/>
  <c r="H469" i="4"/>
  <c r="H468" i="4"/>
  <c r="H467" i="4"/>
  <c r="G466" i="4"/>
  <c r="H466" i="4" s="1"/>
  <c r="G465" i="4"/>
  <c r="H464" i="4"/>
  <c r="G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G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G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G401" i="4"/>
  <c r="H400" i="4"/>
  <c r="H399" i="4"/>
  <c r="H398" i="4"/>
  <c r="H397" i="4"/>
  <c r="H396" i="4"/>
  <c r="H395" i="4"/>
  <c r="H394" i="4"/>
  <c r="H393" i="4"/>
  <c r="H392" i="4"/>
  <c r="H391" i="4"/>
  <c r="G390" i="4"/>
  <c r="H390" i="4" s="1"/>
  <c r="H389" i="4"/>
  <c r="H388" i="4"/>
  <c r="G387" i="4"/>
  <c r="H387" i="4" s="1"/>
  <c r="H386" i="4"/>
  <c r="H385" i="4"/>
  <c r="G384" i="4"/>
  <c r="H383" i="4"/>
  <c r="H382" i="4"/>
  <c r="G381" i="4"/>
  <c r="H381" i="4" s="1"/>
  <c r="G380" i="4"/>
  <c r="H380" i="4" s="1"/>
  <c r="G379" i="4"/>
  <c r="H379" i="4" s="1"/>
  <c r="H378" i="4"/>
  <c r="H377" i="4"/>
  <c r="H376" i="4"/>
  <c r="G375" i="4"/>
  <c r="H375" i="4" s="1"/>
  <c r="G374" i="4"/>
  <c r="H374" i="4" s="1"/>
  <c r="G373" i="4"/>
  <c r="G372" i="4"/>
  <c r="H372" i="4" s="1"/>
  <c r="G371" i="4"/>
  <c r="H371" i="4" s="1"/>
  <c r="G370" i="4"/>
  <c r="H370" i="4" s="1"/>
  <c r="G369" i="4"/>
  <c r="H369" i="4" s="1"/>
  <c r="G368" i="4"/>
  <c r="H368" i="4" s="1"/>
  <c r="H367" i="4"/>
  <c r="G366" i="4"/>
  <c r="H366" i="4" s="1"/>
  <c r="G365" i="4"/>
  <c r="G364" i="4"/>
  <c r="G363" i="4"/>
  <c r="G362" i="4"/>
  <c r="H362" i="4" s="1"/>
  <c r="G361" i="4"/>
  <c r="G360" i="4"/>
  <c r="H360" i="4" s="1"/>
  <c r="H359" i="4"/>
  <c r="H358" i="4"/>
  <c r="H357" i="4"/>
  <c r="G356" i="4"/>
  <c r="H355" i="4"/>
  <c r="G354" i="4"/>
  <c r="H353" i="4"/>
  <c r="G352" i="4"/>
  <c r="H352" i="4" s="1"/>
  <c r="G351" i="4"/>
  <c r="H351" i="4" s="1"/>
  <c r="G350" i="4"/>
  <c r="H350" i="4" s="1"/>
  <c r="G349" i="4"/>
  <c r="H349" i="4" s="1"/>
  <c r="G348" i="4"/>
  <c r="H348" i="4" s="1"/>
  <c r="G347" i="4"/>
  <c r="H347" i="4" s="1"/>
  <c r="G346" i="4"/>
  <c r="G345" i="4"/>
  <c r="G344" i="4"/>
  <c r="H343" i="4"/>
  <c r="G342" i="4"/>
  <c r="H342" i="4" s="1"/>
  <c r="G341" i="4"/>
  <c r="H340" i="4"/>
  <c r="G339" i="4"/>
  <c r="H338" i="4"/>
  <c r="H337" i="4"/>
  <c r="H336" i="4"/>
  <c r="H335" i="4"/>
  <c r="H334" i="4"/>
  <c r="H333" i="4"/>
  <c r="H332" i="4"/>
  <c r="H331" i="4"/>
  <c r="H330" i="4"/>
  <c r="G329" i="4"/>
  <c r="G328" i="4"/>
  <c r="H328" i="4" s="1"/>
  <c r="G327" i="4"/>
  <c r="H326" i="4"/>
  <c r="G325" i="4"/>
  <c r="H325" i="4" s="1"/>
  <c r="H324" i="4"/>
  <c r="H323" i="4"/>
  <c r="H322" i="4"/>
  <c r="H321" i="4"/>
  <c r="H320" i="4"/>
  <c r="H319" i="4"/>
  <c r="H318" i="4"/>
  <c r="H317" i="4"/>
  <c r="H316" i="4"/>
  <c r="H315" i="4"/>
  <c r="H314" i="4"/>
  <c r="H313" i="4"/>
  <c r="G312" i="4"/>
  <c r="H312" i="4" s="1"/>
  <c r="G311" i="4"/>
  <c r="H311" i="4" s="1"/>
  <c r="G310" i="4"/>
  <c r="H310" i="4" s="1"/>
  <c r="G309" i="4"/>
  <c r="H309" i="4" s="1"/>
  <c r="H308" i="4"/>
  <c r="G307" i="4"/>
  <c r="H306" i="4"/>
  <c r="H305" i="4"/>
  <c r="H304" i="4"/>
  <c r="H303" i="4"/>
  <c r="H302" i="4"/>
  <c r="H301" i="4"/>
  <c r="G300" i="4"/>
  <c r="H299" i="4"/>
  <c r="H298" i="4"/>
  <c r="H297" i="4"/>
  <c r="H296" i="4"/>
  <c r="G295" i="4"/>
  <c r="H294" i="4"/>
  <c r="G293" i="4"/>
  <c r="H293" i="4" s="1"/>
  <c r="G292" i="4"/>
  <c r="G291" i="4"/>
  <c r="H291" i="4" s="1"/>
  <c r="G290" i="4"/>
  <c r="H289" i="4"/>
  <c r="G288" i="4"/>
  <c r="H288" i="4" s="1"/>
  <c r="H287" i="4"/>
  <c r="G286" i="4"/>
  <c r="H286" i="4" s="1"/>
  <c r="G285" i="4"/>
  <c r="H284" i="4"/>
  <c r="H283" i="4"/>
  <c r="H282" i="4"/>
  <c r="H281" i="4"/>
  <c r="H280" i="4"/>
  <c r="H279" i="4"/>
  <c r="H278" i="4"/>
  <c r="H277" i="4"/>
  <c r="H276" i="4"/>
  <c r="G275" i="4"/>
  <c r="G274" i="4"/>
  <c r="H274" i="4" s="1"/>
  <c r="H273" i="4"/>
  <c r="H272" i="4"/>
  <c r="H271" i="4"/>
  <c r="H270" i="4"/>
  <c r="H269" i="4"/>
  <c r="H268" i="4"/>
  <c r="H267" i="4"/>
  <c r="H266" i="4"/>
  <c r="H265" i="4"/>
  <c r="H264" i="4"/>
  <c r="H263" i="4"/>
  <c r="H262" i="4"/>
  <c r="G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G248" i="4"/>
  <c r="H248" i="4" s="1"/>
  <c r="H247" i="4"/>
  <c r="G246" i="4"/>
  <c r="G245" i="4"/>
  <c r="G244" i="4"/>
  <c r="G243" i="4"/>
  <c r="H243" i="4" s="1"/>
  <c r="G242" i="4"/>
  <c r="H242" i="4" s="1"/>
  <c r="H241" i="4"/>
  <c r="H240" i="4"/>
  <c r="H239" i="4"/>
  <c r="G238" i="4"/>
  <c r="H238" i="4" s="1"/>
  <c r="H237" i="4"/>
  <c r="G236" i="4"/>
  <c r="H236" i="4" s="1"/>
  <c r="H235" i="4"/>
  <c r="G234" i="4"/>
  <c r="H234" i="4" s="1"/>
  <c r="G233" i="4"/>
  <c r="G232" i="4"/>
  <c r="G231" i="4"/>
  <c r="G230" i="4"/>
  <c r="H230" i="4" s="1"/>
  <c r="G229" i="4"/>
  <c r="H229" i="4" s="1"/>
  <c r="H228" i="4"/>
  <c r="H227" i="4"/>
  <c r="H226" i="4"/>
  <c r="G225" i="4"/>
  <c r="G224" i="4"/>
  <c r="G223" i="4"/>
  <c r="H222" i="4"/>
  <c r="H221" i="4"/>
  <c r="H220" i="4"/>
  <c r="H219" i="4"/>
  <c r="H218" i="4"/>
  <c r="H217" i="4"/>
  <c r="G216" i="4"/>
  <c r="H216" i="4" s="1"/>
  <c r="G215" i="4"/>
  <c r="H214" i="4"/>
  <c r="H213" i="4"/>
  <c r="H212" i="4"/>
  <c r="G211" i="4"/>
  <c r="G210" i="4"/>
  <c r="H210" i="4" s="1"/>
  <c r="G209" i="4"/>
  <c r="H209" i="4" s="1"/>
  <c r="G208" i="4"/>
  <c r="H208" i="4" s="1"/>
  <c r="G207" i="4"/>
  <c r="H207" i="4" s="1"/>
  <c r="G206" i="4"/>
  <c r="H205" i="4"/>
  <c r="H204" i="4"/>
  <c r="G203" i="4"/>
  <c r="G202" i="4"/>
  <c r="H202" i="4" s="1"/>
  <c r="G201" i="4"/>
  <c r="H201" i="4" s="1"/>
  <c r="G200" i="4"/>
  <c r="H200" i="4" s="1"/>
  <c r="G199" i="4"/>
  <c r="H199" i="4" s="1"/>
  <c r="G198" i="4"/>
  <c r="H198" i="4" s="1"/>
  <c r="G197" i="4"/>
  <c r="H197" i="4" s="1"/>
  <c r="G196" i="4"/>
  <c r="H196" i="4" s="1"/>
  <c r="G195" i="4"/>
  <c r="H195" i="4" s="1"/>
  <c r="G194" i="4"/>
  <c r="G193" i="4"/>
  <c r="H193" i="4" s="1"/>
  <c r="G192" i="4"/>
  <c r="H192" i="4" s="1"/>
  <c r="G191" i="4"/>
  <c r="H191" i="4" s="1"/>
  <c r="G190" i="4"/>
  <c r="H190" i="4" s="1"/>
  <c r="H189" i="4"/>
  <c r="H188" i="4"/>
  <c r="H187" i="4"/>
  <c r="H186" i="4"/>
  <c r="G185" i="4"/>
  <c r="G184" i="4"/>
  <c r="H183" i="4"/>
  <c r="H182" i="4"/>
  <c r="G181" i="4"/>
  <c r="H181" i="4" s="1"/>
  <c r="H180" i="4"/>
  <c r="G179" i="4"/>
  <c r="H179" i="4" s="1"/>
  <c r="G178" i="4"/>
  <c r="H178" i="4" s="1"/>
  <c r="G177" i="4"/>
  <c r="H177" i="4" s="1"/>
  <c r="G176" i="4"/>
  <c r="H176" i="4" s="1"/>
  <c r="G175" i="4"/>
  <c r="G174" i="4"/>
  <c r="H174" i="4" s="1"/>
  <c r="G173" i="4"/>
  <c r="G172" i="4"/>
  <c r="H172" i="4" s="1"/>
  <c r="G171" i="4"/>
  <c r="H170" i="4"/>
  <c r="H169" i="4"/>
  <c r="H168" i="4"/>
  <c r="H167" i="4"/>
  <c r="G166" i="4"/>
  <c r="G165" i="4"/>
  <c r="H165" i="4" s="1"/>
  <c r="H164" i="4"/>
  <c r="H163" i="4"/>
  <c r="G162" i="4"/>
  <c r="H162" i="4" s="1"/>
  <c r="G161" i="4"/>
  <c r="H161" i="4" s="1"/>
  <c r="H160" i="4"/>
  <c r="G159" i="4"/>
  <c r="H159" i="4" s="1"/>
  <c r="G158" i="4"/>
  <c r="H158" i="4" s="1"/>
  <c r="G157" i="4"/>
  <c r="G156" i="4"/>
  <c r="G155" i="4"/>
  <c r="G154" i="4"/>
  <c r="H153" i="4"/>
  <c r="H152" i="4"/>
  <c r="H151" i="4"/>
  <c r="H150" i="4"/>
  <c r="H149" i="4"/>
  <c r="G148" i="4"/>
  <c r="H148" i="4" s="1"/>
  <c r="H147" i="4"/>
  <c r="H146" i="4"/>
  <c r="H145" i="4"/>
  <c r="G144" i="4"/>
  <c r="G143" i="4"/>
  <c r="H143" i="4" s="1"/>
  <c r="G142" i="4"/>
  <c r="G141" i="4"/>
  <c r="H141" i="4" s="1"/>
  <c r="G140" i="4"/>
  <c r="H140" i="4" s="1"/>
  <c r="G139" i="4"/>
  <c r="H139" i="4" s="1"/>
  <c r="G138" i="4"/>
  <c r="G137" i="4"/>
  <c r="G136" i="4"/>
  <c r="H136" i="4" s="1"/>
  <c r="G135" i="4"/>
  <c r="H135" i="4" s="1"/>
  <c r="H134" i="4"/>
  <c r="H133" i="4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G126" i="4"/>
  <c r="H126" i="4" s="1"/>
  <c r="H125" i="4"/>
  <c r="G124" i="4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G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G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H32" i="4"/>
  <c r="H31" i="4"/>
  <c r="H30" i="4"/>
  <c r="H29" i="4"/>
  <c r="I29" i="4" s="1"/>
  <c r="H28" i="4"/>
  <c r="I28" i="4" s="1"/>
  <c r="H27" i="4"/>
  <c r="I27" i="4" s="1"/>
  <c r="H26" i="4"/>
  <c r="I26" i="4" s="1"/>
  <c r="H25" i="4"/>
  <c r="I25" i="4" s="1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N4" i="4" l="1"/>
  <c r="M139" i="4"/>
  <c r="N139" i="4"/>
  <c r="M325" i="4"/>
  <c r="N325" i="4"/>
  <c r="N387" i="4"/>
  <c r="M387" i="4"/>
  <c r="N421" i="4"/>
  <c r="M421" i="4"/>
  <c r="M441" i="4"/>
  <c r="N441" i="4"/>
  <c r="M443" i="4"/>
  <c r="N443" i="4"/>
  <c r="N463" i="4"/>
  <c r="M463" i="4"/>
  <c r="M477" i="4"/>
  <c r="N477" i="4"/>
  <c r="N539" i="4"/>
  <c r="M539" i="4"/>
  <c r="N7" i="4"/>
  <c r="M7" i="4"/>
  <c r="N78" i="4"/>
  <c r="M78" i="4"/>
  <c r="M250" i="4"/>
  <c r="N250" i="4"/>
  <c r="N306" i="4"/>
  <c r="M306" i="4"/>
  <c r="M328" i="4"/>
  <c r="N328" i="4"/>
  <c r="M368" i="4"/>
  <c r="N368" i="4"/>
  <c r="N382" i="4"/>
  <c r="M382" i="4"/>
  <c r="N422" i="4"/>
  <c r="M422" i="4"/>
  <c r="N424" i="4"/>
  <c r="M424" i="4"/>
  <c r="M444" i="4"/>
  <c r="N444" i="4"/>
  <c r="N458" i="4"/>
  <c r="M458" i="4"/>
  <c r="M480" i="4"/>
  <c r="N480" i="4"/>
  <c r="N498" i="4"/>
  <c r="M498" i="4"/>
  <c r="N500" i="4"/>
  <c r="M500" i="4"/>
  <c r="N520" i="4"/>
  <c r="M520" i="4"/>
  <c r="N534" i="4"/>
  <c r="M534" i="4"/>
  <c r="M2" i="4"/>
  <c r="N2" i="4"/>
  <c r="N22" i="4"/>
  <c r="M22" i="4"/>
  <c r="I30" i="4"/>
  <c r="M24" i="4"/>
  <c r="N24" i="4"/>
  <c r="N42" i="4"/>
  <c r="M42" i="4"/>
  <c r="N44" i="4"/>
  <c r="M44" i="4"/>
  <c r="N79" i="4"/>
  <c r="M79" i="4"/>
  <c r="N81" i="4"/>
  <c r="M81" i="4"/>
  <c r="M99" i="4"/>
  <c r="N99" i="4"/>
  <c r="M101" i="4"/>
  <c r="N101" i="4"/>
  <c r="M177" i="4"/>
  <c r="N177" i="4"/>
  <c r="M251" i="4"/>
  <c r="N251" i="4"/>
  <c r="M253" i="4"/>
  <c r="N253" i="4"/>
  <c r="N309" i="4"/>
  <c r="M309" i="4"/>
  <c r="N383" i="4"/>
  <c r="M383" i="4"/>
  <c r="N385" i="4"/>
  <c r="M385" i="4"/>
  <c r="M403" i="4"/>
  <c r="N403" i="4"/>
  <c r="M405" i="4"/>
  <c r="N405" i="4"/>
  <c r="N425" i="4"/>
  <c r="M425" i="4"/>
  <c r="N461" i="4"/>
  <c r="M461" i="4"/>
  <c r="M479" i="4"/>
  <c r="N479" i="4"/>
  <c r="M481" i="4"/>
  <c r="N481" i="4"/>
  <c r="N501" i="4"/>
  <c r="M501" i="4"/>
  <c r="M515" i="4"/>
  <c r="N515" i="4"/>
  <c r="N535" i="4"/>
  <c r="M535" i="4"/>
  <c r="N537" i="4"/>
  <c r="M537" i="4"/>
  <c r="N6" i="4"/>
  <c r="M6" i="4"/>
  <c r="I32" i="4"/>
  <c r="I51" i="4" s="1"/>
  <c r="N26" i="4"/>
  <c r="M26" i="4"/>
  <c r="N40" i="4"/>
  <c r="M40" i="4"/>
  <c r="M97" i="4"/>
  <c r="N97" i="4"/>
  <c r="N119" i="4"/>
  <c r="M119" i="4"/>
  <c r="N193" i="4"/>
  <c r="M193" i="4"/>
  <c r="N195" i="4"/>
  <c r="M195" i="4"/>
  <c r="M213" i="4"/>
  <c r="N213" i="4"/>
  <c r="M249" i="4"/>
  <c r="N249" i="4"/>
  <c r="N271" i="4"/>
  <c r="M271" i="4"/>
  <c r="N311" i="4"/>
  <c r="M311" i="4"/>
  <c r="N423" i="4"/>
  <c r="M423" i="4"/>
  <c r="N497" i="4"/>
  <c r="M497" i="4"/>
  <c r="N499" i="4"/>
  <c r="M499" i="4"/>
  <c r="M517" i="4"/>
  <c r="N517" i="4"/>
  <c r="M519" i="4"/>
  <c r="N519" i="4"/>
  <c r="I21" i="4"/>
  <c r="I40" i="4" s="1"/>
  <c r="N21" i="4"/>
  <c r="M21" i="4"/>
  <c r="N41" i="4"/>
  <c r="M41" i="4"/>
  <c r="N43" i="4"/>
  <c r="M43" i="4"/>
  <c r="M98" i="4"/>
  <c r="N98" i="4"/>
  <c r="M100" i="4"/>
  <c r="N100" i="4"/>
  <c r="N120" i="4"/>
  <c r="M120" i="4"/>
  <c r="M140" i="4"/>
  <c r="N140" i="4"/>
  <c r="M174" i="4"/>
  <c r="N174" i="4"/>
  <c r="N196" i="4"/>
  <c r="M196" i="4"/>
  <c r="N270" i="4"/>
  <c r="M270" i="4"/>
  <c r="N272" i="4"/>
  <c r="M272" i="4"/>
  <c r="M292" i="4"/>
  <c r="N292" i="4"/>
  <c r="M402" i="4"/>
  <c r="N402" i="4"/>
  <c r="M404" i="4"/>
  <c r="N404" i="4"/>
  <c r="N3" i="4"/>
  <c r="N5" i="4"/>
  <c r="M5" i="4"/>
  <c r="M23" i="4"/>
  <c r="N23" i="4"/>
  <c r="I31" i="4"/>
  <c r="I50" i="4" s="1"/>
  <c r="N25" i="4"/>
  <c r="M25" i="4"/>
  <c r="N45" i="4"/>
  <c r="M45" i="4"/>
  <c r="M62" i="4"/>
  <c r="N80" i="4"/>
  <c r="M80" i="4"/>
  <c r="N82" i="4"/>
  <c r="M82" i="4"/>
  <c r="M102" i="4"/>
  <c r="N102" i="4"/>
  <c r="N158" i="4"/>
  <c r="M158" i="4"/>
  <c r="N192" i="4"/>
  <c r="M192" i="4"/>
  <c r="M254" i="4"/>
  <c r="N254" i="4"/>
  <c r="N268" i="4"/>
  <c r="M268" i="4"/>
  <c r="M288" i="4"/>
  <c r="N288" i="4"/>
  <c r="M290" i="4"/>
  <c r="N290" i="4"/>
  <c r="N308" i="4"/>
  <c r="M308" i="4"/>
  <c r="N310" i="4"/>
  <c r="M310" i="4"/>
  <c r="M366" i="4"/>
  <c r="N366" i="4"/>
  <c r="N386" i="4"/>
  <c r="M386" i="4"/>
  <c r="M406" i="4"/>
  <c r="N406" i="4"/>
  <c r="M440" i="4"/>
  <c r="N440" i="4"/>
  <c r="M442" i="4"/>
  <c r="N442" i="4"/>
  <c r="N462" i="4"/>
  <c r="M462" i="4"/>
  <c r="M482" i="4"/>
  <c r="N482" i="4"/>
  <c r="N496" i="4"/>
  <c r="M496" i="4"/>
  <c r="M516" i="4"/>
  <c r="N516" i="4"/>
  <c r="M518" i="4"/>
  <c r="N518" i="4"/>
  <c r="N536" i="4"/>
  <c r="M536" i="4"/>
  <c r="N538" i="4"/>
  <c r="M538" i="4"/>
  <c r="N63" i="4"/>
  <c r="M63" i="4"/>
  <c r="M64" i="4"/>
  <c r="N64" i="4"/>
  <c r="N62" i="4"/>
  <c r="N61" i="4"/>
  <c r="M61" i="4"/>
  <c r="M59" i="4"/>
  <c r="N59" i="4"/>
  <c r="N60" i="4"/>
  <c r="M60" i="4"/>
  <c r="M3" i="4"/>
  <c r="M4" i="4"/>
  <c r="I54" i="4"/>
  <c r="I73" i="4" s="1"/>
  <c r="I49" i="4"/>
  <c r="I56" i="4"/>
  <c r="I75" i="4" s="1"/>
  <c r="I94" i="4" s="1"/>
  <c r="I113" i="4" s="1"/>
  <c r="I132" i="4" s="1"/>
  <c r="I151" i="4" s="1"/>
  <c r="I170" i="4" s="1"/>
  <c r="I189" i="4" s="1"/>
  <c r="I208" i="4" s="1"/>
  <c r="I227" i="4" s="1"/>
  <c r="I46" i="4"/>
  <c r="I65" i="4" s="1"/>
  <c r="I84" i="4" s="1"/>
  <c r="I103" i="4" s="1"/>
  <c r="I122" i="4" s="1"/>
  <c r="I141" i="4" s="1"/>
  <c r="I160" i="4" s="1"/>
  <c r="I179" i="4" s="1"/>
  <c r="I198" i="4" s="1"/>
  <c r="I217" i="4" s="1"/>
  <c r="I236" i="4" s="1"/>
  <c r="I255" i="4" s="1"/>
  <c r="I274" i="4" s="1"/>
  <c r="I293" i="4" s="1"/>
  <c r="I312" i="4" s="1"/>
  <c r="I331" i="4" s="1"/>
  <c r="I350" i="4" s="1"/>
  <c r="I369" i="4" s="1"/>
  <c r="I388" i="4" s="1"/>
  <c r="I407" i="4" s="1"/>
  <c r="I426" i="4" s="1"/>
  <c r="I445" i="4" s="1"/>
  <c r="I464" i="4" s="1"/>
  <c r="I483" i="4" s="1"/>
  <c r="I502" i="4" s="1"/>
  <c r="I521" i="4" s="1"/>
  <c r="I540" i="4" s="1"/>
  <c r="I55" i="4"/>
  <c r="I74" i="4" s="1"/>
  <c r="I93" i="4" s="1"/>
  <c r="I112" i="4" s="1"/>
  <c r="I131" i="4" s="1"/>
  <c r="I150" i="4" s="1"/>
  <c r="I169" i="4" s="1"/>
  <c r="I188" i="4" s="1"/>
  <c r="I207" i="4" s="1"/>
  <c r="I226" i="4" s="1"/>
  <c r="I48" i="4"/>
  <c r="I67" i="4" s="1"/>
  <c r="I86" i="4" s="1"/>
  <c r="I105" i="4" s="1"/>
  <c r="H478" i="4"/>
  <c r="I58" i="4"/>
  <c r="I77" i="4" s="1"/>
  <c r="I96" i="4" s="1"/>
  <c r="I115" i="4" s="1"/>
  <c r="I134" i="4" s="1"/>
  <c r="I153" i="4" s="1"/>
  <c r="I172" i="4" s="1"/>
  <c r="I191" i="4" s="1"/>
  <c r="I210" i="4" s="1"/>
  <c r="I229" i="4" s="1"/>
  <c r="I248" i="4" s="1"/>
  <c r="I267" i="4" s="1"/>
  <c r="I286" i="4" s="1"/>
  <c r="I305" i="4" s="1"/>
  <c r="I324" i="4" s="1"/>
  <c r="I343" i="4" s="1"/>
  <c r="I362" i="4" s="1"/>
  <c r="I381" i="4" s="1"/>
  <c r="I400" i="4" s="1"/>
  <c r="I419" i="4" s="1"/>
  <c r="I438" i="4" s="1"/>
  <c r="I457" i="4" s="1"/>
  <c r="I476" i="4" s="1"/>
  <c r="I495" i="4" s="1"/>
  <c r="I514" i="4" s="1"/>
  <c r="I533" i="4" s="1"/>
  <c r="I552" i="4" s="1"/>
  <c r="I47" i="4"/>
  <c r="I66" i="4" s="1"/>
  <c r="I85" i="4" s="1"/>
  <c r="I104" i="4" s="1"/>
  <c r="I123" i="4" s="1"/>
  <c r="H339" i="4"/>
  <c r="M330" i="4" s="1"/>
  <c r="I57" i="4"/>
  <c r="I76" i="4" s="1"/>
  <c r="I95" i="4" s="1"/>
  <c r="I114" i="4" s="1"/>
  <c r="I133" i="4" s="1"/>
  <c r="I152" i="4" s="1"/>
  <c r="H295" i="4"/>
  <c r="H300" i="4"/>
  <c r="M291" i="4" s="1"/>
  <c r="H401" i="4"/>
  <c r="H144" i="4"/>
  <c r="I45" i="4"/>
  <c r="I64" i="4" s="1"/>
  <c r="I83" i="4" s="1"/>
  <c r="I102" i="4" s="1"/>
  <c r="I121" i="4" s="1"/>
  <c r="I140" i="4" s="1"/>
  <c r="I159" i="4" s="1"/>
  <c r="I178" i="4" s="1"/>
  <c r="I197" i="4" s="1"/>
  <c r="I216" i="4" s="1"/>
  <c r="I235" i="4" s="1"/>
  <c r="I254" i="4" s="1"/>
  <c r="I273" i="4" s="1"/>
  <c r="I22" i="4"/>
  <c r="H155" i="4"/>
  <c r="H245" i="4"/>
  <c r="M233" i="4" s="1"/>
  <c r="H327" i="4"/>
  <c r="H223" i="4"/>
  <c r="M214" i="4" s="1"/>
  <c r="H354" i="4"/>
  <c r="I53" i="4"/>
  <c r="I72" i="4" s="1"/>
  <c r="I91" i="4" s="1"/>
  <c r="I110" i="4" s="1"/>
  <c r="I129" i="4" s="1"/>
  <c r="I148" i="4" s="1"/>
  <c r="I167" i="4" s="1"/>
  <c r="I186" i="4" s="1"/>
  <c r="I205" i="4" s="1"/>
  <c r="H356" i="4"/>
  <c r="N347" i="4" s="1"/>
  <c r="H117" i="4"/>
  <c r="H175" i="4"/>
  <c r="H185" i="4"/>
  <c r="N176" i="4" s="1"/>
  <c r="H329" i="4"/>
  <c r="M326" i="4" s="1"/>
  <c r="H439" i="4"/>
  <c r="H465" i="4"/>
  <c r="M459" i="4" s="1"/>
  <c r="I44" i="4"/>
  <c r="I63" i="4" s="1"/>
  <c r="I82" i="4" s="1"/>
  <c r="I101" i="4" s="1"/>
  <c r="I120" i="4" s="1"/>
  <c r="I139" i="4" s="1"/>
  <c r="I158" i="4" s="1"/>
  <c r="I177" i="4" s="1"/>
  <c r="I196" i="4" s="1"/>
  <c r="H127" i="4"/>
  <c r="H157" i="4"/>
  <c r="H194" i="4"/>
  <c r="H215" i="4"/>
  <c r="M212" i="4" s="1"/>
  <c r="H225" i="4"/>
  <c r="M216" i="4" s="1"/>
  <c r="H246" i="4"/>
  <c r="N234" i="4" s="1"/>
  <c r="H345" i="4"/>
  <c r="H364" i="4"/>
  <c r="H154" i="4"/>
  <c r="H116" i="4"/>
  <c r="H138" i="4"/>
  <c r="N135" i="4" s="1"/>
  <c r="I33" i="4"/>
  <c r="I52" i="4" s="1"/>
  <c r="I71" i="4" s="1"/>
  <c r="I90" i="4" s="1"/>
  <c r="I109" i="4" s="1"/>
  <c r="I128" i="4" s="1"/>
  <c r="I147" i="4" s="1"/>
  <c r="H156" i="4"/>
  <c r="H171" i="4"/>
  <c r="N159" i="4" s="1"/>
  <c r="H142" i="4"/>
  <c r="M136" i="4" s="1"/>
  <c r="H124" i="4"/>
  <c r="M118" i="4" s="1"/>
  <c r="I24" i="4"/>
  <c r="I43" i="4" s="1"/>
  <c r="I62" i="4" s="1"/>
  <c r="I81" i="4" s="1"/>
  <c r="I100" i="4" s="1"/>
  <c r="I119" i="4" s="1"/>
  <c r="H137" i="4"/>
  <c r="H232" i="4"/>
  <c r="H173" i="4"/>
  <c r="I23" i="4"/>
  <c r="H92" i="4"/>
  <c r="N83" i="4" s="1"/>
  <c r="H233" i="4"/>
  <c r="M230" i="4" s="1"/>
  <c r="H166" i="4"/>
  <c r="N157" i="4" s="1"/>
  <c r="H275" i="4"/>
  <c r="N269" i="4" s="1"/>
  <c r="H285" i="4"/>
  <c r="M273" i="4" s="1"/>
  <c r="H363" i="4"/>
  <c r="H206" i="4"/>
  <c r="H361" i="4"/>
  <c r="M349" i="4" s="1"/>
  <c r="H261" i="4"/>
  <c r="M252" i="4" s="1"/>
  <c r="H344" i="4"/>
  <c r="H184" i="4"/>
  <c r="H203" i="4"/>
  <c r="H211" i="4"/>
  <c r="H224" i="4"/>
  <c r="M215" i="4" s="1"/>
  <c r="H231" i="4"/>
  <c r="H244" i="4"/>
  <c r="N235" i="4" s="1"/>
  <c r="H290" i="4"/>
  <c r="M287" i="4" s="1"/>
  <c r="H373" i="4"/>
  <c r="H292" i="4"/>
  <c r="H341" i="4"/>
  <c r="M329" i="4" s="1"/>
  <c r="H365" i="4"/>
  <c r="H346" i="4"/>
  <c r="H307" i="4"/>
  <c r="H384" i="4"/>
  <c r="H463" i="4"/>
  <c r="N460" i="4" s="1"/>
  <c r="H420" i="4"/>
  <c r="I54" i="3"/>
  <c r="H54" i="3"/>
  <c r="I53" i="3"/>
  <c r="K39" i="3"/>
  <c r="J39" i="3"/>
  <c r="I39" i="3"/>
  <c r="H39" i="3"/>
  <c r="K54" i="3"/>
  <c r="K53" i="3"/>
  <c r="K52" i="3"/>
  <c r="K49" i="3"/>
  <c r="K48" i="3"/>
  <c r="K47" i="3"/>
  <c r="K45" i="3"/>
  <c r="K44" i="3"/>
  <c r="K43" i="3"/>
  <c r="K41" i="3"/>
  <c r="K40" i="3"/>
  <c r="K20" i="3"/>
  <c r="K19" i="3"/>
  <c r="K18" i="3"/>
  <c r="K15" i="3"/>
  <c r="K14" i="3"/>
  <c r="K13" i="3"/>
  <c r="K11" i="3"/>
  <c r="K10" i="3"/>
  <c r="K9" i="3"/>
  <c r="K7" i="3"/>
  <c r="K6" i="3"/>
  <c r="K5" i="3"/>
  <c r="I52" i="3"/>
  <c r="I49" i="3"/>
  <c r="I48" i="3"/>
  <c r="I47" i="3"/>
  <c r="I45" i="3"/>
  <c r="I44" i="3"/>
  <c r="I43" i="3"/>
  <c r="I41" i="3"/>
  <c r="I40" i="3"/>
  <c r="I20" i="3"/>
  <c r="I19" i="3"/>
  <c r="I18" i="3"/>
  <c r="I15" i="3"/>
  <c r="I14" i="3"/>
  <c r="I13" i="3"/>
  <c r="I11" i="3"/>
  <c r="I10" i="3"/>
  <c r="I9" i="3"/>
  <c r="I7" i="3"/>
  <c r="I6" i="3"/>
  <c r="I5" i="3"/>
  <c r="J18" i="3"/>
  <c r="J5" i="3"/>
  <c r="H18" i="3"/>
  <c r="H5" i="3"/>
  <c r="N212" i="4" l="1"/>
  <c r="N118" i="4"/>
  <c r="N289" i="4"/>
  <c r="M234" i="4"/>
  <c r="N215" i="4"/>
  <c r="M83" i="4"/>
  <c r="N287" i="4"/>
  <c r="M135" i="4"/>
  <c r="M159" i="4"/>
  <c r="M289" i="4"/>
  <c r="M176" i="4"/>
  <c r="N273" i="4"/>
  <c r="N252" i="4"/>
  <c r="N291" i="4"/>
  <c r="N230" i="4"/>
  <c r="N459" i="4"/>
  <c r="N307" i="4"/>
  <c r="M307" i="4"/>
  <c r="N231" i="4"/>
  <c r="M231" i="4"/>
  <c r="M178" i="4"/>
  <c r="N178" i="4"/>
  <c r="M173" i="4"/>
  <c r="N173" i="4"/>
  <c r="M364" i="4"/>
  <c r="N364" i="4"/>
  <c r="I68" i="4"/>
  <c r="P62" i="4" s="1"/>
  <c r="P43" i="4"/>
  <c r="O43" i="4"/>
  <c r="N384" i="4"/>
  <c r="M384" i="4"/>
  <c r="N154" i="4"/>
  <c r="M154" i="4"/>
  <c r="M327" i="4"/>
  <c r="N327" i="4"/>
  <c r="N326" i="4"/>
  <c r="M347" i="4"/>
  <c r="M138" i="4"/>
  <c r="N138" i="4"/>
  <c r="M478" i="4"/>
  <c r="N478" i="4"/>
  <c r="N329" i="4"/>
  <c r="M157" i="4"/>
  <c r="N420" i="4"/>
  <c r="M420" i="4"/>
  <c r="N346" i="4"/>
  <c r="M346" i="4"/>
  <c r="M367" i="4"/>
  <c r="N367" i="4"/>
  <c r="N344" i="4"/>
  <c r="M344" i="4"/>
  <c r="M363" i="4"/>
  <c r="N363" i="4"/>
  <c r="N232" i="4"/>
  <c r="M232" i="4"/>
  <c r="N345" i="4"/>
  <c r="M345" i="4"/>
  <c r="N194" i="4"/>
  <c r="M194" i="4"/>
  <c r="M175" i="4"/>
  <c r="N175" i="4"/>
  <c r="N348" i="4"/>
  <c r="M348" i="4"/>
  <c r="N155" i="4"/>
  <c r="M155" i="4"/>
  <c r="M401" i="4"/>
  <c r="N401" i="4"/>
  <c r="I69" i="4"/>
  <c r="I88" i="4" s="1"/>
  <c r="P44" i="4"/>
  <c r="O44" i="4"/>
  <c r="M460" i="4"/>
  <c r="N330" i="4"/>
  <c r="N214" i="4"/>
  <c r="N136" i="4"/>
  <c r="M235" i="4"/>
  <c r="P26" i="4"/>
  <c r="O26" i="4"/>
  <c r="N233" i="4"/>
  <c r="M269" i="4"/>
  <c r="N197" i="4"/>
  <c r="M197" i="4"/>
  <c r="O23" i="4"/>
  <c r="P23" i="4"/>
  <c r="N156" i="4"/>
  <c r="M156" i="4"/>
  <c r="N121" i="4"/>
  <c r="M121" i="4"/>
  <c r="I70" i="4"/>
  <c r="P64" i="4" s="1"/>
  <c r="P45" i="4"/>
  <c r="O45" i="4"/>
  <c r="N349" i="4"/>
  <c r="N216" i="4"/>
  <c r="M365" i="4"/>
  <c r="N365" i="4"/>
  <c r="M211" i="4"/>
  <c r="N211" i="4"/>
  <c r="M137" i="4"/>
  <c r="N137" i="4"/>
  <c r="N116" i="4"/>
  <c r="M116" i="4"/>
  <c r="M439" i="4"/>
  <c r="N439" i="4"/>
  <c r="N117" i="4"/>
  <c r="M117" i="4"/>
  <c r="I41" i="4"/>
  <c r="O22" i="4"/>
  <c r="P22" i="4"/>
  <c r="I59" i="4"/>
  <c r="P59" i="4" s="1"/>
  <c r="P40" i="4"/>
  <c r="O40" i="4"/>
  <c r="P25" i="4"/>
  <c r="O25" i="4"/>
  <c r="P21" i="4"/>
  <c r="O21" i="4"/>
  <c r="P24" i="4"/>
  <c r="O24" i="4"/>
  <c r="I245" i="4"/>
  <c r="I264" i="4" s="1"/>
  <c r="I283" i="4" s="1"/>
  <c r="I302" i="4" s="1"/>
  <c r="I321" i="4" s="1"/>
  <c r="I340" i="4" s="1"/>
  <c r="I359" i="4" s="1"/>
  <c r="I378" i="4" s="1"/>
  <c r="I397" i="4" s="1"/>
  <c r="I416" i="4" s="1"/>
  <c r="I435" i="4" s="1"/>
  <c r="I454" i="4" s="1"/>
  <c r="I473" i="4" s="1"/>
  <c r="I492" i="4" s="1"/>
  <c r="I511" i="4" s="1"/>
  <c r="I530" i="4" s="1"/>
  <c r="I549" i="4" s="1"/>
  <c r="I124" i="4"/>
  <c r="I143" i="4" s="1"/>
  <c r="I162" i="4" s="1"/>
  <c r="I181" i="4" s="1"/>
  <c r="I200" i="4" s="1"/>
  <c r="I219" i="4" s="1"/>
  <c r="I238" i="4" s="1"/>
  <c r="I257" i="4" s="1"/>
  <c r="I276" i="4" s="1"/>
  <c r="I295" i="4" s="1"/>
  <c r="I314" i="4" s="1"/>
  <c r="I333" i="4" s="1"/>
  <c r="I352" i="4" s="1"/>
  <c r="I371" i="4" s="1"/>
  <c r="I390" i="4" s="1"/>
  <c r="I409" i="4" s="1"/>
  <c r="I428" i="4" s="1"/>
  <c r="I447" i="4" s="1"/>
  <c r="I466" i="4" s="1"/>
  <c r="I485" i="4" s="1"/>
  <c r="I504" i="4" s="1"/>
  <c r="I523" i="4" s="1"/>
  <c r="I542" i="4" s="1"/>
  <c r="I246" i="4"/>
  <c r="I265" i="4" s="1"/>
  <c r="I284" i="4" s="1"/>
  <c r="I303" i="4" s="1"/>
  <c r="I322" i="4" s="1"/>
  <c r="I341" i="4" s="1"/>
  <c r="I360" i="4" s="1"/>
  <c r="I379" i="4" s="1"/>
  <c r="I398" i="4" s="1"/>
  <c r="I417" i="4" s="1"/>
  <c r="I436" i="4" s="1"/>
  <c r="I455" i="4" s="1"/>
  <c r="I474" i="4" s="1"/>
  <c r="I493" i="4" s="1"/>
  <c r="I512" i="4" s="1"/>
  <c r="I531" i="4" s="1"/>
  <c r="I550" i="4" s="1"/>
  <c r="I215" i="4"/>
  <c r="I234" i="4" s="1"/>
  <c r="I253" i="4" s="1"/>
  <c r="I272" i="4" s="1"/>
  <c r="I291" i="4" s="1"/>
  <c r="I310" i="4" s="1"/>
  <c r="I329" i="4" s="1"/>
  <c r="I348" i="4" s="1"/>
  <c r="I367" i="4" s="1"/>
  <c r="I386" i="4" s="1"/>
  <c r="I405" i="4" s="1"/>
  <c r="I424" i="4" s="1"/>
  <c r="I443" i="4" s="1"/>
  <c r="I462" i="4" s="1"/>
  <c r="I481" i="4" s="1"/>
  <c r="I500" i="4" s="1"/>
  <c r="I519" i="4" s="1"/>
  <c r="I538" i="4" s="1"/>
  <c r="I171" i="4"/>
  <c r="I190" i="4" s="1"/>
  <c r="I142" i="4"/>
  <c r="I161" i="4" s="1"/>
  <c r="I180" i="4" s="1"/>
  <c r="I199" i="4" s="1"/>
  <c r="I218" i="4" s="1"/>
  <c r="I237" i="4" s="1"/>
  <c r="I224" i="4"/>
  <c r="I243" i="4" s="1"/>
  <c r="I262" i="4" s="1"/>
  <c r="I281" i="4" s="1"/>
  <c r="I300" i="4" s="1"/>
  <c r="I319" i="4" s="1"/>
  <c r="I338" i="4" s="1"/>
  <c r="I357" i="4" s="1"/>
  <c r="I376" i="4" s="1"/>
  <c r="I395" i="4" s="1"/>
  <c r="I414" i="4" s="1"/>
  <c r="I433" i="4" s="1"/>
  <c r="I452" i="4" s="1"/>
  <c r="I471" i="4" s="1"/>
  <c r="I490" i="4" s="1"/>
  <c r="I509" i="4" s="1"/>
  <c r="I528" i="4" s="1"/>
  <c r="I547" i="4" s="1"/>
  <c r="I138" i="4"/>
  <c r="I157" i="4" s="1"/>
  <c r="I176" i="4" s="1"/>
  <c r="I195" i="4" s="1"/>
  <c r="I214" i="4" s="1"/>
  <c r="I233" i="4" s="1"/>
  <c r="I252" i="4" s="1"/>
  <c r="I271" i="4" s="1"/>
  <c r="I290" i="4" s="1"/>
  <c r="I309" i="4" s="1"/>
  <c r="I328" i="4" s="1"/>
  <c r="I347" i="4" s="1"/>
  <c r="I366" i="4" s="1"/>
  <c r="I385" i="4" s="1"/>
  <c r="I404" i="4" s="1"/>
  <c r="I423" i="4" s="1"/>
  <c r="I442" i="4" s="1"/>
  <c r="I461" i="4" s="1"/>
  <c r="I480" i="4" s="1"/>
  <c r="I499" i="4" s="1"/>
  <c r="I518" i="4" s="1"/>
  <c r="I537" i="4" s="1"/>
  <c r="I42" i="4"/>
  <c r="I92" i="4"/>
  <c r="I111" i="4" s="1"/>
  <c r="I130" i="4" s="1"/>
  <c r="I149" i="4" s="1"/>
  <c r="I168" i="4" s="1"/>
  <c r="I187" i="4" s="1"/>
  <c r="I206" i="4" s="1"/>
  <c r="I225" i="4" s="1"/>
  <c r="I244" i="4" s="1"/>
  <c r="I263" i="4" s="1"/>
  <c r="I282" i="4" s="1"/>
  <c r="I301" i="4" s="1"/>
  <c r="I320" i="4" s="1"/>
  <c r="I339" i="4" s="1"/>
  <c r="I358" i="4" s="1"/>
  <c r="I377" i="4" s="1"/>
  <c r="I396" i="4" s="1"/>
  <c r="I415" i="4" s="1"/>
  <c r="I434" i="4" s="1"/>
  <c r="I453" i="4" s="1"/>
  <c r="I472" i="4" s="1"/>
  <c r="I491" i="4" s="1"/>
  <c r="I510" i="4" s="1"/>
  <c r="I529" i="4" s="1"/>
  <c r="I548" i="4" s="1"/>
  <c r="I166" i="4"/>
  <c r="I185" i="4" s="1"/>
  <c r="I204" i="4" s="1"/>
  <c r="I223" i="4" s="1"/>
  <c r="I242" i="4" s="1"/>
  <c r="I261" i="4" s="1"/>
  <c r="I280" i="4" s="1"/>
  <c r="I299" i="4" s="1"/>
  <c r="I318" i="4" s="1"/>
  <c r="I337" i="4" s="1"/>
  <c r="I356" i="4" s="1"/>
  <c r="I375" i="4" s="1"/>
  <c r="I394" i="4" s="1"/>
  <c r="I413" i="4" s="1"/>
  <c r="I432" i="4" s="1"/>
  <c r="I451" i="4" s="1"/>
  <c r="I470" i="4" s="1"/>
  <c r="I489" i="4" s="1"/>
  <c r="I508" i="4" s="1"/>
  <c r="I527" i="4" s="1"/>
  <c r="I546" i="4" s="1"/>
  <c r="I292" i="4"/>
  <c r="I311" i="4" s="1"/>
  <c r="I330" i="4" s="1"/>
  <c r="I349" i="4" s="1"/>
  <c r="I368" i="4" s="1"/>
  <c r="I387" i="4" s="1"/>
  <c r="I406" i="4" s="1"/>
  <c r="I425" i="4" s="1"/>
  <c r="I444" i="4" s="1"/>
  <c r="I463" i="4" s="1"/>
  <c r="I482" i="4" s="1"/>
  <c r="I501" i="4" s="1"/>
  <c r="I520" i="4" s="1"/>
  <c r="I539" i="4" s="1"/>
  <c r="J19" i="3"/>
  <c r="J20" i="3"/>
  <c r="H20" i="3"/>
  <c r="H19" i="3"/>
  <c r="J52" i="3"/>
  <c r="J15" i="3"/>
  <c r="H15" i="3"/>
  <c r="J11" i="3"/>
  <c r="H11" i="3"/>
  <c r="J7" i="3"/>
  <c r="H7" i="3"/>
  <c r="J14" i="3"/>
  <c r="H14" i="3"/>
  <c r="J10" i="3"/>
  <c r="H10" i="3"/>
  <c r="J6" i="3"/>
  <c r="H6" i="3"/>
  <c r="J13" i="3"/>
  <c r="H13" i="3"/>
  <c r="J9" i="3"/>
  <c r="H9" i="3"/>
  <c r="O62" i="4" l="1"/>
  <c r="I89" i="4"/>
  <c r="O83" i="4" s="1"/>
  <c r="O59" i="4"/>
  <c r="O64" i="4"/>
  <c r="P63" i="4"/>
  <c r="O63" i="4"/>
  <c r="P42" i="4"/>
  <c r="O42" i="4"/>
  <c r="I60" i="4"/>
  <c r="P41" i="4"/>
  <c r="O41" i="4"/>
  <c r="P82" i="4"/>
  <c r="O82" i="4"/>
  <c r="I107" i="4"/>
  <c r="I256" i="4"/>
  <c r="I275" i="4" s="1"/>
  <c r="I294" i="4" s="1"/>
  <c r="I313" i="4" s="1"/>
  <c r="I332" i="4" s="1"/>
  <c r="I351" i="4" s="1"/>
  <c r="I370" i="4" s="1"/>
  <c r="I389" i="4" s="1"/>
  <c r="I408" i="4" s="1"/>
  <c r="I427" i="4" s="1"/>
  <c r="I446" i="4" s="1"/>
  <c r="I465" i="4" s="1"/>
  <c r="I484" i="4" s="1"/>
  <c r="I503" i="4" s="1"/>
  <c r="I522" i="4" s="1"/>
  <c r="I541" i="4" s="1"/>
  <c r="I209" i="4"/>
  <c r="I228" i="4" s="1"/>
  <c r="I247" i="4" s="1"/>
  <c r="I61" i="4"/>
  <c r="I78" i="4"/>
  <c r="I108" i="4"/>
  <c r="J43" i="3"/>
  <c r="J47" i="3"/>
  <c r="J40" i="3"/>
  <c r="J44" i="3"/>
  <c r="J48" i="3"/>
  <c r="J41" i="3"/>
  <c r="J45" i="3"/>
  <c r="J49" i="3"/>
  <c r="J54" i="3"/>
  <c r="J53" i="3"/>
  <c r="H53" i="3"/>
  <c r="H52" i="3"/>
  <c r="H49" i="3"/>
  <c r="H45" i="3"/>
  <c r="H41" i="3"/>
  <c r="H48" i="3"/>
  <c r="H44" i="3"/>
  <c r="H40" i="3"/>
  <c r="H47" i="3"/>
  <c r="H43" i="3"/>
  <c r="G1016" i="1"/>
  <c r="G1015" i="1"/>
  <c r="G1014" i="1"/>
  <c r="G1013" i="1"/>
  <c r="G1012" i="1"/>
  <c r="G1011" i="1"/>
  <c r="H1009" i="1"/>
  <c r="H1008" i="1"/>
  <c r="H1007" i="1"/>
  <c r="H1006" i="1"/>
  <c r="H1005" i="1"/>
  <c r="H1004" i="1"/>
  <c r="H1003" i="1"/>
  <c r="H1002" i="1"/>
  <c r="H1001" i="1"/>
  <c r="H1000" i="1"/>
  <c r="G998" i="1"/>
  <c r="G997" i="1"/>
  <c r="G996" i="1"/>
  <c r="G995" i="1"/>
  <c r="G994" i="1"/>
  <c r="G993" i="1"/>
  <c r="H991" i="1"/>
  <c r="H990" i="1"/>
  <c r="H989" i="1"/>
  <c r="H988" i="1"/>
  <c r="H987" i="1"/>
  <c r="H986" i="1"/>
  <c r="H985" i="1"/>
  <c r="H984" i="1"/>
  <c r="H983" i="1"/>
  <c r="G981" i="1"/>
  <c r="G980" i="1"/>
  <c r="G979" i="1"/>
  <c r="G978" i="1"/>
  <c r="G977" i="1"/>
  <c r="G976" i="1"/>
  <c r="H974" i="1"/>
  <c r="H973" i="1"/>
  <c r="H972" i="1"/>
  <c r="H971" i="1"/>
  <c r="H970" i="1"/>
  <c r="H969" i="1"/>
  <c r="H968" i="1"/>
  <c r="H967" i="1"/>
  <c r="H966" i="1"/>
  <c r="H965" i="1"/>
  <c r="G963" i="1"/>
  <c r="G962" i="1"/>
  <c r="G961" i="1"/>
  <c r="G960" i="1"/>
  <c r="G959" i="1"/>
  <c r="G958" i="1"/>
  <c r="H956" i="1"/>
  <c r="H955" i="1"/>
  <c r="H954" i="1"/>
  <c r="H953" i="1"/>
  <c r="H952" i="1"/>
  <c r="H951" i="1"/>
  <c r="H950" i="1"/>
  <c r="H949" i="1"/>
  <c r="H948" i="1"/>
  <c r="P83" i="4" l="1"/>
  <c r="O60" i="4"/>
  <c r="I79" i="4"/>
  <c r="P60" i="4"/>
  <c r="P101" i="4"/>
  <c r="O101" i="4"/>
  <c r="O102" i="4"/>
  <c r="P102" i="4"/>
  <c r="I126" i="4"/>
  <c r="I145" i="4" s="1"/>
  <c r="P61" i="4"/>
  <c r="O61" i="4"/>
  <c r="P78" i="4"/>
  <c r="O78" i="4"/>
  <c r="I266" i="4"/>
  <c r="I285" i="4" s="1"/>
  <c r="I304" i="4" s="1"/>
  <c r="I323" i="4" s="1"/>
  <c r="I342" i="4" s="1"/>
  <c r="I361" i="4" s="1"/>
  <c r="I380" i="4" s="1"/>
  <c r="I399" i="4" s="1"/>
  <c r="I418" i="4" s="1"/>
  <c r="I437" i="4" s="1"/>
  <c r="I456" i="4" s="1"/>
  <c r="I475" i="4" s="1"/>
  <c r="I494" i="4" s="1"/>
  <c r="I513" i="4" s="1"/>
  <c r="I532" i="4" s="1"/>
  <c r="I551" i="4" s="1"/>
  <c r="I87" i="4"/>
  <c r="I97" i="4"/>
  <c r="I80" i="4"/>
  <c r="I127" i="4"/>
  <c r="H962" i="1"/>
  <c r="O950" i="1" s="1"/>
  <c r="H1014" i="1"/>
  <c r="O984" i="1" s="1"/>
  <c r="H961" i="1"/>
  <c r="O948" i="1" s="1"/>
  <c r="H1011" i="1"/>
  <c r="N984" i="1" s="1"/>
  <c r="H996" i="1"/>
  <c r="O983" i="1" s="1"/>
  <c r="H1015" i="1"/>
  <c r="O986" i="1" s="1"/>
  <c r="H995" i="1"/>
  <c r="N987" i="1" s="1"/>
  <c r="H994" i="1"/>
  <c r="N985" i="1" s="1"/>
  <c r="H998" i="1"/>
  <c r="O987" i="1" s="1"/>
  <c r="H963" i="1"/>
  <c r="O952" i="1" s="1"/>
  <c r="H993" i="1"/>
  <c r="N983" i="1" s="1"/>
  <c r="H997" i="1"/>
  <c r="O985" i="1" s="1"/>
  <c r="H1013" i="1"/>
  <c r="N988" i="1" s="1"/>
  <c r="H1012" i="1"/>
  <c r="N986" i="1" s="1"/>
  <c r="H1016" i="1"/>
  <c r="O988" i="1" s="1"/>
  <c r="H976" i="1"/>
  <c r="N949" i="1" s="1"/>
  <c r="H980" i="1"/>
  <c r="O951" i="1" s="1"/>
  <c r="H978" i="1"/>
  <c r="N953" i="1" s="1"/>
  <c r="H981" i="1"/>
  <c r="O953" i="1" s="1"/>
  <c r="H958" i="1"/>
  <c r="N948" i="1" s="1"/>
  <c r="H977" i="1"/>
  <c r="N951" i="1" s="1"/>
  <c r="H960" i="1"/>
  <c r="N952" i="1" s="1"/>
  <c r="H959" i="1"/>
  <c r="N950" i="1" s="1"/>
  <c r="H979" i="1"/>
  <c r="O949" i="1" s="1"/>
  <c r="G915" i="1"/>
  <c r="H915" i="1" s="1"/>
  <c r="G879" i="1"/>
  <c r="G946" i="1"/>
  <c r="G945" i="1"/>
  <c r="G944" i="1"/>
  <c r="G943" i="1"/>
  <c r="G942" i="1"/>
  <c r="G941" i="1"/>
  <c r="H939" i="1"/>
  <c r="H938" i="1"/>
  <c r="H937" i="1"/>
  <c r="H936" i="1"/>
  <c r="H935" i="1"/>
  <c r="H934" i="1"/>
  <c r="H933" i="1"/>
  <c r="H932" i="1"/>
  <c r="H931" i="1"/>
  <c r="H930" i="1"/>
  <c r="G926" i="1"/>
  <c r="G925" i="1"/>
  <c r="G923" i="1"/>
  <c r="H921" i="1"/>
  <c r="G924" i="1"/>
  <c r="H919" i="1"/>
  <c r="H918" i="1"/>
  <c r="G928" i="1"/>
  <c r="H917" i="1"/>
  <c r="H916" i="1"/>
  <c r="H914" i="1"/>
  <c r="H913" i="1"/>
  <c r="G911" i="1"/>
  <c r="G910" i="1"/>
  <c r="G909" i="1"/>
  <c r="G908" i="1"/>
  <c r="G907" i="1"/>
  <c r="G906" i="1"/>
  <c r="H904" i="1"/>
  <c r="H903" i="1"/>
  <c r="H902" i="1"/>
  <c r="H901" i="1"/>
  <c r="H900" i="1"/>
  <c r="H899" i="1"/>
  <c r="H898" i="1"/>
  <c r="H897" i="1"/>
  <c r="H896" i="1"/>
  <c r="H895" i="1"/>
  <c r="G891" i="1"/>
  <c r="G888" i="1"/>
  <c r="H886" i="1"/>
  <c r="H885" i="1"/>
  <c r="H884" i="1"/>
  <c r="G890" i="1"/>
  <c r="H882" i="1"/>
  <c r="H881" i="1"/>
  <c r="H880" i="1"/>
  <c r="H879" i="1"/>
  <c r="H878" i="1"/>
  <c r="O79" i="4" l="1"/>
  <c r="I98" i="4"/>
  <c r="P79" i="4"/>
  <c r="P139" i="4"/>
  <c r="O139" i="4"/>
  <c r="P120" i="4"/>
  <c r="O120" i="4"/>
  <c r="P121" i="4"/>
  <c r="O121" i="4"/>
  <c r="O81" i="4"/>
  <c r="P81" i="4"/>
  <c r="P80" i="4"/>
  <c r="O80" i="4"/>
  <c r="P97" i="4"/>
  <c r="O97" i="4"/>
  <c r="I164" i="4"/>
  <c r="I116" i="4"/>
  <c r="I146" i="4"/>
  <c r="I106" i="4"/>
  <c r="I99" i="4"/>
  <c r="H923" i="1"/>
  <c r="N913" i="1" s="1"/>
  <c r="H946" i="1"/>
  <c r="O918" i="1" s="1"/>
  <c r="H942" i="1"/>
  <c r="N916" i="1" s="1"/>
  <c r="H925" i="1"/>
  <c r="N917" i="1" s="1"/>
  <c r="H945" i="1"/>
  <c r="O916" i="1" s="1"/>
  <c r="H907" i="1"/>
  <c r="N881" i="1" s="1"/>
  <c r="H911" i="1"/>
  <c r="O883" i="1" s="1"/>
  <c r="H908" i="1"/>
  <c r="N883" i="1" s="1"/>
  <c r="G927" i="1"/>
  <c r="H920" i="1"/>
  <c r="H941" i="1"/>
  <c r="N914" i="1" s="1"/>
  <c r="H943" i="1"/>
  <c r="N918" i="1" s="1"/>
  <c r="H944" i="1"/>
  <c r="O914" i="1" s="1"/>
  <c r="H926" i="1"/>
  <c r="O913" i="1" s="1"/>
  <c r="H928" i="1"/>
  <c r="O917" i="1" s="1"/>
  <c r="H888" i="1"/>
  <c r="N878" i="1" s="1"/>
  <c r="H892" i="1"/>
  <c r="O880" i="1" s="1"/>
  <c r="G889" i="1"/>
  <c r="G893" i="1"/>
  <c r="H906" i="1"/>
  <c r="N879" i="1" s="1"/>
  <c r="H910" i="1"/>
  <c r="O881" i="1" s="1"/>
  <c r="H883" i="1"/>
  <c r="H890" i="1" s="1"/>
  <c r="N882" i="1" s="1"/>
  <c r="H889" i="1"/>
  <c r="N880" i="1" s="1"/>
  <c r="H891" i="1"/>
  <c r="O878" i="1" s="1"/>
  <c r="G892" i="1"/>
  <c r="H909" i="1"/>
  <c r="O879" i="1" s="1"/>
  <c r="G851" i="1"/>
  <c r="G850" i="1"/>
  <c r="H850" i="1" s="1"/>
  <c r="G848" i="1"/>
  <c r="G858" i="1" s="1"/>
  <c r="G876" i="1"/>
  <c r="G875" i="1"/>
  <c r="G874" i="1"/>
  <c r="G873" i="1"/>
  <c r="G872" i="1"/>
  <c r="G871" i="1"/>
  <c r="H869" i="1"/>
  <c r="H868" i="1"/>
  <c r="H867" i="1"/>
  <c r="H866" i="1"/>
  <c r="H865" i="1"/>
  <c r="H864" i="1"/>
  <c r="H863" i="1"/>
  <c r="H862" i="1"/>
  <c r="H861" i="1"/>
  <c r="H860" i="1"/>
  <c r="G857" i="1"/>
  <c r="G856" i="1"/>
  <c r="G854" i="1"/>
  <c r="H851" i="1"/>
  <c r="H849" i="1"/>
  <c r="H847" i="1"/>
  <c r="H846" i="1"/>
  <c r="H845" i="1"/>
  <c r="H844" i="1"/>
  <c r="G853" i="1"/>
  <c r="I117" i="4" l="1"/>
  <c r="P98" i="4"/>
  <c r="O98" i="4"/>
  <c r="P158" i="4"/>
  <c r="O158" i="4"/>
  <c r="P100" i="4"/>
  <c r="O100" i="4"/>
  <c r="O140" i="4"/>
  <c r="P140" i="4"/>
  <c r="O99" i="4"/>
  <c r="P99" i="4"/>
  <c r="P116" i="4"/>
  <c r="O116" i="4"/>
  <c r="I135" i="4"/>
  <c r="I165" i="4"/>
  <c r="I125" i="4"/>
  <c r="I118" i="4"/>
  <c r="I183" i="4"/>
  <c r="H873" i="1"/>
  <c r="N848" i="1" s="1"/>
  <c r="G855" i="1"/>
  <c r="H924" i="1"/>
  <c r="N915" i="1" s="1"/>
  <c r="H927" i="1"/>
  <c r="O915" i="1" s="1"/>
  <c r="H893" i="1"/>
  <c r="O882" i="1" s="1"/>
  <c r="H872" i="1"/>
  <c r="N846" i="1" s="1"/>
  <c r="H848" i="1"/>
  <c r="H857" i="1"/>
  <c r="O845" i="1" s="1"/>
  <c r="H871" i="1"/>
  <c r="N844" i="1" s="1"/>
  <c r="H876" i="1"/>
  <c r="O848" i="1" s="1"/>
  <c r="H875" i="1"/>
  <c r="O846" i="1" s="1"/>
  <c r="H854" i="1"/>
  <c r="N845" i="1" s="1"/>
  <c r="H843" i="1"/>
  <c r="H874" i="1"/>
  <c r="O844" i="1" s="1"/>
  <c r="G808" i="1"/>
  <c r="G821" i="1" s="1"/>
  <c r="G841" i="1"/>
  <c r="G840" i="1"/>
  <c r="G839" i="1"/>
  <c r="G838" i="1"/>
  <c r="G837" i="1"/>
  <c r="G836" i="1"/>
  <c r="H834" i="1"/>
  <c r="H833" i="1"/>
  <c r="H832" i="1"/>
  <c r="H831" i="1"/>
  <c r="H830" i="1"/>
  <c r="H829" i="1"/>
  <c r="H828" i="1"/>
  <c r="H827" i="1"/>
  <c r="H826" i="1"/>
  <c r="H825" i="1"/>
  <c r="G823" i="1"/>
  <c r="G822" i="1"/>
  <c r="G820" i="1"/>
  <c r="G819" i="1"/>
  <c r="H816" i="1"/>
  <c r="H815" i="1"/>
  <c r="H814" i="1"/>
  <c r="H813" i="1"/>
  <c r="H812" i="1"/>
  <c r="H811" i="1"/>
  <c r="H810" i="1"/>
  <c r="H809" i="1"/>
  <c r="O117" i="4" l="1"/>
  <c r="I136" i="4"/>
  <c r="P117" i="4"/>
  <c r="O177" i="4"/>
  <c r="P177" i="4"/>
  <c r="O159" i="4"/>
  <c r="P159" i="4"/>
  <c r="P119" i="4"/>
  <c r="O119" i="4"/>
  <c r="P118" i="4"/>
  <c r="O118" i="4"/>
  <c r="O135" i="4"/>
  <c r="P135" i="4"/>
  <c r="I137" i="4"/>
  <c r="I154" i="4"/>
  <c r="I184" i="4"/>
  <c r="I202" i="4"/>
  <c r="I144" i="4"/>
  <c r="H823" i="1"/>
  <c r="O812" i="1" s="1"/>
  <c r="H838" i="1"/>
  <c r="N813" i="1" s="1"/>
  <c r="H819" i="1"/>
  <c r="N810" i="1" s="1"/>
  <c r="H858" i="1"/>
  <c r="O847" i="1" s="1"/>
  <c r="H855" i="1"/>
  <c r="N847" i="1" s="1"/>
  <c r="H853" i="1"/>
  <c r="N843" i="1" s="1"/>
  <c r="H856" i="1"/>
  <c r="O843" i="1" s="1"/>
  <c r="H840" i="1"/>
  <c r="O811" i="1" s="1"/>
  <c r="H837" i="1"/>
  <c r="N811" i="1" s="1"/>
  <c r="H841" i="1"/>
  <c r="O813" i="1" s="1"/>
  <c r="H836" i="1"/>
  <c r="N809" i="1" s="1"/>
  <c r="H808" i="1"/>
  <c r="G818" i="1"/>
  <c r="H839" i="1"/>
  <c r="O809" i="1" s="1"/>
  <c r="H820" i="1"/>
  <c r="N812" i="1" s="1"/>
  <c r="H822" i="1"/>
  <c r="O810" i="1" s="1"/>
  <c r="G773" i="1"/>
  <c r="G786" i="1" s="1"/>
  <c r="G806" i="1"/>
  <c r="G805" i="1"/>
  <c r="G804" i="1"/>
  <c r="G803" i="1"/>
  <c r="G802" i="1"/>
  <c r="G801" i="1"/>
  <c r="H799" i="1"/>
  <c r="H798" i="1"/>
  <c r="H797" i="1"/>
  <c r="H796" i="1"/>
  <c r="H795" i="1"/>
  <c r="H794" i="1"/>
  <c r="H793" i="1"/>
  <c r="H792" i="1"/>
  <c r="H791" i="1"/>
  <c r="H790" i="1"/>
  <c r="G788" i="1"/>
  <c r="G787" i="1"/>
  <c r="G785" i="1"/>
  <c r="G784" i="1"/>
  <c r="H781" i="1"/>
  <c r="H780" i="1"/>
  <c r="H779" i="1"/>
  <c r="H778" i="1"/>
  <c r="H777" i="1"/>
  <c r="H776" i="1"/>
  <c r="H775" i="1"/>
  <c r="H774" i="1"/>
  <c r="G783" i="1"/>
  <c r="G738" i="1"/>
  <c r="G748" i="1" s="1"/>
  <c r="G771" i="1"/>
  <c r="G770" i="1"/>
  <c r="G769" i="1"/>
  <c r="G768" i="1"/>
  <c r="G767" i="1"/>
  <c r="G766" i="1"/>
  <c r="H764" i="1"/>
  <c r="H763" i="1"/>
  <c r="H762" i="1"/>
  <c r="H761" i="1"/>
  <c r="H760" i="1"/>
  <c r="H759" i="1"/>
  <c r="H758" i="1"/>
  <c r="H757" i="1"/>
  <c r="H756" i="1"/>
  <c r="H755" i="1"/>
  <c r="G752" i="1"/>
  <c r="G750" i="1"/>
  <c r="G749" i="1"/>
  <c r="H746" i="1"/>
  <c r="H745" i="1"/>
  <c r="H744" i="1"/>
  <c r="H743" i="1"/>
  <c r="H742" i="1"/>
  <c r="H741" i="1"/>
  <c r="H740" i="1"/>
  <c r="H739" i="1"/>
  <c r="I155" i="4" l="1"/>
  <c r="P136" i="4"/>
  <c r="O136" i="4"/>
  <c r="H802" i="1"/>
  <c r="N776" i="1" s="1"/>
  <c r="O138" i="4"/>
  <c r="P138" i="4"/>
  <c r="O196" i="4"/>
  <c r="P196" i="4"/>
  <c r="P178" i="4"/>
  <c r="O178" i="4"/>
  <c r="O137" i="4"/>
  <c r="P137" i="4"/>
  <c r="O154" i="4"/>
  <c r="P154" i="4"/>
  <c r="I203" i="4"/>
  <c r="I163" i="4"/>
  <c r="I221" i="4"/>
  <c r="I173" i="4"/>
  <c r="I156" i="4"/>
  <c r="H803" i="1"/>
  <c r="N778" i="1" s="1"/>
  <c r="H738" i="1"/>
  <c r="H751" i="1" s="1"/>
  <c r="O738" i="1" s="1"/>
  <c r="H768" i="1"/>
  <c r="N743" i="1" s="1"/>
  <c r="G751" i="1"/>
  <c r="H821" i="1"/>
  <c r="O808" i="1" s="1"/>
  <c r="H818" i="1"/>
  <c r="N808" i="1" s="1"/>
  <c r="H806" i="1"/>
  <c r="O778" i="1" s="1"/>
  <c r="H805" i="1"/>
  <c r="O776" i="1" s="1"/>
  <c r="H801" i="1"/>
  <c r="N774" i="1" s="1"/>
  <c r="H784" i="1"/>
  <c r="N775" i="1" s="1"/>
  <c r="H787" i="1"/>
  <c r="O775" i="1" s="1"/>
  <c r="H785" i="1"/>
  <c r="N777" i="1" s="1"/>
  <c r="H788" i="1"/>
  <c r="O777" i="1" s="1"/>
  <c r="H773" i="1"/>
  <c r="H804" i="1"/>
  <c r="O774" i="1" s="1"/>
  <c r="H766" i="1"/>
  <c r="N739" i="1" s="1"/>
  <c r="H767" i="1"/>
  <c r="N741" i="1" s="1"/>
  <c r="H770" i="1"/>
  <c r="O741" i="1" s="1"/>
  <c r="H771" i="1"/>
  <c r="O743" i="1" s="1"/>
  <c r="H752" i="1"/>
  <c r="O740" i="1" s="1"/>
  <c r="H749" i="1"/>
  <c r="N740" i="1" s="1"/>
  <c r="H753" i="1"/>
  <c r="O742" i="1" s="1"/>
  <c r="H750" i="1"/>
  <c r="N742" i="1" s="1"/>
  <c r="H769" i="1"/>
  <c r="O739" i="1" s="1"/>
  <c r="G753" i="1"/>
  <c r="G711" i="1"/>
  <c r="H711" i="1" s="1"/>
  <c r="G708" i="1"/>
  <c r="G705" i="1"/>
  <c r="H729" i="1"/>
  <c r="H728" i="1"/>
  <c r="H727" i="1"/>
  <c r="H726" i="1"/>
  <c r="H725" i="1"/>
  <c r="H724" i="1"/>
  <c r="H723" i="1"/>
  <c r="H722" i="1"/>
  <c r="H721" i="1"/>
  <c r="G735" i="1"/>
  <c r="G731" i="1"/>
  <c r="G717" i="1"/>
  <c r="H709" i="1"/>
  <c r="H707" i="1"/>
  <c r="H706" i="1"/>
  <c r="H705" i="1"/>
  <c r="H704" i="1"/>
  <c r="G694" i="1"/>
  <c r="H694" i="1" s="1"/>
  <c r="G693" i="1"/>
  <c r="G692" i="1"/>
  <c r="G688" i="1"/>
  <c r="G687" i="1"/>
  <c r="G701" i="1" s="1"/>
  <c r="G686" i="1"/>
  <c r="H686" i="1" s="1"/>
  <c r="G685" i="1"/>
  <c r="H685" i="1" s="1"/>
  <c r="G676" i="1"/>
  <c r="G675" i="1"/>
  <c r="G679" i="1" s="1"/>
  <c r="G674" i="1"/>
  <c r="G673" i="1"/>
  <c r="G671" i="1"/>
  <c r="G670" i="1"/>
  <c r="H670" i="1" s="1"/>
  <c r="G669" i="1"/>
  <c r="G668" i="1"/>
  <c r="G678" i="1" s="1"/>
  <c r="G659" i="1"/>
  <c r="H659" i="1" s="1"/>
  <c r="G658" i="1"/>
  <c r="H658" i="1" s="1"/>
  <c r="G657" i="1"/>
  <c r="G653" i="1"/>
  <c r="G664" i="1" s="1"/>
  <c r="G651" i="1"/>
  <c r="G641" i="1"/>
  <c r="G640" i="1"/>
  <c r="H640" i="1" s="1"/>
  <c r="G639" i="1"/>
  <c r="H639" i="1" s="1"/>
  <c r="G638" i="1"/>
  <c r="G637" i="1"/>
  <c r="H637" i="1" s="1"/>
  <c r="G636" i="1"/>
  <c r="G635" i="1"/>
  <c r="H635" i="1" s="1"/>
  <c r="G634" i="1"/>
  <c r="G633" i="1"/>
  <c r="H633" i="1" s="1"/>
  <c r="H693" i="1"/>
  <c r="H691" i="1"/>
  <c r="H690" i="1"/>
  <c r="H689" i="1"/>
  <c r="H676" i="1"/>
  <c r="H673" i="1"/>
  <c r="H672" i="1"/>
  <c r="H671" i="1"/>
  <c r="H669" i="1"/>
  <c r="G623" i="1"/>
  <c r="H623" i="1" s="1"/>
  <c r="G622" i="1"/>
  <c r="H622" i="1" s="1"/>
  <c r="G620" i="1"/>
  <c r="H620" i="1" s="1"/>
  <c r="H606" i="1"/>
  <c r="H605" i="1"/>
  <c r="H604" i="1"/>
  <c r="H603" i="1"/>
  <c r="H599" i="1"/>
  <c r="G598" i="1"/>
  <c r="G602" i="1"/>
  <c r="G609" i="1" s="1"/>
  <c r="G601" i="1"/>
  <c r="H601" i="1" s="1"/>
  <c r="G600" i="1"/>
  <c r="G610" i="1" s="1"/>
  <c r="G665" i="1"/>
  <c r="G662" i="1"/>
  <c r="H657" i="1"/>
  <c r="H656" i="1"/>
  <c r="H655" i="1"/>
  <c r="H654" i="1"/>
  <c r="H653" i="1"/>
  <c r="H652" i="1"/>
  <c r="H651" i="1"/>
  <c r="H650" i="1"/>
  <c r="H638" i="1"/>
  <c r="H636" i="1"/>
  <c r="G569" i="1"/>
  <c r="G568" i="1"/>
  <c r="H568" i="1" s="1"/>
  <c r="G567" i="1"/>
  <c r="G566" i="1"/>
  <c r="G564" i="1"/>
  <c r="H615" i="1"/>
  <c r="H616" i="1"/>
  <c r="H617" i="1"/>
  <c r="H618" i="1"/>
  <c r="H619" i="1"/>
  <c r="H621" i="1"/>
  <c r="H624" i="1"/>
  <c r="G626" i="1"/>
  <c r="G627" i="1"/>
  <c r="G629" i="1"/>
  <c r="G549" i="1"/>
  <c r="H549" i="1" s="1"/>
  <c r="G536" i="1"/>
  <c r="H536" i="1" s="1"/>
  <c r="G534" i="1"/>
  <c r="G533" i="1"/>
  <c r="H533" i="1" s="1"/>
  <c r="G532" i="1"/>
  <c r="H532" i="1" s="1"/>
  <c r="G531" i="1"/>
  <c r="G529" i="1"/>
  <c r="H529" i="1" s="1"/>
  <c r="G596" i="1"/>
  <c r="G595" i="1"/>
  <c r="G594" i="1"/>
  <c r="G593" i="1"/>
  <c r="G592" i="1"/>
  <c r="G591" i="1"/>
  <c r="H589" i="1"/>
  <c r="H588" i="1"/>
  <c r="H587" i="1"/>
  <c r="H586" i="1"/>
  <c r="H585" i="1"/>
  <c r="H584" i="1"/>
  <c r="H583" i="1"/>
  <c r="H582" i="1"/>
  <c r="H581" i="1"/>
  <c r="H580" i="1"/>
  <c r="G577" i="1"/>
  <c r="H571" i="1"/>
  <c r="H570" i="1"/>
  <c r="H566" i="1"/>
  <c r="H565" i="1"/>
  <c r="H564" i="1"/>
  <c r="H563" i="1"/>
  <c r="G561" i="1"/>
  <c r="G560" i="1"/>
  <c r="G559" i="1"/>
  <c r="G556" i="1"/>
  <c r="H554" i="1"/>
  <c r="H553" i="1"/>
  <c r="G558" i="1"/>
  <c r="H552" i="1"/>
  <c r="H551" i="1"/>
  <c r="H550" i="1"/>
  <c r="H548" i="1"/>
  <c r="H547" i="1"/>
  <c r="H546" i="1"/>
  <c r="H545" i="1"/>
  <c r="H535" i="1"/>
  <c r="H531" i="1"/>
  <c r="H530" i="1"/>
  <c r="H528" i="1"/>
  <c r="G575" i="1" l="1"/>
  <c r="G661" i="1"/>
  <c r="H748" i="1"/>
  <c r="N738" i="1" s="1"/>
  <c r="G645" i="1"/>
  <c r="G578" i="1"/>
  <c r="I174" i="4"/>
  <c r="P155" i="4"/>
  <c r="O155" i="4"/>
  <c r="P197" i="4"/>
  <c r="O197" i="4"/>
  <c r="P215" i="4"/>
  <c r="O215" i="4"/>
  <c r="I182" i="4"/>
  <c r="P157" i="4"/>
  <c r="O157" i="4"/>
  <c r="P156" i="4"/>
  <c r="O156" i="4"/>
  <c r="I192" i="4"/>
  <c r="O173" i="4"/>
  <c r="P173" i="4"/>
  <c r="I175" i="4"/>
  <c r="I222" i="4"/>
  <c r="I240" i="4"/>
  <c r="G680" i="1"/>
  <c r="G646" i="1"/>
  <c r="G608" i="1"/>
  <c r="G697" i="1"/>
  <c r="G574" i="1"/>
  <c r="H668" i="1"/>
  <c r="H665" i="1"/>
  <c r="O636" i="1" s="1"/>
  <c r="G666" i="1"/>
  <c r="G630" i="1"/>
  <c r="G541" i="1"/>
  <c r="G573" i="1"/>
  <c r="H687" i="1"/>
  <c r="G611" i="1"/>
  <c r="H641" i="1"/>
  <c r="H645" i="1" s="1"/>
  <c r="N637" i="1" s="1"/>
  <c r="G648" i="1"/>
  <c r="G663" i="1"/>
  <c r="H598" i="1"/>
  <c r="G612" i="1"/>
  <c r="G683" i="1"/>
  <c r="G644" i="1"/>
  <c r="G699" i="1"/>
  <c r="G557" i="1"/>
  <c r="H567" i="1"/>
  <c r="G643" i="1"/>
  <c r="H683" i="1"/>
  <c r="O672" i="1" s="1"/>
  <c r="G698" i="1"/>
  <c r="H602" i="1"/>
  <c r="G681" i="1"/>
  <c r="G628" i="1"/>
  <c r="H674" i="1"/>
  <c r="H681" i="1" s="1"/>
  <c r="O668" i="1" s="1"/>
  <c r="H688" i="1"/>
  <c r="G696" i="1"/>
  <c r="H611" i="1"/>
  <c r="G540" i="1"/>
  <c r="H569" i="1"/>
  <c r="G576" i="1"/>
  <c r="H634" i="1"/>
  <c r="H644" i="1" s="1"/>
  <c r="N635" i="1" s="1"/>
  <c r="G647" i="1"/>
  <c r="H609" i="1"/>
  <c r="G613" i="1"/>
  <c r="H675" i="1"/>
  <c r="H682" i="1" s="1"/>
  <c r="O670" i="1" s="1"/>
  <c r="G682" i="1"/>
  <c r="G543" i="1"/>
  <c r="H663" i="1"/>
  <c r="N638" i="1" s="1"/>
  <c r="H600" i="1"/>
  <c r="H613" i="1" s="1"/>
  <c r="O602" i="1" s="1"/>
  <c r="H608" i="1"/>
  <c r="N598" i="1" s="1"/>
  <c r="H680" i="1"/>
  <c r="N672" i="1" s="1"/>
  <c r="H698" i="1"/>
  <c r="N673" i="1" s="1"/>
  <c r="G631" i="1"/>
  <c r="H573" i="1"/>
  <c r="N563" i="1" s="1"/>
  <c r="H628" i="1"/>
  <c r="N603" i="1" s="1"/>
  <c r="H662" i="1"/>
  <c r="N636" i="1" s="1"/>
  <c r="G718" i="1"/>
  <c r="H783" i="1"/>
  <c r="N773" i="1" s="1"/>
  <c r="H786" i="1"/>
  <c r="O773" i="1" s="1"/>
  <c r="H708" i="1"/>
  <c r="G715" i="1"/>
  <c r="G716" i="1"/>
  <c r="G713" i="1"/>
  <c r="H703" i="1"/>
  <c r="H736" i="1"/>
  <c r="O708" i="1" s="1"/>
  <c r="H733" i="1"/>
  <c r="N708" i="1" s="1"/>
  <c r="H732" i="1"/>
  <c r="N706" i="1" s="1"/>
  <c r="G734" i="1"/>
  <c r="H735" i="1"/>
  <c r="O706" i="1" s="1"/>
  <c r="H710" i="1"/>
  <c r="G714" i="1"/>
  <c r="H720" i="1"/>
  <c r="G733" i="1"/>
  <c r="G732" i="1"/>
  <c r="G736" i="1"/>
  <c r="G700" i="1"/>
  <c r="H692" i="1"/>
  <c r="H697" i="1" s="1"/>
  <c r="N671" i="1" s="1"/>
  <c r="H696" i="1"/>
  <c r="N669" i="1" s="1"/>
  <c r="H666" i="1"/>
  <c r="O638" i="1" s="1"/>
  <c r="H664" i="1"/>
  <c r="O634" i="1" s="1"/>
  <c r="H661" i="1"/>
  <c r="N634" i="1" s="1"/>
  <c r="H646" i="1"/>
  <c r="O633" i="1" s="1"/>
  <c r="H647" i="1"/>
  <c r="O635" i="1" s="1"/>
  <c r="H643" i="1"/>
  <c r="N633" i="1" s="1"/>
  <c r="H679" i="1"/>
  <c r="N670" i="1" s="1"/>
  <c r="H699" i="1"/>
  <c r="O669" i="1" s="1"/>
  <c r="H701" i="1"/>
  <c r="O673" i="1" s="1"/>
  <c r="H629" i="1"/>
  <c r="O599" i="1" s="1"/>
  <c r="H627" i="1"/>
  <c r="N601" i="1" s="1"/>
  <c r="H631" i="1"/>
  <c r="O603" i="1" s="1"/>
  <c r="H626" i="1"/>
  <c r="N599" i="1" s="1"/>
  <c r="H612" i="1"/>
  <c r="O598" i="1"/>
  <c r="H591" i="1"/>
  <c r="N564" i="1" s="1"/>
  <c r="H630" i="1"/>
  <c r="O601" i="1" s="1"/>
  <c r="H595" i="1"/>
  <c r="O566" i="1" s="1"/>
  <c r="H593" i="1"/>
  <c r="N568" i="1" s="1"/>
  <c r="G538" i="1"/>
  <c r="H577" i="1"/>
  <c r="O565" i="1" s="1"/>
  <c r="H575" i="1"/>
  <c r="N567" i="1" s="1"/>
  <c r="H559" i="1"/>
  <c r="O529" i="1" s="1"/>
  <c r="H560" i="1"/>
  <c r="O531" i="1" s="1"/>
  <c r="H543" i="1"/>
  <c r="O532" i="1" s="1"/>
  <c r="H574" i="1"/>
  <c r="N565" i="1" s="1"/>
  <c r="H578" i="1"/>
  <c r="O567" i="1" s="1"/>
  <c r="H576" i="1"/>
  <c r="O563" i="1" s="1"/>
  <c r="H592" i="1"/>
  <c r="N566" i="1" s="1"/>
  <c r="H596" i="1"/>
  <c r="O568" i="1" s="1"/>
  <c r="H594" i="1"/>
  <c r="O564" i="1" s="1"/>
  <c r="H556" i="1"/>
  <c r="N529" i="1" s="1"/>
  <c r="H561" i="1"/>
  <c r="O533" i="1" s="1"/>
  <c r="H542" i="1"/>
  <c r="O530" i="1" s="1"/>
  <c r="G539" i="1"/>
  <c r="H540" i="1"/>
  <c r="N532" i="1" s="1"/>
  <c r="H558" i="1"/>
  <c r="N533" i="1" s="1"/>
  <c r="H539" i="1"/>
  <c r="N530" i="1" s="1"/>
  <c r="G542" i="1"/>
  <c r="H557" i="1"/>
  <c r="N531" i="1" s="1"/>
  <c r="H534" i="1"/>
  <c r="G519" i="1"/>
  <c r="H519" i="1" s="1"/>
  <c r="G518" i="1"/>
  <c r="G526" i="1" s="1"/>
  <c r="G500" i="1"/>
  <c r="G507" i="1" s="1"/>
  <c r="G499" i="1"/>
  <c r="H499" i="1" s="1"/>
  <c r="G525" i="1"/>
  <c r="G522" i="1"/>
  <c r="H517" i="1"/>
  <c r="H516" i="1"/>
  <c r="H515" i="1"/>
  <c r="H514" i="1"/>
  <c r="H513" i="1"/>
  <c r="H512" i="1"/>
  <c r="H511" i="1"/>
  <c r="H510" i="1"/>
  <c r="G508" i="1"/>
  <c r="G505" i="1"/>
  <c r="H501" i="1"/>
  <c r="H498" i="1"/>
  <c r="H497" i="1"/>
  <c r="H496" i="1"/>
  <c r="H495" i="1"/>
  <c r="H494" i="1"/>
  <c r="H493" i="1"/>
  <c r="G491" i="1"/>
  <c r="G490" i="1"/>
  <c r="G488" i="1"/>
  <c r="G487" i="1"/>
  <c r="G478" i="1"/>
  <c r="G486" i="1" s="1"/>
  <c r="H484" i="1"/>
  <c r="H483" i="1"/>
  <c r="H482" i="1"/>
  <c r="H481" i="1"/>
  <c r="H480" i="1"/>
  <c r="H479" i="1"/>
  <c r="H477" i="1"/>
  <c r="H476" i="1"/>
  <c r="H475" i="1"/>
  <c r="G473" i="1"/>
  <c r="G469" i="1"/>
  <c r="H466" i="1"/>
  <c r="H465" i="1"/>
  <c r="H464" i="1"/>
  <c r="G470" i="1"/>
  <c r="G472" i="1"/>
  <c r="H461" i="1"/>
  <c r="H460" i="1"/>
  <c r="H459" i="1"/>
  <c r="G468" i="1"/>
  <c r="G449" i="1"/>
  <c r="G447" i="1"/>
  <c r="H447" i="1" s="1"/>
  <c r="G446" i="1"/>
  <c r="G445" i="1"/>
  <c r="G456" i="1" s="1"/>
  <c r="G444" i="1"/>
  <c r="G443" i="1"/>
  <c r="H443" i="1" s="1"/>
  <c r="G431" i="1"/>
  <c r="H431" i="1" s="1"/>
  <c r="G429" i="1"/>
  <c r="H429" i="1" s="1"/>
  <c r="G427" i="1"/>
  <c r="G426" i="1"/>
  <c r="G425" i="1"/>
  <c r="H425" i="1" s="1"/>
  <c r="G424" i="1"/>
  <c r="H424" i="1" s="1"/>
  <c r="G423" i="1"/>
  <c r="G453" i="1"/>
  <c r="H449" i="1"/>
  <c r="H448" i="1"/>
  <c r="H442" i="1"/>
  <c r="H441" i="1"/>
  <c r="H440" i="1"/>
  <c r="H430" i="1"/>
  <c r="H428" i="1"/>
  <c r="H426" i="1"/>
  <c r="H678" i="1" l="1"/>
  <c r="N668" i="1" s="1"/>
  <c r="O174" i="4"/>
  <c r="P174" i="4"/>
  <c r="I193" i="4"/>
  <c r="P234" i="4"/>
  <c r="O234" i="4"/>
  <c r="O216" i="4"/>
  <c r="P216" i="4"/>
  <c r="I201" i="4"/>
  <c r="O176" i="4"/>
  <c r="P176" i="4"/>
  <c r="P192" i="4"/>
  <c r="O192" i="4"/>
  <c r="P175" i="4"/>
  <c r="O175" i="4"/>
  <c r="I194" i="4"/>
  <c r="I241" i="4"/>
  <c r="I211" i="4"/>
  <c r="I259" i="4"/>
  <c r="G436" i="1"/>
  <c r="G455" i="1"/>
  <c r="G504" i="1"/>
  <c r="H648" i="1"/>
  <c r="O637" i="1" s="1"/>
  <c r="G506" i="1"/>
  <c r="H500" i="1"/>
  <c r="H507" i="1" s="1"/>
  <c r="O495" i="1" s="1"/>
  <c r="H610" i="1"/>
  <c r="N602" i="1" s="1"/>
  <c r="H490" i="1"/>
  <c r="O461" i="1" s="1"/>
  <c r="G437" i="1"/>
  <c r="G454" i="1"/>
  <c r="H488" i="1"/>
  <c r="N463" i="1" s="1"/>
  <c r="H700" i="1"/>
  <c r="O671" i="1" s="1"/>
  <c r="H715" i="1"/>
  <c r="N707" i="1" s="1"/>
  <c r="H718" i="1"/>
  <c r="O707" i="1" s="1"/>
  <c r="G433" i="1"/>
  <c r="H491" i="1"/>
  <c r="O463" i="1" s="1"/>
  <c r="H518" i="1"/>
  <c r="H526" i="1" s="1"/>
  <c r="O498" i="1" s="1"/>
  <c r="H714" i="1"/>
  <c r="N705" i="1" s="1"/>
  <c r="H713" i="1"/>
  <c r="N703" i="1" s="1"/>
  <c r="H716" i="1"/>
  <c r="O703" i="1" s="1"/>
  <c r="H734" i="1"/>
  <c r="O704" i="1" s="1"/>
  <c r="H731" i="1"/>
  <c r="N704" i="1" s="1"/>
  <c r="H717" i="1"/>
  <c r="O705" i="1" s="1"/>
  <c r="O600" i="1"/>
  <c r="N600" i="1"/>
  <c r="G434" i="1"/>
  <c r="H445" i="1"/>
  <c r="H456" i="1" s="1"/>
  <c r="O428" i="1" s="1"/>
  <c r="G489" i="1"/>
  <c r="H487" i="1"/>
  <c r="N461" i="1" s="1"/>
  <c r="H444" i="1"/>
  <c r="H455" i="1" s="1"/>
  <c r="O426" i="1" s="1"/>
  <c r="G435" i="1"/>
  <c r="H423" i="1"/>
  <c r="H433" i="1" s="1"/>
  <c r="N423" i="1" s="1"/>
  <c r="H478" i="1"/>
  <c r="H489" i="1" s="1"/>
  <c r="O459" i="1" s="1"/>
  <c r="G503" i="1"/>
  <c r="G523" i="1"/>
  <c r="H538" i="1"/>
  <c r="N528" i="1" s="1"/>
  <c r="H541" i="1"/>
  <c r="O528" i="1" s="1"/>
  <c r="H525" i="1"/>
  <c r="O496" i="1" s="1"/>
  <c r="H505" i="1"/>
  <c r="N497" i="1" s="1"/>
  <c r="H503" i="1"/>
  <c r="N493" i="1" s="1"/>
  <c r="H522" i="1"/>
  <c r="N496" i="1" s="1"/>
  <c r="H508" i="1"/>
  <c r="O497" i="1" s="1"/>
  <c r="H506" i="1"/>
  <c r="O493" i="1" s="1"/>
  <c r="H521" i="1"/>
  <c r="N494" i="1" s="1"/>
  <c r="H524" i="1"/>
  <c r="O494" i="1" s="1"/>
  <c r="G521" i="1"/>
  <c r="G524" i="1"/>
  <c r="H427" i="1"/>
  <c r="H434" i="1" s="1"/>
  <c r="N425" i="1" s="1"/>
  <c r="G451" i="1"/>
  <c r="G452" i="1"/>
  <c r="G438" i="1"/>
  <c r="H446" i="1"/>
  <c r="H451" i="1" s="1"/>
  <c r="N424" i="1" s="1"/>
  <c r="G471" i="1"/>
  <c r="H458" i="1"/>
  <c r="H462" i="1"/>
  <c r="H463" i="1"/>
  <c r="H435" i="1"/>
  <c r="N427" i="1" s="1"/>
  <c r="H453" i="1"/>
  <c r="N428" i="1" s="1"/>
  <c r="H438" i="1"/>
  <c r="O427" i="1" s="1"/>
  <c r="G414" i="1"/>
  <c r="H414" i="1" s="1"/>
  <c r="G410" i="1"/>
  <c r="G418" i="1" s="1"/>
  <c r="G409" i="1"/>
  <c r="H409" i="1" s="1"/>
  <c r="G408" i="1"/>
  <c r="G393" i="1"/>
  <c r="G400" i="1" s="1"/>
  <c r="G392" i="1"/>
  <c r="G402" i="1" s="1"/>
  <c r="G388" i="1"/>
  <c r="G398" i="1" s="1"/>
  <c r="G379" i="1"/>
  <c r="G378" i="1"/>
  <c r="H378" i="1" s="1"/>
  <c r="G377" i="1"/>
  <c r="G376" i="1"/>
  <c r="G384" i="1" s="1"/>
  <c r="G375" i="1"/>
  <c r="H375" i="1" s="1"/>
  <c r="G372" i="1"/>
  <c r="H372" i="1" s="1"/>
  <c r="G371" i="1"/>
  <c r="H371" i="1" s="1"/>
  <c r="G370" i="1"/>
  <c r="H370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G355" i="1"/>
  <c r="G354" i="1"/>
  <c r="G353" i="1"/>
  <c r="H353" i="1" s="1"/>
  <c r="H413" i="1"/>
  <c r="H412" i="1"/>
  <c r="H411" i="1"/>
  <c r="G419" i="1"/>
  <c r="H406" i="1"/>
  <c r="H405" i="1"/>
  <c r="H396" i="1"/>
  <c r="H395" i="1"/>
  <c r="H394" i="1"/>
  <c r="H390" i="1"/>
  <c r="H379" i="1"/>
  <c r="H374" i="1"/>
  <c r="H437" i="1" l="1"/>
  <c r="O425" i="1" s="1"/>
  <c r="H504" i="1"/>
  <c r="N495" i="1" s="1"/>
  <c r="G401" i="1"/>
  <c r="P193" i="4"/>
  <c r="O193" i="4"/>
  <c r="I212" i="4"/>
  <c r="H452" i="1"/>
  <c r="N426" i="1" s="1"/>
  <c r="P253" i="4"/>
  <c r="O253" i="4"/>
  <c r="P195" i="4"/>
  <c r="O195" i="4"/>
  <c r="P235" i="4"/>
  <c r="O235" i="4"/>
  <c r="P211" i="4"/>
  <c r="O211" i="4"/>
  <c r="P194" i="4"/>
  <c r="O194" i="4"/>
  <c r="I260" i="4"/>
  <c r="I230" i="4"/>
  <c r="I220" i="4"/>
  <c r="I278" i="4"/>
  <c r="I213" i="4"/>
  <c r="G417" i="1"/>
  <c r="G420" i="1"/>
  <c r="H393" i="1"/>
  <c r="H400" i="1" s="1"/>
  <c r="N392" i="1" s="1"/>
  <c r="G368" i="1"/>
  <c r="H486" i="1"/>
  <c r="N459" i="1" s="1"/>
  <c r="G421" i="1"/>
  <c r="G385" i="1"/>
  <c r="H410" i="1"/>
  <c r="H523" i="1"/>
  <c r="N498" i="1" s="1"/>
  <c r="H436" i="1"/>
  <c r="O423" i="1" s="1"/>
  <c r="G382" i="1"/>
  <c r="G363" i="1"/>
  <c r="G364" i="1"/>
  <c r="G381" i="1"/>
  <c r="G366" i="1"/>
  <c r="H376" i="1"/>
  <c r="H454" i="1"/>
  <c r="O424" i="1" s="1"/>
  <c r="H377" i="1"/>
  <c r="H385" i="1" s="1"/>
  <c r="O356" i="1" s="1"/>
  <c r="G399" i="1"/>
  <c r="G386" i="1"/>
  <c r="H470" i="1"/>
  <c r="N462" i="1" s="1"/>
  <c r="H472" i="1"/>
  <c r="O460" i="1" s="1"/>
  <c r="H473" i="1"/>
  <c r="O462" i="1" s="1"/>
  <c r="H469" i="1"/>
  <c r="N460" i="1" s="1"/>
  <c r="H471" i="1"/>
  <c r="O458" i="1" s="1"/>
  <c r="H468" i="1"/>
  <c r="N458" i="1" s="1"/>
  <c r="H417" i="1"/>
  <c r="N391" i="1" s="1"/>
  <c r="H420" i="1"/>
  <c r="O391" i="1" s="1"/>
  <c r="H386" i="1"/>
  <c r="O358" i="1" s="1"/>
  <c r="H391" i="1"/>
  <c r="H392" i="1"/>
  <c r="G403" i="1"/>
  <c r="H388" i="1"/>
  <c r="H407" i="1"/>
  <c r="H389" i="1"/>
  <c r="G416" i="1"/>
  <c r="H408" i="1"/>
  <c r="H354" i="1"/>
  <c r="G365" i="1"/>
  <c r="G367" i="1"/>
  <c r="G383" i="1"/>
  <c r="H355" i="1"/>
  <c r="H383" i="1"/>
  <c r="N358" i="1" s="1"/>
  <c r="H356" i="1"/>
  <c r="H373" i="1"/>
  <c r="G344" i="1"/>
  <c r="H344" i="1" s="1"/>
  <c r="G343" i="1"/>
  <c r="G338" i="1"/>
  <c r="H338" i="1" s="1"/>
  <c r="G337" i="1"/>
  <c r="G326" i="1"/>
  <c r="H326" i="1" s="1"/>
  <c r="G324" i="1"/>
  <c r="H324" i="1" s="1"/>
  <c r="G323" i="1"/>
  <c r="H323" i="1" s="1"/>
  <c r="G322" i="1"/>
  <c r="G332" i="1" s="1"/>
  <c r="G321" i="1"/>
  <c r="H321" i="1" s="1"/>
  <c r="G320" i="1"/>
  <c r="H320" i="1" s="1"/>
  <c r="G319" i="1"/>
  <c r="G318" i="1"/>
  <c r="G350" i="1"/>
  <c r="G347" i="1"/>
  <c r="G346" i="1"/>
  <c r="H342" i="1"/>
  <c r="H341" i="1"/>
  <c r="H340" i="1"/>
  <c r="H339" i="1"/>
  <c r="H336" i="1"/>
  <c r="H335" i="1"/>
  <c r="H325" i="1"/>
  <c r="H403" i="1" l="1"/>
  <c r="O392" i="1" s="1"/>
  <c r="P212" i="4"/>
  <c r="I231" i="4"/>
  <c r="O212" i="4"/>
  <c r="O254" i="4"/>
  <c r="P254" i="4"/>
  <c r="P272" i="4"/>
  <c r="O272" i="4"/>
  <c r="P214" i="4"/>
  <c r="O214" i="4"/>
  <c r="O213" i="4"/>
  <c r="P213" i="4"/>
  <c r="P230" i="4"/>
  <c r="O230" i="4"/>
  <c r="I239" i="4"/>
  <c r="I249" i="4"/>
  <c r="I297" i="4"/>
  <c r="I232" i="4"/>
  <c r="I279" i="4"/>
  <c r="G329" i="1"/>
  <c r="G349" i="1"/>
  <c r="G351" i="1"/>
  <c r="G331" i="1"/>
  <c r="G328" i="1"/>
  <c r="H382" i="1"/>
  <c r="N356" i="1" s="1"/>
  <c r="H363" i="1"/>
  <c r="N353" i="1" s="1"/>
  <c r="H416" i="1"/>
  <c r="N389" i="1" s="1"/>
  <c r="H419" i="1"/>
  <c r="O389" i="1" s="1"/>
  <c r="H402" i="1"/>
  <c r="O390" i="1" s="1"/>
  <c r="H399" i="1"/>
  <c r="N390" i="1" s="1"/>
  <c r="H418" i="1"/>
  <c r="N393" i="1" s="1"/>
  <c r="H421" i="1"/>
  <c r="O393" i="1" s="1"/>
  <c r="H398" i="1"/>
  <c r="N388" i="1" s="1"/>
  <c r="H401" i="1"/>
  <c r="O388" i="1" s="1"/>
  <c r="H364" i="1"/>
  <c r="N355" i="1" s="1"/>
  <c r="H367" i="1"/>
  <c r="O355" i="1" s="1"/>
  <c r="H368" i="1"/>
  <c r="O357" i="1" s="1"/>
  <c r="H365" i="1"/>
  <c r="N357" i="1" s="1"/>
  <c r="H384" i="1"/>
  <c r="O354" i="1" s="1"/>
  <c r="H366" i="1"/>
  <c r="O353" i="1" s="1"/>
  <c r="H381" i="1"/>
  <c r="N354" i="1" s="1"/>
  <c r="H343" i="1"/>
  <c r="G348" i="1"/>
  <c r="H349" i="1"/>
  <c r="O319" i="1" s="1"/>
  <c r="H346" i="1"/>
  <c r="N319" i="1" s="1"/>
  <c r="H347" i="1"/>
  <c r="N321" i="1" s="1"/>
  <c r="H333" i="1"/>
  <c r="O322" i="1" s="1"/>
  <c r="H330" i="1"/>
  <c r="N322" i="1" s="1"/>
  <c r="G333" i="1"/>
  <c r="H318" i="1"/>
  <c r="H337" i="1"/>
  <c r="H319" i="1"/>
  <c r="G330" i="1"/>
  <c r="H350" i="1"/>
  <c r="O321" i="1" s="1"/>
  <c r="H322" i="1"/>
  <c r="G309" i="1"/>
  <c r="H309" i="1" s="1"/>
  <c r="G308" i="1"/>
  <c r="G303" i="1"/>
  <c r="G311" i="1" s="1"/>
  <c r="G302" i="1"/>
  <c r="H305" i="1"/>
  <c r="H301" i="1"/>
  <c r="G291" i="1"/>
  <c r="H291" i="1" s="1"/>
  <c r="G290" i="1"/>
  <c r="H290" i="1" s="1"/>
  <c r="G288" i="1"/>
  <c r="H288" i="1" s="1"/>
  <c r="G287" i="1"/>
  <c r="H287" i="1" s="1"/>
  <c r="G286" i="1"/>
  <c r="G285" i="1"/>
  <c r="H285" i="1" s="1"/>
  <c r="G284" i="1"/>
  <c r="G283" i="1"/>
  <c r="H307" i="1"/>
  <c r="H302" i="1"/>
  <c r="G315" i="1"/>
  <c r="H308" i="1"/>
  <c r="H306" i="1"/>
  <c r="H304" i="1"/>
  <c r="G312" i="1"/>
  <c r="H300" i="1"/>
  <c r="H289" i="1"/>
  <c r="G278" i="1"/>
  <c r="G269" i="1"/>
  <c r="H269" i="1" s="1"/>
  <c r="G265" i="1"/>
  <c r="G279" i="1" s="1"/>
  <c r="G256" i="1"/>
  <c r="G255" i="1"/>
  <c r="H255" i="1" s="1"/>
  <c r="G254" i="1"/>
  <c r="H254" i="1" s="1"/>
  <c r="G253" i="1"/>
  <c r="H253" i="1" s="1"/>
  <c r="G252" i="1"/>
  <c r="G251" i="1"/>
  <c r="G250" i="1"/>
  <c r="H250" i="1" s="1"/>
  <c r="G249" i="1"/>
  <c r="G248" i="1"/>
  <c r="H274" i="1"/>
  <c r="H273" i="1"/>
  <c r="H272" i="1"/>
  <c r="H271" i="1"/>
  <c r="H270" i="1"/>
  <c r="G281" i="1"/>
  <c r="H266" i="1"/>
  <c r="P231" i="4" l="1"/>
  <c r="O231" i="4"/>
  <c r="I250" i="4"/>
  <c r="I298" i="4"/>
  <c r="P273" i="4"/>
  <c r="O273" i="4"/>
  <c r="O291" i="4"/>
  <c r="P291" i="4"/>
  <c r="P233" i="4"/>
  <c r="O233" i="4"/>
  <c r="O249" i="4"/>
  <c r="P249" i="4"/>
  <c r="P232" i="4"/>
  <c r="O232" i="4"/>
  <c r="I251" i="4"/>
  <c r="I316" i="4"/>
  <c r="I268" i="4"/>
  <c r="I258" i="4"/>
  <c r="G293" i="1"/>
  <c r="G294" i="1"/>
  <c r="G277" i="1"/>
  <c r="H265" i="1"/>
  <c r="H286" i="1"/>
  <c r="G262" i="1"/>
  <c r="G259" i="1"/>
  <c r="G276" i="1"/>
  <c r="H249" i="1"/>
  <c r="G258" i="1"/>
  <c r="G295" i="1"/>
  <c r="H303" i="1"/>
  <c r="H314" i="1" s="1"/>
  <c r="O284" i="1" s="1"/>
  <c r="G314" i="1"/>
  <c r="G260" i="1"/>
  <c r="H295" i="1"/>
  <c r="N287" i="1" s="1"/>
  <c r="H329" i="1"/>
  <c r="N320" i="1" s="1"/>
  <c r="H332" i="1"/>
  <c r="O320" i="1" s="1"/>
  <c r="H351" i="1"/>
  <c r="O323" i="1" s="1"/>
  <c r="H348" i="1"/>
  <c r="N323" i="1" s="1"/>
  <c r="H331" i="1"/>
  <c r="O318" i="1" s="1"/>
  <c r="H328" i="1"/>
  <c r="N318" i="1" s="1"/>
  <c r="H313" i="1"/>
  <c r="N288" i="1" s="1"/>
  <c r="H283" i="1"/>
  <c r="G298" i="1"/>
  <c r="H315" i="1"/>
  <c r="O286" i="1" s="1"/>
  <c r="G316" i="1"/>
  <c r="G313" i="1"/>
  <c r="H312" i="1"/>
  <c r="N286" i="1" s="1"/>
  <c r="G297" i="1"/>
  <c r="H298" i="1"/>
  <c r="O287" i="1" s="1"/>
  <c r="H316" i="1"/>
  <c r="O288" i="1" s="1"/>
  <c r="H284" i="1"/>
  <c r="H294" i="1" s="1"/>
  <c r="G296" i="1"/>
  <c r="H311" i="1"/>
  <c r="N284" i="1" s="1"/>
  <c r="H251" i="1"/>
  <c r="H280" i="1"/>
  <c r="O251" i="1" s="1"/>
  <c r="G261" i="1"/>
  <c r="H277" i="1"/>
  <c r="N251" i="1" s="1"/>
  <c r="H256" i="1"/>
  <c r="G263" i="1"/>
  <c r="H268" i="1"/>
  <c r="H248" i="1"/>
  <c r="H252" i="1"/>
  <c r="H267" i="1"/>
  <c r="H278" i="1" s="1"/>
  <c r="G280" i="1"/>
  <c r="G165" i="1"/>
  <c r="I269" i="4" l="1"/>
  <c r="P250" i="4"/>
  <c r="O250" i="4"/>
  <c r="O252" i="4"/>
  <c r="P252" i="4"/>
  <c r="O310" i="4"/>
  <c r="P310" i="4"/>
  <c r="P292" i="4"/>
  <c r="O292" i="4"/>
  <c r="P268" i="4"/>
  <c r="O268" i="4"/>
  <c r="P251" i="4"/>
  <c r="O251" i="4"/>
  <c r="I270" i="4"/>
  <c r="I287" i="4"/>
  <c r="I277" i="4"/>
  <c r="I335" i="4"/>
  <c r="I317" i="4"/>
  <c r="H296" i="1"/>
  <c r="O283" i="1" s="1"/>
  <c r="H293" i="1"/>
  <c r="N283" i="1" s="1"/>
  <c r="H297" i="1"/>
  <c r="O285" i="1" s="1"/>
  <c r="N285" i="1"/>
  <c r="H258" i="1"/>
  <c r="N248" i="1" s="1"/>
  <c r="H261" i="1"/>
  <c r="O248" i="1" s="1"/>
  <c r="H262" i="1"/>
  <c r="O250" i="1" s="1"/>
  <c r="H260" i="1"/>
  <c r="N252" i="1" s="1"/>
  <c r="H281" i="1"/>
  <c r="O253" i="1" s="1"/>
  <c r="N253" i="1"/>
  <c r="H279" i="1"/>
  <c r="O249" i="1" s="1"/>
  <c r="H263" i="1"/>
  <c r="O252" i="1" s="1"/>
  <c r="H276" i="1"/>
  <c r="N249" i="1" s="1"/>
  <c r="H259" i="1"/>
  <c r="N250" i="1" s="1"/>
  <c r="G13" i="1"/>
  <c r="G31" i="1"/>
  <c r="I36" i="1"/>
  <c r="G36" i="1"/>
  <c r="I35" i="1"/>
  <c r="G35" i="1"/>
  <c r="I34" i="1"/>
  <c r="G34" i="1"/>
  <c r="I33" i="1"/>
  <c r="G33" i="1"/>
  <c r="I32" i="1"/>
  <c r="G32" i="1"/>
  <c r="I31" i="1"/>
  <c r="G66" i="1"/>
  <c r="G71" i="1"/>
  <c r="G70" i="1"/>
  <c r="G69" i="1"/>
  <c r="G68" i="1"/>
  <c r="G67" i="1"/>
  <c r="G106" i="1"/>
  <c r="G105" i="1"/>
  <c r="G104" i="1"/>
  <c r="G103" i="1"/>
  <c r="G102" i="1"/>
  <c r="G101" i="1"/>
  <c r="G118" i="1"/>
  <c r="G141" i="1"/>
  <c r="G140" i="1"/>
  <c r="G139" i="1"/>
  <c r="G138" i="1"/>
  <c r="G137" i="1"/>
  <c r="G136" i="1"/>
  <c r="G153" i="1"/>
  <c r="G171" i="1"/>
  <c r="G176" i="1"/>
  <c r="G175" i="1"/>
  <c r="G174" i="1"/>
  <c r="G173" i="1"/>
  <c r="G172" i="1"/>
  <c r="G208" i="1"/>
  <c r="G206" i="1"/>
  <c r="G211" i="1"/>
  <c r="G210" i="1"/>
  <c r="G209" i="1"/>
  <c r="G207" i="1"/>
  <c r="G236" i="1"/>
  <c r="H236" i="1" s="1"/>
  <c r="G237" i="1"/>
  <c r="G235" i="1"/>
  <c r="H235" i="1" s="1"/>
  <c r="G234" i="1"/>
  <c r="G233" i="1"/>
  <c r="G232" i="1"/>
  <c r="H232" i="1" s="1"/>
  <c r="G231" i="1"/>
  <c r="G221" i="1"/>
  <c r="G220" i="1"/>
  <c r="H220" i="1" s="1"/>
  <c r="G219" i="1"/>
  <c r="G218" i="1"/>
  <c r="H218" i="1" s="1"/>
  <c r="G217" i="1"/>
  <c r="G216" i="1"/>
  <c r="G215" i="1"/>
  <c r="G214" i="1"/>
  <c r="H214" i="1" s="1"/>
  <c r="G213" i="1"/>
  <c r="H239" i="1"/>
  <c r="H238" i="1"/>
  <c r="H237" i="1"/>
  <c r="H234" i="1"/>
  <c r="H230" i="1"/>
  <c r="H219" i="1"/>
  <c r="H215" i="1"/>
  <c r="G242" i="1" l="1"/>
  <c r="P269" i="4"/>
  <c r="O269" i="4"/>
  <c r="I288" i="4"/>
  <c r="P311" i="4"/>
  <c r="O311" i="4"/>
  <c r="O329" i="4"/>
  <c r="P329" i="4"/>
  <c r="P271" i="4"/>
  <c r="O271" i="4"/>
  <c r="O287" i="4"/>
  <c r="P287" i="4"/>
  <c r="P270" i="4"/>
  <c r="O270" i="4"/>
  <c r="I306" i="4"/>
  <c r="I354" i="4"/>
  <c r="I289" i="4"/>
  <c r="I296" i="4"/>
  <c r="I336" i="4"/>
  <c r="H231" i="1"/>
  <c r="H245" i="1" s="1"/>
  <c r="G224" i="1"/>
  <c r="G244" i="1"/>
  <c r="H233" i="1"/>
  <c r="H241" i="1" s="1"/>
  <c r="N214" i="1" s="1"/>
  <c r="G246" i="1"/>
  <c r="H217" i="1"/>
  <c r="H227" i="1" s="1"/>
  <c r="O215" i="1" s="1"/>
  <c r="G227" i="1"/>
  <c r="H246" i="1"/>
  <c r="O218" i="1" s="1"/>
  <c r="G223" i="1"/>
  <c r="G228" i="1"/>
  <c r="G245" i="1"/>
  <c r="H243" i="1"/>
  <c r="N218" i="1" s="1"/>
  <c r="H213" i="1"/>
  <c r="G241" i="1"/>
  <c r="H242" i="1"/>
  <c r="N216" i="1" s="1"/>
  <c r="H221" i="1"/>
  <c r="H228" i="1" s="1"/>
  <c r="O217" i="1" s="1"/>
  <c r="G243" i="1"/>
  <c r="G225" i="1"/>
  <c r="H216" i="1"/>
  <c r="G226" i="1"/>
  <c r="O216" i="1"/>
  <c r="H195" i="1"/>
  <c r="H125" i="1"/>
  <c r="H108" i="1"/>
  <c r="H179" i="1"/>
  <c r="H180" i="1"/>
  <c r="H181" i="1"/>
  <c r="H182" i="1"/>
  <c r="H183" i="1"/>
  <c r="H184" i="1"/>
  <c r="H185" i="1"/>
  <c r="H186" i="1"/>
  <c r="H178" i="1"/>
  <c r="H204" i="1"/>
  <c r="H203" i="1"/>
  <c r="H202" i="1"/>
  <c r="H201" i="1"/>
  <c r="H200" i="1"/>
  <c r="H199" i="1"/>
  <c r="H198" i="1"/>
  <c r="H197" i="1"/>
  <c r="H196" i="1"/>
  <c r="G193" i="1"/>
  <c r="G192" i="1"/>
  <c r="G191" i="1"/>
  <c r="G190" i="1"/>
  <c r="G189" i="1"/>
  <c r="G188" i="1"/>
  <c r="I307" i="4" l="1"/>
  <c r="O288" i="4"/>
  <c r="P288" i="4"/>
  <c r="O330" i="4"/>
  <c r="P330" i="4"/>
  <c r="O290" i="4"/>
  <c r="P290" i="4"/>
  <c r="P348" i="4"/>
  <c r="O348" i="4"/>
  <c r="P289" i="4"/>
  <c r="O289" i="4"/>
  <c r="P306" i="4"/>
  <c r="O306" i="4"/>
  <c r="I373" i="4"/>
  <c r="I315" i="4"/>
  <c r="I325" i="4"/>
  <c r="I308" i="4"/>
  <c r="I355" i="4"/>
  <c r="H224" i="1"/>
  <c r="N215" i="1" s="1"/>
  <c r="H244" i="1"/>
  <c r="O214" i="1" s="1"/>
  <c r="H226" i="1"/>
  <c r="O213" i="1" s="1"/>
  <c r="H223" i="1"/>
  <c r="N213" i="1" s="1"/>
  <c r="H206" i="1"/>
  <c r="N179" i="1" s="1"/>
  <c r="H209" i="1"/>
  <c r="O179" i="1" s="1"/>
  <c r="H225" i="1"/>
  <c r="N217" i="1" s="1"/>
  <c r="H210" i="1"/>
  <c r="O181" i="1" s="1"/>
  <c r="H207" i="1"/>
  <c r="N181" i="1" s="1"/>
  <c r="H208" i="1"/>
  <c r="N183" i="1" s="1"/>
  <c r="H211" i="1"/>
  <c r="O183" i="1" s="1"/>
  <c r="H191" i="1"/>
  <c r="O178" i="1" s="1"/>
  <c r="H190" i="1"/>
  <c r="N182" i="1" s="1"/>
  <c r="H193" i="1"/>
  <c r="O182" i="1" s="1"/>
  <c r="H189" i="1"/>
  <c r="N180" i="1" s="1"/>
  <c r="H188" i="1"/>
  <c r="N178" i="1" s="1"/>
  <c r="H192" i="1"/>
  <c r="O180" i="1" s="1"/>
  <c r="H134" i="1"/>
  <c r="H133" i="1"/>
  <c r="H132" i="1"/>
  <c r="H131" i="1"/>
  <c r="H130" i="1"/>
  <c r="H129" i="1"/>
  <c r="H128" i="1"/>
  <c r="H127" i="1"/>
  <c r="H126" i="1"/>
  <c r="G123" i="1"/>
  <c r="G122" i="1"/>
  <c r="G121" i="1"/>
  <c r="G120" i="1"/>
  <c r="G119" i="1"/>
  <c r="H116" i="1"/>
  <c r="H115" i="1"/>
  <c r="H114" i="1"/>
  <c r="H113" i="1"/>
  <c r="H112" i="1"/>
  <c r="H111" i="1"/>
  <c r="H110" i="1"/>
  <c r="H109" i="1"/>
  <c r="H169" i="1"/>
  <c r="H168" i="1"/>
  <c r="H167" i="1"/>
  <c r="H166" i="1"/>
  <c r="H165" i="1"/>
  <c r="H164" i="1"/>
  <c r="H163" i="1"/>
  <c r="H162" i="1"/>
  <c r="H161" i="1"/>
  <c r="H160" i="1"/>
  <c r="G158" i="1"/>
  <c r="G157" i="1"/>
  <c r="G156" i="1"/>
  <c r="G155" i="1"/>
  <c r="G154" i="1"/>
  <c r="H151" i="1"/>
  <c r="H150" i="1"/>
  <c r="H149" i="1"/>
  <c r="H148" i="1"/>
  <c r="H147" i="1"/>
  <c r="H146" i="1"/>
  <c r="H145" i="1"/>
  <c r="H144" i="1"/>
  <c r="H143" i="1"/>
  <c r="I326" i="4" l="1"/>
  <c r="O307" i="4"/>
  <c r="P307" i="4"/>
  <c r="P349" i="4"/>
  <c r="O349" i="4"/>
  <c r="P309" i="4"/>
  <c r="O309" i="4"/>
  <c r="P367" i="4"/>
  <c r="O367" i="4"/>
  <c r="P308" i="4"/>
  <c r="O308" i="4"/>
  <c r="P325" i="4"/>
  <c r="O325" i="4"/>
  <c r="I392" i="4"/>
  <c r="I327" i="4"/>
  <c r="I334" i="4"/>
  <c r="I344" i="4"/>
  <c r="I374" i="4"/>
  <c r="H121" i="1"/>
  <c r="O108" i="1" s="1"/>
  <c r="H122" i="1"/>
  <c r="O110" i="1" s="1"/>
  <c r="H153" i="1"/>
  <c r="N143" i="1" s="1"/>
  <c r="H120" i="1"/>
  <c r="N112" i="1" s="1"/>
  <c r="H140" i="1"/>
  <c r="O111" i="1" s="1"/>
  <c r="H137" i="1"/>
  <c r="N111" i="1" s="1"/>
  <c r="H139" i="1"/>
  <c r="O109" i="1" s="1"/>
  <c r="H141" i="1"/>
  <c r="O113" i="1" s="1"/>
  <c r="H138" i="1"/>
  <c r="N113" i="1" s="1"/>
  <c r="H123" i="1"/>
  <c r="O112" i="1" s="1"/>
  <c r="H136" i="1"/>
  <c r="N109" i="1" s="1"/>
  <c r="H173" i="1"/>
  <c r="N148" i="1" s="1"/>
  <c r="H176" i="1"/>
  <c r="O148" i="1" s="1"/>
  <c r="H172" i="1"/>
  <c r="N146" i="1" s="1"/>
  <c r="H175" i="1"/>
  <c r="O146" i="1" s="1"/>
  <c r="H174" i="1"/>
  <c r="O144" i="1" s="1"/>
  <c r="H171" i="1"/>
  <c r="N144" i="1" s="1"/>
  <c r="H119" i="1"/>
  <c r="N110" i="1" s="1"/>
  <c r="H118" i="1"/>
  <c r="N108" i="1" s="1"/>
  <c r="H154" i="1"/>
  <c r="N145" i="1" s="1"/>
  <c r="H156" i="1"/>
  <c r="O143" i="1" s="1"/>
  <c r="H158" i="1"/>
  <c r="O147" i="1" s="1"/>
  <c r="H155" i="1"/>
  <c r="N147" i="1" s="1"/>
  <c r="H157" i="1"/>
  <c r="O145" i="1" s="1"/>
  <c r="G88" i="1"/>
  <c r="G87" i="1"/>
  <c r="G86" i="1"/>
  <c r="G85" i="1"/>
  <c r="G84" i="1"/>
  <c r="G83" i="1"/>
  <c r="G53" i="1"/>
  <c r="G52" i="1"/>
  <c r="G51" i="1"/>
  <c r="G50" i="1"/>
  <c r="G49" i="1"/>
  <c r="G48" i="1"/>
  <c r="I13" i="1"/>
  <c r="I14" i="1"/>
  <c r="I15" i="1"/>
  <c r="I16" i="1"/>
  <c r="I17" i="1"/>
  <c r="I18" i="1"/>
  <c r="G18" i="1"/>
  <c r="G17" i="1"/>
  <c r="G16" i="1"/>
  <c r="G15" i="1"/>
  <c r="G14" i="1"/>
  <c r="O326" i="4" l="1"/>
  <c r="I345" i="4"/>
  <c r="P326" i="4"/>
  <c r="O368" i="4"/>
  <c r="P368" i="4"/>
  <c r="P328" i="4"/>
  <c r="O328" i="4"/>
  <c r="P386" i="4"/>
  <c r="O386" i="4"/>
  <c r="O327" i="4"/>
  <c r="P327" i="4"/>
  <c r="P344" i="4"/>
  <c r="O344" i="4"/>
  <c r="I353" i="4"/>
  <c r="I393" i="4"/>
  <c r="I346" i="4"/>
  <c r="I363" i="4"/>
  <c r="I411" i="4"/>
  <c r="H29" i="1"/>
  <c r="H64" i="1"/>
  <c r="I64" i="1" s="1"/>
  <c r="H99" i="1"/>
  <c r="H98" i="1"/>
  <c r="H97" i="1"/>
  <c r="H96" i="1"/>
  <c r="H95" i="1"/>
  <c r="H94" i="1"/>
  <c r="H93" i="1"/>
  <c r="H92" i="1"/>
  <c r="H91" i="1"/>
  <c r="H90" i="1"/>
  <c r="H81" i="1"/>
  <c r="H80" i="1"/>
  <c r="H79" i="1"/>
  <c r="H78" i="1"/>
  <c r="H77" i="1"/>
  <c r="H76" i="1"/>
  <c r="H75" i="1"/>
  <c r="H74" i="1"/>
  <c r="H73" i="1"/>
  <c r="H63" i="1"/>
  <c r="I63" i="1" s="1"/>
  <c r="H62" i="1"/>
  <c r="I62" i="1" s="1"/>
  <c r="H61" i="1"/>
  <c r="I61" i="1" s="1"/>
  <c r="H60" i="1"/>
  <c r="I60" i="1" s="1"/>
  <c r="H59" i="1"/>
  <c r="I59" i="1" s="1"/>
  <c r="I94" i="1" s="1"/>
  <c r="I129" i="1" s="1"/>
  <c r="I164" i="1" s="1"/>
  <c r="I199" i="1" s="1"/>
  <c r="H58" i="1"/>
  <c r="I58" i="1" s="1"/>
  <c r="I93" i="1" s="1"/>
  <c r="I128" i="1" s="1"/>
  <c r="I163" i="1" s="1"/>
  <c r="I198" i="1" s="1"/>
  <c r="H57" i="1"/>
  <c r="H56" i="1"/>
  <c r="H55" i="1"/>
  <c r="H46" i="1"/>
  <c r="I46" i="1" s="1"/>
  <c r="H45" i="1"/>
  <c r="I45" i="1" s="1"/>
  <c r="H44" i="1"/>
  <c r="I44" i="1" s="1"/>
  <c r="H43" i="1"/>
  <c r="I43" i="1" s="1"/>
  <c r="I78" i="1" s="1"/>
  <c r="I113" i="1" s="1"/>
  <c r="I148" i="1" s="1"/>
  <c r="I183" i="1" s="1"/>
  <c r="I218" i="1" s="1"/>
  <c r="I253" i="1" s="1"/>
  <c r="I288" i="1" s="1"/>
  <c r="H42" i="1"/>
  <c r="I42" i="1" s="1"/>
  <c r="I77" i="1" s="1"/>
  <c r="I112" i="1" s="1"/>
  <c r="I147" i="1" s="1"/>
  <c r="I182" i="1" s="1"/>
  <c r="I217" i="1" s="1"/>
  <c r="I252" i="1" s="1"/>
  <c r="I287" i="1" s="1"/>
  <c r="H41" i="1"/>
  <c r="H40" i="1"/>
  <c r="H39" i="1"/>
  <c r="H38" i="1"/>
  <c r="I38" i="1" s="1"/>
  <c r="I73" i="1" s="1"/>
  <c r="I108" i="1" s="1"/>
  <c r="H28" i="1"/>
  <c r="H27" i="1"/>
  <c r="H26" i="1"/>
  <c r="H25" i="1"/>
  <c r="H24" i="1"/>
  <c r="H23" i="1"/>
  <c r="H22" i="1"/>
  <c r="H21" i="1"/>
  <c r="H20" i="1"/>
  <c r="H11" i="1"/>
  <c r="H10" i="1"/>
  <c r="H9" i="1"/>
  <c r="H8" i="1"/>
  <c r="H7" i="1"/>
  <c r="H6" i="1"/>
  <c r="H5" i="1"/>
  <c r="H4" i="1"/>
  <c r="H3" i="1"/>
  <c r="I79" i="1" l="1"/>
  <c r="I114" i="1" s="1"/>
  <c r="I149" i="1" s="1"/>
  <c r="I184" i="1" s="1"/>
  <c r="I219" i="1" s="1"/>
  <c r="I254" i="1" s="1"/>
  <c r="I289" i="1" s="1"/>
  <c r="I95" i="1"/>
  <c r="I130" i="1" s="1"/>
  <c r="I165" i="1" s="1"/>
  <c r="I200" i="1" s="1"/>
  <c r="P345" i="4"/>
  <c r="I364" i="4"/>
  <c r="O345" i="4"/>
  <c r="O405" i="4"/>
  <c r="P405" i="4"/>
  <c r="P387" i="4"/>
  <c r="O387" i="4"/>
  <c r="P347" i="4"/>
  <c r="O347" i="4"/>
  <c r="O363" i="4"/>
  <c r="P363" i="4"/>
  <c r="P346" i="4"/>
  <c r="O346" i="4"/>
  <c r="I382" i="4"/>
  <c r="I365" i="4"/>
  <c r="I412" i="4"/>
  <c r="I372" i="4"/>
  <c r="I430" i="4"/>
  <c r="I98" i="1"/>
  <c r="I133" i="1" s="1"/>
  <c r="I168" i="1" s="1"/>
  <c r="I203" i="1" s="1"/>
  <c r="I238" i="1" s="1"/>
  <c r="I273" i="1" s="1"/>
  <c r="I308" i="1" s="1"/>
  <c r="I343" i="1" s="1"/>
  <c r="I378" i="1" s="1"/>
  <c r="I413" i="1" s="1"/>
  <c r="I448" i="1" s="1"/>
  <c r="I483" i="1" s="1"/>
  <c r="I518" i="1" s="1"/>
  <c r="I553" i="1" s="1"/>
  <c r="I588" i="1" s="1"/>
  <c r="I623" i="1" s="1"/>
  <c r="I658" i="1" s="1"/>
  <c r="I693" i="1" s="1"/>
  <c r="I728" i="1" s="1"/>
  <c r="I763" i="1" s="1"/>
  <c r="I798" i="1" s="1"/>
  <c r="I833" i="1" s="1"/>
  <c r="I868" i="1" s="1"/>
  <c r="I903" i="1" s="1"/>
  <c r="I938" i="1" s="1"/>
  <c r="I973" i="1" s="1"/>
  <c r="I1008" i="1" s="1"/>
  <c r="I81" i="1"/>
  <c r="I116" i="1" s="1"/>
  <c r="I151" i="1" s="1"/>
  <c r="I186" i="1" s="1"/>
  <c r="I221" i="1" s="1"/>
  <c r="I256" i="1" s="1"/>
  <c r="I291" i="1" s="1"/>
  <c r="I326" i="1" s="1"/>
  <c r="I361" i="1" s="1"/>
  <c r="I396" i="1" s="1"/>
  <c r="I431" i="1" s="1"/>
  <c r="I466" i="1" s="1"/>
  <c r="I501" i="1" s="1"/>
  <c r="I536" i="1" s="1"/>
  <c r="I571" i="1" s="1"/>
  <c r="I606" i="1" s="1"/>
  <c r="I641" i="1" s="1"/>
  <c r="I676" i="1" s="1"/>
  <c r="I711" i="1" s="1"/>
  <c r="I746" i="1" s="1"/>
  <c r="I781" i="1" s="1"/>
  <c r="I816" i="1" s="1"/>
  <c r="I851" i="1" s="1"/>
  <c r="I886" i="1" s="1"/>
  <c r="I921" i="1" s="1"/>
  <c r="I956" i="1" s="1"/>
  <c r="I991" i="1" s="1"/>
  <c r="I97" i="1"/>
  <c r="I132" i="1" s="1"/>
  <c r="I167" i="1" s="1"/>
  <c r="I202" i="1" s="1"/>
  <c r="I237" i="1" s="1"/>
  <c r="I272" i="1" s="1"/>
  <c r="I307" i="1" s="1"/>
  <c r="I342" i="1" s="1"/>
  <c r="I377" i="1" s="1"/>
  <c r="I412" i="1" s="1"/>
  <c r="I447" i="1" s="1"/>
  <c r="I482" i="1" s="1"/>
  <c r="I517" i="1" s="1"/>
  <c r="I552" i="1" s="1"/>
  <c r="I587" i="1" s="1"/>
  <c r="I622" i="1" s="1"/>
  <c r="I657" i="1" s="1"/>
  <c r="I692" i="1" s="1"/>
  <c r="I727" i="1" s="1"/>
  <c r="I762" i="1" s="1"/>
  <c r="I797" i="1" s="1"/>
  <c r="I832" i="1" s="1"/>
  <c r="I867" i="1" s="1"/>
  <c r="I902" i="1" s="1"/>
  <c r="I937" i="1" s="1"/>
  <c r="I972" i="1" s="1"/>
  <c r="I1007" i="1" s="1"/>
  <c r="I99" i="1"/>
  <c r="I134" i="1" s="1"/>
  <c r="I169" i="1" s="1"/>
  <c r="I204" i="1" s="1"/>
  <c r="I239" i="1" s="1"/>
  <c r="I274" i="1" s="1"/>
  <c r="I309" i="1" s="1"/>
  <c r="I344" i="1" s="1"/>
  <c r="I379" i="1" s="1"/>
  <c r="I414" i="1" s="1"/>
  <c r="I449" i="1" s="1"/>
  <c r="I484" i="1" s="1"/>
  <c r="I519" i="1" s="1"/>
  <c r="I554" i="1" s="1"/>
  <c r="I589" i="1" s="1"/>
  <c r="I624" i="1" s="1"/>
  <c r="I659" i="1" s="1"/>
  <c r="I694" i="1" s="1"/>
  <c r="I729" i="1" s="1"/>
  <c r="I764" i="1" s="1"/>
  <c r="I799" i="1" s="1"/>
  <c r="I834" i="1" s="1"/>
  <c r="I869" i="1" s="1"/>
  <c r="I904" i="1" s="1"/>
  <c r="I939" i="1" s="1"/>
  <c r="I974" i="1" s="1"/>
  <c r="I1009" i="1" s="1"/>
  <c r="I80" i="1"/>
  <c r="I115" i="1" s="1"/>
  <c r="I150" i="1" s="1"/>
  <c r="I185" i="1" s="1"/>
  <c r="I220" i="1" s="1"/>
  <c r="I255" i="1" s="1"/>
  <c r="I290" i="1" s="1"/>
  <c r="I325" i="1" s="1"/>
  <c r="I360" i="1" s="1"/>
  <c r="I395" i="1" s="1"/>
  <c r="I430" i="1" s="1"/>
  <c r="I465" i="1" s="1"/>
  <c r="I500" i="1" s="1"/>
  <c r="I535" i="1" s="1"/>
  <c r="I570" i="1" s="1"/>
  <c r="I605" i="1" s="1"/>
  <c r="I640" i="1" s="1"/>
  <c r="I675" i="1" s="1"/>
  <c r="I710" i="1" s="1"/>
  <c r="I745" i="1" s="1"/>
  <c r="I780" i="1" s="1"/>
  <c r="I815" i="1" s="1"/>
  <c r="I850" i="1" s="1"/>
  <c r="I885" i="1" s="1"/>
  <c r="I920" i="1" s="1"/>
  <c r="I955" i="1" s="1"/>
  <c r="I990" i="1" s="1"/>
  <c r="I96" i="1"/>
  <c r="I131" i="1" s="1"/>
  <c r="I166" i="1" s="1"/>
  <c r="I201" i="1" s="1"/>
  <c r="I236" i="1" s="1"/>
  <c r="I271" i="1" s="1"/>
  <c r="I306" i="1" s="1"/>
  <c r="I341" i="1" s="1"/>
  <c r="I376" i="1" s="1"/>
  <c r="I411" i="1" s="1"/>
  <c r="I446" i="1" s="1"/>
  <c r="I481" i="1" s="1"/>
  <c r="I516" i="1" s="1"/>
  <c r="I551" i="1" s="1"/>
  <c r="I586" i="1" s="1"/>
  <c r="I621" i="1" s="1"/>
  <c r="I656" i="1" s="1"/>
  <c r="I691" i="1" s="1"/>
  <c r="I726" i="1" s="1"/>
  <c r="I761" i="1" s="1"/>
  <c r="I796" i="1" s="1"/>
  <c r="I831" i="1" s="1"/>
  <c r="I866" i="1" s="1"/>
  <c r="I901" i="1" s="1"/>
  <c r="I936" i="1" s="1"/>
  <c r="I971" i="1" s="1"/>
  <c r="I1006" i="1" s="1"/>
  <c r="H31" i="1"/>
  <c r="H34" i="1"/>
  <c r="H66" i="1"/>
  <c r="N39" i="1" s="1"/>
  <c r="H69" i="1"/>
  <c r="O39" i="1" s="1"/>
  <c r="I55" i="1"/>
  <c r="H104" i="1"/>
  <c r="O74" i="1" s="1"/>
  <c r="H101" i="1"/>
  <c r="N74" i="1" s="1"/>
  <c r="I323" i="1"/>
  <c r="I358" i="1" s="1"/>
  <c r="I393" i="1" s="1"/>
  <c r="I428" i="1" s="1"/>
  <c r="I463" i="1" s="1"/>
  <c r="I498" i="1" s="1"/>
  <c r="I533" i="1" s="1"/>
  <c r="I568" i="1" s="1"/>
  <c r="I603" i="1" s="1"/>
  <c r="I638" i="1" s="1"/>
  <c r="I673" i="1" s="1"/>
  <c r="I708" i="1" s="1"/>
  <c r="I743" i="1" s="1"/>
  <c r="I778" i="1" s="1"/>
  <c r="I813" i="1" s="1"/>
  <c r="I848" i="1" s="1"/>
  <c r="I883" i="1" s="1"/>
  <c r="I918" i="1" s="1"/>
  <c r="I953" i="1" s="1"/>
  <c r="I988" i="1" s="1"/>
  <c r="I57" i="1"/>
  <c r="H68" i="1"/>
  <c r="N43" i="1" s="1"/>
  <c r="H71" i="1"/>
  <c r="O43" i="1" s="1"/>
  <c r="H106" i="1"/>
  <c r="O78" i="1" s="1"/>
  <c r="H103" i="1"/>
  <c r="N78" i="1" s="1"/>
  <c r="H32" i="1"/>
  <c r="H35" i="1"/>
  <c r="H70" i="1"/>
  <c r="H67" i="1"/>
  <c r="H105" i="1"/>
  <c r="O76" i="1" s="1"/>
  <c r="H102" i="1"/>
  <c r="N76" i="1" s="1"/>
  <c r="H33" i="1"/>
  <c r="H36" i="1"/>
  <c r="I143" i="1"/>
  <c r="I324" i="1"/>
  <c r="I359" i="1" s="1"/>
  <c r="I394" i="1" s="1"/>
  <c r="I429" i="1" s="1"/>
  <c r="I464" i="1" s="1"/>
  <c r="I499" i="1" s="1"/>
  <c r="I534" i="1" s="1"/>
  <c r="I569" i="1" s="1"/>
  <c r="I604" i="1" s="1"/>
  <c r="I639" i="1" s="1"/>
  <c r="I674" i="1" s="1"/>
  <c r="I709" i="1" s="1"/>
  <c r="I744" i="1" s="1"/>
  <c r="I779" i="1" s="1"/>
  <c r="I814" i="1" s="1"/>
  <c r="I849" i="1" s="1"/>
  <c r="I884" i="1" s="1"/>
  <c r="I919" i="1" s="1"/>
  <c r="I954" i="1" s="1"/>
  <c r="I989" i="1" s="1"/>
  <c r="I322" i="1"/>
  <c r="I357" i="1" s="1"/>
  <c r="I392" i="1" s="1"/>
  <c r="I427" i="1" s="1"/>
  <c r="I462" i="1" s="1"/>
  <c r="I497" i="1" s="1"/>
  <c r="I532" i="1" s="1"/>
  <c r="I567" i="1" s="1"/>
  <c r="I602" i="1" s="1"/>
  <c r="I637" i="1" s="1"/>
  <c r="I672" i="1" s="1"/>
  <c r="I707" i="1" s="1"/>
  <c r="I742" i="1" s="1"/>
  <c r="I777" i="1" s="1"/>
  <c r="I812" i="1" s="1"/>
  <c r="I847" i="1" s="1"/>
  <c r="I882" i="1" s="1"/>
  <c r="I917" i="1" s="1"/>
  <c r="I952" i="1" s="1"/>
  <c r="I987" i="1" s="1"/>
  <c r="I235" i="1"/>
  <c r="I270" i="1" s="1"/>
  <c r="I305" i="1" s="1"/>
  <c r="I340" i="1" s="1"/>
  <c r="I375" i="1" s="1"/>
  <c r="I410" i="1" s="1"/>
  <c r="I445" i="1" s="1"/>
  <c r="I480" i="1" s="1"/>
  <c r="I515" i="1" s="1"/>
  <c r="I550" i="1" s="1"/>
  <c r="I585" i="1" s="1"/>
  <c r="I620" i="1" s="1"/>
  <c r="I655" i="1" s="1"/>
  <c r="I690" i="1" s="1"/>
  <c r="I725" i="1" s="1"/>
  <c r="I760" i="1" s="1"/>
  <c r="I795" i="1" s="1"/>
  <c r="I830" i="1" s="1"/>
  <c r="I865" i="1" s="1"/>
  <c r="I900" i="1" s="1"/>
  <c r="I935" i="1" s="1"/>
  <c r="I970" i="1" s="1"/>
  <c r="I1005" i="1" s="1"/>
  <c r="I234" i="1"/>
  <c r="I269" i="1" s="1"/>
  <c r="I304" i="1" s="1"/>
  <c r="I339" i="1" s="1"/>
  <c r="I374" i="1" s="1"/>
  <c r="I409" i="1" s="1"/>
  <c r="I444" i="1" s="1"/>
  <c r="I479" i="1" s="1"/>
  <c r="I514" i="1" s="1"/>
  <c r="I549" i="1" s="1"/>
  <c r="I584" i="1" s="1"/>
  <c r="I619" i="1" s="1"/>
  <c r="I654" i="1" s="1"/>
  <c r="I689" i="1" s="1"/>
  <c r="I724" i="1" s="1"/>
  <c r="I759" i="1" s="1"/>
  <c r="I794" i="1" s="1"/>
  <c r="I829" i="1" s="1"/>
  <c r="I864" i="1" s="1"/>
  <c r="I899" i="1" s="1"/>
  <c r="I934" i="1" s="1"/>
  <c r="I969" i="1" s="1"/>
  <c r="I1004" i="1" s="1"/>
  <c r="I233" i="1"/>
  <c r="I268" i="1" s="1"/>
  <c r="I303" i="1" s="1"/>
  <c r="I338" i="1" s="1"/>
  <c r="I373" i="1" s="1"/>
  <c r="I408" i="1" s="1"/>
  <c r="I443" i="1" s="1"/>
  <c r="I478" i="1" s="1"/>
  <c r="I513" i="1" s="1"/>
  <c r="I548" i="1" s="1"/>
  <c r="I583" i="1" s="1"/>
  <c r="I618" i="1" s="1"/>
  <c r="I653" i="1" s="1"/>
  <c r="I688" i="1" s="1"/>
  <c r="I723" i="1" s="1"/>
  <c r="I758" i="1" s="1"/>
  <c r="I793" i="1" s="1"/>
  <c r="I828" i="1" s="1"/>
  <c r="I863" i="1" s="1"/>
  <c r="I898" i="1" s="1"/>
  <c r="I933" i="1" s="1"/>
  <c r="I968" i="1" s="1"/>
  <c r="I1003" i="1" s="1"/>
  <c r="H84" i="1"/>
  <c r="N75" i="1" s="1"/>
  <c r="H87" i="1"/>
  <c r="O75" i="1" s="1"/>
  <c r="H88" i="1"/>
  <c r="O77" i="1" s="1"/>
  <c r="H85" i="1"/>
  <c r="N77" i="1" s="1"/>
  <c r="H86" i="1"/>
  <c r="O73" i="1" s="1"/>
  <c r="H83" i="1"/>
  <c r="N73" i="1" s="1"/>
  <c r="I56" i="1"/>
  <c r="O41" i="1"/>
  <c r="N41" i="1"/>
  <c r="I41" i="1"/>
  <c r="H48" i="1"/>
  <c r="N38" i="1" s="1"/>
  <c r="H51" i="1"/>
  <c r="O38" i="1" s="1"/>
  <c r="I39" i="1"/>
  <c r="I74" i="1" s="1"/>
  <c r="I109" i="1" s="1"/>
  <c r="H52" i="1"/>
  <c r="O40" i="1" s="1"/>
  <c r="H49" i="1"/>
  <c r="N40" i="1" s="1"/>
  <c r="H53" i="1"/>
  <c r="O42" i="1" s="1"/>
  <c r="H50" i="1"/>
  <c r="N42" i="1" s="1"/>
  <c r="I40" i="1"/>
  <c r="I75" i="1" s="1"/>
  <c r="I110" i="1" s="1"/>
  <c r="H14" i="1"/>
  <c r="H17" i="1"/>
  <c r="H13" i="1"/>
  <c r="H16" i="1"/>
  <c r="H18" i="1"/>
  <c r="H15" i="1"/>
  <c r="P364" i="4" l="1"/>
  <c r="O364" i="4"/>
  <c r="I383" i="4"/>
  <c r="P406" i="4"/>
  <c r="O406" i="4"/>
  <c r="P424" i="4"/>
  <c r="O424" i="4"/>
  <c r="O366" i="4"/>
  <c r="P366" i="4"/>
  <c r="O365" i="4"/>
  <c r="P365" i="4"/>
  <c r="P382" i="4"/>
  <c r="O382" i="4"/>
  <c r="I384" i="4"/>
  <c r="I391" i="4"/>
  <c r="I431" i="4"/>
  <c r="I401" i="4"/>
  <c r="I449" i="4"/>
  <c r="I145" i="1"/>
  <c r="I180" i="1" s="1"/>
  <c r="I120" i="1"/>
  <c r="P112" i="1" s="1"/>
  <c r="I123" i="1"/>
  <c r="Q112" i="1" s="1"/>
  <c r="I76" i="1"/>
  <c r="I111" i="1" s="1"/>
  <c r="I71" i="1"/>
  <c r="Q43" i="1" s="1"/>
  <c r="I68" i="1"/>
  <c r="P43" i="1" s="1"/>
  <c r="I92" i="1"/>
  <c r="I69" i="1"/>
  <c r="Q39" i="1" s="1"/>
  <c r="I66" i="1"/>
  <c r="P39" i="1" s="1"/>
  <c r="I90" i="1"/>
  <c r="I67" i="1"/>
  <c r="P41" i="1" s="1"/>
  <c r="I70" i="1"/>
  <c r="Q41" i="1" s="1"/>
  <c r="I91" i="1"/>
  <c r="I144" i="1"/>
  <c r="I179" i="1" s="1"/>
  <c r="I119" i="1"/>
  <c r="P110" i="1" s="1"/>
  <c r="I122" i="1"/>
  <c r="Q110" i="1" s="1"/>
  <c r="I178" i="1"/>
  <c r="I155" i="1"/>
  <c r="P147" i="1" s="1"/>
  <c r="I49" i="1"/>
  <c r="P40" i="1" s="1"/>
  <c r="I52" i="1"/>
  <c r="Q40" i="1" s="1"/>
  <c r="I53" i="1"/>
  <c r="Q42" i="1" s="1"/>
  <c r="I50" i="1"/>
  <c r="P42" i="1" s="1"/>
  <c r="I51" i="1"/>
  <c r="Q38" i="1" s="1"/>
  <c r="I48" i="1"/>
  <c r="P38" i="1" s="1"/>
  <c r="O383" i="4" l="1"/>
  <c r="I402" i="4"/>
  <c r="P383" i="4"/>
  <c r="P443" i="4"/>
  <c r="O443" i="4"/>
  <c r="P425" i="4"/>
  <c r="O425" i="4"/>
  <c r="P385" i="4"/>
  <c r="O385" i="4"/>
  <c r="O401" i="4"/>
  <c r="P401" i="4"/>
  <c r="P384" i="4"/>
  <c r="O384" i="4"/>
  <c r="I158" i="1"/>
  <c r="Q147" i="1" s="1"/>
  <c r="I410" i="4"/>
  <c r="I468" i="4"/>
  <c r="I403" i="4"/>
  <c r="I420" i="4"/>
  <c r="I450" i="4"/>
  <c r="I157" i="1"/>
  <c r="Q145" i="1" s="1"/>
  <c r="I101" i="1"/>
  <c r="I104" i="1"/>
  <c r="Q74" i="1" s="1"/>
  <c r="I125" i="1"/>
  <c r="I214" i="1"/>
  <c r="I189" i="1"/>
  <c r="P180" i="1" s="1"/>
  <c r="I192" i="1"/>
  <c r="Q180" i="1" s="1"/>
  <c r="I146" i="1"/>
  <c r="I121" i="1"/>
  <c r="Q108" i="1" s="1"/>
  <c r="I118" i="1"/>
  <c r="P108" i="1" s="1"/>
  <c r="I154" i="1"/>
  <c r="P145" i="1" s="1"/>
  <c r="I102" i="1"/>
  <c r="P76" i="1" s="1"/>
  <c r="I105" i="1"/>
  <c r="Q76" i="1" s="1"/>
  <c r="I126" i="1"/>
  <c r="I106" i="1"/>
  <c r="Q78" i="1" s="1"/>
  <c r="I103" i="1"/>
  <c r="P78" i="1" s="1"/>
  <c r="I127" i="1"/>
  <c r="I213" i="1"/>
  <c r="I215" i="1"/>
  <c r="I193" i="1"/>
  <c r="Q182" i="1" s="1"/>
  <c r="I190" i="1"/>
  <c r="P182" i="1" s="1"/>
  <c r="P74" i="1"/>
  <c r="I87" i="1"/>
  <c r="Q75" i="1" s="1"/>
  <c r="I84" i="1"/>
  <c r="P75" i="1" s="1"/>
  <c r="I85" i="1"/>
  <c r="P77" i="1" s="1"/>
  <c r="I88" i="1"/>
  <c r="Q77" i="1" s="1"/>
  <c r="I86" i="1"/>
  <c r="Q73" i="1" s="1"/>
  <c r="I83" i="1"/>
  <c r="P73" i="1" s="1"/>
  <c r="O402" i="4" l="1"/>
  <c r="I421" i="4"/>
  <c r="P402" i="4"/>
  <c r="P462" i="4"/>
  <c r="O462" i="4"/>
  <c r="O404" i="4"/>
  <c r="P404" i="4"/>
  <c r="O444" i="4"/>
  <c r="P444" i="4"/>
  <c r="P420" i="4"/>
  <c r="O420" i="4"/>
  <c r="P403" i="4"/>
  <c r="O403" i="4"/>
  <c r="I422" i="4"/>
  <c r="I439" i="4"/>
  <c r="I469" i="4"/>
  <c r="I487" i="4"/>
  <c r="I429" i="4"/>
  <c r="I249" i="1"/>
  <c r="I227" i="1"/>
  <c r="Q215" i="1" s="1"/>
  <c r="I224" i="1"/>
  <c r="P215" i="1" s="1"/>
  <c r="I136" i="1"/>
  <c r="P109" i="1" s="1"/>
  <c r="I139" i="1"/>
  <c r="Q109" i="1" s="1"/>
  <c r="I160" i="1"/>
  <c r="I248" i="1"/>
  <c r="I138" i="1"/>
  <c r="P113" i="1" s="1"/>
  <c r="I141" i="1"/>
  <c r="Q113" i="1" s="1"/>
  <c r="I162" i="1"/>
  <c r="I250" i="1"/>
  <c r="I225" i="1"/>
  <c r="P217" i="1" s="1"/>
  <c r="I228" i="1"/>
  <c r="Q217" i="1" s="1"/>
  <c r="I140" i="1"/>
  <c r="Q111" i="1" s="1"/>
  <c r="I137" i="1"/>
  <c r="P111" i="1" s="1"/>
  <c r="I161" i="1"/>
  <c r="I181" i="1"/>
  <c r="I156" i="1"/>
  <c r="Q143" i="1" s="1"/>
  <c r="I153" i="1"/>
  <c r="P143" i="1" s="1"/>
  <c r="I440" i="4" l="1"/>
  <c r="O421" i="4"/>
  <c r="P421" i="4"/>
  <c r="P423" i="4"/>
  <c r="O423" i="4"/>
  <c r="P463" i="4"/>
  <c r="O463" i="4"/>
  <c r="P481" i="4"/>
  <c r="O481" i="4"/>
  <c r="P439" i="4"/>
  <c r="O439" i="4"/>
  <c r="P422" i="4"/>
  <c r="O422" i="4"/>
  <c r="I488" i="4"/>
  <c r="I458" i="4"/>
  <c r="I506" i="4"/>
  <c r="I441" i="4"/>
  <c r="I448" i="4"/>
  <c r="I285" i="1"/>
  <c r="I260" i="1"/>
  <c r="P252" i="1" s="1"/>
  <c r="I263" i="1"/>
  <c r="Q252" i="1" s="1"/>
  <c r="I195" i="1"/>
  <c r="I171" i="1"/>
  <c r="P144" i="1" s="1"/>
  <c r="I174" i="1"/>
  <c r="Q144" i="1" s="1"/>
  <c r="I196" i="1"/>
  <c r="I172" i="1"/>
  <c r="P146" i="1" s="1"/>
  <c r="I175" i="1"/>
  <c r="Q146" i="1" s="1"/>
  <c r="I197" i="1"/>
  <c r="I176" i="1"/>
  <c r="Q148" i="1" s="1"/>
  <c r="I173" i="1"/>
  <c r="P148" i="1" s="1"/>
  <c r="I216" i="1"/>
  <c r="I188" i="1"/>
  <c r="P178" i="1" s="1"/>
  <c r="I191" i="1"/>
  <c r="Q178" i="1" s="1"/>
  <c r="I283" i="1"/>
  <c r="I284" i="1"/>
  <c r="I259" i="1"/>
  <c r="P250" i="1" s="1"/>
  <c r="I262" i="1"/>
  <c r="Q250" i="1" s="1"/>
  <c r="O440" i="4" l="1"/>
  <c r="I459" i="4"/>
  <c r="P440" i="4"/>
  <c r="O482" i="4"/>
  <c r="P482" i="4"/>
  <c r="P442" i="4"/>
  <c r="O442" i="4"/>
  <c r="P500" i="4"/>
  <c r="O500" i="4"/>
  <c r="O441" i="4"/>
  <c r="P441" i="4"/>
  <c r="P458" i="4"/>
  <c r="O458" i="4"/>
  <c r="I525" i="4"/>
  <c r="I507" i="4"/>
  <c r="I477" i="4"/>
  <c r="I460" i="4"/>
  <c r="I467" i="4"/>
  <c r="I230" i="1"/>
  <c r="I209" i="1"/>
  <c r="Q179" i="1" s="1"/>
  <c r="I206" i="1"/>
  <c r="P179" i="1" s="1"/>
  <c r="I318" i="1"/>
  <c r="I353" i="1" s="1"/>
  <c r="I388" i="1" s="1"/>
  <c r="I423" i="1" s="1"/>
  <c r="I458" i="1" s="1"/>
  <c r="I493" i="1" s="1"/>
  <c r="I528" i="1" s="1"/>
  <c r="I563" i="1" s="1"/>
  <c r="I598" i="1" s="1"/>
  <c r="I633" i="1" s="1"/>
  <c r="I668" i="1" s="1"/>
  <c r="I703" i="1" s="1"/>
  <c r="I738" i="1" s="1"/>
  <c r="I773" i="1" s="1"/>
  <c r="I808" i="1" s="1"/>
  <c r="I843" i="1" s="1"/>
  <c r="I878" i="1" s="1"/>
  <c r="I913" i="1" s="1"/>
  <c r="I948" i="1" s="1"/>
  <c r="I983" i="1" s="1"/>
  <c r="I232" i="1"/>
  <c r="I208" i="1"/>
  <c r="P183" i="1" s="1"/>
  <c r="I211" i="1"/>
  <c r="Q183" i="1" s="1"/>
  <c r="I319" i="1"/>
  <c r="I354" i="1" s="1"/>
  <c r="I389" i="1" s="1"/>
  <c r="I424" i="1" s="1"/>
  <c r="I459" i="1" s="1"/>
  <c r="I494" i="1" s="1"/>
  <c r="I529" i="1" s="1"/>
  <c r="I564" i="1" s="1"/>
  <c r="I599" i="1" s="1"/>
  <c r="I634" i="1" s="1"/>
  <c r="I669" i="1" s="1"/>
  <c r="I704" i="1" s="1"/>
  <c r="I739" i="1" s="1"/>
  <c r="I774" i="1" s="1"/>
  <c r="I809" i="1" s="1"/>
  <c r="I844" i="1" s="1"/>
  <c r="I879" i="1" s="1"/>
  <c r="I914" i="1" s="1"/>
  <c r="I949" i="1" s="1"/>
  <c r="I984" i="1" s="1"/>
  <c r="I297" i="1"/>
  <c r="Q285" i="1" s="1"/>
  <c r="I294" i="1"/>
  <c r="P285" i="1" s="1"/>
  <c r="I226" i="1"/>
  <c r="Q213" i="1" s="1"/>
  <c r="I251" i="1"/>
  <c r="I223" i="1"/>
  <c r="P213" i="1" s="1"/>
  <c r="I231" i="1"/>
  <c r="I207" i="1"/>
  <c r="P181" i="1" s="1"/>
  <c r="I210" i="1"/>
  <c r="Q181" i="1" s="1"/>
  <c r="I320" i="1"/>
  <c r="I355" i="1" s="1"/>
  <c r="I390" i="1" s="1"/>
  <c r="I425" i="1" s="1"/>
  <c r="I460" i="1" s="1"/>
  <c r="I495" i="1" s="1"/>
  <c r="I530" i="1" s="1"/>
  <c r="I565" i="1" s="1"/>
  <c r="I600" i="1" s="1"/>
  <c r="I635" i="1" s="1"/>
  <c r="I670" i="1" s="1"/>
  <c r="I705" i="1" s="1"/>
  <c r="I740" i="1" s="1"/>
  <c r="I775" i="1" s="1"/>
  <c r="I810" i="1" s="1"/>
  <c r="I845" i="1" s="1"/>
  <c r="I880" i="1" s="1"/>
  <c r="I915" i="1" s="1"/>
  <c r="I950" i="1" s="1"/>
  <c r="I985" i="1" s="1"/>
  <c r="I298" i="1"/>
  <c r="Q287" i="1" s="1"/>
  <c r="I295" i="1"/>
  <c r="P287" i="1" s="1"/>
  <c r="O459" i="4" l="1"/>
  <c r="I478" i="4"/>
  <c r="P459" i="4"/>
  <c r="P461" i="4"/>
  <c r="O461" i="4"/>
  <c r="P501" i="4"/>
  <c r="O501" i="4"/>
  <c r="O519" i="4"/>
  <c r="P519" i="4"/>
  <c r="P460" i="4"/>
  <c r="O460" i="4"/>
  <c r="O477" i="4"/>
  <c r="P477" i="4"/>
  <c r="I496" i="4"/>
  <c r="I526" i="4"/>
  <c r="I479" i="4"/>
  <c r="I486" i="4"/>
  <c r="I544" i="4"/>
  <c r="I266" i="1"/>
  <c r="I242" i="1"/>
  <c r="P216" i="1" s="1"/>
  <c r="I245" i="1"/>
  <c r="Q216" i="1" s="1"/>
  <c r="I286" i="1"/>
  <c r="I258" i="1"/>
  <c r="P248" i="1" s="1"/>
  <c r="I261" i="1"/>
  <c r="Q248" i="1" s="1"/>
  <c r="I332" i="1"/>
  <c r="Q320" i="1" s="1"/>
  <c r="I329" i="1"/>
  <c r="P320" i="1" s="1"/>
  <c r="I333" i="1"/>
  <c r="Q322" i="1" s="1"/>
  <c r="I330" i="1"/>
  <c r="P322" i="1" s="1"/>
  <c r="I438" i="1"/>
  <c r="Q427" i="1" s="1"/>
  <c r="I435" i="1"/>
  <c r="P427" i="1" s="1"/>
  <c r="I267" i="1"/>
  <c r="I243" i="1"/>
  <c r="P218" i="1" s="1"/>
  <c r="I246" i="1"/>
  <c r="Q218" i="1" s="1"/>
  <c r="I437" i="1"/>
  <c r="Q425" i="1" s="1"/>
  <c r="I434" i="1"/>
  <c r="P425" i="1" s="1"/>
  <c r="I265" i="1"/>
  <c r="I241" i="1"/>
  <c r="P214" i="1" s="1"/>
  <c r="I244" i="1"/>
  <c r="Q214" i="1" s="1"/>
  <c r="I497" i="4" l="1"/>
  <c r="P478" i="4"/>
  <c r="O478" i="4"/>
  <c r="P538" i="4"/>
  <c r="O538" i="4"/>
  <c r="O480" i="4"/>
  <c r="P480" i="4"/>
  <c r="P520" i="4"/>
  <c r="O520" i="4"/>
  <c r="O479" i="4"/>
  <c r="P479" i="4"/>
  <c r="O496" i="4"/>
  <c r="P496" i="4"/>
  <c r="I505" i="4"/>
  <c r="I498" i="4"/>
  <c r="I515" i="4"/>
  <c r="I545" i="4"/>
  <c r="I508" i="1"/>
  <c r="Q497" i="1" s="1"/>
  <c r="I505" i="1"/>
  <c r="P497" i="1" s="1"/>
  <c r="I504" i="1"/>
  <c r="P495" i="1" s="1"/>
  <c r="I507" i="1"/>
  <c r="Q495" i="1" s="1"/>
  <c r="I365" i="1"/>
  <c r="P357" i="1" s="1"/>
  <c r="I368" i="1"/>
  <c r="Q357" i="1" s="1"/>
  <c r="I367" i="1"/>
  <c r="Q355" i="1" s="1"/>
  <c r="I364" i="1"/>
  <c r="P355" i="1" s="1"/>
  <c r="I302" i="1"/>
  <c r="I337" i="1" s="1"/>
  <c r="I372" i="1" s="1"/>
  <c r="I407" i="1" s="1"/>
  <c r="I442" i="1" s="1"/>
  <c r="I477" i="1" s="1"/>
  <c r="I512" i="1" s="1"/>
  <c r="I547" i="1" s="1"/>
  <c r="I582" i="1" s="1"/>
  <c r="I617" i="1" s="1"/>
  <c r="I652" i="1" s="1"/>
  <c r="I687" i="1" s="1"/>
  <c r="I722" i="1" s="1"/>
  <c r="I757" i="1" s="1"/>
  <c r="I792" i="1" s="1"/>
  <c r="I827" i="1" s="1"/>
  <c r="I862" i="1" s="1"/>
  <c r="I897" i="1" s="1"/>
  <c r="I932" i="1" s="1"/>
  <c r="I967" i="1" s="1"/>
  <c r="I1002" i="1" s="1"/>
  <c r="I278" i="1"/>
  <c r="P253" i="1" s="1"/>
  <c r="I281" i="1"/>
  <c r="Q253" i="1" s="1"/>
  <c r="I300" i="1"/>
  <c r="I335" i="1" s="1"/>
  <c r="I370" i="1" s="1"/>
  <c r="I405" i="1" s="1"/>
  <c r="I440" i="1" s="1"/>
  <c r="I475" i="1" s="1"/>
  <c r="I510" i="1" s="1"/>
  <c r="I545" i="1" s="1"/>
  <c r="I580" i="1" s="1"/>
  <c r="I615" i="1" s="1"/>
  <c r="I650" i="1" s="1"/>
  <c r="I685" i="1" s="1"/>
  <c r="I720" i="1" s="1"/>
  <c r="I755" i="1" s="1"/>
  <c r="I790" i="1" s="1"/>
  <c r="I825" i="1" s="1"/>
  <c r="I860" i="1" s="1"/>
  <c r="I895" i="1" s="1"/>
  <c r="I930" i="1" s="1"/>
  <c r="I965" i="1" s="1"/>
  <c r="I1000" i="1" s="1"/>
  <c r="I279" i="1"/>
  <c r="Q249" i="1" s="1"/>
  <c r="I276" i="1"/>
  <c r="P249" i="1" s="1"/>
  <c r="I470" i="1"/>
  <c r="P462" i="1" s="1"/>
  <c r="I473" i="1"/>
  <c r="Q462" i="1" s="1"/>
  <c r="I469" i="1"/>
  <c r="P460" i="1" s="1"/>
  <c r="I472" i="1"/>
  <c r="Q460" i="1" s="1"/>
  <c r="I321" i="1"/>
  <c r="I356" i="1" s="1"/>
  <c r="I391" i="1" s="1"/>
  <c r="I426" i="1" s="1"/>
  <c r="I461" i="1" s="1"/>
  <c r="I496" i="1" s="1"/>
  <c r="I531" i="1" s="1"/>
  <c r="I566" i="1" s="1"/>
  <c r="I601" i="1" s="1"/>
  <c r="I636" i="1" s="1"/>
  <c r="I671" i="1" s="1"/>
  <c r="I706" i="1" s="1"/>
  <c r="I741" i="1" s="1"/>
  <c r="I776" i="1" s="1"/>
  <c r="I811" i="1" s="1"/>
  <c r="I846" i="1" s="1"/>
  <c r="I881" i="1" s="1"/>
  <c r="I916" i="1" s="1"/>
  <c r="I951" i="1" s="1"/>
  <c r="I986" i="1" s="1"/>
  <c r="I296" i="1"/>
  <c r="Q283" i="1" s="1"/>
  <c r="I293" i="1"/>
  <c r="P283" i="1" s="1"/>
  <c r="I277" i="1"/>
  <c r="P251" i="1" s="1"/>
  <c r="I280" i="1"/>
  <c r="Q251" i="1" s="1"/>
  <c r="I301" i="1"/>
  <c r="I336" i="1" s="1"/>
  <c r="I371" i="1" s="1"/>
  <c r="I406" i="1" s="1"/>
  <c r="I441" i="1" s="1"/>
  <c r="I476" i="1" s="1"/>
  <c r="I511" i="1" s="1"/>
  <c r="I546" i="1" s="1"/>
  <c r="I581" i="1" s="1"/>
  <c r="I616" i="1" s="1"/>
  <c r="I651" i="1" s="1"/>
  <c r="I686" i="1" s="1"/>
  <c r="I721" i="1" s="1"/>
  <c r="I756" i="1" s="1"/>
  <c r="I791" i="1" s="1"/>
  <c r="I826" i="1" s="1"/>
  <c r="I861" i="1" s="1"/>
  <c r="I896" i="1" s="1"/>
  <c r="I931" i="1" s="1"/>
  <c r="I966" i="1" s="1"/>
  <c r="I1001" i="1" s="1"/>
  <c r="O497" i="4" l="1"/>
  <c r="P497" i="4"/>
  <c r="I516" i="4"/>
  <c r="P539" i="4"/>
  <c r="O539" i="4"/>
  <c r="O499" i="4"/>
  <c r="P499" i="4"/>
  <c r="O515" i="4"/>
  <c r="P515" i="4"/>
  <c r="P498" i="4"/>
  <c r="O498" i="4"/>
  <c r="I524" i="4"/>
  <c r="I534" i="4"/>
  <c r="I517" i="4"/>
  <c r="I539" i="1"/>
  <c r="P530" i="1" s="1"/>
  <c r="I542" i="1"/>
  <c r="Q530" i="1" s="1"/>
  <c r="I543" i="1"/>
  <c r="Q532" i="1" s="1"/>
  <c r="I540" i="1"/>
  <c r="P532" i="1" s="1"/>
  <c r="I311" i="1"/>
  <c r="P284" i="1" s="1"/>
  <c r="I314" i="1"/>
  <c r="Q284" i="1" s="1"/>
  <c r="I328" i="1"/>
  <c r="P318" i="1" s="1"/>
  <c r="I331" i="1"/>
  <c r="Q318" i="1" s="1"/>
  <c r="I399" i="1"/>
  <c r="P390" i="1" s="1"/>
  <c r="I402" i="1"/>
  <c r="Q390" i="1" s="1"/>
  <c r="I312" i="1"/>
  <c r="P286" i="1" s="1"/>
  <c r="I315" i="1"/>
  <c r="Q286" i="1" s="1"/>
  <c r="I433" i="1"/>
  <c r="P423" i="1" s="1"/>
  <c r="I436" i="1"/>
  <c r="Q423" i="1" s="1"/>
  <c r="I313" i="1"/>
  <c r="P288" i="1" s="1"/>
  <c r="I316" i="1"/>
  <c r="Q288" i="1" s="1"/>
  <c r="I403" i="1"/>
  <c r="Q392" i="1" s="1"/>
  <c r="I400" i="1"/>
  <c r="P392" i="1" s="1"/>
  <c r="O516" i="4" l="1"/>
  <c r="I535" i="4"/>
  <c r="P516" i="4"/>
  <c r="P518" i="4"/>
  <c r="O518" i="4"/>
  <c r="P517" i="4"/>
  <c r="O517" i="4"/>
  <c r="P534" i="4"/>
  <c r="O534" i="4"/>
  <c r="I536" i="4"/>
  <c r="I543" i="4"/>
  <c r="I577" i="1"/>
  <c r="Q565" i="1" s="1"/>
  <c r="I574" i="1"/>
  <c r="P565" i="1" s="1"/>
  <c r="I503" i="1"/>
  <c r="P493" i="1" s="1"/>
  <c r="I506" i="1"/>
  <c r="Q493" i="1" s="1"/>
  <c r="I578" i="1"/>
  <c r="Q567" i="1" s="1"/>
  <c r="I575" i="1"/>
  <c r="P567" i="1" s="1"/>
  <c r="I366" i="1"/>
  <c r="Q353" i="1" s="1"/>
  <c r="I363" i="1"/>
  <c r="P353" i="1" s="1"/>
  <c r="I455" i="1"/>
  <c r="Q426" i="1" s="1"/>
  <c r="I452" i="1"/>
  <c r="P426" i="1" s="1"/>
  <c r="I351" i="1"/>
  <c r="Q323" i="1" s="1"/>
  <c r="I348" i="1"/>
  <c r="P323" i="1" s="1"/>
  <c r="I471" i="1"/>
  <c r="Q458" i="1" s="1"/>
  <c r="I468" i="1"/>
  <c r="P458" i="1" s="1"/>
  <c r="I346" i="1"/>
  <c r="P319" i="1" s="1"/>
  <c r="I349" i="1"/>
  <c r="Q319" i="1" s="1"/>
  <c r="I350" i="1"/>
  <c r="Q321" i="1" s="1"/>
  <c r="I347" i="1"/>
  <c r="P321" i="1" s="1"/>
  <c r="I456" i="1"/>
  <c r="Q428" i="1" s="1"/>
  <c r="I453" i="1"/>
  <c r="P428" i="1" s="1"/>
  <c r="I451" i="1"/>
  <c r="P424" i="1" s="1"/>
  <c r="I454" i="1"/>
  <c r="Q424" i="1" s="1"/>
  <c r="O535" i="4" l="1"/>
  <c r="P535" i="4"/>
  <c r="P537" i="4"/>
  <c r="O537" i="4"/>
  <c r="P536" i="4"/>
  <c r="O536" i="4"/>
  <c r="I609" i="1"/>
  <c r="P600" i="1" s="1"/>
  <c r="I612" i="1"/>
  <c r="Q600" i="1" s="1"/>
  <c r="I610" i="1"/>
  <c r="P602" i="1" s="1"/>
  <c r="I613" i="1"/>
  <c r="Q602" i="1" s="1"/>
  <c r="I541" i="1"/>
  <c r="Q528" i="1" s="1"/>
  <c r="I538" i="1"/>
  <c r="P528" i="1" s="1"/>
  <c r="I491" i="1"/>
  <c r="Q463" i="1" s="1"/>
  <c r="I488" i="1"/>
  <c r="P463" i="1" s="1"/>
  <c r="I489" i="1"/>
  <c r="Q459" i="1" s="1"/>
  <c r="I486" i="1"/>
  <c r="P459" i="1" s="1"/>
  <c r="I490" i="1"/>
  <c r="Q461" i="1" s="1"/>
  <c r="I487" i="1"/>
  <c r="P461" i="1" s="1"/>
  <c r="I381" i="1"/>
  <c r="P354" i="1" s="1"/>
  <c r="I384" i="1"/>
  <c r="Q354" i="1" s="1"/>
  <c r="I382" i="1"/>
  <c r="P356" i="1" s="1"/>
  <c r="I385" i="1"/>
  <c r="Q356" i="1" s="1"/>
  <c r="I386" i="1"/>
  <c r="Q358" i="1" s="1"/>
  <c r="I383" i="1"/>
  <c r="P358" i="1" s="1"/>
  <c r="I398" i="1"/>
  <c r="P388" i="1" s="1"/>
  <c r="I401" i="1"/>
  <c r="Q388" i="1" s="1"/>
  <c r="I647" i="1" l="1"/>
  <c r="Q635" i="1" s="1"/>
  <c r="I644" i="1"/>
  <c r="P635" i="1" s="1"/>
  <c r="I648" i="1"/>
  <c r="Q637" i="1" s="1"/>
  <c r="I645" i="1"/>
  <c r="P637" i="1" s="1"/>
  <c r="I525" i="1"/>
  <c r="Q496" i="1" s="1"/>
  <c r="I522" i="1"/>
  <c r="P496" i="1" s="1"/>
  <c r="I526" i="1"/>
  <c r="Q498" i="1" s="1"/>
  <c r="I523" i="1"/>
  <c r="P498" i="1" s="1"/>
  <c r="I521" i="1"/>
  <c r="P494" i="1" s="1"/>
  <c r="I524" i="1"/>
  <c r="Q494" i="1" s="1"/>
  <c r="I576" i="1"/>
  <c r="Q563" i="1" s="1"/>
  <c r="I573" i="1"/>
  <c r="P563" i="1" s="1"/>
  <c r="I417" i="1"/>
  <c r="P391" i="1" s="1"/>
  <c r="I420" i="1"/>
  <c r="Q391" i="1" s="1"/>
  <c r="I421" i="1"/>
  <c r="Q393" i="1" s="1"/>
  <c r="I418" i="1"/>
  <c r="P393" i="1" s="1"/>
  <c r="I419" i="1"/>
  <c r="Q389" i="1" s="1"/>
  <c r="I416" i="1"/>
  <c r="P389" i="1" s="1"/>
  <c r="I680" i="1" l="1"/>
  <c r="P672" i="1" s="1"/>
  <c r="I683" i="1"/>
  <c r="Q672" i="1" s="1"/>
  <c r="I608" i="1"/>
  <c r="P598" i="1" s="1"/>
  <c r="I611" i="1"/>
  <c r="Q598" i="1" s="1"/>
  <c r="I682" i="1"/>
  <c r="Q670" i="1" s="1"/>
  <c r="I679" i="1"/>
  <c r="P670" i="1" s="1"/>
  <c r="I558" i="1"/>
  <c r="P533" i="1" s="1"/>
  <c r="I561" i="1"/>
  <c r="Q533" i="1" s="1"/>
  <c r="I556" i="1"/>
  <c r="P529" i="1" s="1"/>
  <c r="I559" i="1"/>
  <c r="Q529" i="1" s="1"/>
  <c r="I557" i="1"/>
  <c r="P531" i="1" s="1"/>
  <c r="I560" i="1"/>
  <c r="Q531" i="1" s="1"/>
  <c r="I646" i="1" l="1"/>
  <c r="Q633" i="1" s="1"/>
  <c r="I643" i="1"/>
  <c r="P633" i="1" s="1"/>
  <c r="I734" i="1"/>
  <c r="Q704" i="1" s="1"/>
  <c r="I731" i="1"/>
  <c r="P704" i="1" s="1"/>
  <c r="I714" i="1"/>
  <c r="P705" i="1" s="1"/>
  <c r="I717" i="1"/>
  <c r="Q705" i="1" s="1"/>
  <c r="I733" i="1"/>
  <c r="P708" i="1" s="1"/>
  <c r="I736" i="1"/>
  <c r="Q708" i="1" s="1"/>
  <c r="I735" i="1"/>
  <c r="Q706" i="1" s="1"/>
  <c r="I732" i="1"/>
  <c r="P706" i="1" s="1"/>
  <c r="I718" i="1"/>
  <c r="Q707" i="1" s="1"/>
  <c r="I715" i="1"/>
  <c r="P707" i="1" s="1"/>
  <c r="I701" i="1"/>
  <c r="Q673" i="1" s="1"/>
  <c r="I698" i="1"/>
  <c r="P673" i="1" s="1"/>
  <c r="I697" i="1"/>
  <c r="P671" i="1" s="1"/>
  <c r="I700" i="1"/>
  <c r="Q671" i="1" s="1"/>
  <c r="I696" i="1"/>
  <c r="P669" i="1" s="1"/>
  <c r="I699" i="1"/>
  <c r="Q669" i="1" s="1"/>
  <c r="I663" i="1"/>
  <c r="P638" i="1" s="1"/>
  <c r="I666" i="1"/>
  <c r="Q638" i="1" s="1"/>
  <c r="I665" i="1"/>
  <c r="Q636" i="1" s="1"/>
  <c r="I662" i="1"/>
  <c r="P636" i="1" s="1"/>
  <c r="I664" i="1"/>
  <c r="Q634" i="1" s="1"/>
  <c r="I661" i="1"/>
  <c r="P634" i="1" s="1"/>
  <c r="I628" i="1"/>
  <c r="P603" i="1" s="1"/>
  <c r="I631" i="1"/>
  <c r="Q603" i="1" s="1"/>
  <c r="I627" i="1"/>
  <c r="P601" i="1" s="1"/>
  <c r="I630" i="1"/>
  <c r="Q601" i="1" s="1"/>
  <c r="I629" i="1"/>
  <c r="Q599" i="1" s="1"/>
  <c r="I626" i="1"/>
  <c r="P599" i="1" s="1"/>
  <c r="I594" i="1"/>
  <c r="Q564" i="1" s="1"/>
  <c r="I591" i="1"/>
  <c r="P564" i="1" s="1"/>
  <c r="I593" i="1"/>
  <c r="P568" i="1" s="1"/>
  <c r="I596" i="1"/>
  <c r="Q568" i="1" s="1"/>
  <c r="I592" i="1"/>
  <c r="P566" i="1" s="1"/>
  <c r="I595" i="1"/>
  <c r="Q566" i="1" s="1"/>
  <c r="I771" i="1" l="1"/>
  <c r="Q743" i="1" s="1"/>
  <c r="I768" i="1"/>
  <c r="P743" i="1" s="1"/>
  <c r="I766" i="1"/>
  <c r="P739" i="1" s="1"/>
  <c r="I769" i="1"/>
  <c r="Q739" i="1" s="1"/>
  <c r="I753" i="1"/>
  <c r="Q742" i="1" s="1"/>
  <c r="I750" i="1"/>
  <c r="P742" i="1" s="1"/>
  <c r="I770" i="1"/>
  <c r="Q741" i="1" s="1"/>
  <c r="I767" i="1"/>
  <c r="P741" i="1" s="1"/>
  <c r="I752" i="1"/>
  <c r="Q740" i="1" s="1"/>
  <c r="I749" i="1"/>
  <c r="P740" i="1" s="1"/>
  <c r="I678" i="1"/>
  <c r="P668" i="1" s="1"/>
  <c r="I681" i="1"/>
  <c r="Q668" i="1" s="1"/>
  <c r="I787" i="1" l="1"/>
  <c r="Q775" i="1" s="1"/>
  <c r="I784" i="1"/>
  <c r="P775" i="1" s="1"/>
  <c r="I785" i="1"/>
  <c r="P777" i="1" s="1"/>
  <c r="I788" i="1"/>
  <c r="Q777" i="1" s="1"/>
  <c r="I806" i="1"/>
  <c r="Q778" i="1" s="1"/>
  <c r="I803" i="1"/>
  <c r="P778" i="1" s="1"/>
  <c r="I802" i="1"/>
  <c r="P776" i="1" s="1"/>
  <c r="I805" i="1"/>
  <c r="Q776" i="1" s="1"/>
  <c r="I713" i="1"/>
  <c r="P703" i="1" s="1"/>
  <c r="I716" i="1"/>
  <c r="Q703" i="1" s="1"/>
  <c r="I804" i="1"/>
  <c r="Q774" i="1" s="1"/>
  <c r="I801" i="1"/>
  <c r="P774" i="1" s="1"/>
  <c r="I840" i="1" l="1"/>
  <c r="Q811" i="1" s="1"/>
  <c r="I837" i="1"/>
  <c r="P811" i="1" s="1"/>
  <c r="I836" i="1"/>
  <c r="P809" i="1" s="1"/>
  <c r="I839" i="1"/>
  <c r="Q809" i="1" s="1"/>
  <c r="I820" i="1"/>
  <c r="P812" i="1" s="1"/>
  <c r="I823" i="1"/>
  <c r="Q812" i="1" s="1"/>
  <c r="I748" i="1"/>
  <c r="P738" i="1" s="1"/>
  <c r="I751" i="1"/>
  <c r="Q738" i="1" s="1"/>
  <c r="I838" i="1"/>
  <c r="P813" i="1" s="1"/>
  <c r="I841" i="1"/>
  <c r="Q813" i="1" s="1"/>
  <c r="I822" i="1"/>
  <c r="Q810" i="1" s="1"/>
  <c r="I819" i="1"/>
  <c r="P810" i="1" s="1"/>
  <c r="I854" i="1" l="1"/>
  <c r="P845" i="1" s="1"/>
  <c r="I857" i="1"/>
  <c r="Q845" i="1" s="1"/>
  <c r="I783" i="1"/>
  <c r="P773" i="1" s="1"/>
  <c r="I786" i="1"/>
  <c r="Q773" i="1" s="1"/>
  <c r="I874" i="1"/>
  <c r="Q844" i="1" s="1"/>
  <c r="I871" i="1"/>
  <c r="P844" i="1" s="1"/>
  <c r="I876" i="1"/>
  <c r="Q848" i="1" s="1"/>
  <c r="I873" i="1"/>
  <c r="P848" i="1" s="1"/>
  <c r="I855" i="1"/>
  <c r="P847" i="1" s="1"/>
  <c r="I858" i="1"/>
  <c r="Q847" i="1" s="1"/>
  <c r="I872" i="1"/>
  <c r="P846" i="1" s="1"/>
  <c r="I875" i="1"/>
  <c r="Q846" i="1" s="1"/>
  <c r="I977" i="1" l="1"/>
  <c r="P951" i="1" s="1"/>
  <c r="I980" i="1"/>
  <c r="Q951" i="1" s="1"/>
  <c r="I962" i="1"/>
  <c r="Q950" i="1" s="1"/>
  <c r="I959" i="1"/>
  <c r="P950" i="1" s="1"/>
  <c r="I906" i="1"/>
  <c r="P879" i="1" s="1"/>
  <c r="I963" i="1"/>
  <c r="Q952" i="1" s="1"/>
  <c r="I960" i="1"/>
  <c r="P952" i="1" s="1"/>
  <c r="I981" i="1"/>
  <c r="Q953" i="1" s="1"/>
  <c r="I978" i="1"/>
  <c r="P953" i="1" s="1"/>
  <c r="I945" i="1"/>
  <c r="Q916" i="1" s="1"/>
  <c r="I942" i="1"/>
  <c r="P916" i="1" s="1"/>
  <c r="I943" i="1"/>
  <c r="P918" i="1" s="1"/>
  <c r="I946" i="1"/>
  <c r="Q918" i="1" s="1"/>
  <c r="I941" i="1"/>
  <c r="P914" i="1" s="1"/>
  <c r="I928" i="1"/>
  <c r="Q917" i="1" s="1"/>
  <c r="I925" i="1"/>
  <c r="P917" i="1" s="1"/>
  <c r="I927" i="1"/>
  <c r="Q915" i="1" s="1"/>
  <c r="I924" i="1"/>
  <c r="P915" i="1" s="1"/>
  <c r="I907" i="1"/>
  <c r="P881" i="1" s="1"/>
  <c r="I910" i="1"/>
  <c r="Q881" i="1" s="1"/>
  <c r="I911" i="1"/>
  <c r="Q883" i="1" s="1"/>
  <c r="I908" i="1"/>
  <c r="P883" i="1" s="1"/>
  <c r="I818" i="1"/>
  <c r="P808" i="1" s="1"/>
  <c r="I821" i="1"/>
  <c r="Q808" i="1" s="1"/>
  <c r="I893" i="1"/>
  <c r="Q882" i="1" s="1"/>
  <c r="I890" i="1"/>
  <c r="P882" i="1" s="1"/>
  <c r="I909" i="1"/>
  <c r="Q879" i="1" s="1"/>
  <c r="I892" i="1"/>
  <c r="Q880" i="1" s="1"/>
  <c r="I889" i="1"/>
  <c r="P880" i="1" s="1"/>
  <c r="I944" i="1" l="1"/>
  <c r="Q914" i="1" s="1"/>
  <c r="I976" i="1"/>
  <c r="P949" i="1" s="1"/>
  <c r="I979" i="1"/>
  <c r="Q949" i="1" s="1"/>
  <c r="I1016" i="1"/>
  <c r="Q988" i="1" s="1"/>
  <c r="I1013" i="1"/>
  <c r="P988" i="1" s="1"/>
  <c r="I997" i="1"/>
  <c r="Q985" i="1" s="1"/>
  <c r="I994" i="1"/>
  <c r="P985" i="1" s="1"/>
  <c r="I998" i="1"/>
  <c r="Q987" i="1" s="1"/>
  <c r="I995" i="1"/>
  <c r="P987" i="1" s="1"/>
  <c r="I1012" i="1"/>
  <c r="P986" i="1" s="1"/>
  <c r="I1015" i="1"/>
  <c r="Q986" i="1" s="1"/>
  <c r="I856" i="1"/>
  <c r="Q843" i="1" s="1"/>
  <c r="I853" i="1"/>
  <c r="P843" i="1" s="1"/>
  <c r="I923" i="1" l="1"/>
  <c r="P913" i="1" s="1"/>
  <c r="I1011" i="1"/>
  <c r="P984" i="1" s="1"/>
  <c r="I1014" i="1"/>
  <c r="Q984" i="1" s="1"/>
  <c r="I926" i="1"/>
  <c r="Q913" i="1" s="1"/>
  <c r="I888" i="1"/>
  <c r="P878" i="1" s="1"/>
  <c r="I891" i="1"/>
  <c r="Q878" i="1" s="1"/>
  <c r="I961" i="1" l="1"/>
  <c r="Q948" i="1" s="1"/>
  <c r="I958" i="1"/>
  <c r="P948" i="1" s="1"/>
  <c r="I993" i="1" l="1"/>
  <c r="P983" i="1" s="1"/>
  <c r="I996" i="1"/>
  <c r="Q983" i="1" s="1"/>
</calcChain>
</file>

<file path=xl/sharedStrings.xml><?xml version="1.0" encoding="utf-8"?>
<sst xmlns="http://schemas.openxmlformats.org/spreadsheetml/2006/main" count="3993" uniqueCount="89">
  <si>
    <t>Substrat</t>
  </si>
  <si>
    <t>Anzahl Früchte</t>
  </si>
  <si>
    <t>Gewicht Früchte [kg]</t>
  </si>
  <si>
    <t>Steinwolle</t>
  </si>
  <si>
    <t>Holz</t>
  </si>
  <si>
    <t>Sphagnum</t>
  </si>
  <si>
    <t>Datum</t>
  </si>
  <si>
    <t>GWH</t>
  </si>
  <si>
    <t>Reihe</t>
  </si>
  <si>
    <t>Referenz</t>
  </si>
  <si>
    <t>Kollektor</t>
  </si>
  <si>
    <t>Mix</t>
  </si>
  <si>
    <t>Anzahl Pflanzen</t>
  </si>
  <si>
    <t>Ertrag pro Pflanze [kg]</t>
  </si>
  <si>
    <t>Ertrag pro Pflanze [kg]_summiert</t>
  </si>
  <si>
    <t>MEANS</t>
  </si>
  <si>
    <t>STDEV</t>
  </si>
  <si>
    <t>RH</t>
  </si>
  <si>
    <t>KH</t>
  </si>
  <si>
    <t>ab jetzt keine Randreihen mehr, wurden Entfernt</t>
  </si>
  <si>
    <t>Anzahl Rispen</t>
  </si>
  <si>
    <t>Pflanzenlänge [m]</t>
  </si>
  <si>
    <t>Means</t>
  </si>
  <si>
    <t>Reihe 2</t>
  </si>
  <si>
    <t>Reihe 5</t>
  </si>
  <si>
    <t>Reihe 3</t>
  </si>
  <si>
    <t>Reihe 7</t>
  </si>
  <si>
    <t>Reihe 9</t>
  </si>
  <si>
    <t>Reihe 8</t>
  </si>
  <si>
    <t>Reihe 6</t>
  </si>
  <si>
    <t>Reihe 4</t>
  </si>
  <si>
    <t>Reihe 10</t>
  </si>
  <si>
    <t>Reihe 13</t>
  </si>
  <si>
    <t>Reihe 16</t>
  </si>
  <si>
    <t>Reihe 19</t>
  </si>
  <si>
    <t>Reihe 14</t>
  </si>
  <si>
    <t>Reihe 17</t>
  </si>
  <si>
    <t>Reihe 20</t>
  </si>
  <si>
    <t>KW</t>
  </si>
  <si>
    <t>No_Plants</t>
  </si>
  <si>
    <t>FM_per_plant</t>
  </si>
  <si>
    <t>FM_per_plant_cumul</t>
  </si>
  <si>
    <t>Greenhouse</t>
  </si>
  <si>
    <t>Row</t>
  </si>
  <si>
    <t>Substrate</t>
  </si>
  <si>
    <t>rock wool</t>
  </si>
  <si>
    <t>wood</t>
  </si>
  <si>
    <t>sphagnum</t>
  </si>
  <si>
    <t>Wasservorhang</t>
  </si>
  <si>
    <t>Kühlrippenrohre</t>
  </si>
  <si>
    <t>Mittelwerte</t>
  </si>
  <si>
    <t>StAbw</t>
  </si>
  <si>
    <t>Signifikanz</t>
  </si>
  <si>
    <t xml:space="preserve"> 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</si>
  <si>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</si>
  <si>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</si>
  <si>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</si>
  <si>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</si>
  <si>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</si>
  <si>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</si>
  <si>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</si>
  <si>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</si>
  <si>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</si>
  <si>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</si>
  <si>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</si>
  <si>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</si>
  <si>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KW 29</t>
  </si>
  <si>
    <t>KW 30</t>
  </si>
  <si>
    <t>KW 31</t>
  </si>
  <si>
    <t>KW 32</t>
  </si>
  <si>
    <t>KW 33</t>
  </si>
  <si>
    <t>KW 34</t>
  </si>
  <si>
    <t>KW 35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</si>
  <si>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</si>
  <si>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</si>
  <si>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</si>
  <si>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</si>
  <si>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</si>
  <si>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</si>
  <si>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</si>
  <si>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</si>
  <si>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</si>
  <si>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Kumulative Erträge in Abhängigkeit Licht (Betrachtung nur Steinwolle)</t>
  </si>
  <si>
    <t>a</t>
  </si>
  <si>
    <t>b</t>
  </si>
  <si>
    <t>**</t>
  </si>
  <si>
    <t>Kumulative Erträge in Abhängigkeit Substrate</t>
  </si>
  <si>
    <t>Holzfasern</t>
  </si>
  <si>
    <t>FM_kg/Reihe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</si>
</sst>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±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0" borderId="4" xfId="0" applyFont="1" applyBorder="1"/>
    <xf numFmtId="0" fontId="0" fillId="2" borderId="0" xfId="0" applyFill="1" applyAlignment="1">
      <alignment horizontal="center"/>
    </xf>
    <xf numFmtId="0" fontId="1" fillId="2" borderId="0" xfId="0" applyFont="1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/>
    <xf numFmtId="14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2" fontId="0" fillId="2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0" fontId="0" fillId="0" borderId="0" xfId="0" applyAlignment="1">
      <alignment horizontal="left"/>
    </xf>
    <xf numFmtId="2" fontId="0" fillId="4" borderId="0" xfId="0" applyNumberFormat="1" applyFill="1" applyAlignment="1">
      <alignment horizontal="left"/>
    </xf>
    <xf numFmtId="0" fontId="1" fillId="0" borderId="3" xfId="0" applyFont="1" applyBorder="1"/>
    <xf numFmtId="0" fontId="1" fillId="5" borderId="0" xfId="0" applyFont="1" applyFill="1"/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0" fontId="4" fillId="5" borderId="0" xfId="0" applyFont="1" applyFill="1" applyAlignment="1">
      <alignment horizontal="center"/>
    </xf>
    <xf numFmtId="0" fontId="5" fillId="5" borderId="0" xfId="0" applyFont="1" applyFill="1"/>
    <xf numFmtId="14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2" fontId="4" fillId="5" borderId="0" xfId="0" applyNumberFormat="1" applyFont="1" applyFill="1" applyAlignment="1">
      <alignment horizontal="center"/>
    </xf>
    <xf numFmtId="0" fontId="4" fillId="5" borderId="0" xfId="0" applyFont="1" applyFill="1"/>
    <xf numFmtId="0" fontId="4" fillId="6" borderId="0" xfId="0" applyFont="1" applyFill="1" applyAlignment="1">
      <alignment horizontal="center"/>
    </xf>
    <xf numFmtId="2" fontId="4" fillId="6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0" fillId="0" borderId="5" xfId="0" applyBorder="1"/>
    <xf numFmtId="2" fontId="9" fillId="0" borderId="5" xfId="1" applyNumberFormat="1" applyFont="1" applyBorder="1" applyAlignment="1">
      <alignment horizontal="right" vertical="top"/>
    </xf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9" fillId="0" borderId="5" xfId="2" applyNumberFormat="1" applyFont="1" applyBorder="1" applyAlignment="1">
      <alignment horizontal="right" vertical="top"/>
    </xf>
    <xf numFmtId="1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Standard" xfId="0" builtinId="0"/>
    <cellStyle name="Standard_Erträge_Statistik" xfId="1" xr:uid="{FCE897C2-59DC-43C3-953D-720C9F65F81A}"/>
    <cellStyle name="Standard_Tab_Erträge_Statistik" xfId="2" xr:uid="{BA61F8E9-567E-4B67-BFFA-5B9DB37C50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6CC-4646-91ED-E795FE82023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CC-4646-91ED-E795FE82023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6CC-4646-91ED-E795FE82023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6CC-4646-91ED-E795FE82023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6CC-4646-91ED-E795FE820233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6CC-4646-91ED-E795FE820233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Erträge!$O$38:$O$43</c:f>
                <c:numCache>
                  <c:formatCode>General</c:formatCode>
                  <c:ptCount val="6"/>
                  <c:pt idx="0">
                    <c:v>4.2175572901080066E-2</c:v>
                  </c:pt>
                  <c:pt idx="1">
                    <c:v>7.0607693290159271E-2</c:v>
                  </c:pt>
                  <c:pt idx="2">
                    <c:v>8.0359249376233705E-2</c:v>
                  </c:pt>
                  <c:pt idx="3">
                    <c:v>1.903916481780362E-3</c:v>
                  </c:pt>
                  <c:pt idx="4">
                    <c:v>6.7429477317304337E-2</c:v>
                  </c:pt>
                  <c:pt idx="5">
                    <c:v>0.12775834739590253</c:v>
                  </c:pt>
                </c:numCache>
              </c:numRef>
            </c:plus>
            <c:minus>
              <c:numRef>
                <c:f>Erträge!$O$38:$O$43</c:f>
                <c:numCache>
                  <c:formatCode>General</c:formatCode>
                  <c:ptCount val="6"/>
                  <c:pt idx="0">
                    <c:v>4.2175572901080066E-2</c:v>
                  </c:pt>
                  <c:pt idx="1">
                    <c:v>7.0607693290159271E-2</c:v>
                  </c:pt>
                  <c:pt idx="2">
                    <c:v>8.0359249376233705E-2</c:v>
                  </c:pt>
                  <c:pt idx="3">
                    <c:v>1.903916481780362E-3</c:v>
                  </c:pt>
                  <c:pt idx="4">
                    <c:v>6.7429477317304337E-2</c:v>
                  </c:pt>
                  <c:pt idx="5">
                    <c:v>0.12775834739590253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Erträge!$K$38:$M$43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04/21/2020</c:v>
                  </c:pt>
                </c:lvl>
              </c:multiLvlStrCache>
            </c:multiLvlStrRef>
          </c:cat>
          <c:val>
            <c:numRef>
              <c:f>Erträge!$N$38:$N$43</c:f>
              <c:numCache>
                <c:formatCode>0.00</c:formatCode>
                <c:ptCount val="6"/>
                <c:pt idx="0">
                  <c:v>0.56017094017094016</c:v>
                </c:pt>
                <c:pt idx="1">
                  <c:v>0.35388288288288283</c:v>
                </c:pt>
                <c:pt idx="2">
                  <c:v>0.58189189189189194</c:v>
                </c:pt>
                <c:pt idx="3">
                  <c:v>0.40232070707070711</c:v>
                </c:pt>
                <c:pt idx="4">
                  <c:v>0.61807965860597436</c:v>
                </c:pt>
                <c:pt idx="5">
                  <c:v>0.3672412280701754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C-4646-91ED-E795FE82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Erträge!$N$177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81-4168-A778-F15748EAD9A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81-4168-A778-F15748EAD9A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81-4168-A778-F15748EAD9A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81-4168-A778-F15748EAD9A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81-4168-A778-F15748EAD9A3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81-4168-A778-F15748EAD9A3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Erträge!$O$178:$O$183</c:f>
                <c:numCache>
                  <c:formatCode>General</c:formatCode>
                  <c:ptCount val="6"/>
                  <c:pt idx="0">
                    <c:v>0.1082552930403141</c:v>
                  </c:pt>
                  <c:pt idx="1">
                    <c:v>1.9589617448636645E-2</c:v>
                  </c:pt>
                  <c:pt idx="2">
                    <c:v>7.5722042250656874E-2</c:v>
                  </c:pt>
                  <c:pt idx="3">
                    <c:v>2.951664600849711E-2</c:v>
                  </c:pt>
                  <c:pt idx="4">
                    <c:v>6.0248105874833882E-2</c:v>
                  </c:pt>
                  <c:pt idx="5">
                    <c:v>5.6130701974578985E-2</c:v>
                  </c:pt>
                </c:numCache>
              </c:numRef>
            </c:plus>
            <c:minus>
              <c:numRef>
                <c:f>Erträge!$O$178:$O$183</c:f>
                <c:numCache>
                  <c:formatCode>General</c:formatCode>
                  <c:ptCount val="6"/>
                  <c:pt idx="0">
                    <c:v>0.1082552930403141</c:v>
                  </c:pt>
                  <c:pt idx="1">
                    <c:v>1.9589617448636645E-2</c:v>
                  </c:pt>
                  <c:pt idx="2">
                    <c:v>7.5722042250656874E-2</c:v>
                  </c:pt>
                  <c:pt idx="3">
                    <c:v>2.951664600849711E-2</c:v>
                  </c:pt>
                  <c:pt idx="4">
                    <c:v>6.0248105874833882E-2</c:v>
                  </c:pt>
                  <c:pt idx="5">
                    <c:v>5.6130701974578985E-2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Erträge!$K$178:$M$183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05/19/2020</c:v>
                  </c:pt>
                </c:lvl>
              </c:multiLvlStrCache>
            </c:multiLvlStrRef>
          </c:cat>
          <c:val>
            <c:numRef>
              <c:f>Erträge!$N$178:$N$183</c:f>
              <c:numCache>
                <c:formatCode>0.00</c:formatCode>
                <c:ptCount val="6"/>
                <c:pt idx="0">
                  <c:v>0.48786343486343481</c:v>
                </c:pt>
                <c:pt idx="1">
                  <c:v>0.4388799019607843</c:v>
                </c:pt>
                <c:pt idx="2">
                  <c:v>0.48644880174291938</c:v>
                </c:pt>
                <c:pt idx="3">
                  <c:v>0.34270870469399878</c:v>
                </c:pt>
                <c:pt idx="4">
                  <c:v>0.42367811420442997</c:v>
                </c:pt>
                <c:pt idx="5">
                  <c:v>0.34737609649122803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81-4168-A778-F15748EA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2B-45F6-9134-1B743BC4E041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2B-45F6-9134-1B743BC4E041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2B-45F6-9134-1B743BC4E041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2B-45F6-9134-1B743BC4E041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2B-45F6-9134-1B743BC4E041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2B-45F6-9134-1B743BC4E041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Erträge!$Q$178:$Q$183</c:f>
                <c:numCache>
                  <c:formatCode>General</c:formatCode>
                  <c:ptCount val="6"/>
                  <c:pt idx="0">
                    <c:v>7.4925441240083948E-2</c:v>
                  </c:pt>
                  <c:pt idx="1">
                    <c:v>3.0334837274114144E-2</c:v>
                  </c:pt>
                  <c:pt idx="2">
                    <c:v>0.11128433601625107</c:v>
                  </c:pt>
                  <c:pt idx="3">
                    <c:v>3.1605690338746321E-2</c:v>
                  </c:pt>
                  <c:pt idx="4">
                    <c:v>0.26603175896844855</c:v>
                  </c:pt>
                  <c:pt idx="5">
                    <c:v>7.9164613406124143E-2</c:v>
                  </c:pt>
                </c:numCache>
              </c:numRef>
            </c:plus>
            <c:minus>
              <c:numRef>
                <c:f>Erträge!$Q$178:$Q$183</c:f>
                <c:numCache>
                  <c:formatCode>General</c:formatCode>
                  <c:ptCount val="6"/>
                  <c:pt idx="0">
                    <c:v>7.4925441240083948E-2</c:v>
                  </c:pt>
                  <c:pt idx="1">
                    <c:v>3.0334837274114144E-2</c:v>
                  </c:pt>
                  <c:pt idx="2">
                    <c:v>0.11128433601625107</c:v>
                  </c:pt>
                  <c:pt idx="3">
                    <c:v>3.1605690338746321E-2</c:v>
                  </c:pt>
                  <c:pt idx="4">
                    <c:v>0.26603175896844855</c:v>
                  </c:pt>
                  <c:pt idx="5">
                    <c:v>7.9164613406124143E-2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Erträge!$K$178:$M$183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05/19/2020</c:v>
                  </c:pt>
                </c:lvl>
              </c:multiLvlStrCache>
            </c:multiLvlStrRef>
          </c:cat>
          <c:val>
            <c:numRef>
              <c:f>Erträge!$P$178:$P$183</c:f>
              <c:numCache>
                <c:formatCode>0.00</c:formatCode>
                <c:ptCount val="6"/>
                <c:pt idx="0">
                  <c:v>3.0421069091069093</c:v>
                </c:pt>
                <c:pt idx="1">
                  <c:v>2.3910797893481717</c:v>
                </c:pt>
                <c:pt idx="2">
                  <c:v>3.0554578107519283</c:v>
                </c:pt>
                <c:pt idx="3">
                  <c:v>2.1613226068736906</c:v>
                </c:pt>
                <c:pt idx="4">
                  <c:v>2.8843371943371943</c:v>
                </c:pt>
                <c:pt idx="5">
                  <c:v>2.2540666423001952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2B-45F6-9134-1B743BC4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Erträge!$N$212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5F-4D4F-B8B3-4B086E9CFD2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5F-4D4F-B8B3-4B086E9CFD2D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5F-4D4F-B8B3-4B086E9CFD2D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5F-4D4F-B8B3-4B086E9CFD2D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5F-4D4F-B8B3-4B086E9CFD2D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5F-4D4F-B8B3-4B086E9CFD2D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Erträge!$O$213:$O$218</c:f>
                <c:numCache>
                  <c:formatCode>General</c:formatCode>
                  <c:ptCount val="6"/>
                  <c:pt idx="0">
                    <c:v>0.10518867548483266</c:v>
                  </c:pt>
                  <c:pt idx="1">
                    <c:v>1.7346169887484528E-2</c:v>
                  </c:pt>
                  <c:pt idx="2">
                    <c:v>6.2660422657484685E-2</c:v>
                  </c:pt>
                  <c:pt idx="3">
                    <c:v>1.2816597759390811E-2</c:v>
                  </c:pt>
                  <c:pt idx="4">
                    <c:v>6.7008749363110298E-2</c:v>
                  </c:pt>
                  <c:pt idx="5">
                    <c:v>6.4247237730996762E-2</c:v>
                  </c:pt>
                </c:numCache>
              </c:numRef>
            </c:plus>
            <c:minus>
              <c:numRef>
                <c:f>Erträge!$O$213:$O$218</c:f>
                <c:numCache>
                  <c:formatCode>General</c:formatCode>
                  <c:ptCount val="6"/>
                  <c:pt idx="0">
                    <c:v>0.10518867548483266</c:v>
                  </c:pt>
                  <c:pt idx="1">
                    <c:v>1.7346169887484528E-2</c:v>
                  </c:pt>
                  <c:pt idx="2">
                    <c:v>6.2660422657484685E-2</c:v>
                  </c:pt>
                  <c:pt idx="3">
                    <c:v>1.2816597759390811E-2</c:v>
                  </c:pt>
                  <c:pt idx="4">
                    <c:v>6.7008749363110298E-2</c:v>
                  </c:pt>
                  <c:pt idx="5">
                    <c:v>6.4247237730996762E-2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Erträge!$K$213:$M$218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05/26/2020</c:v>
                  </c:pt>
                </c:lvl>
              </c:multiLvlStrCache>
            </c:multiLvlStrRef>
          </c:cat>
          <c:val>
            <c:numRef>
              <c:f>Erträge!$N$213:$N$218</c:f>
              <c:numCache>
                <c:formatCode>0.00</c:formatCode>
                <c:ptCount val="6"/>
                <c:pt idx="0">
                  <c:v>0.82709917059917049</c:v>
                </c:pt>
                <c:pt idx="1">
                  <c:v>0.49696568627450977</c:v>
                </c:pt>
                <c:pt idx="2">
                  <c:v>0.73887402107990352</c:v>
                </c:pt>
                <c:pt idx="3">
                  <c:v>0.50770632798573978</c:v>
                </c:pt>
                <c:pt idx="4">
                  <c:v>0.74716195895143267</c:v>
                </c:pt>
                <c:pt idx="5">
                  <c:v>0.57491838972431075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5F-4D4F-B8B3-4B086E9C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5A-4669-9812-C4459BC01EDE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5A-4669-9812-C4459BC01EDE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5A-4669-9812-C4459BC01EDE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5A-4669-9812-C4459BC01EDE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5A-4669-9812-C4459BC01EDE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5A-4669-9812-C4459BC01EDE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Erträge!$Q$213:$Q$218</c:f>
                <c:numCache>
                  <c:formatCode>General</c:formatCode>
                  <c:ptCount val="6"/>
                  <c:pt idx="0">
                    <c:v>0.17997964840731284</c:v>
                  </c:pt>
                  <c:pt idx="1">
                    <c:v>4.1542426474692945E-2</c:v>
                  </c:pt>
                  <c:pt idx="2">
                    <c:v>0.13260829819071401</c:v>
                  </c:pt>
                  <c:pt idx="3">
                    <c:v>4.4099809306247607E-2</c:v>
                  </c:pt>
                  <c:pt idx="4">
                    <c:v>0.29212732804107511</c:v>
                  </c:pt>
                  <c:pt idx="5">
                    <c:v>0.1220483243172298</c:v>
                  </c:pt>
                </c:numCache>
              </c:numRef>
            </c:plus>
            <c:minus>
              <c:numRef>
                <c:f>Erträge!$Q$213:$Q$218</c:f>
                <c:numCache>
                  <c:formatCode>General</c:formatCode>
                  <c:ptCount val="6"/>
                  <c:pt idx="0">
                    <c:v>0.17997964840731284</c:v>
                  </c:pt>
                  <c:pt idx="1">
                    <c:v>4.1542426474692945E-2</c:v>
                  </c:pt>
                  <c:pt idx="2">
                    <c:v>0.13260829819071401</c:v>
                  </c:pt>
                  <c:pt idx="3">
                    <c:v>4.4099809306247607E-2</c:v>
                  </c:pt>
                  <c:pt idx="4">
                    <c:v>0.29212732804107511</c:v>
                  </c:pt>
                  <c:pt idx="5">
                    <c:v>0.1220483243172298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Erträge!$K$213:$M$218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05/26/2020</c:v>
                  </c:pt>
                </c:lvl>
              </c:multiLvlStrCache>
            </c:multiLvlStrRef>
          </c:cat>
          <c:val>
            <c:numRef>
              <c:f>Erträge!$P$213:$P$218</c:f>
              <c:numCache>
                <c:formatCode>0.00</c:formatCode>
                <c:ptCount val="6"/>
                <c:pt idx="0">
                  <c:v>3.8692060797060801</c:v>
                </c:pt>
                <c:pt idx="1">
                  <c:v>2.8880454756226812</c:v>
                </c:pt>
                <c:pt idx="2">
                  <c:v>3.7943318318318315</c:v>
                </c:pt>
                <c:pt idx="3">
                  <c:v>2.6690289348594298</c:v>
                </c:pt>
                <c:pt idx="4">
                  <c:v>3.6314991532886274</c:v>
                </c:pt>
                <c:pt idx="5">
                  <c:v>2.8289850320245065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5A-4669-9812-C4459BC0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Erträge!$N$247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16-4452-ABC2-48789E07FDAC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16-4452-ABC2-48789E07FDAC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16-4452-ABC2-48789E07FDAC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16-4452-ABC2-48789E07FDAC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16-4452-ABC2-48789E07FDAC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16-4452-ABC2-48789E07FDAC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Erträge!$O$248:$O$253</c:f>
                <c:numCache>
                  <c:formatCode>General</c:formatCode>
                  <c:ptCount val="6"/>
                  <c:pt idx="0">
                    <c:v>1.608623118595677E-2</c:v>
                  </c:pt>
                  <c:pt idx="1">
                    <c:v>5.8550595081315576E-2</c:v>
                  </c:pt>
                  <c:pt idx="2">
                    <c:v>4.1049358506826408E-2</c:v>
                  </c:pt>
                  <c:pt idx="3">
                    <c:v>4.1315206778826691E-2</c:v>
                  </c:pt>
                  <c:pt idx="4">
                    <c:v>6.1731156085558445E-2</c:v>
                  </c:pt>
                  <c:pt idx="5">
                    <c:v>3.8251536169582406E-2</c:v>
                  </c:pt>
                </c:numCache>
              </c:numRef>
            </c:plus>
            <c:minus>
              <c:numRef>
                <c:f>Erträge!$O$248:$O$253</c:f>
                <c:numCache>
                  <c:formatCode>General</c:formatCode>
                  <c:ptCount val="6"/>
                  <c:pt idx="0">
                    <c:v>1.608623118595677E-2</c:v>
                  </c:pt>
                  <c:pt idx="1">
                    <c:v>5.8550595081315576E-2</c:v>
                  </c:pt>
                  <c:pt idx="2">
                    <c:v>4.1049358506826408E-2</c:v>
                  </c:pt>
                  <c:pt idx="3">
                    <c:v>4.1315206778826691E-2</c:v>
                  </c:pt>
                  <c:pt idx="4">
                    <c:v>6.1731156085558445E-2</c:v>
                  </c:pt>
                  <c:pt idx="5">
                    <c:v>3.8251536169582406E-2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Erträge!$K$248:$M$253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06/02/2020</c:v>
                  </c:pt>
                </c:lvl>
              </c:multiLvlStrCache>
            </c:multiLvlStrRef>
          </c:cat>
          <c:val>
            <c:numRef>
              <c:f>Erträge!$N$248:$N$253</c:f>
              <c:numCache>
                <c:formatCode>0.00</c:formatCode>
                <c:ptCount val="6"/>
                <c:pt idx="0">
                  <c:v>0.63210303160303161</c:v>
                </c:pt>
                <c:pt idx="1">
                  <c:v>0.48420710784313731</c:v>
                </c:pt>
                <c:pt idx="2">
                  <c:v>0.64107018783489378</c:v>
                </c:pt>
                <c:pt idx="3">
                  <c:v>0.3980659536541889</c:v>
                </c:pt>
                <c:pt idx="4">
                  <c:v>0.60236632120842648</c:v>
                </c:pt>
                <c:pt idx="5">
                  <c:v>0.4614901315789473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16-4452-ABC2-48789E07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D0-4D09-B8E8-C1330B56E395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D0-4D09-B8E8-C1330B56E395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D0-4D09-B8E8-C1330B56E395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D0-4D09-B8E8-C1330B56E395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D0-4D09-B8E8-C1330B56E395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D0-4D09-B8E8-C1330B56E395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Erträge!$Q$248:$Q$253</c:f>
                <c:numCache>
                  <c:formatCode>General</c:formatCode>
                  <c:ptCount val="6"/>
                  <c:pt idx="0">
                    <c:v>0.19162350829491354</c:v>
                  </c:pt>
                  <c:pt idx="1">
                    <c:v>6.8969148095922292E-2</c:v>
                  </c:pt>
                  <c:pt idx="2">
                    <c:v>0.12876528957499578</c:v>
                  </c:pt>
                  <c:pt idx="3">
                    <c:v>8.5378581894592187E-2</c:v>
                  </c:pt>
                  <c:pt idx="4">
                    <c:v>0.35336741388310894</c:v>
                  </c:pt>
                  <c:pt idx="5">
                    <c:v>0.13159468272410516</c:v>
                  </c:pt>
                </c:numCache>
              </c:numRef>
            </c:plus>
            <c:minus>
              <c:numRef>
                <c:f>Erträge!$Q$248:$Q$253</c:f>
                <c:numCache>
                  <c:formatCode>General</c:formatCode>
                  <c:ptCount val="6"/>
                  <c:pt idx="0">
                    <c:v>0.19162350829491354</c:v>
                  </c:pt>
                  <c:pt idx="1">
                    <c:v>6.8969148095922292E-2</c:v>
                  </c:pt>
                  <c:pt idx="2">
                    <c:v>0.12876528957499578</c:v>
                  </c:pt>
                  <c:pt idx="3">
                    <c:v>8.5378581894592187E-2</c:v>
                  </c:pt>
                  <c:pt idx="4">
                    <c:v>0.35336741388310894</c:v>
                  </c:pt>
                  <c:pt idx="5">
                    <c:v>0.13159468272410516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Erträge!$K$248:$M$253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06/02/2020</c:v>
                  </c:pt>
                </c:lvl>
              </c:multiLvlStrCache>
            </c:multiLvlStrRef>
          </c:cat>
          <c:val>
            <c:numRef>
              <c:f>Erträge!$P$248:$P$253</c:f>
              <c:numCache>
                <c:formatCode>0.00</c:formatCode>
                <c:ptCount val="6"/>
                <c:pt idx="0">
                  <c:v>4.5013091113091113</c:v>
                </c:pt>
                <c:pt idx="1">
                  <c:v>3.3722525834658188</c:v>
                </c:pt>
                <c:pt idx="2">
                  <c:v>4.435402019666725</c:v>
                </c:pt>
                <c:pt idx="3">
                  <c:v>3.0670948885136191</c:v>
                </c:pt>
                <c:pt idx="4">
                  <c:v>4.2338654744970539</c:v>
                </c:pt>
                <c:pt idx="5">
                  <c:v>3.2904751636034533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D0-4D09-B8E8-C1330B56E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Erträge!$N$282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4F-427F-9FAC-4E05E4BDE4A5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4F-427F-9FAC-4E05E4BDE4A5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4F-427F-9FAC-4E05E4BDE4A5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4F-427F-9FAC-4E05E4BDE4A5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4F-427F-9FAC-4E05E4BDE4A5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4F-427F-9FAC-4E05E4BDE4A5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Erträge!$O$283:$O$288</c:f>
                <c:numCache>
                  <c:formatCode>General</c:formatCode>
                  <c:ptCount val="6"/>
                  <c:pt idx="0">
                    <c:v>6.4156550338684656E-2</c:v>
                  </c:pt>
                  <c:pt idx="1">
                    <c:v>4.2732196261910507E-2</c:v>
                  </c:pt>
                  <c:pt idx="2">
                    <c:v>5.2245494891014564E-2</c:v>
                  </c:pt>
                  <c:pt idx="3">
                    <c:v>2.8878172469317107E-2</c:v>
                  </c:pt>
                  <c:pt idx="4">
                    <c:v>4.5648555573739098E-2</c:v>
                  </c:pt>
                  <c:pt idx="5">
                    <c:v>3.6483406515245419E-2</c:v>
                  </c:pt>
                </c:numCache>
              </c:numRef>
            </c:plus>
            <c:minus>
              <c:numRef>
                <c:f>Erträge!$O$283:$O$288</c:f>
                <c:numCache>
                  <c:formatCode>General</c:formatCode>
                  <c:ptCount val="6"/>
                  <c:pt idx="0">
                    <c:v>6.4156550338684656E-2</c:v>
                  </c:pt>
                  <c:pt idx="1">
                    <c:v>4.2732196261910507E-2</c:v>
                  </c:pt>
                  <c:pt idx="2">
                    <c:v>5.2245494891014564E-2</c:v>
                  </c:pt>
                  <c:pt idx="3">
                    <c:v>2.8878172469317107E-2</c:v>
                  </c:pt>
                  <c:pt idx="4">
                    <c:v>4.5648555573739098E-2</c:v>
                  </c:pt>
                  <c:pt idx="5">
                    <c:v>3.6483406515245419E-2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Erträge!$K$283:$M$288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06/09/2020</c:v>
                  </c:pt>
                </c:lvl>
              </c:multiLvlStrCache>
            </c:multiLvlStrRef>
          </c:cat>
          <c:val>
            <c:numRef>
              <c:f>Erträge!$N$283:$N$288</c:f>
              <c:numCache>
                <c:formatCode>0.00</c:formatCode>
                <c:ptCount val="6"/>
                <c:pt idx="0">
                  <c:v>0.69112491062491055</c:v>
                </c:pt>
                <c:pt idx="1">
                  <c:v>0.40014460784313721</c:v>
                </c:pt>
                <c:pt idx="2">
                  <c:v>0.67156185597362061</c:v>
                </c:pt>
                <c:pt idx="3">
                  <c:v>0.34647326203208556</c:v>
                </c:pt>
                <c:pt idx="4">
                  <c:v>0.70741800447063596</c:v>
                </c:pt>
                <c:pt idx="5">
                  <c:v>0.40399279448621556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4F-427F-9FAC-4E05E4BD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CD-4C37-93FE-F905DFBBFA8A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CD-4C37-93FE-F905DFBBFA8A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CD-4C37-93FE-F905DFBBFA8A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CD-4C37-93FE-F905DFBBFA8A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CD-4C37-93FE-F905DFBBFA8A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CD-4C37-93FE-F905DFBBFA8A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Erträge!$Q$283:$Q$288</c:f>
                <c:numCache>
                  <c:formatCode>General</c:formatCode>
                  <c:ptCount val="6"/>
                  <c:pt idx="0">
                    <c:v>0.23172475215525359</c:v>
                  </c:pt>
                  <c:pt idx="1">
                    <c:v>0.11026988322358522</c:v>
                  </c:pt>
                  <c:pt idx="2">
                    <c:v>8.3020121243743958E-2</c:v>
                  </c:pt>
                  <c:pt idx="3">
                    <c:v>0.10538174321627503</c:v>
                  </c:pt>
                  <c:pt idx="4">
                    <c:v>0.39895958210505483</c:v>
                  </c:pt>
                  <c:pt idx="5">
                    <c:v>0.16042259069231821</c:v>
                  </c:pt>
                </c:numCache>
              </c:numRef>
            </c:plus>
            <c:minus>
              <c:numRef>
                <c:f>Erträge!$Q$283:$Q$288</c:f>
                <c:numCache>
                  <c:formatCode>General</c:formatCode>
                  <c:ptCount val="6"/>
                  <c:pt idx="0">
                    <c:v>0.23172475215525359</c:v>
                  </c:pt>
                  <c:pt idx="1">
                    <c:v>0.11026988322358522</c:v>
                  </c:pt>
                  <c:pt idx="2">
                    <c:v>8.3020121243743958E-2</c:v>
                  </c:pt>
                  <c:pt idx="3">
                    <c:v>0.10538174321627503</c:v>
                  </c:pt>
                  <c:pt idx="4">
                    <c:v>0.39895958210505483</c:v>
                  </c:pt>
                  <c:pt idx="5">
                    <c:v>0.16042259069231821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Erträge!$K$283:$M$288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06/09/2020</c:v>
                  </c:pt>
                </c:lvl>
              </c:multiLvlStrCache>
            </c:multiLvlStrRef>
          </c:cat>
          <c:val>
            <c:numRef>
              <c:f>Erträge!$P$283:$P$288</c:f>
              <c:numCache>
                <c:formatCode>0.00</c:formatCode>
                <c:ptCount val="6"/>
                <c:pt idx="0">
                  <c:v>5.1924340219340221</c:v>
                </c:pt>
                <c:pt idx="1">
                  <c:v>3.772397191308956</c:v>
                </c:pt>
                <c:pt idx="2">
                  <c:v>5.1069638756403464</c:v>
                </c:pt>
                <c:pt idx="3">
                  <c:v>3.4135681505457049</c:v>
                </c:pt>
                <c:pt idx="4">
                  <c:v>4.9412834789676898</c:v>
                </c:pt>
                <c:pt idx="5">
                  <c:v>3.6944679580896689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CD-4C37-93FE-F905DFBBF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Erträge!$N$317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66000"/>
                    <a:satMod val="160000"/>
                  </a:schemeClr>
                </a:gs>
                <a:gs pos="50000">
                  <a:schemeClr val="accent4">
                    <a:tint val="44500"/>
                    <a:satMod val="160000"/>
                  </a:schemeClr>
                </a:gs>
                <a:gs pos="100000">
                  <a:schemeClr val="accent4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46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17-4653-B15C-2EBECB80431A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17-4653-B15C-2EBECB80431A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17-4653-B15C-2EBECB80431A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17-4653-B15C-2EBECB80431A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17-4653-B15C-2EBECB80431A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Erträge!$O$318:$O$323</c:f>
                <c:numCache>
                  <c:formatCode>General</c:formatCode>
                  <c:ptCount val="6"/>
                  <c:pt idx="0">
                    <c:v>8.0664299114131394E-3</c:v>
                  </c:pt>
                  <c:pt idx="1">
                    <c:v>6.3304799376594847E-2</c:v>
                  </c:pt>
                  <c:pt idx="2">
                    <c:v>9.7662037242383662E-2</c:v>
                  </c:pt>
                  <c:pt idx="3">
                    <c:v>3.1656701974730188E-2</c:v>
                  </c:pt>
                  <c:pt idx="4">
                    <c:v>1.6725629799058884E-2</c:v>
                  </c:pt>
                  <c:pt idx="5">
                    <c:v>4.4854621609564972E-2</c:v>
                  </c:pt>
                </c:numCache>
              </c:numRef>
            </c:plus>
            <c:minus>
              <c:numRef>
                <c:f>Erträge!$O$318:$O$323</c:f>
                <c:numCache>
                  <c:formatCode>General</c:formatCode>
                  <c:ptCount val="6"/>
                  <c:pt idx="0">
                    <c:v>8.0664299114131394E-3</c:v>
                  </c:pt>
                  <c:pt idx="1">
                    <c:v>6.3304799376594847E-2</c:v>
                  </c:pt>
                  <c:pt idx="2">
                    <c:v>9.7662037242383662E-2</c:v>
                  </c:pt>
                  <c:pt idx="3">
                    <c:v>3.1656701974730188E-2</c:v>
                  </c:pt>
                  <c:pt idx="4">
                    <c:v>1.6725629799058884E-2</c:v>
                  </c:pt>
                  <c:pt idx="5">
                    <c:v>4.4854621609564972E-2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Erträge!$K$318:$M$323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06/16/2020</c:v>
                  </c:pt>
                </c:lvl>
              </c:multiLvlStrCache>
            </c:multiLvlStrRef>
          </c:cat>
          <c:val>
            <c:numRef>
              <c:f>Erträge!$N$318:$N$323</c:f>
              <c:numCache>
                <c:formatCode>0.00</c:formatCode>
                <c:ptCount val="6"/>
                <c:pt idx="0">
                  <c:v>0.68088988988988985</c:v>
                </c:pt>
                <c:pt idx="1">
                  <c:v>0.66925612745098029</c:v>
                </c:pt>
                <c:pt idx="2">
                  <c:v>0.60253577106518286</c:v>
                </c:pt>
                <c:pt idx="3">
                  <c:v>0.59414111705288175</c:v>
                </c:pt>
                <c:pt idx="4">
                  <c:v>0.65463422068685229</c:v>
                </c:pt>
                <c:pt idx="5">
                  <c:v>0.66848652882205517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17-4653-B15C-2EBECB80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66000"/>
                    <a:satMod val="160000"/>
                  </a:schemeClr>
                </a:gs>
                <a:gs pos="50000">
                  <a:schemeClr val="accent4">
                    <a:tint val="44500"/>
                    <a:satMod val="160000"/>
                  </a:schemeClr>
                </a:gs>
                <a:gs pos="100000">
                  <a:schemeClr val="accent4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6-4612-A1A0-45E3D9473C94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6-4612-A1A0-45E3D9473C94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F6-4612-A1A0-45E3D9473C94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F6-4612-A1A0-45E3D9473C94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F6-4612-A1A0-45E3D9473C94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Erträge!$Q$318:$Q$323</c:f>
                <c:numCache>
                  <c:formatCode>General</c:formatCode>
                  <c:ptCount val="6"/>
                  <c:pt idx="0">
                    <c:v>0.22476312742359719</c:v>
                  </c:pt>
                  <c:pt idx="1">
                    <c:v>0.15911363313277349</c:v>
                  </c:pt>
                  <c:pt idx="2">
                    <c:v>0.17187310857823979</c:v>
                  </c:pt>
                  <c:pt idx="3">
                    <c:v>0.13642013330226188</c:v>
                  </c:pt>
                  <c:pt idx="4">
                    <c:v>0.41224767061150863</c:v>
                  </c:pt>
                  <c:pt idx="5">
                    <c:v>0.19054088972639377</c:v>
                  </c:pt>
                </c:numCache>
              </c:numRef>
            </c:plus>
            <c:minus>
              <c:numRef>
                <c:f>Erträge!$Q$318:$Q$323</c:f>
                <c:numCache>
                  <c:formatCode>General</c:formatCode>
                  <c:ptCount val="6"/>
                  <c:pt idx="0">
                    <c:v>0.22476312742359719</c:v>
                  </c:pt>
                  <c:pt idx="1">
                    <c:v>0.15911363313277349</c:v>
                  </c:pt>
                  <c:pt idx="2">
                    <c:v>0.17187310857823979</c:v>
                  </c:pt>
                  <c:pt idx="3">
                    <c:v>0.13642013330226188</c:v>
                  </c:pt>
                  <c:pt idx="4">
                    <c:v>0.41224767061150863</c:v>
                  </c:pt>
                  <c:pt idx="5">
                    <c:v>0.19054088972639377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Erträge!$K$318:$M$323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06/16/2020</c:v>
                  </c:pt>
                </c:lvl>
              </c:multiLvlStrCache>
            </c:multiLvlStrRef>
          </c:cat>
          <c:val>
            <c:numRef>
              <c:f>Erträge!$P$318:$P$323</c:f>
              <c:numCache>
                <c:formatCode>0.00</c:formatCode>
                <c:ptCount val="6"/>
                <c:pt idx="0">
                  <c:v>5.8733239118239124</c:v>
                </c:pt>
                <c:pt idx="1">
                  <c:v>4.4416533187599363</c:v>
                </c:pt>
                <c:pt idx="2">
                  <c:v>5.7094996467055283</c:v>
                </c:pt>
                <c:pt idx="3">
                  <c:v>4.0077092675985861</c:v>
                </c:pt>
                <c:pt idx="4">
                  <c:v>5.5959176996545423</c:v>
                </c:pt>
                <c:pt idx="5">
                  <c:v>4.3629544869117236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F6-4612-A1A0-45E3D9473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Erträge!$N$72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66000"/>
                    <a:satMod val="160000"/>
                  </a:schemeClr>
                </a:gs>
                <a:gs pos="50000">
                  <a:schemeClr val="accent4">
                    <a:tint val="44500"/>
                    <a:satMod val="160000"/>
                  </a:schemeClr>
                </a:gs>
                <a:gs pos="100000">
                  <a:schemeClr val="accent4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5-44F9-A7DF-07D2D8845604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5-44F9-A7DF-07D2D8845604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45-44F9-A7DF-07D2D8845604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45-44F9-A7DF-07D2D8845604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45-44F9-A7DF-07D2D8845604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Erträge!$O$73:$O$78</c:f>
                <c:numCache>
                  <c:formatCode>General</c:formatCode>
                  <c:ptCount val="6"/>
                  <c:pt idx="0">
                    <c:v>9.5359308797518014E-2</c:v>
                  </c:pt>
                  <c:pt idx="1">
                    <c:v>4.3503349242103397E-2</c:v>
                  </c:pt>
                  <c:pt idx="2">
                    <c:v>7.7488057102938004E-2</c:v>
                  </c:pt>
                  <c:pt idx="3">
                    <c:v>6.9910194902478642E-2</c:v>
                  </c:pt>
                  <c:pt idx="4">
                    <c:v>0.179042136932305</c:v>
                  </c:pt>
                  <c:pt idx="5">
                    <c:v>4.4136738225597286E-2</c:v>
                  </c:pt>
                </c:numCache>
              </c:numRef>
            </c:plus>
            <c:minus>
              <c:numRef>
                <c:f>Erträge!$O$73:$O$78</c:f>
                <c:numCache>
                  <c:formatCode>General</c:formatCode>
                  <c:ptCount val="6"/>
                  <c:pt idx="0">
                    <c:v>9.5359308797518014E-2</c:v>
                  </c:pt>
                  <c:pt idx="1">
                    <c:v>4.3503349242103397E-2</c:v>
                  </c:pt>
                  <c:pt idx="2">
                    <c:v>7.7488057102938004E-2</c:v>
                  </c:pt>
                  <c:pt idx="3">
                    <c:v>6.9910194902478642E-2</c:v>
                  </c:pt>
                  <c:pt idx="4">
                    <c:v>0.179042136932305</c:v>
                  </c:pt>
                  <c:pt idx="5">
                    <c:v>4.4136738225597286E-2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Erträge!$K$73:$M$78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04/28/2020</c:v>
                  </c:pt>
                </c:lvl>
              </c:multiLvlStrCache>
            </c:multiLvlStrRef>
          </c:cat>
          <c:val>
            <c:numRef>
              <c:f>Erträge!$N$73:$N$78</c:f>
              <c:numCache>
                <c:formatCode>0.00</c:formatCode>
                <c:ptCount val="6"/>
                <c:pt idx="0">
                  <c:v>0.89066297066297062</c:v>
                </c:pt>
                <c:pt idx="1">
                  <c:v>0.74078941441441437</c:v>
                </c:pt>
                <c:pt idx="2">
                  <c:v>0.86045045045045043</c:v>
                </c:pt>
                <c:pt idx="3">
                  <c:v>0.62520999468367888</c:v>
                </c:pt>
                <c:pt idx="4">
                  <c:v>0.71957325746799417</c:v>
                </c:pt>
                <c:pt idx="5">
                  <c:v>0.70488742690058481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45-44F9-A7DF-07D2D884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Erträge!$N$352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Erträge!$O$353:$O$358</c:f>
                <c:numCache>
                  <c:formatCode>General</c:formatCode>
                  <c:ptCount val="6"/>
                  <c:pt idx="0">
                    <c:v>3.7632281507813711E-2</c:v>
                  </c:pt>
                  <c:pt idx="1">
                    <c:v>7.6954625881518912E-2</c:v>
                  </c:pt>
                  <c:pt idx="2">
                    <c:v>0.12746058423540063</c:v>
                  </c:pt>
                  <c:pt idx="3">
                    <c:v>5.4568539952548678E-2</c:v>
                  </c:pt>
                  <c:pt idx="4">
                    <c:v>0.10050978320714046</c:v>
                  </c:pt>
                  <c:pt idx="5">
                    <c:v>3.564924317397701E-2</c:v>
                  </c:pt>
                </c:numCache>
              </c:numRef>
            </c:plus>
            <c:minus>
              <c:numRef>
                <c:f>Erträge!$O$353:$O$358</c:f>
                <c:numCache>
                  <c:formatCode>General</c:formatCode>
                  <c:ptCount val="6"/>
                  <c:pt idx="0">
                    <c:v>3.7632281507813711E-2</c:v>
                  </c:pt>
                  <c:pt idx="1">
                    <c:v>7.6954625881518912E-2</c:v>
                  </c:pt>
                  <c:pt idx="2">
                    <c:v>0.12746058423540063</c:v>
                  </c:pt>
                  <c:pt idx="3">
                    <c:v>5.4568539952548678E-2</c:v>
                  </c:pt>
                  <c:pt idx="4">
                    <c:v>0.10050978320714046</c:v>
                  </c:pt>
                  <c:pt idx="5">
                    <c:v>3.564924317397701E-2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Erträge!$K$353:$M$358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06/23/2020</c:v>
                  </c:pt>
                </c:lvl>
              </c:multiLvlStrCache>
            </c:multiLvlStrRef>
          </c:cat>
          <c:val>
            <c:numRef>
              <c:f>Erträge!$N$353:$N$358</c:f>
              <c:numCache>
                <c:formatCode>0.00</c:formatCode>
                <c:ptCount val="6"/>
                <c:pt idx="0">
                  <c:v>0.75064435864435863</c:v>
                </c:pt>
                <c:pt idx="1">
                  <c:v>0.67428308823529415</c:v>
                </c:pt>
                <c:pt idx="2">
                  <c:v>0.82123461696991107</c:v>
                </c:pt>
                <c:pt idx="3">
                  <c:v>0.66935516934046346</c:v>
                </c:pt>
                <c:pt idx="4">
                  <c:v>0.6404140757298652</c:v>
                </c:pt>
                <c:pt idx="5">
                  <c:v>0.7223673245614034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58-4DB1-9BD2-FDF52446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Erträge!$Q$353:$Q$358</c:f>
                <c:numCache>
                  <c:formatCode>General</c:formatCode>
                  <c:ptCount val="6"/>
                  <c:pt idx="0">
                    <c:v>0.23757573161590725</c:v>
                  </c:pt>
                  <c:pt idx="1">
                    <c:v>0.18008562393696453</c:v>
                  </c:pt>
                  <c:pt idx="2">
                    <c:v>0.24653636996200465</c:v>
                  </c:pt>
                  <c:pt idx="3">
                    <c:v>0.11192902773791844</c:v>
                  </c:pt>
                  <c:pt idx="4">
                    <c:v>0.31309084151314609</c:v>
                  </c:pt>
                  <c:pt idx="5">
                    <c:v>0.17207485060891653</c:v>
                  </c:pt>
                </c:numCache>
              </c:numRef>
            </c:plus>
            <c:minus>
              <c:numRef>
                <c:f>Erträge!$Q$353:$Q$358</c:f>
                <c:numCache>
                  <c:formatCode>General</c:formatCode>
                  <c:ptCount val="6"/>
                  <c:pt idx="0">
                    <c:v>0.23757573161590725</c:v>
                  </c:pt>
                  <c:pt idx="1">
                    <c:v>0.18008562393696453</c:v>
                  </c:pt>
                  <c:pt idx="2">
                    <c:v>0.24653636996200465</c:v>
                  </c:pt>
                  <c:pt idx="3">
                    <c:v>0.11192902773791844</c:v>
                  </c:pt>
                  <c:pt idx="4">
                    <c:v>0.31309084151314609</c:v>
                  </c:pt>
                  <c:pt idx="5">
                    <c:v>0.17207485060891653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Erträge!$K$353:$M$358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06/23/2020</c:v>
                  </c:pt>
                </c:lvl>
              </c:multiLvlStrCache>
            </c:multiLvlStrRef>
          </c:cat>
          <c:val>
            <c:numRef>
              <c:f>Erträge!$P$353:$P$358</c:f>
              <c:numCache>
                <c:formatCode>0.00</c:formatCode>
                <c:ptCount val="6"/>
                <c:pt idx="0">
                  <c:v>6.6239682704682714</c:v>
                </c:pt>
                <c:pt idx="1">
                  <c:v>5.1159364069952309</c:v>
                </c:pt>
                <c:pt idx="2">
                  <c:v>6.5307342636754404</c:v>
                </c:pt>
                <c:pt idx="3">
                  <c:v>4.6770644369390499</c:v>
                </c:pt>
                <c:pt idx="4">
                  <c:v>6.2363317753844072</c:v>
                </c:pt>
                <c:pt idx="5">
                  <c:v>5.0853218114731265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66-4B42-BB25-373680C7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D7-47E1-BCB7-F21069FEE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71-4F7C-B06E-0D6C5198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C9EB-498B-8A7B-AA964D3C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66000"/>
                    <a:satMod val="160000"/>
                  </a:schemeClr>
                </a:gs>
                <a:gs pos="50000">
                  <a:schemeClr val="accent4">
                    <a:tint val="44500"/>
                    <a:satMod val="160000"/>
                  </a:schemeClr>
                </a:gs>
                <a:gs pos="100000">
                  <a:schemeClr val="accent4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EF-4470-9720-774AC7679438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F-4470-9720-774AC7679438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EF-4470-9720-774AC7679438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EF-4470-9720-774AC7679438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EF-4470-9720-774AC7679438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Erträge!$Q$423:$Q$428</c:f>
                <c:numCache>
                  <c:formatCode>General</c:formatCode>
                  <c:ptCount val="6"/>
                  <c:pt idx="0">
                    <c:v>0.25506921688575684</c:v>
                  </c:pt>
                  <c:pt idx="1">
                    <c:v>0.28460304785766954</c:v>
                  </c:pt>
                  <c:pt idx="2">
                    <c:v>0.35320872191363456</c:v>
                  </c:pt>
                  <c:pt idx="3">
                    <c:v>0.16585290108225892</c:v>
                  </c:pt>
                  <c:pt idx="4">
                    <c:v>0.39549046414913147</c:v>
                  </c:pt>
                  <c:pt idx="5">
                    <c:v>0.25341292136056215</c:v>
                  </c:pt>
                </c:numCache>
              </c:numRef>
            </c:plus>
            <c:minus>
              <c:numRef>
                <c:f>Erträge!$Q$423:$Q$428</c:f>
                <c:numCache>
                  <c:formatCode>General</c:formatCode>
                  <c:ptCount val="6"/>
                  <c:pt idx="0">
                    <c:v>0.25506921688575684</c:v>
                  </c:pt>
                  <c:pt idx="1">
                    <c:v>0.28460304785766954</c:v>
                  </c:pt>
                  <c:pt idx="2">
                    <c:v>0.35320872191363456</c:v>
                  </c:pt>
                  <c:pt idx="3">
                    <c:v>0.16585290108225892</c:v>
                  </c:pt>
                  <c:pt idx="4">
                    <c:v>0.39549046414913147</c:v>
                  </c:pt>
                  <c:pt idx="5">
                    <c:v>0.25341292136056215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Erträge!$K$423:$M$428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07/07/2020</c:v>
                  </c:pt>
                </c:lvl>
              </c:multiLvlStrCache>
            </c:multiLvlStrRef>
          </c:cat>
          <c:val>
            <c:numRef>
              <c:f>Erträge!$P$423:$P$428</c:f>
              <c:numCache>
                <c:formatCode>0.00</c:formatCode>
                <c:ptCount val="6"/>
                <c:pt idx="0">
                  <c:v>7.9710401280401273</c:v>
                </c:pt>
                <c:pt idx="1">
                  <c:v>6.113491554054054</c:v>
                </c:pt>
                <c:pt idx="2">
                  <c:v>7.8215006182653246</c:v>
                </c:pt>
                <c:pt idx="3">
                  <c:v>5.5458321508427941</c:v>
                </c:pt>
                <c:pt idx="4">
                  <c:v>7.5142736571157629</c:v>
                </c:pt>
                <c:pt idx="5">
                  <c:v>5.9626578077137289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EF-4470-9720-774AC7679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5-4CD9-A466-2114F77C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E-4D62-9B2E-E36FAF65A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F-4B08-93A2-2904F79E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1-49E1-AF90-0967374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Erträge!$P$72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F9-4289-92E0-B03C24DEAEC4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F9-4289-92E0-B03C24DEAEC4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F9-4289-92E0-B03C24DEAEC4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F9-4289-92E0-B03C24DEAEC4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9-4289-92E0-B03C24DEAEC4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F9-4289-92E0-B03C24DEAEC4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Erträge!$Q$73:$Q$78</c:f>
                <c:numCache>
                  <c:formatCode>General</c:formatCode>
                  <c:ptCount val="6"/>
                  <c:pt idx="0">
                    <c:v>5.3196827784302556E-2</c:v>
                  </c:pt>
                  <c:pt idx="1">
                    <c:v>6.4589187961656025E-2</c:v>
                  </c:pt>
                  <c:pt idx="2">
                    <c:v>3.3506489625282583E-2</c:v>
                  </c:pt>
                  <c:pt idx="3">
                    <c:v>7.1724388112466453E-2</c:v>
                  </c:pt>
                  <c:pt idx="4">
                    <c:v>0.2428893304587886</c:v>
                  </c:pt>
                  <c:pt idx="5">
                    <c:v>0.10287048749651308</c:v>
                  </c:pt>
                </c:numCache>
              </c:numRef>
            </c:plus>
            <c:minus>
              <c:numRef>
                <c:f>Erträge!$Q$73:$Q$78</c:f>
                <c:numCache>
                  <c:formatCode>General</c:formatCode>
                  <c:ptCount val="6"/>
                  <c:pt idx="0">
                    <c:v>5.3196827784302556E-2</c:v>
                  </c:pt>
                  <c:pt idx="1">
                    <c:v>6.4589187961656025E-2</c:v>
                  </c:pt>
                  <c:pt idx="2">
                    <c:v>3.3506489625282583E-2</c:v>
                  </c:pt>
                  <c:pt idx="3">
                    <c:v>7.1724388112466453E-2</c:v>
                  </c:pt>
                  <c:pt idx="4">
                    <c:v>0.2428893304587886</c:v>
                  </c:pt>
                  <c:pt idx="5">
                    <c:v>0.10287048749651308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Erträge!$K$73:$M$78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04/28/2020</c:v>
                  </c:pt>
                </c:lvl>
              </c:multiLvlStrCache>
            </c:multiLvlStrRef>
          </c:cat>
          <c:val>
            <c:numRef>
              <c:f>Erträge!$P$73:$P$78</c:f>
              <c:numCache>
                <c:formatCode>0.00</c:formatCode>
                <c:ptCount val="6"/>
                <c:pt idx="0">
                  <c:v>1.4508339108339108</c:v>
                </c:pt>
                <c:pt idx="1">
                  <c:v>1.0946722972972973</c:v>
                </c:pt>
                <c:pt idx="2">
                  <c:v>1.4423423423423423</c:v>
                </c:pt>
                <c:pt idx="3">
                  <c:v>1.027530701754386</c:v>
                </c:pt>
                <c:pt idx="4">
                  <c:v>1.3376529160739687</c:v>
                </c:pt>
                <c:pt idx="5">
                  <c:v>1.0721286549707603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F9-4289-92E0-B03C24DE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95E-9A50-EF2CD34B1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8-4252-90F8-7985A3305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3-401F-934E-EA637998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E-4E1C-8FAA-8E2811C3F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D-4C86-AF76-75FE8093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F-4147-A9C4-A892C71D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5AA-9D01-DFEB3C94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E-4AE1-B741-4109C96C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6-4C3B-B104-367B003AF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F-4581-93CE-3BFB5358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Erträge!$N$72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Erträge!$O$73:$O$78</c:f>
                <c:numCache>
                  <c:formatCode>General</c:formatCode>
                  <c:ptCount val="6"/>
                  <c:pt idx="0">
                    <c:v>9.5359308797518014E-2</c:v>
                  </c:pt>
                  <c:pt idx="1">
                    <c:v>4.3503349242103397E-2</c:v>
                  </c:pt>
                  <c:pt idx="2">
                    <c:v>7.7488057102938004E-2</c:v>
                  </c:pt>
                  <c:pt idx="3">
                    <c:v>6.9910194902478642E-2</c:v>
                  </c:pt>
                  <c:pt idx="4">
                    <c:v>0.179042136932305</c:v>
                  </c:pt>
                  <c:pt idx="5">
                    <c:v>4.4136738225597286E-2</c:v>
                  </c:pt>
                </c:numCache>
              </c:numRef>
            </c:plus>
            <c:minus>
              <c:numRef>
                <c:f>Erträge!$O$73:$O$78</c:f>
                <c:numCache>
                  <c:formatCode>General</c:formatCode>
                  <c:ptCount val="6"/>
                  <c:pt idx="0">
                    <c:v>9.5359308797518014E-2</c:v>
                  </c:pt>
                  <c:pt idx="1">
                    <c:v>4.3503349242103397E-2</c:v>
                  </c:pt>
                  <c:pt idx="2">
                    <c:v>7.7488057102938004E-2</c:v>
                  </c:pt>
                  <c:pt idx="3">
                    <c:v>6.9910194902478642E-2</c:v>
                  </c:pt>
                  <c:pt idx="4">
                    <c:v>0.179042136932305</c:v>
                  </c:pt>
                  <c:pt idx="5">
                    <c:v>4.4136738225597286E-2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Erträge!$K$108:$M$113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05/05/2020</c:v>
                  </c:pt>
                </c:lvl>
              </c:multiLvlStrCache>
            </c:multiLvlStrRef>
          </c:cat>
          <c:val>
            <c:numRef>
              <c:f>Erträge!$N$108:$N$113</c:f>
              <c:numCache>
                <c:formatCode>0.00</c:formatCode>
                <c:ptCount val="6"/>
                <c:pt idx="0">
                  <c:v>0.60507738507738518</c:v>
                </c:pt>
                <c:pt idx="1">
                  <c:v>0.38357657657657657</c:v>
                </c:pt>
                <c:pt idx="2">
                  <c:v>0.57522522522522523</c:v>
                </c:pt>
                <c:pt idx="3">
                  <c:v>0.37593553960659226</c:v>
                </c:pt>
                <c:pt idx="4">
                  <c:v>0.58057136083451877</c:v>
                </c:pt>
                <c:pt idx="5">
                  <c:v>0.40071491228070172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3B-4D1E-BAB7-23263AB3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2-4D27-838B-27EDC897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4-4D96-845E-B49ABD2E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7-44E6-A5E8-CBA7332C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F-40BC-91D5-C085C00C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1-47E7-B3A8-8B050E60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7-4C97-926F-1E60BF29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B-4F1C-A403-2D6C842E0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8-45D9-BCF3-B32D103B1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B-450A-A794-3EDA49B6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B-4591-83BD-D014354C9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Erträge!$P$72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Erträge!$Q$73:$Q$78</c:f>
                <c:numCache>
                  <c:formatCode>General</c:formatCode>
                  <c:ptCount val="6"/>
                  <c:pt idx="0">
                    <c:v>5.3196827784302556E-2</c:v>
                  </c:pt>
                  <c:pt idx="1">
                    <c:v>6.4589187961656025E-2</c:v>
                  </c:pt>
                  <c:pt idx="2">
                    <c:v>3.3506489625282583E-2</c:v>
                  </c:pt>
                  <c:pt idx="3">
                    <c:v>7.1724388112466453E-2</c:v>
                  </c:pt>
                  <c:pt idx="4">
                    <c:v>0.2428893304587886</c:v>
                  </c:pt>
                  <c:pt idx="5">
                    <c:v>0.10287048749651308</c:v>
                  </c:pt>
                </c:numCache>
              </c:numRef>
            </c:plus>
            <c:minus>
              <c:numRef>
                <c:f>Erträge!$Q$73:$Q$78</c:f>
                <c:numCache>
                  <c:formatCode>General</c:formatCode>
                  <c:ptCount val="6"/>
                  <c:pt idx="0">
                    <c:v>5.3196827784302556E-2</c:v>
                  </c:pt>
                  <c:pt idx="1">
                    <c:v>6.4589187961656025E-2</c:v>
                  </c:pt>
                  <c:pt idx="2">
                    <c:v>3.3506489625282583E-2</c:v>
                  </c:pt>
                  <c:pt idx="3">
                    <c:v>7.1724388112466453E-2</c:v>
                  </c:pt>
                  <c:pt idx="4">
                    <c:v>0.2428893304587886</c:v>
                  </c:pt>
                  <c:pt idx="5">
                    <c:v>0.10287048749651308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Erträge!$K$108:$M$113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05/05/2020</c:v>
                  </c:pt>
                </c:lvl>
              </c:multiLvlStrCache>
            </c:multiLvlStrRef>
          </c:cat>
          <c:val>
            <c:numRef>
              <c:f>Erträge!$P$108:$P$113</c:f>
              <c:numCache>
                <c:formatCode>0.00</c:formatCode>
                <c:ptCount val="6"/>
                <c:pt idx="0">
                  <c:v>2.055911295911296</c:v>
                </c:pt>
                <c:pt idx="1">
                  <c:v>1.4782488738738742</c:v>
                </c:pt>
                <c:pt idx="2">
                  <c:v>2.0175675675675677</c:v>
                </c:pt>
                <c:pt idx="3">
                  <c:v>1.4034662413609782</c:v>
                </c:pt>
                <c:pt idx="4">
                  <c:v>1.9182242769084876</c:v>
                </c:pt>
                <c:pt idx="5">
                  <c:v>1.4728435672514619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E7-4680-9BDE-F32EE72F4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0-4C4A-AF97-EA5AD4082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4-4CEA-992B-93D87403C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6-4EB4-8524-7701BDC1F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E-412E-8B85-A55BCB5A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4-4258-BA40-4F290CFD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D93-84C8-28D8EA37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Erträge!$N$387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plus>
            <c:minus>
              <c:numRef>
                <c:f>Erträge!$O$388:$O$393</c:f>
                <c:numCache>
                  <c:formatCode>General</c:formatCode>
                  <c:ptCount val="6"/>
                  <c:pt idx="0">
                    <c:v>3.7318601466207024E-2</c:v>
                  </c:pt>
                  <c:pt idx="1">
                    <c:v>7.6187372668684292E-2</c:v>
                  </c:pt>
                  <c:pt idx="2">
                    <c:v>8.0681250951890576E-2</c:v>
                  </c:pt>
                  <c:pt idx="3">
                    <c:v>9.0044885109263992E-2</c:v>
                  </c:pt>
                  <c:pt idx="4">
                    <c:v>0.11130057807530111</c:v>
                  </c:pt>
                  <c:pt idx="5">
                    <c:v>5.5496975280373693E-2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Erträge!$N$388:$N$393</c:f>
              <c:numCache>
                <c:formatCode>0.00</c:formatCode>
                <c:ptCount val="6"/>
                <c:pt idx="0">
                  <c:v>0.7224345774345774</c:v>
                </c:pt>
                <c:pt idx="1">
                  <c:v>0.53116299019607849</c:v>
                </c:pt>
                <c:pt idx="2">
                  <c:v>0.67406244479773891</c:v>
                </c:pt>
                <c:pt idx="3">
                  <c:v>0.49686942959001784</c:v>
                </c:pt>
                <c:pt idx="4">
                  <c:v>0.68779414753098955</c:v>
                </c:pt>
                <c:pt idx="5">
                  <c:v>0.4727911967418546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1-4118-A773-9C02F6DE4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Erträge!$P$177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plus>
            <c:minus>
              <c:numRef>
                <c:f>Erträge!$Q$388:$Q$393</c:f>
                <c:numCache>
                  <c:formatCode>General</c:formatCode>
                  <c:ptCount val="6"/>
                  <c:pt idx="0">
                    <c:v>0.27362937608379856</c:v>
                  </c:pt>
                  <c:pt idx="1">
                    <c:v>0.23497018998637176</c:v>
                  </c:pt>
                  <c:pt idx="2">
                    <c:v>0.30676800935003673</c:v>
                  </c:pt>
                  <c:pt idx="3">
                    <c:v>0.14330678820159756</c:v>
                  </c:pt>
                  <c:pt idx="4">
                    <c:v>0.37071118117369112</c:v>
                  </c:pt>
                  <c:pt idx="5">
                    <c:v>0.22707241517268076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Erträge!$K$388:$M$393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06/30/2020</c:v>
                  </c:pt>
                </c:lvl>
              </c:multiLvlStrCache>
            </c:multiLvlStrRef>
          </c:cat>
          <c:val>
            <c:numRef>
              <c:f>Erträge!$P$388:$P$393</c:f>
              <c:numCache>
                <c:formatCode>0.00</c:formatCode>
                <c:ptCount val="6"/>
                <c:pt idx="0">
                  <c:v>7.3464028479028487</c:v>
                </c:pt>
                <c:pt idx="1">
                  <c:v>5.647099397191309</c:v>
                </c:pt>
                <c:pt idx="2">
                  <c:v>7.2047967084731788</c:v>
                </c:pt>
                <c:pt idx="3">
                  <c:v>5.1739338665290679</c:v>
                </c:pt>
                <c:pt idx="4">
                  <c:v>6.9241259229153966</c:v>
                </c:pt>
                <c:pt idx="5">
                  <c:v>5.5581130082149812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2-4FDC-88F2-E03CDD93F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4794046162616"/>
          <c:y val="2.992269575686117E-2"/>
          <c:w val="0.86440376512381467"/>
          <c:h val="0.79831290120738796"/>
        </c:manualLayout>
      </c:layout>
      <c:lineChart>
        <c:grouping val="standard"/>
        <c:varyColors val="0"/>
        <c:ser>
          <c:idx val="0"/>
          <c:order val="0"/>
          <c:tx>
            <c:strRef>
              <c:f>Tab_Erträge_Statistik!$B$4</c:f>
              <c:strCache>
                <c:ptCount val="1"/>
                <c:pt idx="0">
                  <c:v>Wasservorhang</c:v>
                </c:pt>
              </c:strCache>
            </c:strRef>
          </c:tx>
          <c:spPr>
            <a:ln w="28575" cap="sq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0185A5-7D3E-4192-9914-6BD61D0010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3A-403A-B9EB-2FF5E6CC9F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4C23D6-27C5-4E83-B7F4-C3942D0E193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3A-403A-B9EB-2FF5E6CC9F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8FD868-1BFA-4B9C-A599-0D8E8CD63EC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3A-403A-B9EB-2FF5E6CC9F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F5632B6-527A-4DCA-BBAC-767374CCDCE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3A-403A-B9EB-2FF5E6CC9F0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FFA383-8576-4D69-B623-82B4F5BEF6A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A3A-403A-B9EB-2FF5E6CC9F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B1C8802-6725-4DCB-96D5-82D8FC08B6D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A3A-403A-B9EB-2FF5E6CC9F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C6A106-D6C9-4D96-B080-0D9F4D4749F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A3A-403A-B9EB-2FF5E6CC9F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8FB272-1BD0-4B5F-BE71-5143D765AD1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3A-403A-B9EB-2FF5E6CC9F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1C95929-869E-420C-9354-1527ABCEEF2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A3A-403A-B9EB-2FF5E6CC9F0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22B9C0B-07C5-499F-8858-BDD2A41B7F8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A3A-403A-B9EB-2FF5E6CC9F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77B232-4551-40B5-85BF-14A54CD23ED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A3A-403A-B9EB-2FF5E6CC9F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2D8EC2-F9BB-4F60-A3DB-411575F34A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A3A-403A-B9EB-2FF5E6CC9F0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F4C7B05-442B-4AC9-8F38-1D99CB7E693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A3A-403A-B9EB-2FF5E6CC9F0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D352CCE-B613-4D59-988F-EEE5A719BAE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A3A-403A-B9EB-2FF5E6CC9F0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E2140E0-CF40-45AD-AD1F-BCFA0A6C739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A3A-403A-B9EB-2FF5E6CC9F0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7C53DD0-F197-48F9-910D-6685A4BA74C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A3A-403A-B9EB-2FF5E6CC9F0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902A1FC-B462-4CC0-91F7-12A6AD3DA0E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A3A-403A-B9EB-2FF5E6CC9F0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F541AE8-BD19-4D17-9A81-0CD33A7091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A3A-403A-B9EB-2FF5E6CC9F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DBBE537-4CC8-46FA-8B77-23CE86C23F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A3A-403A-B9EB-2FF5E6CC9F0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A29C57B-34C6-4654-BE9F-D2F20C5A2A8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A3A-403A-B9EB-2FF5E6CC9F0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8CBA9C9-4C93-42E6-B158-B6DCE6C82D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A3A-403A-B9EB-2FF5E6CC9F0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A3E4897-5718-48BF-886A-2F04F134DBB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A3A-403A-B9EB-2FF5E6CC9F0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A7904F8-C289-4524-8F3C-45E5DD5BBC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A3A-403A-B9EB-2FF5E6CC9F0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9BF0DFE-B189-4305-B5E9-B3AD87A38EF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A3A-403A-B9EB-2FF5E6CC9F0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34E1D58-8664-43A6-9DFF-BB3B501920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A3A-403A-B9EB-2FF5E6CC9F0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8C2CA3D-470C-4D23-9ECC-90B0EE010A5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A3A-403A-B9EB-2FF5E6CC9F0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F769C1F-C0E9-4B09-BCF4-C61D0EC03BC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A3A-403A-B9EB-2FF5E6CC9F0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43DEFFA-1C42-48FA-B7EE-C86F5260F4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A3A-403A-B9EB-2FF5E6CC9F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Tab_Erträge_Statistik!$C$7:$AD$7</c:f>
                <c:numCache>
                  <c:formatCode>General</c:formatCode>
                  <c:ptCount val="28"/>
                  <c:pt idx="0">
                    <c:v>4.9999999999999989E-2</c:v>
                  </c:pt>
                  <c:pt idx="1">
                    <c:v>6.5064070986477179E-2</c:v>
                  </c:pt>
                  <c:pt idx="2">
                    <c:v>7.3711147958320039E-2</c:v>
                  </c:pt>
                  <c:pt idx="3">
                    <c:v>5.5075705472860968E-2</c:v>
                  </c:pt>
                  <c:pt idx="4">
                    <c:v>9.0737717258774761E-2</c:v>
                  </c:pt>
                  <c:pt idx="5">
                    <c:v>0.22068076490713875</c:v>
                  </c:pt>
                  <c:pt idx="6">
                    <c:v>0.23515952032609724</c:v>
                  </c:pt>
                  <c:pt idx="7">
                    <c:v>0.28431203515386638</c:v>
                  </c:pt>
                  <c:pt idx="8">
                    <c:v>0.2762245463386625</c:v>
                  </c:pt>
                  <c:pt idx="9">
                    <c:v>0.29263173671584802</c:v>
                  </c:pt>
                  <c:pt idx="10">
                    <c:v>0.33501243758005955</c:v>
                  </c:pt>
                  <c:pt idx="11">
                    <c:v>0.30999999999999978</c:v>
                  </c:pt>
                  <c:pt idx="12">
                    <c:v>0.25106440076867403</c:v>
                  </c:pt>
                  <c:pt idx="13">
                    <c:v>0.18175074506954059</c:v>
                  </c:pt>
                  <c:pt idx="14">
                    <c:v>0.12013880860626787</c:v>
                  </c:pt>
                  <c:pt idx="15">
                    <c:v>1.154700538379227E-2</c:v>
                  </c:pt>
                  <c:pt idx="16">
                    <c:v>9.7125348562223254E-2</c:v>
                  </c:pt>
                  <c:pt idx="17">
                    <c:v>0.11135528725659934</c:v>
                  </c:pt>
                  <c:pt idx="18">
                    <c:v>0.17088007490635015</c:v>
                  </c:pt>
                  <c:pt idx="19">
                    <c:v>0.19467922333931739</c:v>
                  </c:pt>
                  <c:pt idx="20">
                    <c:v>0.21197484127446228</c:v>
                  </c:pt>
                  <c:pt idx="21">
                    <c:v>0.21126602503321096</c:v>
                  </c:pt>
                  <c:pt idx="22">
                    <c:v>0.27061657993059718</c:v>
                  </c:pt>
                  <c:pt idx="23">
                    <c:v>0.25716402029314522</c:v>
                  </c:pt>
                  <c:pt idx="24">
                    <c:v>0.33955853692699239</c:v>
                  </c:pt>
                  <c:pt idx="25">
                    <c:v>0.36592348927063917</c:v>
                  </c:pt>
                  <c:pt idx="26">
                    <c:v>0.36386810797320446</c:v>
                  </c:pt>
                  <c:pt idx="27">
                    <c:v>0.41617304093369661</c:v>
                  </c:pt>
                </c:numCache>
              </c:numRef>
            </c:plus>
            <c:minus>
              <c:numRef>
                <c:f>Tab_Erträge_Statistik!$C$7:$AD$7</c:f>
                <c:numCache>
                  <c:formatCode>General</c:formatCode>
                  <c:ptCount val="28"/>
                  <c:pt idx="0">
                    <c:v>4.9999999999999989E-2</c:v>
                  </c:pt>
                  <c:pt idx="1">
                    <c:v>6.5064070986477179E-2</c:v>
                  </c:pt>
                  <c:pt idx="2">
                    <c:v>7.3711147958320039E-2</c:v>
                  </c:pt>
                  <c:pt idx="3">
                    <c:v>5.5075705472860968E-2</c:v>
                  </c:pt>
                  <c:pt idx="4">
                    <c:v>9.0737717258774761E-2</c:v>
                  </c:pt>
                  <c:pt idx="5">
                    <c:v>0.22068076490713875</c:v>
                  </c:pt>
                  <c:pt idx="6">
                    <c:v>0.23515952032609724</c:v>
                  </c:pt>
                  <c:pt idx="7">
                    <c:v>0.28431203515386638</c:v>
                  </c:pt>
                  <c:pt idx="8">
                    <c:v>0.2762245463386625</c:v>
                  </c:pt>
                  <c:pt idx="9">
                    <c:v>0.29263173671584802</c:v>
                  </c:pt>
                  <c:pt idx="10">
                    <c:v>0.33501243758005955</c:v>
                  </c:pt>
                  <c:pt idx="11">
                    <c:v>0.30999999999999978</c:v>
                  </c:pt>
                  <c:pt idx="12">
                    <c:v>0.25106440076867403</c:v>
                  </c:pt>
                  <c:pt idx="13">
                    <c:v>0.18175074506954059</c:v>
                  </c:pt>
                  <c:pt idx="14">
                    <c:v>0.12013880860626787</c:v>
                  </c:pt>
                  <c:pt idx="15">
                    <c:v>1.154700538379227E-2</c:v>
                  </c:pt>
                  <c:pt idx="16">
                    <c:v>9.7125348562223254E-2</c:v>
                  </c:pt>
                  <c:pt idx="17">
                    <c:v>0.11135528725659934</c:v>
                  </c:pt>
                  <c:pt idx="18">
                    <c:v>0.17088007490635015</c:v>
                  </c:pt>
                  <c:pt idx="19">
                    <c:v>0.19467922333931739</c:v>
                  </c:pt>
                  <c:pt idx="20">
                    <c:v>0.21197484127446228</c:v>
                  </c:pt>
                  <c:pt idx="21">
                    <c:v>0.21126602503321096</c:v>
                  </c:pt>
                  <c:pt idx="22">
                    <c:v>0.27061657993059718</c:v>
                  </c:pt>
                  <c:pt idx="23">
                    <c:v>0.25716402029314522</c:v>
                  </c:pt>
                  <c:pt idx="24">
                    <c:v>0.33955853692699239</c:v>
                  </c:pt>
                  <c:pt idx="25">
                    <c:v>0.36592348927063917</c:v>
                  </c:pt>
                  <c:pt idx="26">
                    <c:v>0.36386810797320446</c:v>
                  </c:pt>
                  <c:pt idx="27">
                    <c:v>0.41617304093369661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Tab_Erträge_Statistik!$C$3:$AD$3</c:f>
              <c:numCache>
                <c:formatCode>General</c:formatCode>
                <c:ptCount val="28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</c:numCache>
            </c:numRef>
          </c:cat>
          <c:val>
            <c:numRef>
              <c:f>Tab_Erträge_Statistik!$C$4:$AD$4</c:f>
              <c:numCache>
                <c:formatCode>0.00</c:formatCode>
                <c:ptCount val="28"/>
                <c:pt idx="0">
                  <c:v>0.56000000000000005</c:v>
                </c:pt>
                <c:pt idx="1">
                  <c:v>1.4533333333333334</c:v>
                </c:pt>
                <c:pt idx="2">
                  <c:v>2.0566666666666666</c:v>
                </c:pt>
                <c:pt idx="3">
                  <c:v>2.5566666666666666</c:v>
                </c:pt>
                <c:pt idx="4">
                  <c:v>3.043333333333333</c:v>
                </c:pt>
                <c:pt idx="5">
                  <c:v>3.8699999999999997</c:v>
                </c:pt>
                <c:pt idx="6">
                  <c:v>4.5</c:v>
                </c:pt>
                <c:pt idx="7">
                  <c:v>5.1933333333333342</c:v>
                </c:pt>
                <c:pt idx="8">
                  <c:v>5.87</c:v>
                </c:pt>
                <c:pt idx="9">
                  <c:v>6.623333333333334</c:v>
                </c:pt>
                <c:pt idx="10">
                  <c:v>7.3466666666666667</c:v>
                </c:pt>
                <c:pt idx="11">
                  <c:v>7.97</c:v>
                </c:pt>
                <c:pt idx="12">
                  <c:v>8.5333333333333332</c:v>
                </c:pt>
                <c:pt idx="13">
                  <c:v>8.9466666666666672</c:v>
                </c:pt>
                <c:pt idx="14">
                  <c:v>9.5933333333333337</c:v>
                </c:pt>
                <c:pt idx="15">
                  <c:v>10.113333333333332</c:v>
                </c:pt>
                <c:pt idx="16">
                  <c:v>10.556666666666667</c:v>
                </c:pt>
                <c:pt idx="17">
                  <c:v>11.269999999999998</c:v>
                </c:pt>
                <c:pt idx="18">
                  <c:v>11.949999999999998</c:v>
                </c:pt>
                <c:pt idx="19">
                  <c:v>12.4</c:v>
                </c:pt>
                <c:pt idx="20">
                  <c:v>12.703333333333333</c:v>
                </c:pt>
                <c:pt idx="21">
                  <c:v>13.166666666666666</c:v>
                </c:pt>
                <c:pt idx="22">
                  <c:v>13.633333333333333</c:v>
                </c:pt>
                <c:pt idx="23">
                  <c:v>14.033333333333333</c:v>
                </c:pt>
                <c:pt idx="24">
                  <c:v>14.459999999999999</c:v>
                </c:pt>
                <c:pt idx="25">
                  <c:v>14.85</c:v>
                </c:pt>
                <c:pt idx="26">
                  <c:v>15.13</c:v>
                </c:pt>
                <c:pt idx="27">
                  <c:v>15.450000000000001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Tab_Erträge_Statistik!$C$13:$AD$13</c15:f>
                <c15:dlblRangeCache>
                  <c:ptCount val="28"/>
                  <c:pt idx="0">
                    <c:v>**</c:v>
                  </c:pt>
                  <c:pt idx="1">
                    <c:v>**</c:v>
                  </c:pt>
                  <c:pt idx="2">
                    <c:v>**</c:v>
                  </c:pt>
                  <c:pt idx="3">
                    <c:v>**</c:v>
                  </c:pt>
                  <c:pt idx="4">
                    <c:v>**</c:v>
                  </c:pt>
                  <c:pt idx="5">
                    <c:v>**</c:v>
                  </c:pt>
                  <c:pt idx="6">
                    <c:v>**</c:v>
                  </c:pt>
                  <c:pt idx="7">
                    <c:v>**</c:v>
                  </c:pt>
                  <c:pt idx="8">
                    <c:v>**</c:v>
                  </c:pt>
                  <c:pt idx="9">
                    <c:v>**</c:v>
                  </c:pt>
                  <c:pt idx="10">
                    <c:v>**</c:v>
                  </c:pt>
                  <c:pt idx="11">
                    <c:v>**</c:v>
                  </c:pt>
                  <c:pt idx="12">
                    <c:v>**</c:v>
                  </c:pt>
                  <c:pt idx="13">
                    <c:v>**</c:v>
                  </c:pt>
                  <c:pt idx="14">
                    <c:v>**</c:v>
                  </c:pt>
                  <c:pt idx="15">
                    <c:v>**</c:v>
                  </c:pt>
                  <c:pt idx="16">
                    <c:v>**</c:v>
                  </c:pt>
                  <c:pt idx="17">
                    <c:v>**</c:v>
                  </c:pt>
                  <c:pt idx="18">
                    <c:v>**</c:v>
                  </c:pt>
                  <c:pt idx="19">
                    <c:v>**</c:v>
                  </c:pt>
                  <c:pt idx="20">
                    <c:v>**</c:v>
                  </c:pt>
                  <c:pt idx="21">
                    <c:v>**</c:v>
                  </c:pt>
                  <c:pt idx="22">
                    <c:v>**</c:v>
                  </c:pt>
                  <c:pt idx="23">
                    <c:v>**</c:v>
                  </c:pt>
                  <c:pt idx="24">
                    <c:v>**</c:v>
                  </c:pt>
                  <c:pt idx="25">
                    <c:v>**</c:v>
                  </c:pt>
                  <c:pt idx="26">
                    <c:v>**</c:v>
                  </c:pt>
                  <c:pt idx="27">
                    <c:v>**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A3A-403A-B9EB-2FF5E6CC9F06}"/>
            </c:ext>
          </c:extLst>
        </c:ser>
        <c:ser>
          <c:idx val="1"/>
          <c:order val="1"/>
          <c:tx>
            <c:strRef>
              <c:f>Tab_Erträge_Statistik!$B$5</c:f>
              <c:strCache>
                <c:ptCount val="1"/>
                <c:pt idx="0">
                  <c:v>Kühlrippenrohre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Tab_Erträge_Statistik!$C$8:$AD$8</c:f>
                <c:numCache>
                  <c:formatCode>General</c:formatCode>
                  <c:ptCount val="28"/>
                  <c:pt idx="0">
                    <c:v>7.1821538088050821E-2</c:v>
                  </c:pt>
                  <c:pt idx="1">
                    <c:v>9.0691785736085231E-2</c:v>
                  </c:pt>
                  <c:pt idx="2">
                    <c:v>8.1649658092772637E-2</c:v>
                  </c:pt>
                  <c:pt idx="3">
                    <c:v>6.4549722436790316E-2</c:v>
                  </c:pt>
                  <c:pt idx="4">
                    <c:v>0.11357816691600543</c:v>
                  </c:pt>
                  <c:pt idx="5">
                    <c:v>0.11898879499067681</c:v>
                  </c:pt>
                  <c:pt idx="6">
                    <c:v>0.11401754250991372</c:v>
                  </c:pt>
                  <c:pt idx="7">
                    <c:v>0.20412414523193156</c:v>
                  </c:pt>
                  <c:pt idx="8">
                    <c:v>0.24200550957915543</c:v>
                  </c:pt>
                  <c:pt idx="9">
                    <c:v>0.23528351691806504</c:v>
                  </c:pt>
                  <c:pt idx="10">
                    <c:v>0.28902133715927147</c:v>
                  </c:pt>
                  <c:pt idx="11">
                    <c:v>0.34380226875342174</c:v>
                  </c:pt>
                  <c:pt idx="12">
                    <c:v>0.41577237362127228</c:v>
                  </c:pt>
                  <c:pt idx="13">
                    <c:v>0.48999149652485458</c:v>
                  </c:pt>
                  <c:pt idx="14">
                    <c:v>0.54199477242251437</c:v>
                  </c:pt>
                  <c:pt idx="15">
                    <c:v>0.546709856017492</c:v>
                  </c:pt>
                  <c:pt idx="16">
                    <c:v>0.54887764270980011</c:v>
                  </c:pt>
                  <c:pt idx="17">
                    <c:v>0.5386015843521692</c:v>
                  </c:pt>
                  <c:pt idx="18">
                    <c:v>0.714860126178541</c:v>
                  </c:pt>
                  <c:pt idx="19">
                    <c:v>0.72292807387733959</c:v>
                  </c:pt>
                  <c:pt idx="20">
                    <c:v>0.7213182376732199</c:v>
                  </c:pt>
                  <c:pt idx="21">
                    <c:v>0.79835247019513067</c:v>
                  </c:pt>
                  <c:pt idx="22">
                    <c:v>0.84526130082162521</c:v>
                  </c:pt>
                  <c:pt idx="23">
                    <c:v>0.88605868880114214</c:v>
                  </c:pt>
                  <c:pt idx="24">
                    <c:v>1.0027088311169896</c:v>
                  </c:pt>
                  <c:pt idx="25">
                    <c:v>1.069906537974229</c:v>
                  </c:pt>
                  <c:pt idx="26">
                    <c:v>1.1363538181394033</c:v>
                  </c:pt>
                  <c:pt idx="27">
                    <c:v>1.1979531153875207</c:v>
                  </c:pt>
                </c:numCache>
              </c:numRef>
            </c:plus>
            <c:minus>
              <c:numRef>
                <c:f>Tab_Erträge_Statistik!$C$8:$AD$8</c:f>
                <c:numCache>
                  <c:formatCode>General</c:formatCode>
                  <c:ptCount val="28"/>
                  <c:pt idx="0">
                    <c:v>7.1821538088050821E-2</c:v>
                  </c:pt>
                  <c:pt idx="1">
                    <c:v>9.0691785736085231E-2</c:v>
                  </c:pt>
                  <c:pt idx="2">
                    <c:v>8.1649658092772637E-2</c:v>
                  </c:pt>
                  <c:pt idx="3">
                    <c:v>6.4549722436790316E-2</c:v>
                  </c:pt>
                  <c:pt idx="4">
                    <c:v>0.11357816691600543</c:v>
                  </c:pt>
                  <c:pt idx="5">
                    <c:v>0.11898879499067681</c:v>
                  </c:pt>
                  <c:pt idx="6">
                    <c:v>0.11401754250991372</c:v>
                  </c:pt>
                  <c:pt idx="7">
                    <c:v>0.20412414523193156</c:v>
                  </c:pt>
                  <c:pt idx="8">
                    <c:v>0.24200550957915543</c:v>
                  </c:pt>
                  <c:pt idx="9">
                    <c:v>0.23528351691806504</c:v>
                  </c:pt>
                  <c:pt idx="10">
                    <c:v>0.28902133715927147</c:v>
                  </c:pt>
                  <c:pt idx="11">
                    <c:v>0.34380226875342174</c:v>
                  </c:pt>
                  <c:pt idx="12">
                    <c:v>0.41577237362127228</c:v>
                  </c:pt>
                  <c:pt idx="13">
                    <c:v>0.48999149652485458</c:v>
                  </c:pt>
                  <c:pt idx="14">
                    <c:v>0.54199477242251437</c:v>
                  </c:pt>
                  <c:pt idx="15">
                    <c:v>0.546709856017492</c:v>
                  </c:pt>
                  <c:pt idx="16">
                    <c:v>0.54887764270980011</c:v>
                  </c:pt>
                  <c:pt idx="17">
                    <c:v>0.5386015843521692</c:v>
                  </c:pt>
                  <c:pt idx="18">
                    <c:v>0.714860126178541</c:v>
                  </c:pt>
                  <c:pt idx="19">
                    <c:v>0.72292807387733959</c:v>
                  </c:pt>
                  <c:pt idx="20">
                    <c:v>0.7213182376732199</c:v>
                  </c:pt>
                  <c:pt idx="21">
                    <c:v>0.79835247019513067</c:v>
                  </c:pt>
                  <c:pt idx="22">
                    <c:v>0.84526130082162521</c:v>
                  </c:pt>
                  <c:pt idx="23">
                    <c:v>0.88605868880114214</c:v>
                  </c:pt>
                  <c:pt idx="24">
                    <c:v>1.0027088311169896</c:v>
                  </c:pt>
                  <c:pt idx="25">
                    <c:v>1.069906537974229</c:v>
                  </c:pt>
                  <c:pt idx="26">
                    <c:v>1.1363538181394033</c:v>
                  </c:pt>
                  <c:pt idx="27">
                    <c:v>1.1979531153875207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Tab_Erträge_Statistik!$C$3:$AD$3</c:f>
              <c:numCache>
                <c:formatCode>General</c:formatCode>
                <c:ptCount val="28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</c:numCache>
            </c:numRef>
          </c:cat>
          <c:val>
            <c:numRef>
              <c:f>Tab_Erträge_Statistik!$C$5:$AD$5</c:f>
              <c:numCache>
                <c:formatCode>0.00</c:formatCode>
                <c:ptCount val="28"/>
                <c:pt idx="0">
                  <c:v>0.35250000000000004</c:v>
                </c:pt>
                <c:pt idx="1">
                  <c:v>1.1274999999999999</c:v>
                </c:pt>
                <c:pt idx="2">
                  <c:v>1.5199999999999998</c:v>
                </c:pt>
                <c:pt idx="3">
                  <c:v>1.9749999999999999</c:v>
                </c:pt>
                <c:pt idx="4">
                  <c:v>2.4449999999999998</c:v>
                </c:pt>
                <c:pt idx="5">
                  <c:v>2.9424999999999999</c:v>
                </c:pt>
                <c:pt idx="6">
                  <c:v>3.4200000000000004</c:v>
                </c:pt>
                <c:pt idx="7">
                  <c:v>3.8600000000000003</c:v>
                </c:pt>
                <c:pt idx="8">
                  <c:v>4.5349999999999993</c:v>
                </c:pt>
                <c:pt idx="9">
                  <c:v>5.1924999999999999</c:v>
                </c:pt>
                <c:pt idx="10">
                  <c:v>5.73</c:v>
                </c:pt>
                <c:pt idx="11">
                  <c:v>6.21</c:v>
                </c:pt>
                <c:pt idx="12">
                  <c:v>6.57</c:v>
                </c:pt>
                <c:pt idx="13">
                  <c:v>6.9625000000000004</c:v>
                </c:pt>
                <c:pt idx="14">
                  <c:v>7.3174999999999999</c:v>
                </c:pt>
                <c:pt idx="15">
                  <c:v>7.6974999999999998</c:v>
                </c:pt>
                <c:pt idx="16">
                  <c:v>8.0399999999999991</c:v>
                </c:pt>
                <c:pt idx="17">
                  <c:v>8.4924999999999997</c:v>
                </c:pt>
                <c:pt idx="18">
                  <c:v>9.0474999999999994</c:v>
                </c:pt>
                <c:pt idx="19">
                  <c:v>9.3725000000000005</c:v>
                </c:pt>
                <c:pt idx="20">
                  <c:v>9.6050000000000004</c:v>
                </c:pt>
                <c:pt idx="21">
                  <c:v>9.9149999999999991</c:v>
                </c:pt>
                <c:pt idx="22">
                  <c:v>10.18</c:v>
                </c:pt>
                <c:pt idx="23">
                  <c:v>10.445</c:v>
                </c:pt>
                <c:pt idx="24">
                  <c:v>10.817499999999999</c:v>
                </c:pt>
                <c:pt idx="25">
                  <c:v>11.095000000000001</c:v>
                </c:pt>
                <c:pt idx="26">
                  <c:v>11.435</c:v>
                </c:pt>
                <c:pt idx="27">
                  <c:v>11.692499999999999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A-403A-B9EB-2FF5E6CC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95328"/>
        <c:axId val="311396576"/>
      </c:lineChart>
      <c:catAx>
        <c:axId val="31139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Kalenerwoche</a:t>
                </a:r>
              </a:p>
            </c:rich>
          </c:tx>
          <c:layout>
            <c:manualLayout>
              <c:xMode val="edge"/>
              <c:yMode val="edge"/>
              <c:x val="0.44405059025112009"/>
              <c:y val="0.93507073894026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11396576"/>
        <c:crosses val="autoZero"/>
        <c:auto val="1"/>
        <c:lblAlgn val="ctr"/>
        <c:lblOffset val="100"/>
        <c:noMultiLvlLbl val="0"/>
      </c:catAx>
      <c:valAx>
        <c:axId val="3113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Kumulativer Ertrag (kg/Pflanze)</a:t>
                </a:r>
              </a:p>
            </c:rich>
          </c:tx>
          <c:layout>
            <c:manualLayout>
              <c:xMode val="edge"/>
              <c:yMode val="edge"/>
              <c:x val="9.5437042029868895E-3"/>
              <c:y val="4.91070603788866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113953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904206167911419"/>
          <c:y val="6.806886795891598E-2"/>
          <c:w val="0.27062977314170411"/>
          <c:h val="0.13924821536075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4794046162616"/>
          <c:y val="5.1096382419865791E-2"/>
          <c:w val="0.86440376512381467"/>
          <c:h val="0.71573516784155733"/>
        </c:manualLayout>
      </c:layout>
      <c:lineChart>
        <c:grouping val="standard"/>
        <c:varyColors val="0"/>
        <c:ser>
          <c:idx val="0"/>
          <c:order val="0"/>
          <c:tx>
            <c:strRef>
              <c:f>Tab_Erträge_Statistik!$B$18</c:f>
              <c:strCache>
                <c:ptCount val="1"/>
                <c:pt idx="0">
                  <c:v>Steinwolle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EAC2213-3DEA-4C11-9DD0-9B77278C239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7F4-4EB7-AF56-DDB19FA524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254EED-E555-4750-B01E-76F299FA58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7F4-4EB7-AF56-DDB19FA524C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EFDDE5-87DD-4195-99E4-68D8DE8FA7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7F4-4EB7-AF56-DDB19FA524C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537143-E075-48CF-A775-81A2245FB2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F4-4EB7-AF56-DDB19FA524C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DB52F2-DA56-4EB1-9C6E-307E288471F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7F4-4EB7-AF56-DDB19FA524C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39C9CB-9C29-4F97-B2BC-4BC6E126E22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F4-4EB7-AF56-DDB19FA524C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271B81-B179-462B-BEC2-33A079EE6CA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7F4-4EB7-AF56-DDB19FA524C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E869A2-C06B-4216-BE55-CC053E01F91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F4-4EB7-AF56-DDB19FA524C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C20370A-114C-4B7A-92AD-DF53F2CE836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7F4-4EB7-AF56-DDB19FA524C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57103FD-B76C-44FB-AA00-65300A75654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7F4-4EB7-AF56-DDB19FA524C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BC1986B-5D5E-4E87-AB9C-BD669B5F328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7F4-4EB7-AF56-DDB19FA524C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13EC96D-1F99-4DF2-BC83-5EA658F7B10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F4-4EB7-AF56-DDB19FA524C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335BC11-58C9-4770-AD4B-25A3A76D1B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7F4-4EB7-AF56-DDB19FA524C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23620A0-02F7-4791-B243-604421E254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7F4-4EB7-AF56-DDB19FA524C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7834FF3-AD06-46FD-978E-09FD52D5F1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7F4-4EB7-AF56-DDB19FA524C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89C0A86-8494-450D-8776-7E4E7B0C08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F4-4EB7-AF56-DDB19FA524C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5B23C1F-49B3-483E-BB56-51FB713E686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7F4-4EB7-AF56-DDB19FA524C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B44A49A-28C9-4784-878A-D1EDF39F847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F4-4EB7-AF56-DDB19FA524C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99C6A6B-6CA9-4514-BD7C-84D26631AD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7F4-4EB7-AF56-DDB19FA524C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DE08BF3-E2EC-43D9-A573-A4931FF3F4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F4-4EB7-AF56-DDB19FA524C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A280905-DDEE-44C4-A62B-10328C1D1E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7F4-4EB7-AF56-DDB19FA524C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5B2BB93-98FC-4685-8FDE-1522B95FE3B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F4-4EB7-AF56-DDB19FA524C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8964ABB-E734-48F8-826A-578A992A5E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7F4-4EB7-AF56-DDB19FA524C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6DC7675-4008-4FE0-B505-61AF869262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F4-4EB7-AF56-DDB19FA524C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AC297FE-4BAE-47C5-A866-D5C4DBD0442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7F4-4EB7-AF56-DDB19FA524C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56A2EA1-FE31-41F9-8F75-AFABE79D953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F4-4EB7-AF56-DDB19FA524C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ECED927-50ED-4520-B00C-645C4EB0445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7F4-4EB7-AF56-DDB19FA524C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DC79D44-486B-4C70-937B-090E480243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F4-4EB7-AF56-DDB19FA524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Tab_Erträge_Statistik!$C$22:$AD$22</c:f>
                <c:numCache>
                  <c:formatCode>General</c:formatCode>
                  <c:ptCount val="28"/>
                  <c:pt idx="0">
                    <c:v>4.9999999999999989E-2</c:v>
                  </c:pt>
                  <c:pt idx="1">
                    <c:v>4.0000000000000036E-2</c:v>
                  </c:pt>
                  <c:pt idx="2">
                    <c:v>7.3711147958320039E-2</c:v>
                  </c:pt>
                  <c:pt idx="3">
                    <c:v>0.28290163190291673</c:v>
                  </c:pt>
                  <c:pt idx="4">
                    <c:v>9.0737717258774761E-2</c:v>
                  </c:pt>
                  <c:pt idx="5">
                    <c:v>0.22068076490713875</c:v>
                  </c:pt>
                  <c:pt idx="6">
                    <c:v>0.23515952032609724</c:v>
                  </c:pt>
                  <c:pt idx="7">
                    <c:v>0.28431203515386638</c:v>
                  </c:pt>
                  <c:pt idx="8">
                    <c:v>0.2762245463386625</c:v>
                  </c:pt>
                  <c:pt idx="9">
                    <c:v>0.29263173671584802</c:v>
                  </c:pt>
                  <c:pt idx="10">
                    <c:v>0.33501243758005955</c:v>
                  </c:pt>
                  <c:pt idx="11">
                    <c:v>0.30999999999999978</c:v>
                  </c:pt>
                  <c:pt idx="12">
                    <c:v>0.25106440076867403</c:v>
                  </c:pt>
                  <c:pt idx="13">
                    <c:v>0.18175074506954059</c:v>
                  </c:pt>
                  <c:pt idx="14">
                    <c:v>0.12013880860626787</c:v>
                  </c:pt>
                  <c:pt idx="15">
                    <c:v>1.154700538379227E-2</c:v>
                  </c:pt>
                  <c:pt idx="16">
                    <c:v>9.7125348562223254E-2</c:v>
                  </c:pt>
                  <c:pt idx="17">
                    <c:v>0.11135528725659934</c:v>
                  </c:pt>
                  <c:pt idx="18">
                    <c:v>0.17088007490635015</c:v>
                  </c:pt>
                  <c:pt idx="19">
                    <c:v>0.19467922333931739</c:v>
                  </c:pt>
                  <c:pt idx="20">
                    <c:v>0.21197484127446228</c:v>
                  </c:pt>
                  <c:pt idx="21">
                    <c:v>0.21126602503321096</c:v>
                  </c:pt>
                  <c:pt idx="22">
                    <c:v>0.27061657993059718</c:v>
                  </c:pt>
                  <c:pt idx="23">
                    <c:v>0.25716402029314522</c:v>
                  </c:pt>
                  <c:pt idx="24">
                    <c:v>0.33955853692699239</c:v>
                  </c:pt>
                  <c:pt idx="25">
                    <c:v>0.36499999999999999</c:v>
                  </c:pt>
                  <c:pt idx="26">
                    <c:v>0.36399999999999999</c:v>
                  </c:pt>
                  <c:pt idx="27">
                    <c:v>0.41599999999999998</c:v>
                  </c:pt>
                </c:numCache>
              </c:numRef>
            </c:plus>
            <c:minus>
              <c:numRef>
                <c:f>Tab_Erträge_Statistik!$C$22:$AD$22</c:f>
                <c:numCache>
                  <c:formatCode>General</c:formatCode>
                  <c:ptCount val="28"/>
                  <c:pt idx="0">
                    <c:v>4.9999999999999989E-2</c:v>
                  </c:pt>
                  <c:pt idx="1">
                    <c:v>4.0000000000000036E-2</c:v>
                  </c:pt>
                  <c:pt idx="2">
                    <c:v>7.3711147958320039E-2</c:v>
                  </c:pt>
                  <c:pt idx="3">
                    <c:v>0.28290163190291673</c:v>
                  </c:pt>
                  <c:pt idx="4">
                    <c:v>9.0737717258774761E-2</c:v>
                  </c:pt>
                  <c:pt idx="5">
                    <c:v>0.22068076490713875</c:v>
                  </c:pt>
                  <c:pt idx="6">
                    <c:v>0.23515952032609724</c:v>
                  </c:pt>
                  <c:pt idx="7">
                    <c:v>0.28431203515386638</c:v>
                  </c:pt>
                  <c:pt idx="8">
                    <c:v>0.2762245463386625</c:v>
                  </c:pt>
                  <c:pt idx="9">
                    <c:v>0.29263173671584802</c:v>
                  </c:pt>
                  <c:pt idx="10">
                    <c:v>0.33501243758005955</c:v>
                  </c:pt>
                  <c:pt idx="11">
                    <c:v>0.30999999999999978</c:v>
                  </c:pt>
                  <c:pt idx="12">
                    <c:v>0.25106440076867403</c:v>
                  </c:pt>
                  <c:pt idx="13">
                    <c:v>0.18175074506954059</c:v>
                  </c:pt>
                  <c:pt idx="14">
                    <c:v>0.12013880860626787</c:v>
                  </c:pt>
                  <c:pt idx="15">
                    <c:v>1.154700538379227E-2</c:v>
                  </c:pt>
                  <c:pt idx="16">
                    <c:v>9.7125348562223254E-2</c:v>
                  </c:pt>
                  <c:pt idx="17">
                    <c:v>0.11135528725659934</c:v>
                  </c:pt>
                  <c:pt idx="18">
                    <c:v>0.17088007490635015</c:v>
                  </c:pt>
                  <c:pt idx="19">
                    <c:v>0.19467922333931739</c:v>
                  </c:pt>
                  <c:pt idx="20">
                    <c:v>0.21197484127446228</c:v>
                  </c:pt>
                  <c:pt idx="21">
                    <c:v>0.21126602503321096</c:v>
                  </c:pt>
                  <c:pt idx="22">
                    <c:v>0.27061657993059718</c:v>
                  </c:pt>
                  <c:pt idx="23">
                    <c:v>0.25716402029314522</c:v>
                  </c:pt>
                  <c:pt idx="24">
                    <c:v>0.33955853692699239</c:v>
                  </c:pt>
                  <c:pt idx="25">
                    <c:v>0.36499999999999999</c:v>
                  </c:pt>
                  <c:pt idx="26">
                    <c:v>0.36399999999999999</c:v>
                  </c:pt>
                  <c:pt idx="27">
                    <c:v>0.41599999999999998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Tab_Erträge_Statistik!$C$17:$AD$17</c:f>
              <c:strCache>
                <c:ptCount val="28"/>
                <c:pt idx="0">
                  <c:v>KW 17</c:v>
                </c:pt>
                <c:pt idx="1">
                  <c:v>KW 18</c:v>
                </c:pt>
                <c:pt idx="2">
                  <c:v>KW 19</c:v>
                </c:pt>
                <c:pt idx="3">
                  <c:v>KW 20</c:v>
                </c:pt>
                <c:pt idx="4">
                  <c:v>KW 21</c:v>
                </c:pt>
                <c:pt idx="5">
                  <c:v>KW 22</c:v>
                </c:pt>
                <c:pt idx="6">
                  <c:v>KW 23</c:v>
                </c:pt>
                <c:pt idx="7">
                  <c:v>KW 24</c:v>
                </c:pt>
                <c:pt idx="8">
                  <c:v>KW 25</c:v>
                </c:pt>
                <c:pt idx="9">
                  <c:v>KW 26</c:v>
                </c:pt>
                <c:pt idx="10">
                  <c:v>KW 27</c:v>
                </c:pt>
                <c:pt idx="11">
                  <c:v>KW 28</c:v>
                </c:pt>
                <c:pt idx="12">
                  <c:v>KW 29</c:v>
                </c:pt>
                <c:pt idx="13">
                  <c:v>KW 30</c:v>
                </c:pt>
                <c:pt idx="14">
                  <c:v>KW 31</c:v>
                </c:pt>
                <c:pt idx="15">
                  <c:v>KW 32</c:v>
                </c:pt>
                <c:pt idx="16">
                  <c:v>KW 33</c:v>
                </c:pt>
                <c:pt idx="17">
                  <c:v>KW 34</c:v>
                </c:pt>
                <c:pt idx="18">
                  <c:v>KW 35</c:v>
                </c:pt>
                <c:pt idx="19">
                  <c:v>KW 36</c:v>
                </c:pt>
                <c:pt idx="20">
                  <c:v>KW 37</c:v>
                </c:pt>
                <c:pt idx="21">
                  <c:v>KW 38</c:v>
                </c:pt>
                <c:pt idx="22">
                  <c:v>KW 39</c:v>
                </c:pt>
                <c:pt idx="23">
                  <c:v>KW 40</c:v>
                </c:pt>
                <c:pt idx="24">
                  <c:v>KW 41</c:v>
                </c:pt>
                <c:pt idx="25">
                  <c:v>KW 42</c:v>
                </c:pt>
                <c:pt idx="26">
                  <c:v>KW 43</c:v>
                </c:pt>
                <c:pt idx="27">
                  <c:v>KW 44</c:v>
                </c:pt>
              </c:strCache>
            </c:strRef>
          </c:cat>
          <c:val>
            <c:numRef>
              <c:f>Tab_Erträge_Statistik!$C$18:$AD$18</c:f>
              <c:numCache>
                <c:formatCode>0.00</c:formatCode>
                <c:ptCount val="28"/>
                <c:pt idx="0">
                  <c:v>0.56000000000000005</c:v>
                </c:pt>
                <c:pt idx="1">
                  <c:v>1.4400000000000002</c:v>
                </c:pt>
                <c:pt idx="2">
                  <c:v>2.0566666666666666</c:v>
                </c:pt>
                <c:pt idx="3">
                  <c:v>2.4633333333333334</c:v>
                </c:pt>
                <c:pt idx="4">
                  <c:v>3.043333333333333</c:v>
                </c:pt>
                <c:pt idx="5">
                  <c:v>3.8699999999999997</c:v>
                </c:pt>
                <c:pt idx="6">
                  <c:v>4.5</c:v>
                </c:pt>
                <c:pt idx="7">
                  <c:v>5.1933333333333342</c:v>
                </c:pt>
                <c:pt idx="8">
                  <c:v>5.87</c:v>
                </c:pt>
                <c:pt idx="9">
                  <c:v>6.623333333333334</c:v>
                </c:pt>
                <c:pt idx="10">
                  <c:v>7.3466666666666667</c:v>
                </c:pt>
                <c:pt idx="11">
                  <c:v>7.97</c:v>
                </c:pt>
                <c:pt idx="12">
                  <c:v>8.5333333333333332</c:v>
                </c:pt>
                <c:pt idx="13">
                  <c:v>8.9466666666666672</c:v>
                </c:pt>
                <c:pt idx="14">
                  <c:v>9.5933333333333337</c:v>
                </c:pt>
                <c:pt idx="15">
                  <c:v>10.113333333333332</c:v>
                </c:pt>
                <c:pt idx="16">
                  <c:v>10.556666666666667</c:v>
                </c:pt>
                <c:pt idx="17">
                  <c:v>11.269999999999998</c:v>
                </c:pt>
                <c:pt idx="18">
                  <c:v>11.949999999999998</c:v>
                </c:pt>
                <c:pt idx="19">
                  <c:v>12.4</c:v>
                </c:pt>
                <c:pt idx="20">
                  <c:v>12.703333333333333</c:v>
                </c:pt>
                <c:pt idx="21">
                  <c:v>13.166666666666666</c:v>
                </c:pt>
                <c:pt idx="22">
                  <c:v>13.633333333333333</c:v>
                </c:pt>
                <c:pt idx="23">
                  <c:v>14.033333333333333</c:v>
                </c:pt>
                <c:pt idx="24">
                  <c:v>14.459999999999999</c:v>
                </c:pt>
                <c:pt idx="25">
                  <c:v>14.85</c:v>
                </c:pt>
                <c:pt idx="26">
                  <c:v>15.13</c:v>
                </c:pt>
                <c:pt idx="27">
                  <c:v>15.450000000000001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Tab_Erträge_Statistik!$C$26:$AD$26</c15:f>
                <c15:dlblRangeCache>
                  <c:ptCount val="28"/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  <c:pt idx="25">
                    <c:v>a</c:v>
                  </c:pt>
                  <c:pt idx="26">
                    <c:v>a</c:v>
                  </c:pt>
                  <c:pt idx="27">
                    <c:v>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27F4-4EB7-AF56-DDB19FA524CA}"/>
            </c:ext>
          </c:extLst>
        </c:ser>
        <c:ser>
          <c:idx val="1"/>
          <c:order val="1"/>
          <c:tx>
            <c:strRef>
              <c:f>Tab_Erträge_Statistik!$B$19</c:f>
              <c:strCache>
                <c:ptCount val="1"/>
                <c:pt idx="0">
                  <c:v>Sphagnum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F845C5-266A-47BC-8FBC-6D3DC67C9E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27F4-4EB7-AF56-DDB19FA524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76A04C-34A9-4C79-AEFC-6AA8AF99129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7F4-4EB7-AF56-DDB19FA524C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201AD0-144C-41AC-8034-75F2B803132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7F4-4EB7-AF56-DDB19FA524C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0D860D-AEC9-45F9-B39E-C194053EC3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F4-4EB7-AF56-DDB19FA524C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E9BBA6-0835-4523-8C88-AD99471D40F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7F4-4EB7-AF56-DDB19FA524C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7DD45A-D27B-468D-8A07-F4E2B66F32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F4-4EB7-AF56-DDB19FA524C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BF0747-B301-4C5F-80BC-A129076E85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7F4-4EB7-AF56-DDB19FA524C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8FEE8C4-86A6-4952-AE7C-4C3645D174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F4-4EB7-AF56-DDB19FA524C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725E3B4-9FAE-409B-A929-394FECD041D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7F4-4EB7-AF56-DDB19FA524C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FA4C24-04A2-4BC3-BA95-EBFEB6F80C2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F4-4EB7-AF56-DDB19FA524C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845EE0F-AB42-4979-91AE-FEF28AB24CE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7F4-4EB7-AF56-DDB19FA524C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934F6CA-B96F-43B1-BDBD-7B28121BCE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F4-4EB7-AF56-DDB19FA524C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C826A3F-9AFB-496D-8760-0057ADD09B0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7F4-4EB7-AF56-DDB19FA524C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5C9E087-DD15-4BB5-8701-78C72C6988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F4-4EB7-AF56-DDB19FA524C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6486CB5-630B-40A8-8337-54586471E22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7F4-4EB7-AF56-DDB19FA524C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748690C-9FE8-415F-B766-12B63E0C3A5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F4-4EB7-AF56-DDB19FA524C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399703C-FCF1-4784-86C0-FE2A01241B0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7F4-4EB7-AF56-DDB19FA524C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9789A29-97D7-4C9D-9BB2-51E5F04F9E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F4-4EB7-AF56-DDB19FA524C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7488BD7-3911-47D2-9DAE-398A1B86ADF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7F4-4EB7-AF56-DDB19FA524C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8857C9D-DD53-48E1-90BC-4FC855CA86E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F4-4EB7-AF56-DDB19FA524C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380683F-49CF-4B45-982A-240C802E01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7F4-4EB7-AF56-DDB19FA524C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474987D-4058-4B55-A287-E3A424188C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F4-4EB7-AF56-DDB19FA524C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27E3271-3246-4013-9B7A-E07A26CDEC1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7F4-4EB7-AF56-DDB19FA524C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C64857C-8E87-463E-A97B-AD9926BAE77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7F4-4EB7-AF56-DDB19FA524C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47B0D69-65A1-4FC9-BCAD-2123512E58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7F4-4EB7-AF56-DDB19FA524C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9CF054F-D69D-4AF1-86D7-28C854DF3A5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F4-4EB7-AF56-DDB19FA524C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2973462-0D1B-47BA-8757-49C8AB10F0F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7F4-4EB7-AF56-DDB19FA524C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3FCDB86-B67B-4DD0-B5D5-1F9CBCBD32B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7F4-4EB7-AF56-DDB19FA524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Tab_Erträge_Statistik!$C$23:$AD$23</c:f>
                <c:numCache>
                  <c:formatCode>General</c:formatCode>
                  <c:ptCount val="28"/>
                  <c:pt idx="0">
                    <c:v>8.5049005481153767E-2</c:v>
                  </c:pt>
                  <c:pt idx="1">
                    <c:v>0.29670411748631548</c:v>
                  </c:pt>
                  <c:pt idx="2">
                    <c:v>0.32787192621510014</c:v>
                  </c:pt>
                  <c:pt idx="3">
                    <c:v>0.28290163190291673</c:v>
                  </c:pt>
                  <c:pt idx="4">
                    <c:v>0.32562759915789302</c:v>
                  </c:pt>
                  <c:pt idx="5">
                    <c:v>0.35791060336346586</c:v>
                  </c:pt>
                  <c:pt idx="6">
                    <c:v>0.43096790290383963</c:v>
                  </c:pt>
                  <c:pt idx="7">
                    <c:v>0.48774993593028831</c:v>
                  </c:pt>
                  <c:pt idx="8">
                    <c:v>0.50520622851795216</c:v>
                  </c:pt>
                  <c:pt idx="9">
                    <c:v>0.3813572253587616</c:v>
                  </c:pt>
                  <c:pt idx="10">
                    <c:v>0.45544849690533989</c:v>
                  </c:pt>
                  <c:pt idx="11">
                    <c:v>0.48603840726153918</c:v>
                  </c:pt>
                  <c:pt idx="12">
                    <c:v>0.51739733281106148</c:v>
                  </c:pt>
                  <c:pt idx="13">
                    <c:v>0.4909514572066499</c:v>
                  </c:pt>
                  <c:pt idx="14">
                    <c:v>0.5915234568468094</c:v>
                  </c:pt>
                  <c:pt idx="15">
                    <c:v>0.61500677503043355</c:v>
                  </c:pt>
                  <c:pt idx="16">
                    <c:v>0.62388567328744859</c:v>
                  </c:pt>
                  <c:pt idx="17">
                    <c:v>0.54353779384080936</c:v>
                  </c:pt>
                  <c:pt idx="18">
                    <c:v>0.48809152147249363</c:v>
                  </c:pt>
                  <c:pt idx="19">
                    <c:v>0.50895317400850615</c:v>
                  </c:pt>
                  <c:pt idx="20">
                    <c:v>0.48809152147249257</c:v>
                  </c:pt>
                  <c:pt idx="21">
                    <c:v>0.37509998667022076</c:v>
                  </c:pt>
                  <c:pt idx="22">
                    <c:v>0.26633312473917514</c:v>
                  </c:pt>
                  <c:pt idx="23">
                    <c:v>0.2663331247391762</c:v>
                  </c:pt>
                  <c:pt idx="24">
                    <c:v>0.28005951748393321</c:v>
                  </c:pt>
                  <c:pt idx="25">
                    <c:v>0.27500000000000002</c:v>
                  </c:pt>
                  <c:pt idx="26">
                    <c:v>0.307</c:v>
                  </c:pt>
                  <c:pt idx="27">
                    <c:v>0.33700000000000002</c:v>
                  </c:pt>
                </c:numCache>
              </c:numRef>
            </c:plus>
            <c:minus>
              <c:numRef>
                <c:f>Tab_Erträge_Statistik!$C$23:$AD$23</c:f>
                <c:numCache>
                  <c:formatCode>General</c:formatCode>
                  <c:ptCount val="28"/>
                  <c:pt idx="0">
                    <c:v>8.5049005481153767E-2</c:v>
                  </c:pt>
                  <c:pt idx="1">
                    <c:v>0.29670411748631548</c:v>
                  </c:pt>
                  <c:pt idx="2">
                    <c:v>0.32787192621510014</c:v>
                  </c:pt>
                  <c:pt idx="3">
                    <c:v>0.28290163190291673</c:v>
                  </c:pt>
                  <c:pt idx="4">
                    <c:v>0.32562759915789302</c:v>
                  </c:pt>
                  <c:pt idx="5">
                    <c:v>0.35791060336346586</c:v>
                  </c:pt>
                  <c:pt idx="6">
                    <c:v>0.43096790290383963</c:v>
                  </c:pt>
                  <c:pt idx="7">
                    <c:v>0.48774993593028831</c:v>
                  </c:pt>
                  <c:pt idx="8">
                    <c:v>0.50520622851795216</c:v>
                  </c:pt>
                  <c:pt idx="9">
                    <c:v>0.3813572253587616</c:v>
                  </c:pt>
                  <c:pt idx="10">
                    <c:v>0.45544849690533989</c:v>
                  </c:pt>
                  <c:pt idx="11">
                    <c:v>0.48603840726153918</c:v>
                  </c:pt>
                  <c:pt idx="12">
                    <c:v>0.51739733281106148</c:v>
                  </c:pt>
                  <c:pt idx="13">
                    <c:v>0.4909514572066499</c:v>
                  </c:pt>
                  <c:pt idx="14">
                    <c:v>0.5915234568468094</c:v>
                  </c:pt>
                  <c:pt idx="15">
                    <c:v>0.61500677503043355</c:v>
                  </c:pt>
                  <c:pt idx="16">
                    <c:v>0.62388567328744859</c:v>
                  </c:pt>
                  <c:pt idx="17">
                    <c:v>0.54353779384080936</c:v>
                  </c:pt>
                  <c:pt idx="18">
                    <c:v>0.48809152147249363</c:v>
                  </c:pt>
                  <c:pt idx="19">
                    <c:v>0.50895317400850615</c:v>
                  </c:pt>
                  <c:pt idx="20">
                    <c:v>0.48809152147249257</c:v>
                  </c:pt>
                  <c:pt idx="21">
                    <c:v>0.37509998667022076</c:v>
                  </c:pt>
                  <c:pt idx="22">
                    <c:v>0.26633312473917514</c:v>
                  </c:pt>
                  <c:pt idx="23">
                    <c:v>0.2663331247391762</c:v>
                  </c:pt>
                  <c:pt idx="24">
                    <c:v>0.28005951748393321</c:v>
                  </c:pt>
                  <c:pt idx="25">
                    <c:v>0.27500000000000002</c:v>
                  </c:pt>
                  <c:pt idx="26">
                    <c:v>0.307</c:v>
                  </c:pt>
                  <c:pt idx="27">
                    <c:v>0.33700000000000002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Tab_Erträge_Statistik!$C$17:$AD$17</c:f>
              <c:strCache>
                <c:ptCount val="28"/>
                <c:pt idx="0">
                  <c:v>KW 17</c:v>
                </c:pt>
                <c:pt idx="1">
                  <c:v>KW 18</c:v>
                </c:pt>
                <c:pt idx="2">
                  <c:v>KW 19</c:v>
                </c:pt>
                <c:pt idx="3">
                  <c:v>KW 20</c:v>
                </c:pt>
                <c:pt idx="4">
                  <c:v>KW 21</c:v>
                </c:pt>
                <c:pt idx="5">
                  <c:v>KW 22</c:v>
                </c:pt>
                <c:pt idx="6">
                  <c:v>KW 23</c:v>
                </c:pt>
                <c:pt idx="7">
                  <c:v>KW 24</c:v>
                </c:pt>
                <c:pt idx="8">
                  <c:v>KW 25</c:v>
                </c:pt>
                <c:pt idx="9">
                  <c:v>KW 26</c:v>
                </c:pt>
                <c:pt idx="10">
                  <c:v>KW 27</c:v>
                </c:pt>
                <c:pt idx="11">
                  <c:v>KW 28</c:v>
                </c:pt>
                <c:pt idx="12">
                  <c:v>KW 29</c:v>
                </c:pt>
                <c:pt idx="13">
                  <c:v>KW 30</c:v>
                </c:pt>
                <c:pt idx="14">
                  <c:v>KW 31</c:v>
                </c:pt>
                <c:pt idx="15">
                  <c:v>KW 32</c:v>
                </c:pt>
                <c:pt idx="16">
                  <c:v>KW 33</c:v>
                </c:pt>
                <c:pt idx="17">
                  <c:v>KW 34</c:v>
                </c:pt>
                <c:pt idx="18">
                  <c:v>KW 35</c:v>
                </c:pt>
                <c:pt idx="19">
                  <c:v>KW 36</c:v>
                </c:pt>
                <c:pt idx="20">
                  <c:v>KW 37</c:v>
                </c:pt>
                <c:pt idx="21">
                  <c:v>KW 38</c:v>
                </c:pt>
                <c:pt idx="22">
                  <c:v>KW 39</c:v>
                </c:pt>
                <c:pt idx="23">
                  <c:v>KW 40</c:v>
                </c:pt>
                <c:pt idx="24">
                  <c:v>KW 41</c:v>
                </c:pt>
                <c:pt idx="25">
                  <c:v>KW 42</c:v>
                </c:pt>
                <c:pt idx="26">
                  <c:v>KW 43</c:v>
                </c:pt>
                <c:pt idx="27">
                  <c:v>KW 44</c:v>
                </c:pt>
              </c:strCache>
            </c:strRef>
          </c:cat>
          <c:val>
            <c:numRef>
              <c:f>Tab_Erträge_Statistik!$C$19:$AD$19</c:f>
              <c:numCache>
                <c:formatCode>0.00</c:formatCode>
                <c:ptCount val="28"/>
                <c:pt idx="0">
                  <c:v>0.61666666666666659</c:v>
                </c:pt>
                <c:pt idx="1">
                  <c:v>1.3366666666666667</c:v>
                </c:pt>
                <c:pt idx="2">
                  <c:v>1.9200000000000002</c:v>
                </c:pt>
                <c:pt idx="3">
                  <c:v>2.4633333333333334</c:v>
                </c:pt>
                <c:pt idx="4">
                  <c:v>2.8833333333333333</c:v>
                </c:pt>
                <c:pt idx="5">
                  <c:v>3.6300000000000003</c:v>
                </c:pt>
                <c:pt idx="6">
                  <c:v>4.2333333333333334</c:v>
                </c:pt>
                <c:pt idx="7">
                  <c:v>4.9400000000000004</c:v>
                </c:pt>
                <c:pt idx="8">
                  <c:v>5.5933333333333337</c:v>
                </c:pt>
                <c:pt idx="9">
                  <c:v>6.2366666666666672</c:v>
                </c:pt>
                <c:pt idx="10">
                  <c:v>6.9266666666666667</c:v>
                </c:pt>
                <c:pt idx="11">
                  <c:v>7.5133333333333328</c:v>
                </c:pt>
                <c:pt idx="12">
                  <c:v>7.98</c:v>
                </c:pt>
                <c:pt idx="13">
                  <c:v>8.336666666666666</c:v>
                </c:pt>
                <c:pt idx="14">
                  <c:v>8.83</c:v>
                </c:pt>
                <c:pt idx="15">
                  <c:v>9.3033333333333346</c:v>
                </c:pt>
                <c:pt idx="16">
                  <c:v>9.6833333333333336</c:v>
                </c:pt>
                <c:pt idx="17">
                  <c:v>10.306666666666667</c:v>
                </c:pt>
                <c:pt idx="18">
                  <c:v>10.853333333333333</c:v>
                </c:pt>
                <c:pt idx="19">
                  <c:v>11.356666666666664</c:v>
                </c:pt>
                <c:pt idx="20">
                  <c:v>11.653333333333331</c:v>
                </c:pt>
                <c:pt idx="21">
                  <c:v>12.17</c:v>
                </c:pt>
                <c:pt idx="22">
                  <c:v>12.616666666666667</c:v>
                </c:pt>
                <c:pt idx="23">
                  <c:v>13.063333333333333</c:v>
                </c:pt>
                <c:pt idx="24">
                  <c:v>13.483333333333334</c:v>
                </c:pt>
                <c:pt idx="25">
                  <c:v>13.916666666666666</c:v>
                </c:pt>
                <c:pt idx="26">
                  <c:v>14.216666666666667</c:v>
                </c:pt>
                <c:pt idx="27">
                  <c:v>14.533333333333333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Tab_Erträge_Statistik!$C$28:$AD$28</c15:f>
                <c15:dlblRangeCache>
                  <c:ptCount val="28"/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  <c:pt idx="25">
                    <c:v>a</c:v>
                  </c:pt>
                  <c:pt idx="26">
                    <c:v>a</c:v>
                  </c:pt>
                  <c:pt idx="27">
                    <c:v>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27F4-4EB7-AF56-DDB19FA524CA}"/>
            </c:ext>
          </c:extLst>
        </c:ser>
        <c:ser>
          <c:idx val="2"/>
          <c:order val="2"/>
          <c:tx>
            <c:strRef>
              <c:f>Tab_Erträge_Statistik!$B$20</c:f>
              <c:strCache>
                <c:ptCount val="1"/>
                <c:pt idx="0">
                  <c:v>Holzfasern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EFF8E2B-E4B9-43EE-9900-14A21F9A27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27F4-4EB7-AF56-DDB19FA524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4974F6-00AF-4F8F-AA14-10D360D6BF3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F4-4EB7-AF56-DDB19FA524C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19B050-BB4F-4586-A18E-CEE89055E4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7F4-4EB7-AF56-DDB19FA524C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0FA839-ECE7-475C-A266-86A39748C2C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F4-4EB7-AF56-DDB19FA524C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DB5C11-5D9E-4A6A-B70F-449DBD3BA50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7F4-4EB7-AF56-DDB19FA524C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0CCD97-A900-412B-BFCA-3590D8F04F4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F4-4EB7-AF56-DDB19FA524C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A9A3BED-57A8-473E-AC76-68D60D6DFA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7F4-4EB7-AF56-DDB19FA524C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ACCB328-4BA6-437F-A432-C99E7650A2F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7F4-4EB7-AF56-DDB19FA524C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B6B289-5B8E-4A26-8C04-8F06D282959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7F4-4EB7-AF56-DDB19FA524C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8732265-1E29-4A62-8D19-1402EA5CF7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F4-4EB7-AF56-DDB19FA524C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AB26482-391A-40AE-A6B2-501909504A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7F4-4EB7-AF56-DDB19FA524C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95B1004-A940-419E-B88D-5B07B7EEE1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F4-4EB7-AF56-DDB19FA524C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FD8A335-2B6E-4B28-817E-5060A739BD1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7F4-4EB7-AF56-DDB19FA524C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CF47832-3F48-46DF-8197-20206005659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F4-4EB7-AF56-DDB19FA524C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A0376E3-0702-43CB-ACFA-70535C6F01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7F4-4EB7-AF56-DDB19FA524C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D191354-F630-458E-9384-F9869B5E0C3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F4-4EB7-AF56-DDB19FA524C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FC735EE-3DAE-45C9-A077-CE12C7E8D38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7F4-4EB7-AF56-DDB19FA524C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4E22AB4-BF0C-4FD4-8B87-C7DB42A39CF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7F4-4EB7-AF56-DDB19FA524C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F47D193-178A-448E-98B1-139F65E9033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7F4-4EB7-AF56-DDB19FA524C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5F10DE5-CAE5-42FA-99A5-C6E938B2477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7F4-4EB7-AF56-DDB19FA524C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B68807E-BBFD-4931-8A20-BBC5D2F520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7F4-4EB7-AF56-DDB19FA524C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2F614FF-8FCF-4313-83E9-B8CF8C4E03E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7F4-4EB7-AF56-DDB19FA524C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B32C312-1C65-4752-8327-B265F52E206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7F4-4EB7-AF56-DDB19FA524C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DEEBA35-63FD-4044-AE06-4482E4E1113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F4-4EB7-AF56-DDB19FA524C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2CB9328-915B-49A8-A895-D3491E0FFD4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7F4-4EB7-AF56-DDB19FA524C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1D79E93-DF05-45ED-BD48-760B7D52E59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F4-4EB7-AF56-DDB19FA524C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838671F-39BA-492D-821F-345BB613CD2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7F4-4EB7-AF56-DDB19FA524C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ED5AD3E-1C8E-4EFB-8405-78A815B54B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F4-4EB7-AF56-DDB19FA524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Tab_Erträge_Statistik!$C$24:$AD$24</c:f>
                <c:numCache>
                  <c:formatCode>General</c:formatCode>
                  <c:ptCount val="28"/>
                  <c:pt idx="0">
                    <c:v>0.10148891565092216</c:v>
                  </c:pt>
                  <c:pt idx="1">
                    <c:v>4.0000000000000036E-2</c:v>
                  </c:pt>
                  <c:pt idx="2">
                    <c:v>8.962886439832507E-2</c:v>
                  </c:pt>
                  <c:pt idx="3">
                    <c:v>0.13892443989449813</c:v>
                  </c:pt>
                  <c:pt idx="4">
                    <c:v>0.13316656236958774</c:v>
                  </c:pt>
                  <c:pt idx="5">
                    <c:v>0.16441816606851353</c:v>
                  </c:pt>
                  <c:pt idx="6">
                    <c:v>0.15502687938977983</c:v>
                  </c:pt>
                  <c:pt idx="7">
                    <c:v>0.10408329997330662</c:v>
                  </c:pt>
                  <c:pt idx="8">
                    <c:v>0.21071307505705492</c:v>
                  </c:pt>
                  <c:pt idx="9">
                    <c:v>0.30347981810987018</c:v>
                  </c:pt>
                  <c:pt idx="10">
                    <c:v>0.37287173844813337</c:v>
                  </c:pt>
                  <c:pt idx="11">
                    <c:v>0.4331281565541546</c:v>
                  </c:pt>
                  <c:pt idx="12">
                    <c:v>0.39051248379533338</c:v>
                  </c:pt>
                  <c:pt idx="13">
                    <c:v>0.37072002014098571</c:v>
                  </c:pt>
                  <c:pt idx="14">
                    <c:v>0.51675268101223482</c:v>
                  </c:pt>
                  <c:pt idx="15">
                    <c:v>0.54353779384080914</c:v>
                  </c:pt>
                  <c:pt idx="16">
                    <c:v>0.55247926054588981</c:v>
                  </c:pt>
                  <c:pt idx="17">
                    <c:v>0.68036754772696217</c:v>
                  </c:pt>
                  <c:pt idx="18">
                    <c:v>0.68966175284216902</c:v>
                  </c:pt>
                  <c:pt idx="19">
                    <c:v>0.66274680937242814</c:v>
                  </c:pt>
                  <c:pt idx="20">
                    <c:v>0.66955208908642816</c:v>
                  </c:pt>
                  <c:pt idx="21">
                    <c:v>0.69397406291589858</c:v>
                  </c:pt>
                  <c:pt idx="22">
                    <c:v>0.75182001392177211</c:v>
                  </c:pt>
                  <c:pt idx="23">
                    <c:v>0.76526683799399942</c:v>
                  </c:pt>
                  <c:pt idx="24">
                    <c:v>0.79002109676472143</c:v>
                  </c:pt>
                  <c:pt idx="25">
                    <c:v>0.82499999999999996</c:v>
                  </c:pt>
                  <c:pt idx="26">
                    <c:v>0.84799999999999998</c:v>
                  </c:pt>
                  <c:pt idx="27">
                    <c:v>0.95299999999999996</c:v>
                  </c:pt>
                </c:numCache>
              </c:numRef>
            </c:plus>
            <c:minus>
              <c:numRef>
                <c:f>Tab_Erträge_Statistik!$C$24:$AD$24</c:f>
                <c:numCache>
                  <c:formatCode>General</c:formatCode>
                  <c:ptCount val="28"/>
                  <c:pt idx="0">
                    <c:v>0.10148891565092216</c:v>
                  </c:pt>
                  <c:pt idx="1">
                    <c:v>4.0000000000000036E-2</c:v>
                  </c:pt>
                  <c:pt idx="2">
                    <c:v>8.962886439832507E-2</c:v>
                  </c:pt>
                  <c:pt idx="3">
                    <c:v>0.13892443989449813</c:v>
                  </c:pt>
                  <c:pt idx="4">
                    <c:v>0.13316656236958774</c:v>
                  </c:pt>
                  <c:pt idx="5">
                    <c:v>0.16441816606851353</c:v>
                  </c:pt>
                  <c:pt idx="6">
                    <c:v>0.15502687938977983</c:v>
                  </c:pt>
                  <c:pt idx="7">
                    <c:v>0.10408329997330662</c:v>
                  </c:pt>
                  <c:pt idx="8">
                    <c:v>0.21071307505705492</c:v>
                  </c:pt>
                  <c:pt idx="9">
                    <c:v>0.30347981810987018</c:v>
                  </c:pt>
                  <c:pt idx="10">
                    <c:v>0.37287173844813337</c:v>
                  </c:pt>
                  <c:pt idx="11">
                    <c:v>0.4331281565541546</c:v>
                  </c:pt>
                  <c:pt idx="12">
                    <c:v>0.39051248379533338</c:v>
                  </c:pt>
                  <c:pt idx="13">
                    <c:v>0.37072002014098571</c:v>
                  </c:pt>
                  <c:pt idx="14">
                    <c:v>0.51675268101223482</c:v>
                  </c:pt>
                  <c:pt idx="15">
                    <c:v>0.54353779384080914</c:v>
                  </c:pt>
                  <c:pt idx="16">
                    <c:v>0.55247926054588981</c:v>
                  </c:pt>
                  <c:pt idx="17">
                    <c:v>0.68036754772696217</c:v>
                  </c:pt>
                  <c:pt idx="18">
                    <c:v>0.68966175284216902</c:v>
                  </c:pt>
                  <c:pt idx="19">
                    <c:v>0.66274680937242814</c:v>
                  </c:pt>
                  <c:pt idx="20">
                    <c:v>0.66955208908642816</c:v>
                  </c:pt>
                  <c:pt idx="21">
                    <c:v>0.69397406291589858</c:v>
                  </c:pt>
                  <c:pt idx="22">
                    <c:v>0.75182001392177211</c:v>
                  </c:pt>
                  <c:pt idx="23">
                    <c:v>0.76526683799399942</c:v>
                  </c:pt>
                  <c:pt idx="24">
                    <c:v>0.79002109676472143</c:v>
                  </c:pt>
                  <c:pt idx="25">
                    <c:v>0.82499999999999996</c:v>
                  </c:pt>
                  <c:pt idx="26">
                    <c:v>0.84799999999999998</c:v>
                  </c:pt>
                  <c:pt idx="27">
                    <c:v>0.95299999999999996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Tab_Erträge_Statistik!$C$17:$AD$17</c:f>
              <c:strCache>
                <c:ptCount val="28"/>
                <c:pt idx="0">
                  <c:v>KW 17</c:v>
                </c:pt>
                <c:pt idx="1">
                  <c:v>KW 18</c:v>
                </c:pt>
                <c:pt idx="2">
                  <c:v>KW 19</c:v>
                </c:pt>
                <c:pt idx="3">
                  <c:v>KW 20</c:v>
                </c:pt>
                <c:pt idx="4">
                  <c:v>KW 21</c:v>
                </c:pt>
                <c:pt idx="5">
                  <c:v>KW 22</c:v>
                </c:pt>
                <c:pt idx="6">
                  <c:v>KW 23</c:v>
                </c:pt>
                <c:pt idx="7">
                  <c:v>KW 24</c:v>
                </c:pt>
                <c:pt idx="8">
                  <c:v>KW 25</c:v>
                </c:pt>
                <c:pt idx="9">
                  <c:v>KW 26</c:v>
                </c:pt>
                <c:pt idx="10">
                  <c:v>KW 27</c:v>
                </c:pt>
                <c:pt idx="11">
                  <c:v>KW 28</c:v>
                </c:pt>
                <c:pt idx="12">
                  <c:v>KW 29</c:v>
                </c:pt>
                <c:pt idx="13">
                  <c:v>KW 30</c:v>
                </c:pt>
                <c:pt idx="14">
                  <c:v>KW 31</c:v>
                </c:pt>
                <c:pt idx="15">
                  <c:v>KW 32</c:v>
                </c:pt>
                <c:pt idx="16">
                  <c:v>KW 33</c:v>
                </c:pt>
                <c:pt idx="17">
                  <c:v>KW 34</c:v>
                </c:pt>
                <c:pt idx="18">
                  <c:v>KW 35</c:v>
                </c:pt>
                <c:pt idx="19">
                  <c:v>KW 36</c:v>
                </c:pt>
                <c:pt idx="20">
                  <c:v>KW 37</c:v>
                </c:pt>
                <c:pt idx="21">
                  <c:v>KW 38</c:v>
                </c:pt>
                <c:pt idx="22">
                  <c:v>KW 39</c:v>
                </c:pt>
                <c:pt idx="23">
                  <c:v>KW 40</c:v>
                </c:pt>
                <c:pt idx="24">
                  <c:v>KW 41</c:v>
                </c:pt>
                <c:pt idx="25">
                  <c:v>KW 42</c:v>
                </c:pt>
                <c:pt idx="26">
                  <c:v>KW 43</c:v>
                </c:pt>
                <c:pt idx="27">
                  <c:v>KW 44</c:v>
                </c:pt>
              </c:strCache>
            </c:strRef>
          </c:cat>
          <c:val>
            <c:numRef>
              <c:f>Tab_Erträge_Statistik!$C$20:$AD$20</c:f>
              <c:numCache>
                <c:formatCode>0.00</c:formatCode>
                <c:ptCount val="28"/>
                <c:pt idx="0">
                  <c:v>0.57999999999999996</c:v>
                </c:pt>
                <c:pt idx="1">
                  <c:v>1.4400000000000002</c:v>
                </c:pt>
                <c:pt idx="2">
                  <c:v>2.0166666666666666</c:v>
                </c:pt>
                <c:pt idx="3">
                  <c:v>2.5700000000000003</c:v>
                </c:pt>
                <c:pt idx="4">
                  <c:v>3.0566666666666666</c:v>
                </c:pt>
                <c:pt idx="5">
                  <c:v>3.7966666666666664</c:v>
                </c:pt>
                <c:pt idx="6">
                  <c:v>4.4366666666666674</c:v>
                </c:pt>
                <c:pt idx="7">
                  <c:v>5.1066666666666665</c:v>
                </c:pt>
                <c:pt idx="8">
                  <c:v>5.7100000000000009</c:v>
                </c:pt>
                <c:pt idx="9">
                  <c:v>6.53</c:v>
                </c:pt>
                <c:pt idx="10">
                  <c:v>7.2033333333333331</c:v>
                </c:pt>
                <c:pt idx="11">
                  <c:v>7.82</c:v>
                </c:pt>
                <c:pt idx="12">
                  <c:v>8.2900000000000009</c:v>
                </c:pt>
                <c:pt idx="13">
                  <c:v>8.6933333333333334</c:v>
                </c:pt>
                <c:pt idx="14">
                  <c:v>9.1833333333333336</c:v>
                </c:pt>
                <c:pt idx="15">
                  <c:v>9.5833333333333339</c:v>
                </c:pt>
                <c:pt idx="16">
                  <c:v>9.9533333333333331</c:v>
                </c:pt>
                <c:pt idx="17">
                  <c:v>10.719999999999999</c:v>
                </c:pt>
                <c:pt idx="18">
                  <c:v>11.243333333333332</c:v>
                </c:pt>
                <c:pt idx="19">
                  <c:v>11.676666666666668</c:v>
                </c:pt>
                <c:pt idx="20">
                  <c:v>11.930000000000001</c:v>
                </c:pt>
                <c:pt idx="21">
                  <c:v>12.28</c:v>
                </c:pt>
                <c:pt idx="22">
                  <c:v>12.706666666666669</c:v>
                </c:pt>
                <c:pt idx="23">
                  <c:v>13.103333333333333</c:v>
                </c:pt>
                <c:pt idx="24">
                  <c:v>13.553333333333335</c:v>
                </c:pt>
                <c:pt idx="25">
                  <c:v>13.963333333333333</c:v>
                </c:pt>
                <c:pt idx="26">
                  <c:v>14.293333333333331</c:v>
                </c:pt>
                <c:pt idx="27">
                  <c:v>14.660000000000002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Tab_Erträge_Statistik!$C$27:$AD$27</c15:f>
                <c15:dlblRangeCache>
                  <c:ptCount val="28"/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  <c:pt idx="25">
                    <c:v>a</c:v>
                  </c:pt>
                  <c:pt idx="26">
                    <c:v>a</c:v>
                  </c:pt>
                  <c:pt idx="27">
                    <c:v>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27F4-4EB7-AF56-DDB19FA5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95328"/>
        <c:axId val="311396576"/>
      </c:lineChart>
      <c:catAx>
        <c:axId val="31139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Erntewoche</a:t>
                </a:r>
              </a:p>
            </c:rich>
          </c:tx>
          <c:layout>
            <c:manualLayout>
              <c:xMode val="edge"/>
              <c:yMode val="edge"/>
              <c:x val="0.44405059025112009"/>
              <c:y val="0.93507073894026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11396576"/>
        <c:crosses val="autoZero"/>
        <c:auto val="1"/>
        <c:lblAlgn val="ctr"/>
        <c:lblOffset val="100"/>
        <c:noMultiLvlLbl val="0"/>
      </c:catAx>
      <c:valAx>
        <c:axId val="3113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Kumulativer Ertrag (kg/Pflanze)</a:t>
                </a:r>
              </a:p>
            </c:rich>
          </c:tx>
          <c:layout>
            <c:manualLayout>
              <c:xMode val="edge"/>
              <c:yMode val="edge"/>
              <c:x val="9.5437042029868895E-3"/>
              <c:y val="4.91070603788866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113953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904206167911419"/>
          <c:y val="6.806886795891598E-2"/>
          <c:w val="0.58228674916111345"/>
          <c:h val="5.9443812055005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Erträge!$N$142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181-4B5E-9E29-EB2DCC37D20E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81-4B5E-9E29-EB2DCC37D20E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81-4B5E-9E29-EB2DCC37D20E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81-4B5E-9E29-EB2DCC37D20E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81-4B5E-9E29-EB2DCC37D20E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81-4B5E-9E29-EB2DCC37D20E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Erträge!$O$143:$O$148</c:f>
                <c:numCache>
                  <c:formatCode>General</c:formatCode>
                  <c:ptCount val="6"/>
                  <c:pt idx="0">
                    <c:v>3.8852424182817993E-2</c:v>
                  </c:pt>
                  <c:pt idx="1">
                    <c:v>4.8996437770684749E-2</c:v>
                  </c:pt>
                  <c:pt idx="2">
                    <c:v>4.1599580763684488E-2</c:v>
                  </c:pt>
                  <c:pt idx="3">
                    <c:v>5.7545174569260719E-2</c:v>
                  </c:pt>
                  <c:pt idx="4">
                    <c:v>3.7367479011235577E-2</c:v>
                  </c:pt>
                  <c:pt idx="5">
                    <c:v>3.8659154956141327E-2</c:v>
                  </c:pt>
                </c:numCache>
              </c:numRef>
            </c:plus>
            <c:minus>
              <c:numRef>
                <c:f>Erträge!$O$143:$O$148</c:f>
                <c:numCache>
                  <c:formatCode>General</c:formatCode>
                  <c:ptCount val="6"/>
                  <c:pt idx="0">
                    <c:v>3.8852424182817993E-2</c:v>
                  </c:pt>
                  <c:pt idx="1">
                    <c:v>4.8996437770684749E-2</c:v>
                  </c:pt>
                  <c:pt idx="2">
                    <c:v>4.1599580763684488E-2</c:v>
                  </c:pt>
                  <c:pt idx="3">
                    <c:v>5.7545174569260719E-2</c:v>
                  </c:pt>
                  <c:pt idx="4">
                    <c:v>3.7367479011235577E-2</c:v>
                  </c:pt>
                  <c:pt idx="5">
                    <c:v>3.8659154956141327E-2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Erträge!$K$143:$M$148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05/12/2020</c:v>
                  </c:pt>
                </c:lvl>
              </c:multiLvlStrCache>
            </c:multiLvlStrRef>
          </c:cat>
          <c:val>
            <c:numRef>
              <c:f>Erträge!$N$143:$N$148</c:f>
              <c:numCache>
                <c:formatCode>0.00</c:formatCode>
                <c:ptCount val="6"/>
                <c:pt idx="0">
                  <c:v>0.49833217833217835</c:v>
                </c:pt>
                <c:pt idx="1">
                  <c:v>0.47395101351351349</c:v>
                </c:pt>
                <c:pt idx="2">
                  <c:v>0.55144144144144136</c:v>
                </c:pt>
                <c:pt idx="3">
                  <c:v>0.41514766081871346</c:v>
                </c:pt>
                <c:pt idx="4">
                  <c:v>0.54243480322427684</c:v>
                </c:pt>
                <c:pt idx="5">
                  <c:v>0.43384697855750493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81-4B5E-9E29-EB2DCC37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Erträge!$P$142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EC-4DA2-A0A7-AAADBF143331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EC-4DA2-A0A7-AAADBF143331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EC-4DA2-A0A7-AAADBF143331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EC-4DA2-A0A7-AAADBF143331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EC-4DA2-A0A7-AAADBF143331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EC-4DA2-A0A7-AAADBF143331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Erträge!$Q$143:$Q$148</c:f>
                <c:numCache>
                  <c:formatCode>General</c:formatCode>
                  <c:ptCount val="6"/>
                  <c:pt idx="0">
                    <c:v>4.392511419367956E-2</c:v>
                  </c:pt>
                  <c:pt idx="1">
                    <c:v>4.0814500299649017E-2</c:v>
                  </c:pt>
                  <c:pt idx="2">
                    <c:v>0.11501036536285583</c:v>
                  </c:pt>
                  <c:pt idx="3">
                    <c:v>6.0375509798739901E-2</c:v>
                  </c:pt>
                  <c:pt idx="4">
                    <c:v>0.23155200042125976</c:v>
                  </c:pt>
                  <c:pt idx="5">
                    <c:v>3.0116521655384088E-2</c:v>
                  </c:pt>
                </c:numCache>
              </c:numRef>
            </c:plus>
            <c:minus>
              <c:numRef>
                <c:f>Erträge!$Q$143:$Q$148</c:f>
                <c:numCache>
                  <c:formatCode>General</c:formatCode>
                  <c:ptCount val="6"/>
                  <c:pt idx="0">
                    <c:v>4.392511419367956E-2</c:v>
                  </c:pt>
                  <c:pt idx="1">
                    <c:v>4.0814500299649017E-2</c:v>
                  </c:pt>
                  <c:pt idx="2">
                    <c:v>0.11501036536285583</c:v>
                  </c:pt>
                  <c:pt idx="3">
                    <c:v>6.0375509798739901E-2</c:v>
                  </c:pt>
                  <c:pt idx="4">
                    <c:v>0.23155200042125976</c:v>
                  </c:pt>
                  <c:pt idx="5">
                    <c:v>3.0116521655384088E-2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Erträge!$K$143:$M$148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05/12/2020</c:v>
                  </c:pt>
                </c:lvl>
              </c:multiLvlStrCache>
            </c:multiLvlStrRef>
          </c:cat>
          <c:val>
            <c:numRef>
              <c:f>Erträge!$P$143:$P$148</c:f>
              <c:numCache>
                <c:formatCode>0.00</c:formatCode>
                <c:ptCount val="6"/>
                <c:pt idx="0">
                  <c:v>2.5542434742434748</c:v>
                </c:pt>
                <c:pt idx="1">
                  <c:v>1.9521998873873876</c:v>
                </c:pt>
                <c:pt idx="2">
                  <c:v>2.5690090090090085</c:v>
                </c:pt>
                <c:pt idx="3">
                  <c:v>1.8186139021796917</c:v>
                </c:pt>
                <c:pt idx="4">
                  <c:v>2.4606590801327646</c:v>
                </c:pt>
                <c:pt idx="5">
                  <c:v>1.9066905458089669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EC-4DA2-A0A7-AAADBF143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Erträge!$N$107</c:f>
              <c:strCache>
                <c:ptCount val="1"/>
                <c:pt idx="0">
                  <c:v>Ertrag pro Pflanze [kg]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66000"/>
                    <a:satMod val="160000"/>
                  </a:schemeClr>
                </a:gs>
                <a:gs pos="50000">
                  <a:schemeClr val="accent4">
                    <a:tint val="44500"/>
                    <a:satMod val="160000"/>
                  </a:schemeClr>
                </a:gs>
                <a:gs pos="100000">
                  <a:schemeClr val="accent4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46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7F-471A-A13D-29C48B3A0058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7F-471A-A13D-29C48B3A0058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7F-471A-A13D-29C48B3A0058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7F-471A-A13D-29C48B3A0058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7F-471A-A13D-29C48B3A0058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Erträge!$O$108:$O$113</c:f>
                <c:numCache>
                  <c:formatCode>General</c:formatCode>
                  <c:ptCount val="6"/>
                  <c:pt idx="0">
                    <c:v>3.4293659294516263E-2</c:v>
                  </c:pt>
                  <c:pt idx="1">
                    <c:v>6.485516099836898E-2</c:v>
                  </c:pt>
                  <c:pt idx="2">
                    <c:v>4.3756154853620985E-2</c:v>
                  </c:pt>
                  <c:pt idx="3">
                    <c:v>5.0724548967602326E-2</c:v>
                  </c:pt>
                  <c:pt idx="4">
                    <c:v>5.7352620553973471E-2</c:v>
                  </c:pt>
                  <c:pt idx="5">
                    <c:v>7.4449678678141881E-2</c:v>
                  </c:pt>
                </c:numCache>
              </c:numRef>
            </c:plus>
            <c:minus>
              <c:numRef>
                <c:f>Erträge!$O$108:$O$113</c:f>
                <c:numCache>
                  <c:formatCode>General</c:formatCode>
                  <c:ptCount val="6"/>
                  <c:pt idx="0">
                    <c:v>3.4293659294516263E-2</c:v>
                  </c:pt>
                  <c:pt idx="1">
                    <c:v>6.485516099836898E-2</c:v>
                  </c:pt>
                  <c:pt idx="2">
                    <c:v>4.3756154853620985E-2</c:v>
                  </c:pt>
                  <c:pt idx="3">
                    <c:v>5.0724548967602326E-2</c:v>
                  </c:pt>
                  <c:pt idx="4">
                    <c:v>5.7352620553973471E-2</c:v>
                  </c:pt>
                  <c:pt idx="5">
                    <c:v>7.4449678678141881E-2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Erträge!$K$108:$M$113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05/05/2020</c:v>
                  </c:pt>
                </c:lvl>
              </c:multiLvlStrCache>
            </c:multiLvlStrRef>
          </c:cat>
          <c:val>
            <c:numRef>
              <c:f>Erträge!$N$108:$N$113</c:f>
              <c:numCache>
                <c:formatCode>0.00</c:formatCode>
                <c:ptCount val="6"/>
                <c:pt idx="0">
                  <c:v>0.60507738507738518</c:v>
                </c:pt>
                <c:pt idx="1">
                  <c:v>0.38357657657657657</c:v>
                </c:pt>
                <c:pt idx="2">
                  <c:v>0.57522522522522523</c:v>
                </c:pt>
                <c:pt idx="3">
                  <c:v>0.37593553960659226</c:v>
                </c:pt>
                <c:pt idx="4">
                  <c:v>0.58057136083451877</c:v>
                </c:pt>
                <c:pt idx="5">
                  <c:v>0.40071491228070172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7F-471A-A13D-29C48B3A0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Erträge!$P$107</c:f>
              <c:strCache>
                <c:ptCount val="1"/>
                <c:pt idx="0">
                  <c:v>Ertrag pro Pflanze [kg]_summiert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C5-4C4F-9E64-CA9268C7B150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C5-4C4F-9E64-CA9268C7B150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C5-4C4F-9E64-CA9268C7B150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C5-4C4F-9E64-CA9268C7B150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C5-4C4F-9E64-CA9268C7B150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C5-4C4F-9E64-CA9268C7B150}"/>
              </c:ext>
            </c:extLst>
          </c:dPt>
          <c:errBars>
            <c:errBarType val="both"/>
            <c:errValType val="cust"/>
            <c:noEndCap val="0"/>
            <c:plus>
              <c:numRef>
                <c:f>Erträge!$Q$108:$Q$113</c:f>
                <c:numCache>
                  <c:formatCode>General</c:formatCode>
                  <c:ptCount val="6"/>
                  <c:pt idx="0">
                    <c:v>5.8750152191781778E-2</c:v>
                  </c:pt>
                  <c:pt idx="1">
                    <c:v>1.3626947428900322E-2</c:v>
                  </c:pt>
                  <c:pt idx="2">
                    <c:v>7.3567481515263516E-2</c:v>
                  </c:pt>
                  <c:pt idx="3">
                    <c:v>2.1013018259847967E-2</c:v>
                  </c:pt>
                  <c:pt idx="4">
                    <c:v>0.26881710585306917</c:v>
                  </c:pt>
                  <c:pt idx="5">
                    <c:v>5.596947889824095E-2</c:v>
                  </c:pt>
                </c:numCache>
              </c:numRef>
            </c:plus>
            <c:minus>
              <c:numRef>
                <c:f>Erträge!$Q$108:$Q$113</c:f>
                <c:numCache>
                  <c:formatCode>General</c:formatCode>
                  <c:ptCount val="6"/>
                  <c:pt idx="0">
                    <c:v>5.8750152191781778E-2</c:v>
                  </c:pt>
                  <c:pt idx="1">
                    <c:v>1.3626947428900322E-2</c:v>
                  </c:pt>
                  <c:pt idx="2">
                    <c:v>7.3567481515263516E-2</c:v>
                  </c:pt>
                  <c:pt idx="3">
                    <c:v>2.1013018259847967E-2</c:v>
                  </c:pt>
                  <c:pt idx="4">
                    <c:v>0.26881710585306917</c:v>
                  </c:pt>
                  <c:pt idx="5">
                    <c:v>5.596947889824095E-2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Erträge!$K$108:$M$113</c:f>
              <c:multiLvlStrCache>
                <c:ptCount val="6"/>
                <c:lvl>
                  <c:pt idx="0">
                    <c:v>RH</c:v>
                  </c:pt>
                  <c:pt idx="1">
                    <c:v>KH</c:v>
                  </c:pt>
                  <c:pt idx="2">
                    <c:v>RH</c:v>
                  </c:pt>
                  <c:pt idx="3">
                    <c:v>KH</c:v>
                  </c:pt>
                  <c:pt idx="4">
                    <c:v>RH</c:v>
                  </c:pt>
                  <c:pt idx="5">
                    <c:v>KH</c:v>
                  </c:pt>
                </c:lvl>
                <c:lvl>
                  <c:pt idx="0">
                    <c:v>Steinwolle</c:v>
                  </c:pt>
                  <c:pt idx="2">
                    <c:v>Holz</c:v>
                  </c:pt>
                  <c:pt idx="4">
                    <c:v>Sphagnum</c:v>
                  </c:pt>
                </c:lvl>
                <c:lvl>
                  <c:pt idx="0">
                    <c:v>05/05/2020</c:v>
                  </c:pt>
                </c:lvl>
              </c:multiLvlStrCache>
            </c:multiLvlStrRef>
          </c:cat>
          <c:val>
            <c:numRef>
              <c:f>Erträge!$P$108:$P$113</c:f>
              <c:numCache>
                <c:formatCode>0.00</c:formatCode>
                <c:ptCount val="6"/>
                <c:pt idx="0">
                  <c:v>2.055911295911296</c:v>
                </c:pt>
                <c:pt idx="1">
                  <c:v>1.4782488738738742</c:v>
                </c:pt>
                <c:pt idx="2">
                  <c:v>2.0175675675675677</c:v>
                </c:pt>
                <c:pt idx="3">
                  <c:v>1.4034662413609782</c:v>
                </c:pt>
                <c:pt idx="4">
                  <c:v>1.9182242769084876</c:v>
                </c:pt>
                <c:pt idx="5">
                  <c:v>1.4728435672514619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C5-4C4F-9E64-CA9268C7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9679"/>
        <c:axId val="1333694671"/>
      </c:barChart>
      <c:catAx>
        <c:axId val="13336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94671"/>
        <c:crosses val="autoZero"/>
        <c:auto val="1"/>
        <c:lblAlgn val="ctr"/>
        <c:lblOffset val="100"/>
        <c:noMultiLvlLbl val="0"/>
      </c:catAx>
      <c:valAx>
        <c:axId val="13336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Summierter Ertrag pro Pflanze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33689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4A932D-E909-496E-854F-EDE285F5E299}">
  <sheetPr/>
  <sheetViews>
    <sheetView zoomScale="6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D662D-4ADB-4621-A9FA-D905E29E52E0}">
  <sheetPr/>
  <sheetViews>
    <sheetView zoomScale="8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43</xdr:row>
      <xdr:rowOff>70755</xdr:rowOff>
    </xdr:from>
    <xdr:to>
      <xdr:col>16</xdr:col>
      <xdr:colOff>979714</xdr:colOff>
      <xdr:row>63</xdr:row>
      <xdr:rowOff>122464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78</xdr:row>
      <xdr:rowOff>70755</xdr:rowOff>
    </xdr:from>
    <xdr:to>
      <xdr:col>16</xdr:col>
      <xdr:colOff>979714</xdr:colOff>
      <xdr:row>98</xdr:row>
      <xdr:rowOff>122464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78</xdr:row>
      <xdr:rowOff>0</xdr:rowOff>
    </xdr:from>
    <xdr:to>
      <xdr:col>23</xdr:col>
      <xdr:colOff>932090</xdr:colOff>
      <xdr:row>98</xdr:row>
      <xdr:rowOff>51709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20410</xdr:colOff>
      <xdr:row>113</xdr:row>
      <xdr:rowOff>29933</xdr:rowOff>
    </xdr:from>
    <xdr:to>
      <xdr:col>16</xdr:col>
      <xdr:colOff>952500</xdr:colOff>
      <xdr:row>133</xdr:row>
      <xdr:rowOff>81642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113</xdr:row>
      <xdr:rowOff>0</xdr:rowOff>
    </xdr:from>
    <xdr:to>
      <xdr:col>23</xdr:col>
      <xdr:colOff>932090</xdr:colOff>
      <xdr:row>133</xdr:row>
      <xdr:rowOff>51709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47624</xdr:colOff>
      <xdr:row>148</xdr:row>
      <xdr:rowOff>70755</xdr:rowOff>
    </xdr:from>
    <xdr:to>
      <xdr:col>16</xdr:col>
      <xdr:colOff>979714</xdr:colOff>
      <xdr:row>168</xdr:row>
      <xdr:rowOff>122464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148</xdr:row>
      <xdr:rowOff>0</xdr:rowOff>
    </xdr:from>
    <xdr:to>
      <xdr:col>23</xdr:col>
      <xdr:colOff>932090</xdr:colOff>
      <xdr:row>168</xdr:row>
      <xdr:rowOff>51709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47624</xdr:colOff>
      <xdr:row>113</xdr:row>
      <xdr:rowOff>70755</xdr:rowOff>
    </xdr:from>
    <xdr:to>
      <xdr:col>16</xdr:col>
      <xdr:colOff>979714</xdr:colOff>
      <xdr:row>133</xdr:row>
      <xdr:rowOff>122464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113</xdr:row>
      <xdr:rowOff>0</xdr:rowOff>
    </xdr:from>
    <xdr:to>
      <xdr:col>23</xdr:col>
      <xdr:colOff>932090</xdr:colOff>
      <xdr:row>133</xdr:row>
      <xdr:rowOff>51709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47624</xdr:colOff>
      <xdr:row>183</xdr:row>
      <xdr:rowOff>70755</xdr:rowOff>
    </xdr:from>
    <xdr:to>
      <xdr:col>16</xdr:col>
      <xdr:colOff>979714</xdr:colOff>
      <xdr:row>203</xdr:row>
      <xdr:rowOff>122464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183</xdr:row>
      <xdr:rowOff>0</xdr:rowOff>
    </xdr:from>
    <xdr:to>
      <xdr:col>23</xdr:col>
      <xdr:colOff>932090</xdr:colOff>
      <xdr:row>203</xdr:row>
      <xdr:rowOff>51709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47624</xdr:colOff>
      <xdr:row>218</xdr:row>
      <xdr:rowOff>70755</xdr:rowOff>
    </xdr:from>
    <xdr:to>
      <xdr:col>16</xdr:col>
      <xdr:colOff>979714</xdr:colOff>
      <xdr:row>238</xdr:row>
      <xdr:rowOff>122464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218</xdr:row>
      <xdr:rowOff>0</xdr:rowOff>
    </xdr:from>
    <xdr:to>
      <xdr:col>23</xdr:col>
      <xdr:colOff>932090</xdr:colOff>
      <xdr:row>238</xdr:row>
      <xdr:rowOff>51709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47624</xdr:colOff>
      <xdr:row>253</xdr:row>
      <xdr:rowOff>70755</xdr:rowOff>
    </xdr:from>
    <xdr:to>
      <xdr:col>16</xdr:col>
      <xdr:colOff>979714</xdr:colOff>
      <xdr:row>273</xdr:row>
      <xdr:rowOff>122464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253</xdr:row>
      <xdr:rowOff>0</xdr:rowOff>
    </xdr:from>
    <xdr:to>
      <xdr:col>23</xdr:col>
      <xdr:colOff>932090</xdr:colOff>
      <xdr:row>273</xdr:row>
      <xdr:rowOff>51709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47624</xdr:colOff>
      <xdr:row>288</xdr:row>
      <xdr:rowOff>70755</xdr:rowOff>
    </xdr:from>
    <xdr:to>
      <xdr:col>16</xdr:col>
      <xdr:colOff>979714</xdr:colOff>
      <xdr:row>308</xdr:row>
      <xdr:rowOff>122464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288</xdr:row>
      <xdr:rowOff>0</xdr:rowOff>
    </xdr:from>
    <xdr:to>
      <xdr:col>23</xdr:col>
      <xdr:colOff>932090</xdr:colOff>
      <xdr:row>308</xdr:row>
      <xdr:rowOff>51709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47624</xdr:colOff>
      <xdr:row>323</xdr:row>
      <xdr:rowOff>70755</xdr:rowOff>
    </xdr:from>
    <xdr:to>
      <xdr:col>16</xdr:col>
      <xdr:colOff>979714</xdr:colOff>
      <xdr:row>343</xdr:row>
      <xdr:rowOff>122464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323</xdr:row>
      <xdr:rowOff>0</xdr:rowOff>
    </xdr:from>
    <xdr:to>
      <xdr:col>23</xdr:col>
      <xdr:colOff>932090</xdr:colOff>
      <xdr:row>343</xdr:row>
      <xdr:rowOff>51709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47624</xdr:colOff>
      <xdr:row>358</xdr:row>
      <xdr:rowOff>70755</xdr:rowOff>
    </xdr:from>
    <xdr:to>
      <xdr:col>16</xdr:col>
      <xdr:colOff>979714</xdr:colOff>
      <xdr:row>378</xdr:row>
      <xdr:rowOff>122464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358</xdr:row>
      <xdr:rowOff>0</xdr:rowOff>
    </xdr:from>
    <xdr:to>
      <xdr:col>23</xdr:col>
      <xdr:colOff>932090</xdr:colOff>
      <xdr:row>378</xdr:row>
      <xdr:rowOff>51709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47624</xdr:colOff>
      <xdr:row>393</xdr:row>
      <xdr:rowOff>70755</xdr:rowOff>
    </xdr:from>
    <xdr:to>
      <xdr:col>16</xdr:col>
      <xdr:colOff>979714</xdr:colOff>
      <xdr:row>413</xdr:row>
      <xdr:rowOff>122464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393</xdr:row>
      <xdr:rowOff>0</xdr:rowOff>
    </xdr:from>
    <xdr:to>
      <xdr:col>23</xdr:col>
      <xdr:colOff>932090</xdr:colOff>
      <xdr:row>413</xdr:row>
      <xdr:rowOff>51709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47624</xdr:colOff>
      <xdr:row>428</xdr:row>
      <xdr:rowOff>70755</xdr:rowOff>
    </xdr:from>
    <xdr:to>
      <xdr:col>16</xdr:col>
      <xdr:colOff>979714</xdr:colOff>
      <xdr:row>448</xdr:row>
      <xdr:rowOff>122464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0</xdr:colOff>
      <xdr:row>428</xdr:row>
      <xdr:rowOff>0</xdr:rowOff>
    </xdr:from>
    <xdr:to>
      <xdr:col>23</xdr:col>
      <xdr:colOff>932090</xdr:colOff>
      <xdr:row>448</xdr:row>
      <xdr:rowOff>51709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47624</xdr:colOff>
      <xdr:row>463</xdr:row>
      <xdr:rowOff>70755</xdr:rowOff>
    </xdr:from>
    <xdr:to>
      <xdr:col>16</xdr:col>
      <xdr:colOff>979714</xdr:colOff>
      <xdr:row>483</xdr:row>
      <xdr:rowOff>122464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463</xdr:row>
      <xdr:rowOff>0</xdr:rowOff>
    </xdr:from>
    <xdr:to>
      <xdr:col>23</xdr:col>
      <xdr:colOff>932090</xdr:colOff>
      <xdr:row>483</xdr:row>
      <xdr:rowOff>51709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47624</xdr:colOff>
      <xdr:row>498</xdr:row>
      <xdr:rowOff>70755</xdr:rowOff>
    </xdr:from>
    <xdr:to>
      <xdr:col>16</xdr:col>
      <xdr:colOff>979714</xdr:colOff>
      <xdr:row>518</xdr:row>
      <xdr:rowOff>122464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498</xdr:row>
      <xdr:rowOff>0</xdr:rowOff>
    </xdr:from>
    <xdr:to>
      <xdr:col>23</xdr:col>
      <xdr:colOff>932090</xdr:colOff>
      <xdr:row>518</xdr:row>
      <xdr:rowOff>51709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47624</xdr:colOff>
      <xdr:row>533</xdr:row>
      <xdr:rowOff>70755</xdr:rowOff>
    </xdr:from>
    <xdr:to>
      <xdr:col>16</xdr:col>
      <xdr:colOff>979714</xdr:colOff>
      <xdr:row>553</xdr:row>
      <xdr:rowOff>122464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533</xdr:row>
      <xdr:rowOff>0</xdr:rowOff>
    </xdr:from>
    <xdr:to>
      <xdr:col>23</xdr:col>
      <xdr:colOff>932090</xdr:colOff>
      <xdr:row>553</xdr:row>
      <xdr:rowOff>51709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47624</xdr:colOff>
      <xdr:row>568</xdr:row>
      <xdr:rowOff>70755</xdr:rowOff>
    </xdr:from>
    <xdr:to>
      <xdr:col>16</xdr:col>
      <xdr:colOff>979714</xdr:colOff>
      <xdr:row>588</xdr:row>
      <xdr:rowOff>122464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0</xdr:colOff>
      <xdr:row>568</xdr:row>
      <xdr:rowOff>0</xdr:rowOff>
    </xdr:from>
    <xdr:to>
      <xdr:col>23</xdr:col>
      <xdr:colOff>932090</xdr:colOff>
      <xdr:row>588</xdr:row>
      <xdr:rowOff>51709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47624</xdr:colOff>
      <xdr:row>603</xdr:row>
      <xdr:rowOff>70755</xdr:rowOff>
    </xdr:from>
    <xdr:to>
      <xdr:col>16</xdr:col>
      <xdr:colOff>979714</xdr:colOff>
      <xdr:row>623</xdr:row>
      <xdr:rowOff>122464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0</xdr:colOff>
      <xdr:row>603</xdr:row>
      <xdr:rowOff>0</xdr:rowOff>
    </xdr:from>
    <xdr:to>
      <xdr:col>23</xdr:col>
      <xdr:colOff>932090</xdr:colOff>
      <xdr:row>623</xdr:row>
      <xdr:rowOff>51709</xdr:rowOff>
    </xdr:to>
    <xdr:graphicFrame macro="">
      <xdr:nvGraphicFramePr>
        <xdr:cNvPr id="40" name="Diagramm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47624</xdr:colOff>
      <xdr:row>638</xdr:row>
      <xdr:rowOff>70755</xdr:rowOff>
    </xdr:from>
    <xdr:to>
      <xdr:col>16</xdr:col>
      <xdr:colOff>979714</xdr:colOff>
      <xdr:row>658</xdr:row>
      <xdr:rowOff>122464</xdr:rowOff>
    </xdr:to>
    <xdr:graphicFrame macro="">
      <xdr:nvGraphicFramePr>
        <xdr:cNvPr id="41" name="Diagramm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638</xdr:row>
      <xdr:rowOff>0</xdr:rowOff>
    </xdr:from>
    <xdr:to>
      <xdr:col>23</xdr:col>
      <xdr:colOff>932090</xdr:colOff>
      <xdr:row>658</xdr:row>
      <xdr:rowOff>51709</xdr:rowOff>
    </xdr:to>
    <xdr:graphicFrame macro="">
      <xdr:nvGraphicFramePr>
        <xdr:cNvPr id="42" name="Diagramm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47624</xdr:colOff>
      <xdr:row>673</xdr:row>
      <xdr:rowOff>70755</xdr:rowOff>
    </xdr:from>
    <xdr:to>
      <xdr:col>16</xdr:col>
      <xdr:colOff>979714</xdr:colOff>
      <xdr:row>693</xdr:row>
      <xdr:rowOff>122464</xdr:rowOff>
    </xdr:to>
    <xdr:graphicFrame macro="">
      <xdr:nvGraphicFramePr>
        <xdr:cNvPr id="43" name="Diagramm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673</xdr:row>
      <xdr:rowOff>0</xdr:rowOff>
    </xdr:from>
    <xdr:to>
      <xdr:col>23</xdr:col>
      <xdr:colOff>932090</xdr:colOff>
      <xdr:row>693</xdr:row>
      <xdr:rowOff>51709</xdr:rowOff>
    </xdr:to>
    <xdr:graphicFrame macro="">
      <xdr:nvGraphicFramePr>
        <xdr:cNvPr id="44" name="Diagramm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47624</xdr:colOff>
      <xdr:row>708</xdr:row>
      <xdr:rowOff>70755</xdr:rowOff>
    </xdr:from>
    <xdr:to>
      <xdr:col>16</xdr:col>
      <xdr:colOff>979714</xdr:colOff>
      <xdr:row>728</xdr:row>
      <xdr:rowOff>122464</xdr:rowOff>
    </xdr:to>
    <xdr:graphicFrame macro="">
      <xdr:nvGraphicFramePr>
        <xdr:cNvPr id="45" name="Diagramm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708</xdr:row>
      <xdr:rowOff>0</xdr:rowOff>
    </xdr:from>
    <xdr:to>
      <xdr:col>23</xdr:col>
      <xdr:colOff>932090</xdr:colOff>
      <xdr:row>728</xdr:row>
      <xdr:rowOff>51709</xdr:rowOff>
    </xdr:to>
    <xdr:graphicFrame macro="">
      <xdr:nvGraphicFramePr>
        <xdr:cNvPr id="46" name="Diagramm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47624</xdr:colOff>
      <xdr:row>743</xdr:row>
      <xdr:rowOff>70755</xdr:rowOff>
    </xdr:from>
    <xdr:to>
      <xdr:col>16</xdr:col>
      <xdr:colOff>979714</xdr:colOff>
      <xdr:row>763</xdr:row>
      <xdr:rowOff>122464</xdr:rowOff>
    </xdr:to>
    <xdr:graphicFrame macro="">
      <xdr:nvGraphicFramePr>
        <xdr:cNvPr id="47" name="Diagramm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743</xdr:row>
      <xdr:rowOff>0</xdr:rowOff>
    </xdr:from>
    <xdr:to>
      <xdr:col>23</xdr:col>
      <xdr:colOff>932090</xdr:colOff>
      <xdr:row>763</xdr:row>
      <xdr:rowOff>51709</xdr:rowOff>
    </xdr:to>
    <xdr:graphicFrame macro="">
      <xdr:nvGraphicFramePr>
        <xdr:cNvPr id="48" name="Diagramm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47624</xdr:colOff>
      <xdr:row>778</xdr:row>
      <xdr:rowOff>70755</xdr:rowOff>
    </xdr:from>
    <xdr:to>
      <xdr:col>16</xdr:col>
      <xdr:colOff>979714</xdr:colOff>
      <xdr:row>798</xdr:row>
      <xdr:rowOff>122464</xdr:rowOff>
    </xdr:to>
    <xdr:graphicFrame macro="">
      <xdr:nvGraphicFramePr>
        <xdr:cNvPr id="49" name="Diagramm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17</xdr:col>
      <xdr:colOff>0</xdr:colOff>
      <xdr:row>778</xdr:row>
      <xdr:rowOff>0</xdr:rowOff>
    </xdr:from>
    <xdr:to>
      <xdr:col>23</xdr:col>
      <xdr:colOff>932090</xdr:colOff>
      <xdr:row>798</xdr:row>
      <xdr:rowOff>51709</xdr:rowOff>
    </xdr:to>
    <xdr:graphicFrame macro="">
      <xdr:nvGraphicFramePr>
        <xdr:cNvPr id="50" name="Diagramm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47624</xdr:colOff>
      <xdr:row>813</xdr:row>
      <xdr:rowOff>70755</xdr:rowOff>
    </xdr:from>
    <xdr:to>
      <xdr:col>16</xdr:col>
      <xdr:colOff>979714</xdr:colOff>
      <xdr:row>833</xdr:row>
      <xdr:rowOff>122464</xdr:rowOff>
    </xdr:to>
    <xdr:graphicFrame macro="">
      <xdr:nvGraphicFramePr>
        <xdr:cNvPr id="51" name="Diagramm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17</xdr:col>
      <xdr:colOff>0</xdr:colOff>
      <xdr:row>813</xdr:row>
      <xdr:rowOff>0</xdr:rowOff>
    </xdr:from>
    <xdr:to>
      <xdr:col>23</xdr:col>
      <xdr:colOff>932090</xdr:colOff>
      <xdr:row>833</xdr:row>
      <xdr:rowOff>51709</xdr:rowOff>
    </xdr:to>
    <xdr:graphicFrame macro="">
      <xdr:nvGraphicFramePr>
        <xdr:cNvPr id="52" name="Diagramm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47624</xdr:colOff>
      <xdr:row>848</xdr:row>
      <xdr:rowOff>70755</xdr:rowOff>
    </xdr:from>
    <xdr:to>
      <xdr:col>16</xdr:col>
      <xdr:colOff>979714</xdr:colOff>
      <xdr:row>868</xdr:row>
      <xdr:rowOff>122464</xdr:rowOff>
    </xdr:to>
    <xdr:graphicFrame macro="">
      <xdr:nvGraphicFramePr>
        <xdr:cNvPr id="53" name="Diagram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17</xdr:col>
      <xdr:colOff>0</xdr:colOff>
      <xdr:row>848</xdr:row>
      <xdr:rowOff>0</xdr:rowOff>
    </xdr:from>
    <xdr:to>
      <xdr:col>23</xdr:col>
      <xdr:colOff>932090</xdr:colOff>
      <xdr:row>868</xdr:row>
      <xdr:rowOff>51709</xdr:rowOff>
    </xdr:to>
    <xdr:graphicFrame macro="">
      <xdr:nvGraphicFramePr>
        <xdr:cNvPr id="54" name="Diagramm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</xdr:col>
      <xdr:colOff>47624</xdr:colOff>
      <xdr:row>883</xdr:row>
      <xdr:rowOff>70755</xdr:rowOff>
    </xdr:from>
    <xdr:to>
      <xdr:col>16</xdr:col>
      <xdr:colOff>979714</xdr:colOff>
      <xdr:row>903</xdr:row>
      <xdr:rowOff>122464</xdr:rowOff>
    </xdr:to>
    <xdr:graphicFrame macro="">
      <xdr:nvGraphicFramePr>
        <xdr:cNvPr id="55" name="Diagramm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17</xdr:col>
      <xdr:colOff>0</xdr:colOff>
      <xdr:row>883</xdr:row>
      <xdr:rowOff>0</xdr:rowOff>
    </xdr:from>
    <xdr:to>
      <xdr:col>23</xdr:col>
      <xdr:colOff>932090</xdr:colOff>
      <xdr:row>903</xdr:row>
      <xdr:rowOff>51709</xdr:rowOff>
    </xdr:to>
    <xdr:graphicFrame macro="">
      <xdr:nvGraphicFramePr>
        <xdr:cNvPr id="56" name="Diagram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47624</xdr:colOff>
      <xdr:row>918</xdr:row>
      <xdr:rowOff>70755</xdr:rowOff>
    </xdr:from>
    <xdr:to>
      <xdr:col>16</xdr:col>
      <xdr:colOff>979714</xdr:colOff>
      <xdr:row>938</xdr:row>
      <xdr:rowOff>122464</xdr:rowOff>
    </xdr:to>
    <xdr:graphicFrame macro="">
      <xdr:nvGraphicFramePr>
        <xdr:cNvPr id="57" name="Diagramm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17</xdr:col>
      <xdr:colOff>0</xdr:colOff>
      <xdr:row>918</xdr:row>
      <xdr:rowOff>0</xdr:rowOff>
    </xdr:from>
    <xdr:to>
      <xdr:col>23</xdr:col>
      <xdr:colOff>932090</xdr:colOff>
      <xdr:row>938</xdr:row>
      <xdr:rowOff>51709</xdr:rowOff>
    </xdr:to>
    <xdr:graphicFrame macro="">
      <xdr:nvGraphicFramePr>
        <xdr:cNvPr id="58" name="Diagramm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</xdr:col>
      <xdr:colOff>47624</xdr:colOff>
      <xdr:row>953</xdr:row>
      <xdr:rowOff>70755</xdr:rowOff>
    </xdr:from>
    <xdr:to>
      <xdr:col>16</xdr:col>
      <xdr:colOff>979714</xdr:colOff>
      <xdr:row>973</xdr:row>
      <xdr:rowOff>122464</xdr:rowOff>
    </xdr:to>
    <xdr:graphicFrame macro="">
      <xdr:nvGraphicFramePr>
        <xdr:cNvPr id="59" name="Diagramm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17</xdr:col>
      <xdr:colOff>0</xdr:colOff>
      <xdr:row>953</xdr:row>
      <xdr:rowOff>0</xdr:rowOff>
    </xdr:from>
    <xdr:to>
      <xdr:col>23</xdr:col>
      <xdr:colOff>932090</xdr:colOff>
      <xdr:row>973</xdr:row>
      <xdr:rowOff>51709</xdr:rowOff>
    </xdr:to>
    <xdr:graphicFrame macro="">
      <xdr:nvGraphicFramePr>
        <xdr:cNvPr id="60" name="Diagramm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</xdr:col>
      <xdr:colOff>47624</xdr:colOff>
      <xdr:row>988</xdr:row>
      <xdr:rowOff>70755</xdr:rowOff>
    </xdr:from>
    <xdr:to>
      <xdr:col>16</xdr:col>
      <xdr:colOff>979714</xdr:colOff>
      <xdr:row>1008</xdr:row>
      <xdr:rowOff>122464</xdr:rowOff>
    </xdr:to>
    <xdr:graphicFrame macro="">
      <xdr:nvGraphicFramePr>
        <xdr:cNvPr id="61" name="Diagramm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17</xdr:col>
      <xdr:colOff>0</xdr:colOff>
      <xdr:row>988</xdr:row>
      <xdr:rowOff>0</xdr:rowOff>
    </xdr:from>
    <xdr:to>
      <xdr:col>23</xdr:col>
      <xdr:colOff>932090</xdr:colOff>
      <xdr:row>1008</xdr:row>
      <xdr:rowOff>51709</xdr:rowOff>
    </xdr:to>
    <xdr:graphicFrame macro="">
      <xdr:nvGraphicFramePr>
        <xdr:cNvPr id="62" name="Diagramm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B0EFD7-2E00-4C0A-9E79-6237C4D45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4868293" cy="960863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67D19F-1983-4C9D-8089-F6394C9F91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0.93935</cdr:x>
      <cdr:y>0.05335</cdr:y>
    </cdr:from>
    <cdr:to>
      <cdr:x>0.98021</cdr:x>
      <cdr:y>0.1339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AF22363E-0989-40E6-BF09-DC398F827BCF}"/>
            </a:ext>
          </a:extLst>
        </cdr:cNvPr>
        <cdr:cNvSpPr txBox="1"/>
      </cdr:nvSpPr>
      <cdr:spPr>
        <a:xfrm xmlns:a="http://schemas.openxmlformats.org/drawingml/2006/main">
          <a:off x="8726832" y="319985"/>
          <a:ext cx="379620" cy="483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 b="0">
              <a:latin typeface="Arial" panose="020B0604020202020204" pitchFamily="34" charset="0"/>
              <a:cs typeface="Arial" panose="020B0604020202020204" pitchFamily="34" charset="0"/>
            </a:rPr>
            <a:t>D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6"/>
  <sheetViews>
    <sheetView zoomScale="70" zoomScaleNormal="7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125" sqref="G125:G134"/>
    </sheetView>
  </sheetViews>
  <sheetFormatPr baseColWidth="10" defaultColWidth="21.77734375" defaultRowHeight="14.4" x14ac:dyDescent="0.3"/>
  <cols>
    <col min="1" max="1" width="21.77734375" style="1"/>
    <col min="2" max="2" width="21.77734375" style="4"/>
    <col min="8" max="8" width="20.5546875" bestFit="1" customWidth="1"/>
    <col min="9" max="9" width="30.44140625" bestFit="1" customWidth="1"/>
  </cols>
  <sheetData>
    <row r="1" spans="1:9" ht="15" thickBot="1" x14ac:dyDescent="0.35">
      <c r="A1" s="9" t="s">
        <v>7</v>
      </c>
      <c r="B1" s="10" t="s">
        <v>8</v>
      </c>
      <c r="C1" s="9" t="s">
        <v>0</v>
      </c>
      <c r="D1" s="11" t="s">
        <v>6</v>
      </c>
      <c r="E1" s="11" t="s">
        <v>12</v>
      </c>
      <c r="F1" s="11" t="s">
        <v>1</v>
      </c>
      <c r="G1" s="12" t="s">
        <v>2</v>
      </c>
      <c r="H1" s="12" t="s">
        <v>13</v>
      </c>
      <c r="I1" s="12" t="s">
        <v>14</v>
      </c>
    </row>
    <row r="2" spans="1:9" ht="15" thickTop="1" x14ac:dyDescent="0.3">
      <c r="A2" s="1" t="s">
        <v>9</v>
      </c>
      <c r="B2" s="4">
        <v>1</v>
      </c>
      <c r="C2" s="1" t="s">
        <v>11</v>
      </c>
      <c r="D2" s="3">
        <v>43935</v>
      </c>
      <c r="E2" s="2"/>
      <c r="F2" s="2"/>
      <c r="G2" s="2"/>
    </row>
    <row r="3" spans="1:9" x14ac:dyDescent="0.3">
      <c r="A3" s="1" t="s">
        <v>9</v>
      </c>
      <c r="B3" s="4">
        <v>2</v>
      </c>
      <c r="C3" s="1" t="s">
        <v>3</v>
      </c>
      <c r="D3" s="3">
        <v>43935</v>
      </c>
      <c r="E3" s="2">
        <v>40</v>
      </c>
      <c r="F3" s="2"/>
      <c r="G3" s="2">
        <v>5.07</v>
      </c>
      <c r="H3" s="14">
        <f>G3/E3</f>
        <v>0.12675</v>
      </c>
    </row>
    <row r="4" spans="1:9" x14ac:dyDescent="0.3">
      <c r="A4" s="1" t="s">
        <v>9</v>
      </c>
      <c r="B4" s="4">
        <v>3</v>
      </c>
      <c r="C4" s="1" t="s">
        <v>4</v>
      </c>
      <c r="D4" s="3">
        <v>43935</v>
      </c>
      <c r="E4" s="2">
        <v>40</v>
      </c>
      <c r="F4" s="2"/>
      <c r="G4" s="2">
        <v>4.38</v>
      </c>
      <c r="H4" s="14">
        <f t="shared" ref="H4:H11" si="0">G4/E4</f>
        <v>0.1095</v>
      </c>
    </row>
    <row r="5" spans="1:9" x14ac:dyDescent="0.3">
      <c r="A5" s="1" t="s">
        <v>9</v>
      </c>
      <c r="B5" s="4">
        <v>4</v>
      </c>
      <c r="C5" s="1" t="s">
        <v>5</v>
      </c>
      <c r="D5" s="3">
        <v>43935</v>
      </c>
      <c r="E5" s="2">
        <v>40</v>
      </c>
      <c r="F5" s="2"/>
      <c r="G5" s="2">
        <v>3.26</v>
      </c>
      <c r="H5" s="14">
        <f t="shared" si="0"/>
        <v>8.1499999999999989E-2</v>
      </c>
    </row>
    <row r="6" spans="1:9" x14ac:dyDescent="0.3">
      <c r="A6" s="1" t="s">
        <v>9</v>
      </c>
      <c r="B6" s="4">
        <v>5</v>
      </c>
      <c r="C6" s="1" t="s">
        <v>3</v>
      </c>
      <c r="D6" s="3">
        <v>43935</v>
      </c>
      <c r="E6" s="2">
        <v>40</v>
      </c>
      <c r="F6" s="2"/>
      <c r="G6" s="2">
        <v>3.3</v>
      </c>
      <c r="H6" s="14">
        <f t="shared" si="0"/>
        <v>8.249999999999999E-2</v>
      </c>
    </row>
    <row r="7" spans="1:9" x14ac:dyDescent="0.3">
      <c r="A7" s="1" t="s">
        <v>9</v>
      </c>
      <c r="B7" s="4">
        <v>6</v>
      </c>
      <c r="C7" s="1" t="s">
        <v>4</v>
      </c>
      <c r="D7" s="3">
        <v>43935</v>
      </c>
      <c r="E7" s="2">
        <v>40</v>
      </c>
      <c r="F7" s="2"/>
      <c r="G7" s="2">
        <v>5.9</v>
      </c>
      <c r="H7" s="14">
        <f t="shared" si="0"/>
        <v>0.14750000000000002</v>
      </c>
    </row>
    <row r="8" spans="1:9" x14ac:dyDescent="0.3">
      <c r="A8" s="1" t="s">
        <v>9</v>
      </c>
      <c r="B8" s="4">
        <v>7</v>
      </c>
      <c r="C8" s="1" t="s">
        <v>5</v>
      </c>
      <c r="D8" s="3">
        <v>43935</v>
      </c>
      <c r="E8" s="2">
        <v>40</v>
      </c>
      <c r="F8" s="2"/>
      <c r="G8" s="2">
        <v>5.0199999999999996</v>
      </c>
      <c r="H8" s="14">
        <f t="shared" si="0"/>
        <v>0.1255</v>
      </c>
    </row>
    <row r="9" spans="1:9" x14ac:dyDescent="0.3">
      <c r="A9" s="1" t="s">
        <v>9</v>
      </c>
      <c r="B9" s="4">
        <v>8</v>
      </c>
      <c r="C9" s="1" t="s">
        <v>3</v>
      </c>
      <c r="D9" s="3">
        <v>43935</v>
      </c>
      <c r="E9" s="2">
        <v>40</v>
      </c>
      <c r="F9" s="2"/>
      <c r="G9" s="2">
        <v>5.0599999999999996</v>
      </c>
      <c r="H9" s="14">
        <f t="shared" si="0"/>
        <v>0.1265</v>
      </c>
    </row>
    <row r="10" spans="1:9" x14ac:dyDescent="0.3">
      <c r="A10" s="1" t="s">
        <v>9</v>
      </c>
      <c r="B10" s="4">
        <v>9</v>
      </c>
      <c r="C10" s="1" t="s">
        <v>4</v>
      </c>
      <c r="D10" s="3">
        <v>43935</v>
      </c>
      <c r="E10" s="2">
        <v>40</v>
      </c>
      <c r="F10" s="2"/>
      <c r="G10" s="2">
        <v>6.04</v>
      </c>
      <c r="H10" s="14">
        <f t="shared" si="0"/>
        <v>0.151</v>
      </c>
    </row>
    <row r="11" spans="1:9" x14ac:dyDescent="0.3">
      <c r="A11" s="1" t="s">
        <v>9</v>
      </c>
      <c r="B11" s="4">
        <v>10</v>
      </c>
      <c r="C11" s="1" t="s">
        <v>5</v>
      </c>
      <c r="D11" s="3">
        <v>43935</v>
      </c>
      <c r="E11" s="2">
        <v>40</v>
      </c>
      <c r="F11" s="2"/>
      <c r="G11" s="2">
        <v>5.99</v>
      </c>
      <c r="H11" s="14">
        <f t="shared" si="0"/>
        <v>0.14974999999999999</v>
      </c>
    </row>
    <row r="12" spans="1:9" ht="15" thickBot="1" x14ac:dyDescent="0.35">
      <c r="A12" s="9" t="s">
        <v>9</v>
      </c>
      <c r="B12" s="15">
        <v>11</v>
      </c>
      <c r="C12" s="9" t="s">
        <v>3</v>
      </c>
      <c r="D12" s="16">
        <v>43935</v>
      </c>
      <c r="E12" s="17"/>
      <c r="F12" s="17"/>
      <c r="G12" s="17"/>
      <c r="H12" s="18"/>
      <c r="I12" s="18"/>
    </row>
    <row r="13" spans="1:9" ht="15" thickTop="1" x14ac:dyDescent="0.3">
      <c r="B13" s="20" t="s">
        <v>15</v>
      </c>
      <c r="C13" s="21" t="s">
        <v>3</v>
      </c>
      <c r="D13" s="22"/>
      <c r="E13" s="23"/>
      <c r="F13" s="23"/>
      <c r="G13" s="24">
        <f>AVERAGE(G3,G6,G9)</f>
        <v>4.4766666666666666</v>
      </c>
      <c r="H13" s="24">
        <f t="shared" ref="H13:I13" si="1">AVERAGE(H3,H6,H9)</f>
        <v>0.11191666666666666</v>
      </c>
      <c r="I13" s="24" t="e">
        <f t="shared" si="1"/>
        <v>#DIV/0!</v>
      </c>
    </row>
    <row r="14" spans="1:9" x14ac:dyDescent="0.3">
      <c r="B14" s="20"/>
      <c r="C14" s="21" t="s">
        <v>4</v>
      </c>
      <c r="D14" s="22"/>
      <c r="E14" s="23"/>
      <c r="F14" s="23"/>
      <c r="G14" s="24">
        <f t="shared" ref="G14:I14" si="2">AVERAGE(G4,G7,G10)</f>
        <v>5.44</v>
      </c>
      <c r="H14" s="24">
        <f t="shared" si="2"/>
        <v>0.13600000000000001</v>
      </c>
      <c r="I14" s="24" t="e">
        <f t="shared" si="2"/>
        <v>#DIV/0!</v>
      </c>
    </row>
    <row r="15" spans="1:9" x14ac:dyDescent="0.3">
      <c r="B15" s="20"/>
      <c r="C15" s="21" t="s">
        <v>5</v>
      </c>
      <c r="D15" s="22"/>
      <c r="E15" s="23"/>
      <c r="F15" s="23"/>
      <c r="G15" s="24">
        <f>AVERAGE(G5,G8,G11)</f>
        <v>4.7566666666666668</v>
      </c>
      <c r="H15" s="24">
        <f t="shared" ref="H15:I15" si="3">AVERAGE(H5,H8,H11)</f>
        <v>0.11891666666666667</v>
      </c>
      <c r="I15" s="24" t="e">
        <f t="shared" si="3"/>
        <v>#DIV/0!</v>
      </c>
    </row>
    <row r="16" spans="1:9" x14ac:dyDescent="0.3">
      <c r="B16" s="25" t="s">
        <v>16</v>
      </c>
      <c r="C16" s="26" t="s">
        <v>3</v>
      </c>
      <c r="D16" s="27"/>
      <c r="E16" s="28"/>
      <c r="F16" s="28"/>
      <c r="G16" s="29">
        <f>_xlfn.STDEV.P(G3,G6,G9)</f>
        <v>0.83203899481267518</v>
      </c>
      <c r="H16" s="29">
        <f t="shared" ref="H16:I16" si="4">_xlfn.STDEV.P(H3,H6,H9)</f>
        <v>2.0800974870316943E-2</v>
      </c>
      <c r="I16" s="29" t="e">
        <f t="shared" si="4"/>
        <v>#DIV/0!</v>
      </c>
    </row>
    <row r="17" spans="1:9" x14ac:dyDescent="0.3">
      <c r="B17" s="25"/>
      <c r="C17" s="26" t="s">
        <v>4</v>
      </c>
      <c r="D17" s="27"/>
      <c r="E17" s="28"/>
      <c r="F17" s="28"/>
      <c r="G17" s="29">
        <f t="shared" ref="G17:I17" si="5">_xlfn.STDEV.P(G4,G7,G10)</f>
        <v>0.75170916361759654</v>
      </c>
      <c r="H17" s="29">
        <f t="shared" si="5"/>
        <v>1.8792729090439837E-2</v>
      </c>
      <c r="I17" s="29" t="e">
        <f t="shared" si="5"/>
        <v>#DIV/0!</v>
      </c>
    </row>
    <row r="18" spans="1:9" ht="15" thickBot="1" x14ac:dyDescent="0.35">
      <c r="A18" s="19"/>
      <c r="B18" s="30"/>
      <c r="C18" s="31" t="s">
        <v>5</v>
      </c>
      <c r="D18" s="32"/>
      <c r="E18" s="33"/>
      <c r="F18" s="33"/>
      <c r="G18" s="34">
        <f>_xlfn.STDEV.P(G5,G8,G11)</f>
        <v>1.1299655845300003</v>
      </c>
      <c r="H18" s="34">
        <f t="shared" ref="H18:I18" si="6">_xlfn.STDEV.P(H5,H8,H11)</f>
        <v>2.824913961324994E-2</v>
      </c>
      <c r="I18" s="34" t="e">
        <f t="shared" si="6"/>
        <v>#DIV/0!</v>
      </c>
    </row>
    <row r="19" spans="1:9" x14ac:dyDescent="0.3">
      <c r="A19" s="1" t="s">
        <v>10</v>
      </c>
      <c r="B19" s="4">
        <v>12</v>
      </c>
      <c r="C19" s="1" t="s">
        <v>3</v>
      </c>
      <c r="D19" s="3">
        <v>43935</v>
      </c>
      <c r="E19" s="2"/>
      <c r="F19" s="2"/>
      <c r="G19" s="2"/>
    </row>
    <row r="20" spans="1:9" x14ac:dyDescent="0.3">
      <c r="A20" s="1" t="s">
        <v>10</v>
      </c>
      <c r="B20" s="4">
        <v>13</v>
      </c>
      <c r="C20" s="1" t="s">
        <v>3</v>
      </c>
      <c r="D20" s="3">
        <v>43935</v>
      </c>
      <c r="E20" s="2">
        <v>40</v>
      </c>
      <c r="G20" s="2"/>
      <c r="H20" s="14">
        <f>G20/E20</f>
        <v>0</v>
      </c>
    </row>
    <row r="21" spans="1:9" x14ac:dyDescent="0.3">
      <c r="A21" s="1" t="s">
        <v>10</v>
      </c>
      <c r="B21" s="4">
        <v>14</v>
      </c>
      <c r="C21" s="1" t="s">
        <v>4</v>
      </c>
      <c r="D21" s="3">
        <v>43935</v>
      </c>
      <c r="E21" s="2">
        <v>40</v>
      </c>
      <c r="G21" s="2"/>
      <c r="H21" s="14">
        <f t="shared" ref="H21:H29" si="7">G21/E21</f>
        <v>0</v>
      </c>
    </row>
    <row r="22" spans="1:9" x14ac:dyDescent="0.3">
      <c r="A22" s="1" t="s">
        <v>10</v>
      </c>
      <c r="B22" s="4">
        <v>15</v>
      </c>
      <c r="C22" s="1" t="s">
        <v>5</v>
      </c>
      <c r="D22" s="3">
        <v>43935</v>
      </c>
      <c r="E22" s="2">
        <v>40</v>
      </c>
      <c r="G22" s="2"/>
      <c r="H22" s="14">
        <f t="shared" si="7"/>
        <v>0</v>
      </c>
    </row>
    <row r="23" spans="1:9" x14ac:dyDescent="0.3">
      <c r="A23" s="1" t="s">
        <v>10</v>
      </c>
      <c r="B23" s="4">
        <v>16</v>
      </c>
      <c r="C23" s="1" t="s">
        <v>3</v>
      </c>
      <c r="D23" s="3">
        <v>43935</v>
      </c>
      <c r="E23" s="2">
        <v>40</v>
      </c>
      <c r="G23" s="2"/>
      <c r="H23" s="14">
        <f t="shared" si="7"/>
        <v>0</v>
      </c>
    </row>
    <row r="24" spans="1:9" x14ac:dyDescent="0.3">
      <c r="A24" s="1" t="s">
        <v>10</v>
      </c>
      <c r="B24" s="4">
        <v>17</v>
      </c>
      <c r="C24" s="1" t="s">
        <v>4</v>
      </c>
      <c r="D24" s="3">
        <v>43935</v>
      </c>
      <c r="E24" s="2">
        <v>40</v>
      </c>
      <c r="G24" s="2"/>
      <c r="H24" s="14">
        <f t="shared" si="7"/>
        <v>0</v>
      </c>
    </row>
    <row r="25" spans="1:9" x14ac:dyDescent="0.3">
      <c r="A25" s="1" t="s">
        <v>10</v>
      </c>
      <c r="B25" s="4">
        <v>18</v>
      </c>
      <c r="C25" s="1" t="s">
        <v>5</v>
      </c>
      <c r="D25" s="3">
        <v>43935</v>
      </c>
      <c r="E25" s="2">
        <v>40</v>
      </c>
      <c r="G25" s="2"/>
      <c r="H25" s="14">
        <f t="shared" si="7"/>
        <v>0</v>
      </c>
    </row>
    <row r="26" spans="1:9" x14ac:dyDescent="0.3">
      <c r="A26" s="1" t="s">
        <v>10</v>
      </c>
      <c r="B26" s="4">
        <v>19</v>
      </c>
      <c r="C26" s="1" t="s">
        <v>3</v>
      </c>
      <c r="D26" s="3">
        <v>43935</v>
      </c>
      <c r="E26" s="2">
        <v>40</v>
      </c>
      <c r="H26" s="14">
        <f t="shared" si="7"/>
        <v>0</v>
      </c>
    </row>
    <row r="27" spans="1:9" x14ac:dyDescent="0.3">
      <c r="A27" s="1" t="s">
        <v>10</v>
      </c>
      <c r="B27" s="4">
        <v>20</v>
      </c>
      <c r="C27" s="1" t="s">
        <v>4</v>
      </c>
      <c r="D27" s="3">
        <v>43935</v>
      </c>
      <c r="E27" s="2">
        <v>40</v>
      </c>
      <c r="H27" s="14">
        <f t="shared" si="7"/>
        <v>0</v>
      </c>
    </row>
    <row r="28" spans="1:9" x14ac:dyDescent="0.3">
      <c r="A28" s="1" t="s">
        <v>10</v>
      </c>
      <c r="B28" s="4">
        <v>21</v>
      </c>
      <c r="C28" s="1" t="s">
        <v>5</v>
      </c>
      <c r="D28" s="3">
        <v>43935</v>
      </c>
      <c r="E28" s="2">
        <v>40</v>
      </c>
      <c r="H28" s="14">
        <f t="shared" si="7"/>
        <v>0</v>
      </c>
    </row>
    <row r="29" spans="1:9" x14ac:dyDescent="0.3">
      <c r="A29" s="1" t="s">
        <v>10</v>
      </c>
      <c r="B29" s="4">
        <v>22</v>
      </c>
      <c r="C29" s="1" t="s">
        <v>3</v>
      </c>
      <c r="D29" s="3">
        <v>43935</v>
      </c>
      <c r="E29" s="2">
        <v>40</v>
      </c>
      <c r="H29" s="14">
        <f t="shared" si="7"/>
        <v>0</v>
      </c>
    </row>
    <row r="30" spans="1:9" s="8" customFormat="1" ht="15" thickBot="1" x14ac:dyDescent="0.35">
      <c r="A30" s="9" t="s">
        <v>10</v>
      </c>
      <c r="B30" s="15">
        <v>23</v>
      </c>
      <c r="C30" s="9" t="s">
        <v>3</v>
      </c>
      <c r="D30" s="16">
        <v>43935</v>
      </c>
      <c r="E30" s="17"/>
      <c r="F30" s="18"/>
      <c r="G30" s="18"/>
      <c r="H30" s="18"/>
      <c r="I30" s="18"/>
    </row>
    <row r="31" spans="1:9" ht="15" thickTop="1" x14ac:dyDescent="0.3">
      <c r="B31" s="20" t="s">
        <v>15</v>
      </c>
      <c r="C31" s="21" t="s">
        <v>3</v>
      </c>
      <c r="D31" s="22"/>
      <c r="E31" s="23"/>
      <c r="F31" s="23"/>
      <c r="G31" s="24" t="e">
        <f t="shared" ref="G31:I33" si="8">AVERAGE(G20,G23,G26)</f>
        <v>#DIV/0!</v>
      </c>
      <c r="H31" s="24">
        <f t="shared" si="8"/>
        <v>0</v>
      </c>
      <c r="I31" s="24" t="e">
        <f t="shared" si="8"/>
        <v>#DIV/0!</v>
      </c>
    </row>
    <row r="32" spans="1:9" x14ac:dyDescent="0.3">
      <c r="B32" s="20"/>
      <c r="C32" s="21" t="s">
        <v>4</v>
      </c>
      <c r="D32" s="22"/>
      <c r="E32" s="23"/>
      <c r="F32" s="23"/>
      <c r="G32" s="24" t="e">
        <f t="shared" si="8"/>
        <v>#DIV/0!</v>
      </c>
      <c r="H32" s="24">
        <f t="shared" si="8"/>
        <v>0</v>
      </c>
      <c r="I32" s="24" t="e">
        <f t="shared" si="8"/>
        <v>#DIV/0!</v>
      </c>
    </row>
    <row r="33" spans="1:17" x14ac:dyDescent="0.3">
      <c r="B33" s="20"/>
      <c r="C33" s="21" t="s">
        <v>5</v>
      </c>
      <c r="D33" s="22"/>
      <c r="E33" s="23"/>
      <c r="F33" s="23"/>
      <c r="G33" s="24" t="e">
        <f t="shared" si="8"/>
        <v>#DIV/0!</v>
      </c>
      <c r="H33" s="24">
        <f t="shared" si="8"/>
        <v>0</v>
      </c>
      <c r="I33" s="24" t="e">
        <f t="shared" si="8"/>
        <v>#DIV/0!</v>
      </c>
    </row>
    <row r="34" spans="1:17" x14ac:dyDescent="0.3">
      <c r="B34" s="25" t="s">
        <v>16</v>
      </c>
      <c r="C34" s="26" t="s">
        <v>3</v>
      </c>
      <c r="D34" s="27"/>
      <c r="E34" s="28"/>
      <c r="F34" s="28"/>
      <c r="G34" s="29" t="e">
        <f t="shared" ref="G34:I36" si="9">_xlfn.STDEV.P(G20,G23,G26)</f>
        <v>#DIV/0!</v>
      </c>
      <c r="H34" s="29">
        <f t="shared" si="9"/>
        <v>0</v>
      </c>
      <c r="I34" s="29" t="e">
        <f t="shared" si="9"/>
        <v>#DIV/0!</v>
      </c>
    </row>
    <row r="35" spans="1:17" x14ac:dyDescent="0.3">
      <c r="B35" s="25"/>
      <c r="C35" s="26" t="s">
        <v>4</v>
      </c>
      <c r="D35" s="27"/>
      <c r="E35" s="28"/>
      <c r="F35" s="28"/>
      <c r="G35" s="29" t="e">
        <f t="shared" si="9"/>
        <v>#DIV/0!</v>
      </c>
      <c r="H35" s="29">
        <f t="shared" si="9"/>
        <v>0</v>
      </c>
      <c r="I35" s="29" t="e">
        <f t="shared" si="9"/>
        <v>#DIV/0!</v>
      </c>
    </row>
    <row r="36" spans="1:17" ht="15" thickBot="1" x14ac:dyDescent="0.35">
      <c r="A36" s="19"/>
      <c r="B36" s="30"/>
      <c r="C36" s="31" t="s">
        <v>5</v>
      </c>
      <c r="D36" s="32"/>
      <c r="E36" s="33"/>
      <c r="F36" s="33"/>
      <c r="G36" s="34" t="e">
        <f t="shared" si="9"/>
        <v>#DIV/0!</v>
      </c>
      <c r="H36" s="34">
        <f t="shared" si="9"/>
        <v>0</v>
      </c>
      <c r="I36" s="34" t="e">
        <f t="shared" si="9"/>
        <v>#DIV/0!</v>
      </c>
    </row>
    <row r="37" spans="1:17" ht="15" thickBot="1" x14ac:dyDescent="0.35">
      <c r="A37" s="1" t="s">
        <v>9</v>
      </c>
      <c r="B37" s="4">
        <v>1</v>
      </c>
      <c r="C37" s="1" t="s">
        <v>11</v>
      </c>
      <c r="D37" s="3">
        <v>43942</v>
      </c>
      <c r="E37" s="2"/>
      <c r="N37" s="36" t="s">
        <v>13</v>
      </c>
      <c r="P37" s="36" t="s">
        <v>14</v>
      </c>
    </row>
    <row r="38" spans="1:17" ht="15" thickTop="1" x14ac:dyDescent="0.3">
      <c r="A38" s="1" t="s">
        <v>9</v>
      </c>
      <c r="B38" s="4">
        <v>2</v>
      </c>
      <c r="C38" s="1" t="s">
        <v>3</v>
      </c>
      <c r="D38" s="3">
        <v>43942</v>
      </c>
      <c r="E38" s="2">
        <v>39</v>
      </c>
      <c r="G38" s="2">
        <v>23.81</v>
      </c>
      <c r="H38" s="14">
        <f>G38/E38</f>
        <v>0.61051282051282052</v>
      </c>
      <c r="I38" s="14">
        <f>H38</f>
        <v>0.61051282051282052</v>
      </c>
      <c r="K38" s="84">
        <v>43942</v>
      </c>
      <c r="L38" s="85" t="s">
        <v>3</v>
      </c>
      <c r="M38" t="s">
        <v>17</v>
      </c>
      <c r="N38" s="35">
        <f>H48</f>
        <v>0.56017094017094016</v>
      </c>
      <c r="O38" s="35">
        <f>H51</f>
        <v>4.2175572901080066E-2</v>
      </c>
      <c r="P38" s="35">
        <f>I48</f>
        <v>0.56017094017094016</v>
      </c>
      <c r="Q38" s="35">
        <f>I51</f>
        <v>4.2175572901080066E-2</v>
      </c>
    </row>
    <row r="39" spans="1:17" x14ac:dyDescent="0.3">
      <c r="A39" s="1" t="s">
        <v>9</v>
      </c>
      <c r="B39" s="4">
        <v>3</v>
      </c>
      <c r="C39" s="1" t="s">
        <v>4</v>
      </c>
      <c r="D39" s="3">
        <v>43942</v>
      </c>
      <c r="E39" s="2">
        <v>37</v>
      </c>
      <c r="G39" s="2">
        <v>25.46</v>
      </c>
      <c r="H39" s="14">
        <f t="shared" ref="H39:H46" si="10">G39/E39</f>
        <v>0.68810810810810819</v>
      </c>
      <c r="I39" s="14">
        <f t="shared" ref="I39:I46" si="11">H39</f>
        <v>0.68810810810810819</v>
      </c>
      <c r="K39" s="84"/>
      <c r="L39" s="85"/>
      <c r="M39" t="s">
        <v>18</v>
      </c>
      <c r="N39" s="35">
        <f>H66</f>
        <v>0.35388288288288283</v>
      </c>
      <c r="O39" s="35">
        <f>H69</f>
        <v>7.0607693290159271E-2</v>
      </c>
      <c r="P39" s="35">
        <f>I66</f>
        <v>0.35388288288288283</v>
      </c>
      <c r="Q39" s="35">
        <f>I69</f>
        <v>7.0607693290159271E-2</v>
      </c>
    </row>
    <row r="40" spans="1:17" x14ac:dyDescent="0.3">
      <c r="A40" s="1" t="s">
        <v>9</v>
      </c>
      <c r="B40" s="4">
        <v>4</v>
      </c>
      <c r="C40" s="1" t="s">
        <v>5</v>
      </c>
      <c r="D40" s="3">
        <v>43942</v>
      </c>
      <c r="E40" s="2">
        <v>37</v>
      </c>
      <c r="G40" s="2">
        <v>25.83</v>
      </c>
      <c r="H40" s="14">
        <f t="shared" si="10"/>
        <v>0.69810810810810808</v>
      </c>
      <c r="I40" s="14">
        <f t="shared" si="11"/>
        <v>0.69810810810810808</v>
      </c>
      <c r="K40" s="84"/>
      <c r="L40" s="85" t="s">
        <v>4</v>
      </c>
      <c r="M40" t="s">
        <v>17</v>
      </c>
      <c r="N40" s="35">
        <f>H49</f>
        <v>0.58189189189189194</v>
      </c>
      <c r="O40" s="35">
        <f>H52</f>
        <v>8.0359249376233705E-2</v>
      </c>
      <c r="P40" s="35">
        <f>I49</f>
        <v>0.58189189189189194</v>
      </c>
      <c r="Q40" s="35">
        <f>I52</f>
        <v>8.0359249376233705E-2</v>
      </c>
    </row>
    <row r="41" spans="1:17" x14ac:dyDescent="0.3">
      <c r="A41" s="1" t="s">
        <v>9</v>
      </c>
      <c r="B41" s="4">
        <v>5</v>
      </c>
      <c r="C41" s="1" t="s">
        <v>3</v>
      </c>
      <c r="D41" s="3">
        <v>43942</v>
      </c>
      <c r="E41" s="2">
        <v>37</v>
      </c>
      <c r="G41" s="2">
        <v>18.77</v>
      </c>
      <c r="H41" s="14">
        <f t="shared" si="10"/>
        <v>0.50729729729729733</v>
      </c>
      <c r="I41" s="14">
        <f t="shared" si="11"/>
        <v>0.50729729729729733</v>
      </c>
      <c r="K41" s="84"/>
      <c r="L41" s="85"/>
      <c r="M41" t="s">
        <v>18</v>
      </c>
      <c r="N41" s="35">
        <f>H67</f>
        <v>0.40232070707070711</v>
      </c>
      <c r="O41" s="35">
        <f>H70</f>
        <v>1.903916481780362E-3</v>
      </c>
      <c r="P41" s="35">
        <f>I67</f>
        <v>0.40232070707070711</v>
      </c>
      <c r="Q41" s="35">
        <f>I70</f>
        <v>1.903916481780362E-3</v>
      </c>
    </row>
    <row r="42" spans="1:17" x14ac:dyDescent="0.3">
      <c r="A42" s="1" t="s">
        <v>9</v>
      </c>
      <c r="B42" s="4">
        <v>6</v>
      </c>
      <c r="C42" s="1" t="s">
        <v>4</v>
      </c>
      <c r="D42" s="3">
        <v>43942</v>
      </c>
      <c r="E42" s="2">
        <v>37</v>
      </c>
      <c r="G42" s="2">
        <v>20.86</v>
      </c>
      <c r="H42" s="14">
        <f t="shared" si="10"/>
        <v>0.5637837837837838</v>
      </c>
      <c r="I42" s="14">
        <f t="shared" si="11"/>
        <v>0.5637837837837838</v>
      </c>
      <c r="K42" s="84"/>
      <c r="L42" s="85" t="s">
        <v>5</v>
      </c>
      <c r="M42" t="s">
        <v>17</v>
      </c>
      <c r="N42" s="35">
        <f>H50</f>
        <v>0.61807965860597436</v>
      </c>
      <c r="O42" s="35">
        <f>H53</f>
        <v>6.7429477317304337E-2</v>
      </c>
      <c r="P42" s="35">
        <f>I50</f>
        <v>0.61807965860597436</v>
      </c>
      <c r="Q42" s="35">
        <f>I53</f>
        <v>6.7429477317304337E-2</v>
      </c>
    </row>
    <row r="43" spans="1:17" x14ac:dyDescent="0.3">
      <c r="A43" s="1" t="s">
        <v>9</v>
      </c>
      <c r="B43" s="4">
        <v>7</v>
      </c>
      <c r="C43" s="1" t="s">
        <v>5</v>
      </c>
      <c r="D43" s="3">
        <v>43942</v>
      </c>
      <c r="E43" s="2">
        <v>37</v>
      </c>
      <c r="G43" s="2">
        <v>23.05</v>
      </c>
      <c r="H43" s="14">
        <f t="shared" si="10"/>
        <v>0.62297297297297294</v>
      </c>
      <c r="I43" s="14">
        <f t="shared" si="11"/>
        <v>0.62297297297297294</v>
      </c>
      <c r="K43" s="84"/>
      <c r="L43" s="85"/>
      <c r="M43" t="s">
        <v>18</v>
      </c>
      <c r="N43" s="35">
        <f>H68</f>
        <v>0.3672412280701754</v>
      </c>
      <c r="O43" s="35">
        <f>H71</f>
        <v>0.12775834739590253</v>
      </c>
      <c r="P43" s="35">
        <f>I68</f>
        <v>0.3672412280701754</v>
      </c>
      <c r="Q43" s="35">
        <f>I71</f>
        <v>0.12775834739590253</v>
      </c>
    </row>
    <row r="44" spans="1:17" x14ac:dyDescent="0.3">
      <c r="A44" s="1" t="s">
        <v>9</v>
      </c>
      <c r="B44" s="4">
        <v>8</v>
      </c>
      <c r="C44" s="1" t="s">
        <v>3</v>
      </c>
      <c r="D44" s="3">
        <v>43942</v>
      </c>
      <c r="E44" s="2">
        <v>37</v>
      </c>
      <c r="G44" s="2">
        <v>20.82</v>
      </c>
      <c r="H44" s="14">
        <f t="shared" si="10"/>
        <v>0.56270270270270273</v>
      </c>
      <c r="I44" s="14">
        <f t="shared" si="11"/>
        <v>0.56270270270270273</v>
      </c>
    </row>
    <row r="45" spans="1:17" x14ac:dyDescent="0.3">
      <c r="A45" s="1" t="s">
        <v>9</v>
      </c>
      <c r="B45" s="4">
        <v>9</v>
      </c>
      <c r="C45" s="1" t="s">
        <v>4</v>
      </c>
      <c r="D45" s="3">
        <v>43942</v>
      </c>
      <c r="E45" s="2">
        <v>37</v>
      </c>
      <c r="G45" s="2">
        <v>18.27</v>
      </c>
      <c r="H45" s="14">
        <f t="shared" si="10"/>
        <v>0.49378378378378379</v>
      </c>
      <c r="I45" s="14">
        <f t="shared" si="11"/>
        <v>0.49378378378378379</v>
      </c>
    </row>
    <row r="46" spans="1:17" x14ac:dyDescent="0.3">
      <c r="A46" s="1" t="s">
        <v>9</v>
      </c>
      <c r="B46" s="4">
        <v>10</v>
      </c>
      <c r="C46" s="1" t="s">
        <v>5</v>
      </c>
      <c r="D46" s="3">
        <v>43942</v>
      </c>
      <c r="E46" s="2">
        <v>38</v>
      </c>
      <c r="G46" s="2">
        <v>20.260000000000002</v>
      </c>
      <c r="H46" s="14">
        <f t="shared" si="10"/>
        <v>0.53315789473684216</v>
      </c>
      <c r="I46" s="14">
        <f t="shared" si="11"/>
        <v>0.53315789473684216</v>
      </c>
    </row>
    <row r="47" spans="1:17" ht="15" thickBot="1" x14ac:dyDescent="0.35">
      <c r="A47" s="9" t="s">
        <v>9</v>
      </c>
      <c r="B47" s="15">
        <v>11</v>
      </c>
      <c r="C47" s="9" t="s">
        <v>3</v>
      </c>
      <c r="D47" s="16">
        <v>43942</v>
      </c>
      <c r="E47" s="17"/>
      <c r="F47" s="18"/>
      <c r="G47" s="18"/>
      <c r="H47" s="18"/>
      <c r="I47" s="18"/>
    </row>
    <row r="48" spans="1:17" ht="15" thickTop="1" x14ac:dyDescent="0.3">
      <c r="B48" s="20" t="s">
        <v>15</v>
      </c>
      <c r="C48" s="21" t="s">
        <v>3</v>
      </c>
      <c r="D48" s="22"/>
      <c r="E48" s="23"/>
      <c r="F48" s="23"/>
      <c r="G48" s="24">
        <f>AVERAGE(G38,G41,G44)</f>
        <v>21.133333333333333</v>
      </c>
      <c r="H48" s="24">
        <f t="shared" ref="H48:I48" si="12">AVERAGE(H38,H41,H44)</f>
        <v>0.56017094017094016</v>
      </c>
      <c r="I48" s="24">
        <f t="shared" si="12"/>
        <v>0.56017094017094016</v>
      </c>
    </row>
    <row r="49" spans="1:9" x14ac:dyDescent="0.3">
      <c r="B49" s="20"/>
      <c r="C49" s="21" t="s">
        <v>4</v>
      </c>
      <c r="D49" s="22"/>
      <c r="E49" s="23"/>
      <c r="F49" s="23"/>
      <c r="G49" s="24">
        <f t="shared" ref="G49:I49" si="13">AVERAGE(G39,G42,G45)</f>
        <v>21.53</v>
      </c>
      <c r="H49" s="24">
        <f t="shared" si="13"/>
        <v>0.58189189189189194</v>
      </c>
      <c r="I49" s="24">
        <f t="shared" si="13"/>
        <v>0.58189189189189194</v>
      </c>
    </row>
    <row r="50" spans="1:9" x14ac:dyDescent="0.3">
      <c r="B50" s="20"/>
      <c r="C50" s="21" t="s">
        <v>5</v>
      </c>
      <c r="D50" s="22"/>
      <c r="E50" s="23"/>
      <c r="F50" s="23"/>
      <c r="G50" s="24">
        <f>AVERAGE(G40,G43,G46)</f>
        <v>23.046666666666667</v>
      </c>
      <c r="H50" s="24">
        <f t="shared" ref="H50:I50" si="14">AVERAGE(H40,H43,H46)</f>
        <v>0.61807965860597436</v>
      </c>
      <c r="I50" s="24">
        <f t="shared" si="14"/>
        <v>0.61807965860597436</v>
      </c>
    </row>
    <row r="51" spans="1:9" x14ac:dyDescent="0.3">
      <c r="B51" s="25" t="s">
        <v>16</v>
      </c>
      <c r="C51" s="26" t="s">
        <v>3</v>
      </c>
      <c r="D51" s="27"/>
      <c r="E51" s="28"/>
      <c r="F51" s="28"/>
      <c r="G51" s="29">
        <f>_xlfn.STDEV.P(G38,G41,G44)</f>
        <v>2.0694658462726285</v>
      </c>
      <c r="H51" s="29">
        <f t="shared" ref="H51:I51" si="15">_xlfn.STDEV.P(H38,H41,H44)</f>
        <v>4.2175572901080066E-2</v>
      </c>
      <c r="I51" s="29">
        <f t="shared" si="15"/>
        <v>4.2175572901080066E-2</v>
      </c>
    </row>
    <row r="52" spans="1:9" x14ac:dyDescent="0.3">
      <c r="B52" s="25"/>
      <c r="C52" s="26" t="s">
        <v>4</v>
      </c>
      <c r="D52" s="27"/>
      <c r="E52" s="28"/>
      <c r="F52" s="28"/>
      <c r="G52" s="29">
        <f t="shared" ref="G52:I52" si="16">_xlfn.STDEV.P(G39,G42,G45)</f>
        <v>2.973292226920631</v>
      </c>
      <c r="H52" s="29">
        <f t="shared" si="16"/>
        <v>8.0359249376233705E-2</v>
      </c>
      <c r="I52" s="29">
        <f t="shared" si="16"/>
        <v>8.0359249376233705E-2</v>
      </c>
    </row>
    <row r="53" spans="1:9" ht="15" thickBot="1" x14ac:dyDescent="0.35">
      <c r="A53" s="19"/>
      <c r="B53" s="30"/>
      <c r="C53" s="31" t="s">
        <v>5</v>
      </c>
      <c r="D53" s="32"/>
      <c r="E53" s="33"/>
      <c r="F53" s="33"/>
      <c r="G53" s="34">
        <f>_xlfn.STDEV.P(G40,G43,G46)</f>
        <v>2.2739441994521798</v>
      </c>
      <c r="H53" s="34">
        <f t="shared" ref="H53:I53" si="17">_xlfn.STDEV.P(H40,H43,H46)</f>
        <v>6.7429477317304337E-2</v>
      </c>
      <c r="I53" s="34">
        <f t="shared" si="17"/>
        <v>6.7429477317304337E-2</v>
      </c>
    </row>
    <row r="54" spans="1:9" x14ac:dyDescent="0.3">
      <c r="A54" s="1" t="s">
        <v>10</v>
      </c>
      <c r="B54" s="4">
        <v>12</v>
      </c>
      <c r="C54" s="1" t="s">
        <v>3</v>
      </c>
      <c r="D54" s="3">
        <v>43942</v>
      </c>
      <c r="E54" s="2"/>
    </row>
    <row r="55" spans="1:9" x14ac:dyDescent="0.3">
      <c r="A55" s="1" t="s">
        <v>10</v>
      </c>
      <c r="B55" s="4">
        <v>13</v>
      </c>
      <c r="C55" s="1" t="s">
        <v>3</v>
      </c>
      <c r="D55" s="3">
        <v>43942</v>
      </c>
      <c r="E55" s="2">
        <v>32</v>
      </c>
      <c r="G55" s="4">
        <v>13.68</v>
      </c>
      <c r="H55" s="14">
        <f>G55/E55</f>
        <v>0.42749999999999999</v>
      </c>
      <c r="I55" s="14">
        <f>H55</f>
        <v>0.42749999999999999</v>
      </c>
    </row>
    <row r="56" spans="1:9" x14ac:dyDescent="0.3">
      <c r="A56" s="1" t="s">
        <v>10</v>
      </c>
      <c r="B56" s="4">
        <v>14</v>
      </c>
      <c r="C56" s="1" t="s">
        <v>4</v>
      </c>
      <c r="D56" s="3">
        <v>43942</v>
      </c>
      <c r="E56" s="2">
        <v>33</v>
      </c>
      <c r="G56" s="4">
        <v>13.24</v>
      </c>
      <c r="H56" s="14">
        <f t="shared" ref="H56:H64" si="18">G56/E56</f>
        <v>0.40121212121212124</v>
      </c>
      <c r="I56" s="14">
        <f t="shared" ref="I56:I63" si="19">H56</f>
        <v>0.40121212121212124</v>
      </c>
    </row>
    <row r="57" spans="1:9" x14ac:dyDescent="0.3">
      <c r="A57" s="1" t="s">
        <v>10</v>
      </c>
      <c r="B57" s="4">
        <v>15</v>
      </c>
      <c r="C57" s="1" t="s">
        <v>5</v>
      </c>
      <c r="D57" s="3">
        <v>43942</v>
      </c>
      <c r="E57" s="2">
        <v>38</v>
      </c>
      <c r="G57" s="4">
        <v>20.12</v>
      </c>
      <c r="H57" s="14">
        <f t="shared" si="18"/>
        <v>0.52947368421052632</v>
      </c>
      <c r="I57" s="14">
        <f t="shared" si="19"/>
        <v>0.52947368421052632</v>
      </c>
    </row>
    <row r="58" spans="1:9" x14ac:dyDescent="0.3">
      <c r="A58" s="1" t="s">
        <v>10</v>
      </c>
      <c r="B58" s="4">
        <v>16</v>
      </c>
      <c r="C58" s="1" t="s">
        <v>3</v>
      </c>
      <c r="D58" s="3">
        <v>43942</v>
      </c>
      <c r="E58" s="2">
        <v>40</v>
      </c>
      <c r="G58" s="4">
        <v>15.02</v>
      </c>
      <c r="H58" s="14">
        <f t="shared" si="18"/>
        <v>0.3755</v>
      </c>
      <c r="I58" s="14">
        <f t="shared" si="19"/>
        <v>0.3755</v>
      </c>
    </row>
    <row r="59" spans="1:9" x14ac:dyDescent="0.3">
      <c r="A59" s="1" t="s">
        <v>10</v>
      </c>
      <c r="B59" s="4">
        <v>17</v>
      </c>
      <c r="C59" s="1" t="s">
        <v>4</v>
      </c>
      <c r="D59" s="3">
        <v>43942</v>
      </c>
      <c r="E59" s="2">
        <v>38</v>
      </c>
      <c r="G59" s="2">
        <v>15.39</v>
      </c>
      <c r="H59" s="14">
        <f t="shared" si="18"/>
        <v>0.40500000000000003</v>
      </c>
      <c r="I59" s="14">
        <f t="shared" si="19"/>
        <v>0.40500000000000003</v>
      </c>
    </row>
    <row r="60" spans="1:9" x14ac:dyDescent="0.3">
      <c r="A60" s="1" t="s">
        <v>10</v>
      </c>
      <c r="B60" s="4">
        <v>18</v>
      </c>
      <c r="C60" s="1" t="s">
        <v>5</v>
      </c>
      <c r="D60" s="3">
        <v>43942</v>
      </c>
      <c r="E60" s="2">
        <v>40</v>
      </c>
      <c r="G60" s="2">
        <v>8.69</v>
      </c>
      <c r="H60" s="14">
        <f t="shared" si="18"/>
        <v>0.21725</v>
      </c>
      <c r="I60" s="14">
        <f t="shared" si="19"/>
        <v>0.21725</v>
      </c>
    </row>
    <row r="61" spans="1:9" x14ac:dyDescent="0.3">
      <c r="A61" s="1" t="s">
        <v>10</v>
      </c>
      <c r="B61" s="4">
        <v>19</v>
      </c>
      <c r="C61" s="1" t="s">
        <v>3</v>
      </c>
      <c r="D61" s="3">
        <v>43942</v>
      </c>
      <c r="E61" s="2">
        <v>37</v>
      </c>
      <c r="G61" s="4">
        <v>9.57</v>
      </c>
      <c r="H61" s="14">
        <f t="shared" si="18"/>
        <v>0.25864864864864867</v>
      </c>
      <c r="I61" s="14">
        <f t="shared" si="19"/>
        <v>0.25864864864864867</v>
      </c>
    </row>
    <row r="62" spans="1:9" x14ac:dyDescent="0.3">
      <c r="A62" s="1" t="s">
        <v>10</v>
      </c>
      <c r="B62" s="4">
        <v>20</v>
      </c>
      <c r="C62" s="1" t="s">
        <v>4</v>
      </c>
      <c r="D62" s="3">
        <v>43942</v>
      </c>
      <c r="E62" s="2">
        <v>40</v>
      </c>
      <c r="G62" s="4">
        <v>16.03</v>
      </c>
      <c r="H62" s="14">
        <f t="shared" si="18"/>
        <v>0.40075000000000005</v>
      </c>
      <c r="I62" s="14">
        <f t="shared" si="19"/>
        <v>0.40075000000000005</v>
      </c>
    </row>
    <row r="63" spans="1:9" x14ac:dyDescent="0.3">
      <c r="A63" s="1" t="s">
        <v>10</v>
      </c>
      <c r="B63" s="4">
        <v>21</v>
      </c>
      <c r="C63" s="1" t="s">
        <v>5</v>
      </c>
      <c r="D63" s="3">
        <v>43942</v>
      </c>
      <c r="E63" s="2">
        <v>36</v>
      </c>
      <c r="G63" s="4">
        <v>12.78</v>
      </c>
      <c r="H63" s="14">
        <f t="shared" si="18"/>
        <v>0.35499999999999998</v>
      </c>
      <c r="I63" s="14">
        <f t="shared" si="19"/>
        <v>0.35499999999999998</v>
      </c>
    </row>
    <row r="64" spans="1:9" x14ac:dyDescent="0.3">
      <c r="A64" s="1" t="s">
        <v>10</v>
      </c>
      <c r="B64" s="4">
        <v>22</v>
      </c>
      <c r="C64" s="1" t="s">
        <v>3</v>
      </c>
      <c r="D64" s="3">
        <v>43942</v>
      </c>
      <c r="E64" s="2">
        <v>38</v>
      </c>
      <c r="G64" s="4">
        <v>12.92</v>
      </c>
      <c r="H64" s="14">
        <f t="shared" si="18"/>
        <v>0.34</v>
      </c>
      <c r="I64" s="14">
        <f>H64</f>
        <v>0.34</v>
      </c>
    </row>
    <row r="65" spans="1:17" s="8" customFormat="1" ht="15" thickBot="1" x14ac:dyDescent="0.35">
      <c r="A65" s="9" t="s">
        <v>10</v>
      </c>
      <c r="B65" s="15">
        <v>23</v>
      </c>
      <c r="C65" s="9" t="s">
        <v>3</v>
      </c>
      <c r="D65" s="16">
        <v>43942</v>
      </c>
      <c r="E65" s="17"/>
      <c r="F65" s="18"/>
      <c r="G65" s="18"/>
      <c r="H65" s="18"/>
      <c r="I65" s="18"/>
    </row>
    <row r="66" spans="1:17" ht="15" thickTop="1" x14ac:dyDescent="0.3">
      <c r="B66" s="20" t="s">
        <v>15</v>
      </c>
      <c r="C66" s="21" t="s">
        <v>3</v>
      </c>
      <c r="D66" s="22"/>
      <c r="E66" s="23"/>
      <c r="F66" s="23"/>
      <c r="G66" s="24">
        <f t="shared" ref="G66:I68" si="20">AVERAGE(G55,G58,G61)</f>
        <v>12.756666666666666</v>
      </c>
      <c r="H66" s="24">
        <f t="shared" si="20"/>
        <v>0.35388288288288283</v>
      </c>
      <c r="I66" s="24">
        <f t="shared" si="20"/>
        <v>0.35388288288288283</v>
      </c>
    </row>
    <row r="67" spans="1:17" x14ac:dyDescent="0.3">
      <c r="B67" s="20"/>
      <c r="C67" s="21" t="s">
        <v>4</v>
      </c>
      <c r="D67" s="22"/>
      <c r="E67" s="23"/>
      <c r="F67" s="23"/>
      <c r="G67" s="24">
        <f t="shared" si="20"/>
        <v>14.886666666666668</v>
      </c>
      <c r="H67" s="24">
        <f t="shared" si="20"/>
        <v>0.40232070707070711</v>
      </c>
      <c r="I67" s="24">
        <f t="shared" si="20"/>
        <v>0.40232070707070711</v>
      </c>
    </row>
    <row r="68" spans="1:17" x14ac:dyDescent="0.3">
      <c r="B68" s="20"/>
      <c r="C68" s="21" t="s">
        <v>5</v>
      </c>
      <c r="D68" s="22"/>
      <c r="E68" s="23"/>
      <c r="F68" s="23"/>
      <c r="G68" s="24">
        <f t="shared" si="20"/>
        <v>13.863333333333335</v>
      </c>
      <c r="H68" s="24">
        <f t="shared" si="20"/>
        <v>0.3672412280701754</v>
      </c>
      <c r="I68" s="24">
        <f t="shared" si="20"/>
        <v>0.3672412280701754</v>
      </c>
    </row>
    <row r="69" spans="1:17" x14ac:dyDescent="0.3">
      <c r="B69" s="25" t="s">
        <v>16</v>
      </c>
      <c r="C69" s="26" t="s">
        <v>3</v>
      </c>
      <c r="D69" s="27"/>
      <c r="E69" s="28"/>
      <c r="F69" s="28"/>
      <c r="G69" s="29">
        <f t="shared" ref="G69:I71" si="21">_xlfn.STDEV.P(G55,G58,G61)</f>
        <v>2.3187688304117167</v>
      </c>
      <c r="H69" s="29">
        <f t="shared" si="21"/>
        <v>7.0607693290159271E-2</v>
      </c>
      <c r="I69" s="29">
        <f t="shared" si="21"/>
        <v>7.0607693290159271E-2</v>
      </c>
    </row>
    <row r="70" spans="1:17" x14ac:dyDescent="0.3">
      <c r="B70" s="25"/>
      <c r="C70" s="26" t="s">
        <v>4</v>
      </c>
      <c r="D70" s="27"/>
      <c r="E70" s="28"/>
      <c r="F70" s="28"/>
      <c r="G70" s="29">
        <f t="shared" si="21"/>
        <v>1.1933240223100443</v>
      </c>
      <c r="H70" s="29">
        <f t="shared" si="21"/>
        <v>1.903916481780362E-3</v>
      </c>
      <c r="I70" s="29">
        <f t="shared" si="21"/>
        <v>1.903916481780362E-3</v>
      </c>
    </row>
    <row r="71" spans="1:17" ht="15" thickBot="1" x14ac:dyDescent="0.35">
      <c r="A71" s="19"/>
      <c r="B71" s="30"/>
      <c r="C71" s="31" t="s">
        <v>5</v>
      </c>
      <c r="D71" s="32"/>
      <c r="E71" s="33"/>
      <c r="F71" s="33"/>
      <c r="G71" s="34">
        <f t="shared" si="21"/>
        <v>4.7287372051696366</v>
      </c>
      <c r="H71" s="34">
        <f t="shared" si="21"/>
        <v>0.12775834739590253</v>
      </c>
      <c r="I71" s="34">
        <f t="shared" si="21"/>
        <v>0.12775834739590253</v>
      </c>
    </row>
    <row r="72" spans="1:17" ht="15" thickBot="1" x14ac:dyDescent="0.35">
      <c r="A72" s="1" t="s">
        <v>9</v>
      </c>
      <c r="B72" s="4">
        <v>1</v>
      </c>
      <c r="C72" s="1" t="s">
        <v>11</v>
      </c>
      <c r="D72" s="3">
        <v>43949</v>
      </c>
      <c r="E72" s="2"/>
      <c r="N72" s="36" t="s">
        <v>13</v>
      </c>
      <c r="P72" s="36" t="s">
        <v>14</v>
      </c>
    </row>
    <row r="73" spans="1:17" ht="15" thickTop="1" x14ac:dyDescent="0.3">
      <c r="A73" s="1" t="s">
        <v>9</v>
      </c>
      <c r="B73" s="4">
        <v>2</v>
      </c>
      <c r="C73" s="1" t="s">
        <v>3</v>
      </c>
      <c r="D73" s="3">
        <v>43949</v>
      </c>
      <c r="E73" s="2">
        <v>39</v>
      </c>
      <c r="G73" s="2">
        <v>30.35</v>
      </c>
      <c r="H73" s="14">
        <f>G73/E73</f>
        <v>0.77820512820512822</v>
      </c>
      <c r="I73" s="14">
        <f>I38+H73</f>
        <v>1.3887179487179488</v>
      </c>
      <c r="K73" s="84">
        <v>43949</v>
      </c>
      <c r="L73" s="85" t="s">
        <v>3</v>
      </c>
      <c r="M73" t="s">
        <v>17</v>
      </c>
      <c r="N73" s="35">
        <f>H83</f>
        <v>0.89066297066297062</v>
      </c>
      <c r="O73" s="35">
        <f>H86</f>
        <v>9.5359308797518014E-2</v>
      </c>
      <c r="P73" s="35">
        <f>I83</f>
        <v>1.4508339108339108</v>
      </c>
      <c r="Q73" s="35">
        <f>I86</f>
        <v>5.3196827784302556E-2</v>
      </c>
    </row>
    <row r="74" spans="1:17" x14ac:dyDescent="0.3">
      <c r="A74" s="1" t="s">
        <v>9</v>
      </c>
      <c r="B74" s="4">
        <v>3</v>
      </c>
      <c r="C74" s="1" t="s">
        <v>4</v>
      </c>
      <c r="D74" s="3">
        <v>43949</v>
      </c>
      <c r="E74" s="2">
        <v>37</v>
      </c>
      <c r="G74" s="2">
        <v>27.79</v>
      </c>
      <c r="H74" s="14">
        <f t="shared" ref="H74:H81" si="22">G74/E74</f>
        <v>0.75108108108108107</v>
      </c>
      <c r="I74" s="14">
        <f t="shared" ref="I74:I81" si="23">I39+H74</f>
        <v>1.4391891891891893</v>
      </c>
      <c r="K74" s="84"/>
      <c r="L74" s="85"/>
      <c r="M74" t="s">
        <v>18</v>
      </c>
      <c r="N74" s="35">
        <f>H101</f>
        <v>0.74078941441441437</v>
      </c>
      <c r="O74" s="35">
        <f>H104</f>
        <v>4.3503349242103397E-2</v>
      </c>
      <c r="P74" s="35">
        <f>I101</f>
        <v>1.0946722972972973</v>
      </c>
      <c r="Q74" s="35">
        <f>I104</f>
        <v>6.4589187961656025E-2</v>
      </c>
    </row>
    <row r="75" spans="1:17" x14ac:dyDescent="0.3">
      <c r="A75" s="1" t="s">
        <v>9</v>
      </c>
      <c r="B75" s="4">
        <v>4</v>
      </c>
      <c r="C75" s="1" t="s">
        <v>5</v>
      </c>
      <c r="D75" s="3">
        <v>43949</v>
      </c>
      <c r="E75" s="2">
        <v>37</v>
      </c>
      <c r="G75" s="2">
        <v>32.01</v>
      </c>
      <c r="H75" s="14">
        <f t="shared" si="22"/>
        <v>0.86513513513513507</v>
      </c>
      <c r="I75" s="14">
        <f t="shared" si="23"/>
        <v>1.5632432432432433</v>
      </c>
      <c r="K75" s="84"/>
      <c r="L75" s="85" t="s">
        <v>4</v>
      </c>
      <c r="M75" t="s">
        <v>17</v>
      </c>
      <c r="N75" s="35">
        <f>H84</f>
        <v>0.86045045045045043</v>
      </c>
      <c r="O75" s="35">
        <f>H87</f>
        <v>7.7488057102938004E-2</v>
      </c>
      <c r="P75" s="35">
        <f>I84</f>
        <v>1.4423423423423423</v>
      </c>
      <c r="Q75" s="35">
        <f>I87</f>
        <v>3.3506489625282583E-2</v>
      </c>
    </row>
    <row r="76" spans="1:17" x14ac:dyDescent="0.3">
      <c r="A76" s="1" t="s">
        <v>9</v>
      </c>
      <c r="B76" s="4">
        <v>5</v>
      </c>
      <c r="C76" s="1" t="s">
        <v>3</v>
      </c>
      <c r="D76" s="3">
        <v>43949</v>
      </c>
      <c r="E76" s="2">
        <v>37</v>
      </c>
      <c r="G76" s="2">
        <v>37.42</v>
      </c>
      <c r="H76" s="14">
        <f t="shared" si="22"/>
        <v>1.0113513513513515</v>
      </c>
      <c r="I76" s="14">
        <f t="shared" si="23"/>
        <v>1.5186486486486488</v>
      </c>
      <c r="K76" s="84"/>
      <c r="L76" s="85"/>
      <c r="M76" t="s">
        <v>18</v>
      </c>
      <c r="N76" s="35">
        <f>H102</f>
        <v>0.62520999468367888</v>
      </c>
      <c r="O76" s="35">
        <f>H105</f>
        <v>6.9910194902478642E-2</v>
      </c>
      <c r="P76" s="35">
        <f>I102</f>
        <v>1.027530701754386</v>
      </c>
      <c r="Q76" s="35">
        <f>I105</f>
        <v>7.1724388112466453E-2</v>
      </c>
    </row>
    <row r="77" spans="1:17" x14ac:dyDescent="0.3">
      <c r="A77" s="1" t="s">
        <v>9</v>
      </c>
      <c r="B77" s="4">
        <v>6</v>
      </c>
      <c r="C77" s="1" t="s">
        <v>4</v>
      </c>
      <c r="D77" s="3">
        <v>43949</v>
      </c>
      <c r="E77" s="2">
        <v>37</v>
      </c>
      <c r="G77" s="2">
        <v>34.08</v>
      </c>
      <c r="H77" s="14">
        <f t="shared" si="22"/>
        <v>0.921081081081081</v>
      </c>
      <c r="I77" s="14">
        <f t="shared" si="23"/>
        <v>1.4848648648648648</v>
      </c>
      <c r="K77" s="84"/>
      <c r="L77" s="85" t="s">
        <v>5</v>
      </c>
      <c r="M77" t="s">
        <v>17</v>
      </c>
      <c r="N77" s="35">
        <f>H85</f>
        <v>0.71957325746799417</v>
      </c>
      <c r="O77" s="35">
        <f>H88</f>
        <v>0.179042136932305</v>
      </c>
      <c r="P77" s="35">
        <f>I85</f>
        <v>1.3376529160739687</v>
      </c>
      <c r="Q77" s="35">
        <f>I88</f>
        <v>0.2428893304587886</v>
      </c>
    </row>
    <row r="78" spans="1:17" x14ac:dyDescent="0.3">
      <c r="A78" s="1" t="s">
        <v>9</v>
      </c>
      <c r="B78" s="4">
        <v>7</v>
      </c>
      <c r="C78" s="1" t="s">
        <v>5</v>
      </c>
      <c r="D78" s="3">
        <v>43949</v>
      </c>
      <c r="E78" s="2">
        <v>37</v>
      </c>
      <c r="G78" s="2">
        <v>30.57</v>
      </c>
      <c r="H78" s="14">
        <f t="shared" si="22"/>
        <v>0.82621621621621621</v>
      </c>
      <c r="I78" s="14">
        <f t="shared" si="23"/>
        <v>1.4491891891891893</v>
      </c>
      <c r="K78" s="84"/>
      <c r="L78" s="85"/>
      <c r="M78" t="s">
        <v>18</v>
      </c>
      <c r="N78" s="35">
        <f>H103</f>
        <v>0.70488742690058481</v>
      </c>
      <c r="O78" s="35">
        <f>H106</f>
        <v>4.4136738225597286E-2</v>
      </c>
      <c r="P78" s="35">
        <f>I103</f>
        <v>1.0721286549707603</v>
      </c>
      <c r="Q78" s="35">
        <f>I106</f>
        <v>0.10287048749651308</v>
      </c>
    </row>
    <row r="79" spans="1:17" x14ac:dyDescent="0.3">
      <c r="A79" s="1" t="s">
        <v>9</v>
      </c>
      <c r="B79" s="4">
        <v>8</v>
      </c>
      <c r="C79" s="1" t="s">
        <v>3</v>
      </c>
      <c r="D79" s="3">
        <v>43949</v>
      </c>
      <c r="E79" s="2">
        <v>37</v>
      </c>
      <c r="G79" s="2">
        <v>32.65</v>
      </c>
      <c r="H79" s="14">
        <f t="shared" si="22"/>
        <v>0.88243243243243241</v>
      </c>
      <c r="I79" s="14">
        <f t="shared" si="23"/>
        <v>1.4451351351351351</v>
      </c>
    </row>
    <row r="80" spans="1:17" x14ac:dyDescent="0.3">
      <c r="A80" s="1" t="s">
        <v>9</v>
      </c>
      <c r="B80" s="4">
        <v>9</v>
      </c>
      <c r="C80" s="1" t="s">
        <v>4</v>
      </c>
      <c r="D80" s="3">
        <v>43949</v>
      </c>
      <c r="E80" s="2">
        <v>37</v>
      </c>
      <c r="G80" s="2">
        <v>33.64</v>
      </c>
      <c r="H80" s="14">
        <f t="shared" si="22"/>
        <v>0.90918918918918923</v>
      </c>
      <c r="I80" s="14">
        <f t="shared" si="23"/>
        <v>1.402972972972973</v>
      </c>
    </row>
    <row r="81" spans="1:9" x14ac:dyDescent="0.3">
      <c r="A81" s="1" t="s">
        <v>9</v>
      </c>
      <c r="B81" s="4">
        <v>10</v>
      </c>
      <c r="C81" s="1" t="s">
        <v>5</v>
      </c>
      <c r="D81" s="3">
        <v>43949</v>
      </c>
      <c r="E81" s="2">
        <v>38</v>
      </c>
      <c r="G81" s="2">
        <v>17.760000000000002</v>
      </c>
      <c r="H81" s="14">
        <f t="shared" si="22"/>
        <v>0.4673684210526316</v>
      </c>
      <c r="I81" s="14">
        <f t="shared" si="23"/>
        <v>1.0005263157894737</v>
      </c>
    </row>
    <row r="82" spans="1:9" ht="15" thickBot="1" x14ac:dyDescent="0.35">
      <c r="A82" s="9" t="s">
        <v>9</v>
      </c>
      <c r="B82" s="15">
        <v>11</v>
      </c>
      <c r="C82" s="9" t="s">
        <v>3</v>
      </c>
      <c r="D82" s="16">
        <v>43949</v>
      </c>
      <c r="E82" s="17"/>
      <c r="F82" s="18"/>
      <c r="G82" s="18"/>
      <c r="H82" s="18"/>
      <c r="I82" s="18"/>
    </row>
    <row r="83" spans="1:9" ht="15" thickTop="1" x14ac:dyDescent="0.3">
      <c r="B83" s="20" t="s">
        <v>15</v>
      </c>
      <c r="C83" s="21" t="s">
        <v>3</v>
      </c>
      <c r="D83" s="22"/>
      <c r="E83" s="23"/>
      <c r="F83" s="23"/>
      <c r="G83" s="24">
        <f>AVERAGE(G73,G76,G79)</f>
        <v>33.473333333333336</v>
      </c>
      <c r="H83" s="24">
        <f t="shared" ref="H83:I83" si="24">AVERAGE(H73,H76,H79)</f>
        <v>0.89066297066297062</v>
      </c>
      <c r="I83" s="24">
        <f t="shared" si="24"/>
        <v>1.4508339108339108</v>
      </c>
    </row>
    <row r="84" spans="1:9" x14ac:dyDescent="0.3">
      <c r="B84" s="20"/>
      <c r="C84" s="21" t="s">
        <v>4</v>
      </c>
      <c r="D84" s="22"/>
      <c r="E84" s="23"/>
      <c r="F84" s="23"/>
      <c r="G84" s="24">
        <f t="shared" ref="G84:I84" si="25">AVERAGE(G74,G77,G80)</f>
        <v>31.836666666666662</v>
      </c>
      <c r="H84" s="24">
        <f t="shared" si="25"/>
        <v>0.86045045045045043</v>
      </c>
      <c r="I84" s="24">
        <f t="shared" si="25"/>
        <v>1.4423423423423423</v>
      </c>
    </row>
    <row r="85" spans="1:9" x14ac:dyDescent="0.3">
      <c r="B85" s="20"/>
      <c r="C85" s="21" t="s">
        <v>5</v>
      </c>
      <c r="D85" s="22"/>
      <c r="E85" s="23"/>
      <c r="F85" s="23"/>
      <c r="G85" s="24">
        <f>AVERAGE(G75,G78,G81)</f>
        <v>26.78</v>
      </c>
      <c r="H85" s="24">
        <f t="shared" ref="H85:I85" si="26">AVERAGE(H75,H78,H81)</f>
        <v>0.71957325746799417</v>
      </c>
      <c r="I85" s="24">
        <f t="shared" si="26"/>
        <v>1.3376529160739687</v>
      </c>
    </row>
    <row r="86" spans="1:9" x14ac:dyDescent="0.3">
      <c r="B86" s="25" t="s">
        <v>16</v>
      </c>
      <c r="C86" s="26" t="s">
        <v>3</v>
      </c>
      <c r="D86" s="27"/>
      <c r="E86" s="28"/>
      <c r="F86" s="28"/>
      <c r="G86" s="29">
        <f>_xlfn.STDEV.P(G73,G76,G79)</f>
        <v>2.9444448637316265</v>
      </c>
      <c r="H86" s="29">
        <f t="shared" ref="H86:I86" si="27">_xlfn.STDEV.P(H73,H76,H79)</f>
        <v>9.5359308797518014E-2</v>
      </c>
      <c r="I86" s="29">
        <f t="shared" si="27"/>
        <v>5.3196827784302556E-2</v>
      </c>
    </row>
    <row r="87" spans="1:9" x14ac:dyDescent="0.3">
      <c r="B87" s="25"/>
      <c r="C87" s="26" t="s">
        <v>4</v>
      </c>
      <c r="D87" s="27"/>
      <c r="E87" s="28"/>
      <c r="F87" s="28"/>
      <c r="G87" s="29">
        <f>_xlfn.STDEV.P(G74,G77,G80)</f>
        <v>2.8670581128087069</v>
      </c>
      <c r="H87" s="29">
        <f t="shared" ref="H87:I87" si="28">_xlfn.STDEV.P(H74,H77,H80)</f>
        <v>7.7488057102938004E-2</v>
      </c>
      <c r="I87" s="29">
        <f t="shared" si="28"/>
        <v>3.3506489625282583E-2</v>
      </c>
    </row>
    <row r="88" spans="1:9" ht="15" thickBot="1" x14ac:dyDescent="0.35">
      <c r="A88" s="19"/>
      <c r="B88" s="30"/>
      <c r="C88" s="31" t="s">
        <v>5</v>
      </c>
      <c r="D88" s="32"/>
      <c r="E88" s="33"/>
      <c r="F88" s="33"/>
      <c r="G88" s="34">
        <f>_xlfn.STDEV.P(G75,G78,G81)</f>
        <v>6.4051385621233861</v>
      </c>
      <c r="H88" s="34">
        <f t="shared" ref="H88:I88" si="29">_xlfn.STDEV.P(H75,H78,H81)</f>
        <v>0.179042136932305</v>
      </c>
      <c r="I88" s="34">
        <f t="shared" si="29"/>
        <v>0.2428893304587886</v>
      </c>
    </row>
    <row r="89" spans="1:9" x14ac:dyDescent="0.3">
      <c r="A89" s="1" t="s">
        <v>10</v>
      </c>
      <c r="B89" s="4">
        <v>12</v>
      </c>
      <c r="C89" s="1" t="s">
        <v>3</v>
      </c>
      <c r="D89" s="3">
        <v>43949</v>
      </c>
      <c r="E89" s="2"/>
    </row>
    <row r="90" spans="1:9" x14ac:dyDescent="0.3">
      <c r="A90" s="1" t="s">
        <v>10</v>
      </c>
      <c r="B90" s="4">
        <v>13</v>
      </c>
      <c r="C90" s="1" t="s">
        <v>3</v>
      </c>
      <c r="D90" s="3">
        <v>43949</v>
      </c>
      <c r="E90" s="2">
        <v>32</v>
      </c>
      <c r="G90" s="4">
        <v>24.26</v>
      </c>
      <c r="H90" s="14">
        <f>G90/E90</f>
        <v>0.75812500000000005</v>
      </c>
      <c r="I90" s="14">
        <f>I55+H90</f>
        <v>1.1856249999999999</v>
      </c>
    </row>
    <row r="91" spans="1:9" x14ac:dyDescent="0.3">
      <c r="A91" s="1" t="s">
        <v>10</v>
      </c>
      <c r="B91" s="4">
        <v>14</v>
      </c>
      <c r="C91" s="1" t="s">
        <v>4</v>
      </c>
      <c r="D91" s="3">
        <v>43949</v>
      </c>
      <c r="E91" s="2">
        <v>33</v>
      </c>
      <c r="G91" s="4">
        <v>18.440000000000001</v>
      </c>
      <c r="H91" s="14">
        <f t="shared" ref="H91:H98" si="30">G91/E91</f>
        <v>0.55878787878787883</v>
      </c>
      <c r="I91" s="14">
        <f t="shared" ref="I91:I99" si="31">I56+H91</f>
        <v>0.96000000000000008</v>
      </c>
    </row>
    <row r="92" spans="1:9" x14ac:dyDescent="0.3">
      <c r="A92" s="1" t="s">
        <v>10</v>
      </c>
      <c r="B92" s="4">
        <v>15</v>
      </c>
      <c r="C92" s="1" t="s">
        <v>5</v>
      </c>
      <c r="D92" s="3">
        <v>43949</v>
      </c>
      <c r="E92" s="2">
        <v>38</v>
      </c>
      <c r="G92" s="4">
        <v>24.57</v>
      </c>
      <c r="H92" s="14">
        <f t="shared" si="30"/>
        <v>0.64657894736842103</v>
      </c>
      <c r="I92" s="14">
        <f t="shared" si="31"/>
        <v>1.1760526315789472</v>
      </c>
    </row>
    <row r="93" spans="1:9" x14ac:dyDescent="0.3">
      <c r="A93" s="1" t="s">
        <v>10</v>
      </c>
      <c r="B93" s="4">
        <v>16</v>
      </c>
      <c r="C93" s="1" t="s">
        <v>3</v>
      </c>
      <c r="D93" s="3">
        <v>43949</v>
      </c>
      <c r="E93" s="2">
        <v>40</v>
      </c>
      <c r="G93" s="4">
        <v>27.24</v>
      </c>
      <c r="H93" s="14">
        <f t="shared" si="30"/>
        <v>0.68099999999999994</v>
      </c>
      <c r="I93" s="14">
        <f t="shared" si="31"/>
        <v>1.0565</v>
      </c>
    </row>
    <row r="94" spans="1:9" x14ac:dyDescent="0.3">
      <c r="A94" s="1" t="s">
        <v>10</v>
      </c>
      <c r="B94" s="4">
        <v>17</v>
      </c>
      <c r="C94" s="1" t="s">
        <v>4</v>
      </c>
      <c r="D94" s="3">
        <v>43949</v>
      </c>
      <c r="E94" s="2">
        <v>38</v>
      </c>
      <c r="G94" s="2">
        <v>27.43</v>
      </c>
      <c r="H94" s="14">
        <f t="shared" si="30"/>
        <v>0.72184210526315784</v>
      </c>
      <c r="I94" s="14">
        <f t="shared" si="31"/>
        <v>1.1268421052631579</v>
      </c>
    </row>
    <row r="95" spans="1:9" x14ac:dyDescent="0.3">
      <c r="A95" s="1" t="s">
        <v>10</v>
      </c>
      <c r="B95" s="4">
        <v>18</v>
      </c>
      <c r="C95" s="1" t="s">
        <v>5</v>
      </c>
      <c r="D95" s="3">
        <v>43949</v>
      </c>
      <c r="E95" s="2">
        <v>40</v>
      </c>
      <c r="G95" s="2">
        <v>28.59</v>
      </c>
      <c r="H95" s="14">
        <f t="shared" si="30"/>
        <v>0.71475</v>
      </c>
      <c r="I95" s="14">
        <f t="shared" si="31"/>
        <v>0.93199999999999994</v>
      </c>
    </row>
    <row r="96" spans="1:9" x14ac:dyDescent="0.3">
      <c r="A96" s="1" t="s">
        <v>10</v>
      </c>
      <c r="B96" s="4">
        <v>19</v>
      </c>
      <c r="C96" s="1" t="s">
        <v>3</v>
      </c>
      <c r="D96" s="3">
        <v>43949</v>
      </c>
      <c r="E96" s="2">
        <v>37</v>
      </c>
      <c r="G96" s="4">
        <v>28.98</v>
      </c>
      <c r="H96" s="14">
        <f t="shared" si="30"/>
        <v>0.78324324324324324</v>
      </c>
      <c r="I96" s="14">
        <f t="shared" si="31"/>
        <v>1.041891891891892</v>
      </c>
    </row>
    <row r="97" spans="1:17" x14ac:dyDescent="0.3">
      <c r="A97" s="1" t="s">
        <v>10</v>
      </c>
      <c r="B97" s="4">
        <v>20</v>
      </c>
      <c r="C97" s="1" t="s">
        <v>4</v>
      </c>
      <c r="D97" s="3">
        <v>43949</v>
      </c>
      <c r="E97" s="2">
        <v>40</v>
      </c>
      <c r="G97" s="4">
        <v>23.8</v>
      </c>
      <c r="H97" s="14">
        <f t="shared" si="30"/>
        <v>0.59499999999999997</v>
      </c>
      <c r="I97" s="14">
        <f t="shared" si="31"/>
        <v>0.99575000000000002</v>
      </c>
    </row>
    <row r="98" spans="1:17" x14ac:dyDescent="0.3">
      <c r="A98" s="1" t="s">
        <v>10</v>
      </c>
      <c r="B98" s="4">
        <v>21</v>
      </c>
      <c r="C98" s="1" t="s">
        <v>5</v>
      </c>
      <c r="D98" s="3">
        <v>43949</v>
      </c>
      <c r="E98" s="2">
        <v>36</v>
      </c>
      <c r="G98" s="4">
        <v>27.12</v>
      </c>
      <c r="H98" s="14">
        <f t="shared" si="30"/>
        <v>0.75333333333333341</v>
      </c>
      <c r="I98" s="14">
        <f t="shared" si="31"/>
        <v>1.1083333333333334</v>
      </c>
    </row>
    <row r="99" spans="1:17" x14ac:dyDescent="0.3">
      <c r="A99" s="1" t="s">
        <v>10</v>
      </c>
      <c r="B99" s="4">
        <v>22</v>
      </c>
      <c r="C99" s="1" t="s">
        <v>3</v>
      </c>
      <c r="D99" s="3">
        <v>43949</v>
      </c>
      <c r="E99" s="2">
        <v>38</v>
      </c>
      <c r="G99" s="4">
        <v>33.340000000000003</v>
      </c>
      <c r="H99" s="14">
        <f>G99/E99</f>
        <v>0.87736842105263169</v>
      </c>
      <c r="I99" s="14">
        <f t="shared" si="31"/>
        <v>1.2173684210526317</v>
      </c>
    </row>
    <row r="100" spans="1:17" s="8" customFormat="1" x14ac:dyDescent="0.3">
      <c r="A100" s="5" t="s">
        <v>10</v>
      </c>
      <c r="B100" s="6">
        <v>23</v>
      </c>
      <c r="C100" s="5" t="s">
        <v>3</v>
      </c>
      <c r="D100" s="7">
        <v>43949</v>
      </c>
      <c r="E100" s="13"/>
    </row>
    <row r="101" spans="1:17" x14ac:dyDescent="0.3">
      <c r="B101" s="20" t="s">
        <v>15</v>
      </c>
      <c r="C101" s="21" t="s">
        <v>3</v>
      </c>
      <c r="D101" s="22"/>
      <c r="E101" s="23"/>
      <c r="F101" s="23"/>
      <c r="G101" s="24">
        <f t="shared" ref="G101:I103" si="32">AVERAGE(G90,G93,G96)</f>
        <v>26.826666666666668</v>
      </c>
      <c r="H101" s="24">
        <f t="shared" si="32"/>
        <v>0.74078941441441437</v>
      </c>
      <c r="I101" s="24">
        <f t="shared" si="32"/>
        <v>1.0946722972972973</v>
      </c>
    </row>
    <row r="102" spans="1:17" x14ac:dyDescent="0.3">
      <c r="B102" s="20"/>
      <c r="C102" s="21" t="s">
        <v>4</v>
      </c>
      <c r="D102" s="22"/>
      <c r="E102" s="23"/>
      <c r="F102" s="23"/>
      <c r="G102" s="24">
        <f t="shared" si="32"/>
        <v>23.223333333333333</v>
      </c>
      <c r="H102" s="24">
        <f t="shared" si="32"/>
        <v>0.62520999468367888</v>
      </c>
      <c r="I102" s="24">
        <f t="shared" si="32"/>
        <v>1.027530701754386</v>
      </c>
    </row>
    <row r="103" spans="1:17" x14ac:dyDescent="0.3">
      <c r="B103" s="20"/>
      <c r="C103" s="21" t="s">
        <v>5</v>
      </c>
      <c r="D103" s="22"/>
      <c r="E103" s="23"/>
      <c r="F103" s="23"/>
      <c r="G103" s="24">
        <f t="shared" si="32"/>
        <v>26.76</v>
      </c>
      <c r="H103" s="24">
        <f t="shared" si="32"/>
        <v>0.70488742690058481</v>
      </c>
      <c r="I103" s="24">
        <f t="shared" si="32"/>
        <v>1.0721286549707603</v>
      </c>
    </row>
    <row r="104" spans="1:17" x14ac:dyDescent="0.3">
      <c r="B104" s="25" t="s">
        <v>16</v>
      </c>
      <c r="C104" s="26" t="s">
        <v>3</v>
      </c>
      <c r="D104" s="27"/>
      <c r="E104" s="28"/>
      <c r="F104" s="28"/>
      <c r="G104" s="29">
        <f t="shared" ref="G104:I106" si="33">_xlfn.STDEV.P(G90,G93,G96)</f>
        <v>1.9489712385997096</v>
      </c>
      <c r="H104" s="29">
        <f t="shared" si="33"/>
        <v>4.3503349242103397E-2</v>
      </c>
      <c r="I104" s="29">
        <f t="shared" si="33"/>
        <v>6.4589187961656025E-2</v>
      </c>
    </row>
    <row r="105" spans="1:17" x14ac:dyDescent="0.3">
      <c r="B105" s="25"/>
      <c r="C105" s="26" t="s">
        <v>4</v>
      </c>
      <c r="D105" s="27"/>
      <c r="E105" s="28"/>
      <c r="F105" s="28"/>
      <c r="G105" s="29">
        <f t="shared" si="33"/>
        <v>3.6927346085101869</v>
      </c>
      <c r="H105" s="29">
        <f t="shared" si="33"/>
        <v>6.9910194902478642E-2</v>
      </c>
      <c r="I105" s="29">
        <f t="shared" si="33"/>
        <v>7.1724388112466453E-2</v>
      </c>
    </row>
    <row r="106" spans="1:17" ht="15" thickBot="1" x14ac:dyDescent="0.35">
      <c r="A106" s="19"/>
      <c r="B106" s="30"/>
      <c r="C106" s="31" t="s">
        <v>5</v>
      </c>
      <c r="D106" s="32"/>
      <c r="E106" s="33"/>
      <c r="F106" s="33"/>
      <c r="G106" s="34">
        <f t="shared" si="33"/>
        <v>1.6607829478893381</v>
      </c>
      <c r="H106" s="34">
        <f t="shared" si="33"/>
        <v>4.4136738225597286E-2</v>
      </c>
      <c r="I106" s="34">
        <f t="shared" si="33"/>
        <v>0.10287048749651308</v>
      </c>
    </row>
    <row r="107" spans="1:17" ht="15" thickBot="1" x14ac:dyDescent="0.35">
      <c r="A107" s="1" t="s">
        <v>9</v>
      </c>
      <c r="B107" s="4">
        <v>1</v>
      </c>
      <c r="C107" s="1" t="s">
        <v>11</v>
      </c>
      <c r="D107" s="3">
        <v>43956</v>
      </c>
      <c r="E107" s="2"/>
      <c r="N107" s="36" t="s">
        <v>13</v>
      </c>
      <c r="P107" s="36" t="s">
        <v>14</v>
      </c>
    </row>
    <row r="108" spans="1:17" ht="15" thickTop="1" x14ac:dyDescent="0.3">
      <c r="A108" s="1" t="s">
        <v>9</v>
      </c>
      <c r="B108" s="4">
        <v>2</v>
      </c>
      <c r="C108" s="1" t="s">
        <v>3</v>
      </c>
      <c r="D108" s="3">
        <v>43956</v>
      </c>
      <c r="E108" s="2">
        <v>39</v>
      </c>
      <c r="G108" s="2">
        <f>9.92+3.39+11.58</f>
        <v>24.89</v>
      </c>
      <c r="H108" s="14">
        <f>G108/E108</f>
        <v>0.6382051282051282</v>
      </c>
      <c r="I108" s="14">
        <f>I73+H108</f>
        <v>2.0269230769230768</v>
      </c>
      <c r="K108" s="84">
        <v>43956</v>
      </c>
      <c r="L108" s="85" t="s">
        <v>3</v>
      </c>
      <c r="M108" t="s">
        <v>17</v>
      </c>
      <c r="N108" s="35">
        <f>H118</f>
        <v>0.60507738507738518</v>
      </c>
      <c r="O108" s="35">
        <f>H121</f>
        <v>3.4293659294516263E-2</v>
      </c>
      <c r="P108" s="35">
        <f>I118</f>
        <v>2.055911295911296</v>
      </c>
      <c r="Q108" s="35">
        <f>I121</f>
        <v>5.8750152191781778E-2</v>
      </c>
    </row>
    <row r="109" spans="1:17" x14ac:dyDescent="0.3">
      <c r="A109" s="1" t="s">
        <v>9</v>
      </c>
      <c r="B109" s="4">
        <v>3</v>
      </c>
      <c r="C109" s="1" t="s">
        <v>4</v>
      </c>
      <c r="D109" s="3">
        <v>43956</v>
      </c>
      <c r="E109" s="2">
        <v>37</v>
      </c>
      <c r="G109" s="2">
        <f>10.6+9.22</f>
        <v>19.82</v>
      </c>
      <c r="H109" s="14">
        <f t="shared" ref="H109:H116" si="34">G109/E109</f>
        <v>0.53567567567567564</v>
      </c>
      <c r="I109" s="14">
        <f t="shared" ref="I109:I116" si="35">I74+H109</f>
        <v>1.9748648648648648</v>
      </c>
      <c r="K109" s="84"/>
      <c r="L109" s="85"/>
      <c r="M109" t="s">
        <v>18</v>
      </c>
      <c r="N109" s="35">
        <f>H136</f>
        <v>0.38357657657657657</v>
      </c>
      <c r="O109" s="35">
        <f>H139</f>
        <v>6.485516099836898E-2</v>
      </c>
      <c r="P109" s="35">
        <f>I136</f>
        <v>1.4782488738738742</v>
      </c>
      <c r="Q109" s="35">
        <f>I139</f>
        <v>1.3626947428900322E-2</v>
      </c>
    </row>
    <row r="110" spans="1:17" x14ac:dyDescent="0.3">
      <c r="A110" s="1" t="s">
        <v>9</v>
      </c>
      <c r="B110" s="4">
        <v>4</v>
      </c>
      <c r="C110" s="1" t="s">
        <v>5</v>
      </c>
      <c r="D110" s="3">
        <v>43956</v>
      </c>
      <c r="E110" s="2">
        <v>37</v>
      </c>
      <c r="G110" s="2">
        <f>19.39+4.91</f>
        <v>24.3</v>
      </c>
      <c r="H110" s="14">
        <f t="shared" si="34"/>
        <v>0.65675675675675682</v>
      </c>
      <c r="I110" s="14">
        <f t="shared" si="35"/>
        <v>2.2200000000000002</v>
      </c>
      <c r="K110" s="84"/>
      <c r="L110" s="85" t="s">
        <v>4</v>
      </c>
      <c r="M110" t="s">
        <v>17</v>
      </c>
      <c r="N110" s="35">
        <f>H119</f>
        <v>0.57522522522522523</v>
      </c>
      <c r="O110" s="35">
        <f>H122</f>
        <v>4.3756154853620985E-2</v>
      </c>
      <c r="P110" s="35">
        <f>I119</f>
        <v>2.0175675675675677</v>
      </c>
      <c r="Q110" s="35">
        <f>I122</f>
        <v>7.3567481515263516E-2</v>
      </c>
    </row>
    <row r="111" spans="1:17" x14ac:dyDescent="0.3">
      <c r="A111" s="1" t="s">
        <v>9</v>
      </c>
      <c r="B111" s="4">
        <v>5</v>
      </c>
      <c r="C111" s="1" t="s">
        <v>3</v>
      </c>
      <c r="D111" s="3">
        <v>43956</v>
      </c>
      <c r="E111" s="2">
        <v>37</v>
      </c>
      <c r="G111" s="2">
        <f>19.42+3.49</f>
        <v>22.910000000000004</v>
      </c>
      <c r="H111" s="14">
        <f t="shared" si="34"/>
        <v>0.6191891891891893</v>
      </c>
      <c r="I111" s="14">
        <f t="shared" si="35"/>
        <v>2.137837837837838</v>
      </c>
      <c r="K111" s="84"/>
      <c r="L111" s="85"/>
      <c r="M111" t="s">
        <v>18</v>
      </c>
      <c r="N111" s="35">
        <f>H137</f>
        <v>0.37593553960659226</v>
      </c>
      <c r="O111" s="35">
        <f>H140</f>
        <v>5.0724548967602326E-2</v>
      </c>
      <c r="P111" s="35">
        <f>I137</f>
        <v>1.4034662413609782</v>
      </c>
      <c r="Q111" s="35">
        <f>I140</f>
        <v>2.1013018259847967E-2</v>
      </c>
    </row>
    <row r="112" spans="1:17" x14ac:dyDescent="0.3">
      <c r="A112" s="1" t="s">
        <v>9</v>
      </c>
      <c r="B112" s="4">
        <v>6</v>
      </c>
      <c r="C112" s="1" t="s">
        <v>4</v>
      </c>
      <c r="D112" s="3">
        <v>43956</v>
      </c>
      <c r="E112" s="2">
        <v>37</v>
      </c>
      <c r="G112" s="2">
        <f>15.95+7.59</f>
        <v>23.54</v>
      </c>
      <c r="H112" s="14">
        <f t="shared" si="34"/>
        <v>0.63621621621621616</v>
      </c>
      <c r="I112" s="14">
        <f t="shared" si="35"/>
        <v>2.1210810810810807</v>
      </c>
      <c r="K112" s="84"/>
      <c r="L112" s="85" t="s">
        <v>5</v>
      </c>
      <c r="M112" t="s">
        <v>17</v>
      </c>
      <c r="N112" s="35">
        <f>H120</f>
        <v>0.58057136083451877</v>
      </c>
      <c r="O112" s="35">
        <f>H123</f>
        <v>5.7352620553973471E-2</v>
      </c>
      <c r="P112" s="35">
        <f>I120</f>
        <v>1.9182242769084876</v>
      </c>
      <c r="Q112" s="35">
        <f>I123</f>
        <v>0.26881710585306917</v>
      </c>
    </row>
    <row r="113" spans="1:17" x14ac:dyDescent="0.3">
      <c r="A113" s="1" t="s">
        <v>9</v>
      </c>
      <c r="B113" s="4">
        <v>7</v>
      </c>
      <c r="C113" s="1" t="s">
        <v>5</v>
      </c>
      <c r="D113" s="3">
        <v>43956</v>
      </c>
      <c r="E113" s="2">
        <v>37</v>
      </c>
      <c r="G113" s="2">
        <v>19.18</v>
      </c>
      <c r="H113" s="14">
        <f t="shared" si="34"/>
        <v>0.51837837837837841</v>
      </c>
      <c r="I113" s="14">
        <f t="shared" si="35"/>
        <v>1.9675675675675677</v>
      </c>
      <c r="K113" s="84"/>
      <c r="L113" s="85"/>
      <c r="M113" t="s">
        <v>18</v>
      </c>
      <c r="N113" s="35">
        <f>H138</f>
        <v>0.40071491228070172</v>
      </c>
      <c r="O113" s="35">
        <f>H141</f>
        <v>7.4449678678141881E-2</v>
      </c>
      <c r="P113" s="35">
        <f>I138</f>
        <v>1.4728435672514619</v>
      </c>
      <c r="Q113" s="35">
        <f>I141</f>
        <v>5.596947889824095E-2</v>
      </c>
    </row>
    <row r="114" spans="1:17" x14ac:dyDescent="0.3">
      <c r="A114" s="1" t="s">
        <v>9</v>
      </c>
      <c r="B114" s="4">
        <v>8</v>
      </c>
      <c r="C114" s="1" t="s">
        <v>3</v>
      </c>
      <c r="D114" s="3">
        <v>43956</v>
      </c>
      <c r="E114" s="2">
        <v>37</v>
      </c>
      <c r="G114" s="2">
        <v>20.64</v>
      </c>
      <c r="H114" s="14">
        <f t="shared" si="34"/>
        <v>0.5578378378378378</v>
      </c>
      <c r="I114" s="14">
        <f>I79+H114</f>
        <v>2.0029729729729731</v>
      </c>
    </row>
    <row r="115" spans="1:17" x14ac:dyDescent="0.3">
      <c r="A115" s="1" t="s">
        <v>9</v>
      </c>
      <c r="B115" s="4">
        <v>9</v>
      </c>
      <c r="C115" s="1" t="s">
        <v>4</v>
      </c>
      <c r="D115" s="3">
        <v>43956</v>
      </c>
      <c r="E115" s="2">
        <v>37</v>
      </c>
      <c r="G115" s="2">
        <v>20.49</v>
      </c>
      <c r="H115" s="14">
        <f t="shared" si="34"/>
        <v>0.55378378378378379</v>
      </c>
      <c r="I115" s="14">
        <f t="shared" si="35"/>
        <v>1.9567567567567568</v>
      </c>
    </row>
    <row r="116" spans="1:17" x14ac:dyDescent="0.3">
      <c r="A116" s="1" t="s">
        <v>9</v>
      </c>
      <c r="B116" s="4">
        <v>10</v>
      </c>
      <c r="C116" s="1" t="s">
        <v>5</v>
      </c>
      <c r="D116" s="3">
        <v>43956</v>
      </c>
      <c r="E116" s="2">
        <v>38</v>
      </c>
      <c r="G116" s="2">
        <v>21.53</v>
      </c>
      <c r="H116" s="14">
        <f t="shared" si="34"/>
        <v>0.56657894736842107</v>
      </c>
      <c r="I116" s="14">
        <f t="shared" si="35"/>
        <v>1.5671052631578948</v>
      </c>
    </row>
    <row r="117" spans="1:17" ht="15" thickBot="1" x14ac:dyDescent="0.35">
      <c r="A117" s="9" t="s">
        <v>9</v>
      </c>
      <c r="B117" s="15">
        <v>11</v>
      </c>
      <c r="C117" s="9" t="s">
        <v>3</v>
      </c>
      <c r="D117" s="16">
        <v>43956</v>
      </c>
      <c r="E117" s="17"/>
      <c r="F117" s="18"/>
      <c r="G117" s="18"/>
      <c r="H117" s="18"/>
      <c r="I117" s="18"/>
    </row>
    <row r="118" spans="1:17" ht="15" thickTop="1" x14ac:dyDescent="0.3">
      <c r="B118" s="20" t="s">
        <v>15</v>
      </c>
      <c r="C118" s="21" t="s">
        <v>3</v>
      </c>
      <c r="D118" s="22"/>
      <c r="E118" s="23"/>
      <c r="F118" s="23"/>
      <c r="G118" s="24">
        <f>AVERAGE(G108,G111,G114)</f>
        <v>22.813333333333333</v>
      </c>
      <c r="H118" s="24">
        <f t="shared" ref="H118:I118" si="36">AVERAGE(H108,H111,H114)</f>
        <v>0.60507738507738518</v>
      </c>
      <c r="I118" s="24">
        <f t="shared" si="36"/>
        <v>2.055911295911296</v>
      </c>
    </row>
    <row r="119" spans="1:17" x14ac:dyDescent="0.3">
      <c r="B119" s="20"/>
      <c r="C119" s="21" t="s">
        <v>4</v>
      </c>
      <c r="D119" s="22"/>
      <c r="E119" s="23"/>
      <c r="F119" s="23"/>
      <c r="G119" s="24">
        <f t="shared" ref="G119:I120" si="37">AVERAGE(G109,G112,G115)</f>
        <v>21.283333333333331</v>
      </c>
      <c r="H119" s="24">
        <f t="shared" si="37"/>
        <v>0.57522522522522523</v>
      </c>
      <c r="I119" s="24">
        <f t="shared" si="37"/>
        <v>2.0175675675675677</v>
      </c>
    </row>
    <row r="120" spans="1:17" x14ac:dyDescent="0.3">
      <c r="B120" s="20"/>
      <c r="C120" s="21" t="s">
        <v>5</v>
      </c>
      <c r="D120" s="22"/>
      <c r="E120" s="23"/>
      <c r="F120" s="23"/>
      <c r="G120" s="24">
        <f>AVERAGE(G110,G113,G116)</f>
        <v>21.67</v>
      </c>
      <c r="H120" s="24">
        <f t="shared" si="37"/>
        <v>0.58057136083451877</v>
      </c>
      <c r="I120" s="24">
        <f t="shared" si="37"/>
        <v>1.9182242769084876</v>
      </c>
    </row>
    <row r="121" spans="1:17" x14ac:dyDescent="0.3">
      <c r="B121" s="25" t="s">
        <v>16</v>
      </c>
      <c r="C121" s="26" t="s">
        <v>3</v>
      </c>
      <c r="D121" s="27"/>
      <c r="E121" s="28"/>
      <c r="F121" s="28"/>
      <c r="G121" s="29">
        <f>_xlfn.STDEV.P(G108,G111,G114)</f>
        <v>1.7364011313313779</v>
      </c>
      <c r="H121" s="29">
        <f t="shared" ref="H121:I123" si="38">_xlfn.STDEV.P(H108,H111,H114)</f>
        <v>3.4293659294516263E-2</v>
      </c>
      <c r="I121" s="29">
        <f t="shared" si="38"/>
        <v>5.8750152191781778E-2</v>
      </c>
    </row>
    <row r="122" spans="1:17" x14ac:dyDescent="0.3">
      <c r="B122" s="25"/>
      <c r="C122" s="26" t="s">
        <v>4</v>
      </c>
      <c r="D122" s="27"/>
      <c r="E122" s="28"/>
      <c r="F122" s="28"/>
      <c r="G122" s="29">
        <f>_xlfn.STDEV.P(G109,G112,G115)</f>
        <v>1.6189777295839769</v>
      </c>
      <c r="H122" s="29">
        <f t="shared" si="38"/>
        <v>4.3756154853620985E-2</v>
      </c>
      <c r="I122" s="29">
        <f t="shared" si="38"/>
        <v>7.3567481515263516E-2</v>
      </c>
    </row>
    <row r="123" spans="1:17" ht="15" thickBot="1" x14ac:dyDescent="0.35">
      <c r="A123" s="19"/>
      <c r="B123" s="30"/>
      <c r="C123" s="31" t="s">
        <v>5</v>
      </c>
      <c r="D123" s="32"/>
      <c r="E123" s="33"/>
      <c r="F123" s="33"/>
      <c r="G123" s="34">
        <f>_xlfn.STDEV.P(G110,G113,G116)</f>
        <v>2.092574172321418</v>
      </c>
      <c r="H123" s="34">
        <f t="shared" si="38"/>
        <v>5.7352620553973471E-2</v>
      </c>
      <c r="I123" s="34">
        <f t="shared" si="38"/>
        <v>0.26881710585306917</v>
      </c>
    </row>
    <row r="124" spans="1:17" x14ac:dyDescent="0.3">
      <c r="A124" s="1" t="s">
        <v>10</v>
      </c>
      <c r="B124" s="4">
        <v>12</v>
      </c>
      <c r="C124" s="1" t="s">
        <v>3</v>
      </c>
      <c r="D124" s="3">
        <v>43956</v>
      </c>
      <c r="E124" s="2"/>
    </row>
    <row r="125" spans="1:17" x14ac:dyDescent="0.3">
      <c r="A125" s="1" t="s">
        <v>10</v>
      </c>
      <c r="B125" s="4">
        <v>13</v>
      </c>
      <c r="C125" s="1" t="s">
        <v>3</v>
      </c>
      <c r="D125" s="3">
        <v>43956</v>
      </c>
      <c r="E125" s="2">
        <v>32</v>
      </c>
      <c r="G125" s="4">
        <v>9.36</v>
      </c>
      <c r="H125" s="14">
        <f>G125/E125</f>
        <v>0.29249999999999998</v>
      </c>
      <c r="I125" s="14">
        <f>I90+H125</f>
        <v>1.4781249999999999</v>
      </c>
    </row>
    <row r="126" spans="1:17" x14ac:dyDescent="0.3">
      <c r="A126" s="1" t="s">
        <v>10</v>
      </c>
      <c r="B126" s="4">
        <v>14</v>
      </c>
      <c r="C126" s="1" t="s">
        <v>4</v>
      </c>
      <c r="D126" s="3">
        <v>43956</v>
      </c>
      <c r="E126" s="2">
        <v>33</v>
      </c>
      <c r="G126" s="4">
        <v>13.96</v>
      </c>
      <c r="H126" s="14">
        <f t="shared" ref="H126:H133" si="39">G126/E126</f>
        <v>0.42303030303030303</v>
      </c>
      <c r="I126" s="14">
        <f t="shared" ref="I126:I134" si="40">I91+H126</f>
        <v>1.3830303030303031</v>
      </c>
    </row>
    <row r="127" spans="1:17" x14ac:dyDescent="0.3">
      <c r="A127" s="1" t="s">
        <v>10</v>
      </c>
      <c r="B127" s="4">
        <v>15</v>
      </c>
      <c r="C127" s="1" t="s">
        <v>5</v>
      </c>
      <c r="D127" s="3">
        <v>43956</v>
      </c>
      <c r="E127" s="2">
        <v>38</v>
      </c>
      <c r="G127" s="4">
        <v>11.32</v>
      </c>
      <c r="H127" s="14">
        <f t="shared" si="39"/>
        <v>0.29789473684210527</v>
      </c>
      <c r="I127" s="14">
        <f t="shared" si="40"/>
        <v>1.4739473684210525</v>
      </c>
    </row>
    <row r="128" spans="1:17" x14ac:dyDescent="0.3">
      <c r="A128" s="1" t="s">
        <v>10</v>
      </c>
      <c r="B128" s="4">
        <v>16</v>
      </c>
      <c r="C128" s="1" t="s">
        <v>3</v>
      </c>
      <c r="D128" s="3">
        <v>43956</v>
      </c>
      <c r="E128" s="2">
        <v>40</v>
      </c>
      <c r="G128" s="4">
        <v>17.54</v>
      </c>
      <c r="H128" s="14">
        <f t="shared" si="39"/>
        <v>0.4385</v>
      </c>
      <c r="I128" s="14">
        <f t="shared" si="40"/>
        <v>1.4950000000000001</v>
      </c>
    </row>
    <row r="129" spans="1:25" x14ac:dyDescent="0.3">
      <c r="A129" s="1" t="s">
        <v>10</v>
      </c>
      <c r="B129" s="4">
        <v>17</v>
      </c>
      <c r="C129" s="1" t="s">
        <v>4</v>
      </c>
      <c r="D129" s="3">
        <v>43956</v>
      </c>
      <c r="E129" s="2">
        <v>38</v>
      </c>
      <c r="G129" s="2">
        <v>11.61</v>
      </c>
      <c r="H129" s="14">
        <f t="shared" si="39"/>
        <v>0.30552631578947365</v>
      </c>
      <c r="I129" s="14">
        <f t="shared" si="40"/>
        <v>1.4323684210526315</v>
      </c>
    </row>
    <row r="130" spans="1:25" x14ac:dyDescent="0.3">
      <c r="A130" s="1" t="s">
        <v>10</v>
      </c>
      <c r="B130" s="4">
        <v>18</v>
      </c>
      <c r="C130" s="1" t="s">
        <v>5</v>
      </c>
      <c r="D130" s="3">
        <v>43956</v>
      </c>
      <c r="E130" s="2">
        <v>40</v>
      </c>
      <c r="G130" s="2">
        <f>13.95+4.92</f>
        <v>18.869999999999997</v>
      </c>
      <c r="H130" s="14">
        <f t="shared" si="39"/>
        <v>0.47174999999999995</v>
      </c>
      <c r="I130" s="14">
        <f t="shared" si="40"/>
        <v>1.4037499999999998</v>
      </c>
    </row>
    <row r="131" spans="1:25" x14ac:dyDescent="0.3">
      <c r="A131" s="1" t="s">
        <v>10</v>
      </c>
      <c r="B131" s="4">
        <v>19</v>
      </c>
      <c r="C131" s="1" t="s">
        <v>3</v>
      </c>
      <c r="D131" s="3">
        <v>43956</v>
      </c>
      <c r="E131" s="2">
        <v>37</v>
      </c>
      <c r="G131" s="4">
        <v>15.53</v>
      </c>
      <c r="H131" s="14">
        <f t="shared" si="39"/>
        <v>0.41972972972972972</v>
      </c>
      <c r="I131" s="14">
        <f t="shared" si="40"/>
        <v>1.4616216216216218</v>
      </c>
    </row>
    <row r="132" spans="1:25" x14ac:dyDescent="0.3">
      <c r="A132" s="1" t="s">
        <v>10</v>
      </c>
      <c r="B132" s="4">
        <v>20</v>
      </c>
      <c r="C132" s="1" t="s">
        <v>4</v>
      </c>
      <c r="D132" s="3">
        <v>43956</v>
      </c>
      <c r="E132" s="2">
        <v>40</v>
      </c>
      <c r="G132" s="4">
        <v>15.97</v>
      </c>
      <c r="H132" s="14">
        <f t="shared" si="39"/>
        <v>0.39924999999999999</v>
      </c>
      <c r="I132" s="14">
        <f t="shared" si="40"/>
        <v>1.395</v>
      </c>
    </row>
    <row r="133" spans="1:25" x14ac:dyDescent="0.3">
      <c r="A133" s="1" t="s">
        <v>10</v>
      </c>
      <c r="B133" s="4">
        <v>21</v>
      </c>
      <c r="C133" s="1" t="s">
        <v>5</v>
      </c>
      <c r="D133" s="3">
        <v>43956</v>
      </c>
      <c r="E133" s="2">
        <v>36</v>
      </c>
      <c r="G133" s="4">
        <v>15.57</v>
      </c>
      <c r="H133" s="14">
        <f t="shared" si="39"/>
        <v>0.4325</v>
      </c>
      <c r="I133" s="14">
        <f t="shared" si="40"/>
        <v>1.5408333333333335</v>
      </c>
    </row>
    <row r="134" spans="1:25" x14ac:dyDescent="0.3">
      <c r="A134" s="1" t="s">
        <v>10</v>
      </c>
      <c r="B134" s="4">
        <v>22</v>
      </c>
      <c r="C134" s="1" t="s">
        <v>3</v>
      </c>
      <c r="D134" s="3">
        <v>43956</v>
      </c>
      <c r="E134" s="2">
        <v>38</v>
      </c>
      <c r="G134" s="4">
        <v>15.93</v>
      </c>
      <c r="H134" s="14">
        <f>G134/E134</f>
        <v>0.41921052631578948</v>
      </c>
      <c r="I134" s="14">
        <f t="shared" si="40"/>
        <v>1.6365789473684211</v>
      </c>
    </row>
    <row r="135" spans="1:25" s="8" customFormat="1" x14ac:dyDescent="0.3">
      <c r="A135" s="5" t="s">
        <v>10</v>
      </c>
      <c r="B135" s="6">
        <v>23</v>
      </c>
      <c r="C135" s="5" t="s">
        <v>3</v>
      </c>
      <c r="D135" s="7">
        <v>43956</v>
      </c>
      <c r="E135" s="13"/>
      <c r="Y135"/>
    </row>
    <row r="136" spans="1:25" x14ac:dyDescent="0.3">
      <c r="B136" s="20" t="s">
        <v>15</v>
      </c>
      <c r="C136" s="21" t="s">
        <v>3</v>
      </c>
      <c r="D136" s="22"/>
      <c r="E136" s="23"/>
      <c r="F136" s="23"/>
      <c r="G136" s="24">
        <f t="shared" ref="G136:I138" si="41">AVERAGE(G125,G128,G131)</f>
        <v>14.143333333333333</v>
      </c>
      <c r="H136" s="24">
        <f t="shared" si="41"/>
        <v>0.38357657657657657</v>
      </c>
      <c r="I136" s="24">
        <f t="shared" si="41"/>
        <v>1.4782488738738742</v>
      </c>
    </row>
    <row r="137" spans="1:25" x14ac:dyDescent="0.3">
      <c r="B137" s="20"/>
      <c r="C137" s="21" t="s">
        <v>4</v>
      </c>
      <c r="D137" s="22"/>
      <c r="E137" s="23"/>
      <c r="F137" s="23"/>
      <c r="G137" s="24">
        <f t="shared" si="41"/>
        <v>13.846666666666666</v>
      </c>
      <c r="H137" s="24">
        <f t="shared" si="41"/>
        <v>0.37593553960659226</v>
      </c>
      <c r="I137" s="24">
        <f t="shared" si="41"/>
        <v>1.4034662413609782</v>
      </c>
    </row>
    <row r="138" spans="1:25" x14ac:dyDescent="0.3">
      <c r="B138" s="20"/>
      <c r="C138" s="21" t="s">
        <v>5</v>
      </c>
      <c r="D138" s="22"/>
      <c r="E138" s="23"/>
      <c r="F138" s="23"/>
      <c r="G138" s="24">
        <f t="shared" si="41"/>
        <v>15.253333333333332</v>
      </c>
      <c r="H138" s="24">
        <f t="shared" si="41"/>
        <v>0.40071491228070172</v>
      </c>
      <c r="I138" s="24">
        <f t="shared" si="41"/>
        <v>1.4728435672514619</v>
      </c>
    </row>
    <row r="139" spans="1:25" x14ac:dyDescent="0.3">
      <c r="B139" s="25" t="s">
        <v>16</v>
      </c>
      <c r="C139" s="26" t="s">
        <v>3</v>
      </c>
      <c r="D139" s="27"/>
      <c r="E139" s="28"/>
      <c r="F139" s="28"/>
      <c r="G139" s="29">
        <f t="shared" ref="G139:I141" si="42">_xlfn.STDEV.P(G125,G128,G131)</f>
        <v>3.4804437775790711</v>
      </c>
      <c r="H139" s="29">
        <f t="shared" si="42"/>
        <v>6.485516099836898E-2</v>
      </c>
      <c r="I139" s="29">
        <f t="shared" si="42"/>
        <v>1.3626947428900322E-2</v>
      </c>
    </row>
    <row r="140" spans="1:25" x14ac:dyDescent="0.3">
      <c r="B140" s="25"/>
      <c r="C140" s="26" t="s">
        <v>4</v>
      </c>
      <c r="D140" s="27"/>
      <c r="E140" s="28"/>
      <c r="F140" s="28"/>
      <c r="G140" s="29">
        <f t="shared" si="42"/>
        <v>1.7817656660989112</v>
      </c>
      <c r="H140" s="29">
        <f t="shared" si="42"/>
        <v>5.0724548967602326E-2</v>
      </c>
      <c r="I140" s="29">
        <f t="shared" si="42"/>
        <v>2.1013018259847967E-2</v>
      </c>
    </row>
    <row r="141" spans="1:25" ht="15" thickBot="1" x14ac:dyDescent="0.35">
      <c r="A141" s="19"/>
      <c r="B141" s="30"/>
      <c r="C141" s="31" t="s">
        <v>5</v>
      </c>
      <c r="D141" s="32"/>
      <c r="E141" s="33"/>
      <c r="F141" s="33"/>
      <c r="G141" s="34">
        <f t="shared" si="42"/>
        <v>3.0903973135432921</v>
      </c>
      <c r="H141" s="34">
        <f t="shared" si="42"/>
        <v>7.4449678678141881E-2</v>
      </c>
      <c r="I141" s="34">
        <f t="shared" si="42"/>
        <v>5.596947889824095E-2</v>
      </c>
    </row>
    <row r="142" spans="1:25" ht="15" thickBot="1" x14ac:dyDescent="0.35">
      <c r="A142" s="1" t="s">
        <v>9</v>
      </c>
      <c r="B142" s="4">
        <v>1</v>
      </c>
      <c r="C142" s="1" t="s">
        <v>11</v>
      </c>
      <c r="D142" s="3">
        <v>43963</v>
      </c>
      <c r="E142" s="2"/>
      <c r="N142" s="36" t="s">
        <v>13</v>
      </c>
      <c r="P142" s="36" t="s">
        <v>14</v>
      </c>
    </row>
    <row r="143" spans="1:25" ht="15" thickTop="1" x14ac:dyDescent="0.3">
      <c r="A143" s="1" t="s">
        <v>9</v>
      </c>
      <c r="B143" s="4">
        <v>2</v>
      </c>
      <c r="C143" s="1" t="s">
        <v>3</v>
      </c>
      <c r="D143" s="3">
        <v>43963</v>
      </c>
      <c r="E143" s="2">
        <v>39</v>
      </c>
      <c r="G143" s="2">
        <v>18.43</v>
      </c>
      <c r="H143" s="14">
        <f>G143/E143</f>
        <v>0.47256410256410258</v>
      </c>
      <c r="I143" s="14">
        <f>I108+H143</f>
        <v>2.4994871794871796</v>
      </c>
      <c r="K143" s="84">
        <v>43963</v>
      </c>
      <c r="L143" s="85" t="s">
        <v>3</v>
      </c>
      <c r="M143" t="s">
        <v>17</v>
      </c>
      <c r="N143" s="35">
        <f>H153</f>
        <v>0.49833217833217835</v>
      </c>
      <c r="O143" s="35">
        <f>H156</f>
        <v>3.8852424182817993E-2</v>
      </c>
      <c r="P143" s="35">
        <f>I153</f>
        <v>2.5542434742434748</v>
      </c>
      <c r="Q143" s="35">
        <f>I156</f>
        <v>4.392511419367956E-2</v>
      </c>
    </row>
    <row r="144" spans="1:25" x14ac:dyDescent="0.3">
      <c r="A144" s="1" t="s">
        <v>9</v>
      </c>
      <c r="B144" s="4">
        <v>3</v>
      </c>
      <c r="C144" s="1" t="s">
        <v>4</v>
      </c>
      <c r="D144" s="3">
        <v>43963</v>
      </c>
      <c r="E144" s="2">
        <v>37</v>
      </c>
      <c r="G144" s="2">
        <v>19.3</v>
      </c>
      <c r="H144" s="14">
        <f t="shared" ref="H144:H151" si="43">G144/E144</f>
        <v>0.52162162162162162</v>
      </c>
      <c r="I144" s="14">
        <f t="shared" ref="I144:I151" si="44">I109+H144</f>
        <v>2.4964864864864866</v>
      </c>
      <c r="K144" s="84"/>
      <c r="L144" s="85"/>
      <c r="M144" t="s">
        <v>18</v>
      </c>
      <c r="N144" s="35">
        <f>H171</f>
        <v>0.47395101351351349</v>
      </c>
      <c r="O144" s="35">
        <f>H174</f>
        <v>4.8996437770684749E-2</v>
      </c>
      <c r="P144" s="35">
        <f>I171</f>
        <v>1.9521998873873876</v>
      </c>
      <c r="Q144" s="35">
        <f>I174</f>
        <v>4.0814500299649017E-2</v>
      </c>
    </row>
    <row r="145" spans="1:17" x14ac:dyDescent="0.3">
      <c r="A145" s="1" t="s">
        <v>9</v>
      </c>
      <c r="B145" s="4">
        <v>4</v>
      </c>
      <c r="C145" s="1" t="s">
        <v>5</v>
      </c>
      <c r="D145" s="3">
        <v>43963</v>
      </c>
      <c r="E145" s="2">
        <v>37</v>
      </c>
      <c r="G145" s="2">
        <v>18.440000000000001</v>
      </c>
      <c r="H145" s="14">
        <f t="shared" si="43"/>
        <v>0.49837837837837839</v>
      </c>
      <c r="I145" s="14">
        <f t="shared" si="44"/>
        <v>2.7183783783783788</v>
      </c>
      <c r="K145" s="84"/>
      <c r="L145" s="85" t="s">
        <v>4</v>
      </c>
      <c r="M145" t="s">
        <v>17</v>
      </c>
      <c r="N145" s="35">
        <f>H154</f>
        <v>0.55144144144144136</v>
      </c>
      <c r="O145" s="35">
        <f>H157</f>
        <v>4.1599580763684488E-2</v>
      </c>
      <c r="P145" s="35">
        <f>I154</f>
        <v>2.5690090090090085</v>
      </c>
      <c r="Q145" s="35">
        <f>I157</f>
        <v>0.11501036536285583</v>
      </c>
    </row>
    <row r="146" spans="1:17" x14ac:dyDescent="0.3">
      <c r="A146" s="1" t="s">
        <v>9</v>
      </c>
      <c r="B146" s="4">
        <v>5</v>
      </c>
      <c r="C146" s="1" t="s">
        <v>3</v>
      </c>
      <c r="D146" s="3">
        <v>43963</v>
      </c>
      <c r="E146" s="2">
        <v>37</v>
      </c>
      <c r="G146" s="2">
        <v>17.36</v>
      </c>
      <c r="H146" s="14">
        <f t="shared" si="43"/>
        <v>0.46918918918918917</v>
      </c>
      <c r="I146" s="14">
        <f t="shared" si="44"/>
        <v>2.6070270270270273</v>
      </c>
      <c r="K146" s="84"/>
      <c r="L146" s="85"/>
      <c r="M146" t="s">
        <v>18</v>
      </c>
      <c r="N146" s="35">
        <f>H172</f>
        <v>0.41514766081871346</v>
      </c>
      <c r="O146" s="35">
        <f>H175</f>
        <v>5.7545174569260719E-2</v>
      </c>
      <c r="P146" s="35">
        <f>I172</f>
        <v>1.8186139021796917</v>
      </c>
      <c r="Q146" s="35">
        <f>I175</f>
        <v>6.0375509798739901E-2</v>
      </c>
    </row>
    <row r="147" spans="1:17" x14ac:dyDescent="0.3">
      <c r="A147" s="1" t="s">
        <v>9</v>
      </c>
      <c r="B147" s="4">
        <v>6</v>
      </c>
      <c r="C147" s="1" t="s">
        <v>4</v>
      </c>
      <c r="D147" s="3">
        <v>43963</v>
      </c>
      <c r="E147" s="2">
        <v>37</v>
      </c>
      <c r="G147" s="2">
        <v>22.58</v>
      </c>
      <c r="H147" s="14">
        <f t="shared" si="43"/>
        <v>0.61027027027027025</v>
      </c>
      <c r="I147" s="14">
        <f t="shared" si="44"/>
        <v>2.7313513513513508</v>
      </c>
      <c r="K147" s="84"/>
      <c r="L147" s="85" t="s">
        <v>5</v>
      </c>
      <c r="M147" t="s">
        <v>17</v>
      </c>
      <c r="N147" s="35">
        <f>H155</f>
        <v>0.54243480322427684</v>
      </c>
      <c r="O147" s="35">
        <f>H158</f>
        <v>3.7367479011235577E-2</v>
      </c>
      <c r="P147" s="35">
        <f>I155</f>
        <v>2.4606590801327646</v>
      </c>
      <c r="Q147" s="35">
        <f>I158</f>
        <v>0.23155200042125976</v>
      </c>
    </row>
    <row r="148" spans="1:17" x14ac:dyDescent="0.3">
      <c r="A148" s="1" t="s">
        <v>9</v>
      </c>
      <c r="B148" s="4">
        <v>7</v>
      </c>
      <c r="C148" s="1" t="s">
        <v>5</v>
      </c>
      <c r="D148" s="3">
        <v>43963</v>
      </c>
      <c r="E148" s="2">
        <v>37</v>
      </c>
      <c r="G148" s="2">
        <v>19.95</v>
      </c>
      <c r="H148" s="14">
        <f t="shared" si="43"/>
        <v>0.53918918918918912</v>
      </c>
      <c r="I148" s="14">
        <f t="shared" si="44"/>
        <v>2.506756756756757</v>
      </c>
      <c r="K148" s="84"/>
      <c r="L148" s="85"/>
      <c r="M148" t="s">
        <v>18</v>
      </c>
      <c r="N148" s="35">
        <f>H173</f>
        <v>0.43384697855750493</v>
      </c>
      <c r="O148" s="35">
        <f>H176</f>
        <v>3.8659154956141327E-2</v>
      </c>
      <c r="P148" s="35">
        <f>I173</f>
        <v>1.9066905458089669</v>
      </c>
      <c r="Q148" s="35">
        <f>I176</f>
        <v>3.0116521655384088E-2</v>
      </c>
    </row>
    <row r="149" spans="1:17" x14ac:dyDescent="0.3">
      <c r="A149" s="1" t="s">
        <v>9</v>
      </c>
      <c r="B149" s="4">
        <v>8</v>
      </c>
      <c r="C149" s="1" t="s">
        <v>3</v>
      </c>
      <c r="D149" s="3">
        <v>43963</v>
      </c>
      <c r="E149" s="2">
        <v>37</v>
      </c>
      <c r="G149" s="2">
        <v>20.47</v>
      </c>
      <c r="H149" s="14">
        <f t="shared" si="43"/>
        <v>0.55324324324324325</v>
      </c>
      <c r="I149" s="14">
        <f t="shared" si="44"/>
        <v>2.5562162162162165</v>
      </c>
    </row>
    <row r="150" spans="1:17" x14ac:dyDescent="0.3">
      <c r="A150" s="1" t="s">
        <v>9</v>
      </c>
      <c r="B150" s="4">
        <v>9</v>
      </c>
      <c r="C150" s="1" t="s">
        <v>4</v>
      </c>
      <c r="D150" s="3">
        <v>43963</v>
      </c>
      <c r="E150" s="2">
        <v>37</v>
      </c>
      <c r="G150" s="2">
        <v>19.329999999999998</v>
      </c>
      <c r="H150" s="14">
        <f t="shared" si="43"/>
        <v>0.52243243243243243</v>
      </c>
      <c r="I150" s="14">
        <f t="shared" si="44"/>
        <v>2.4791891891891891</v>
      </c>
    </row>
    <row r="151" spans="1:17" x14ac:dyDescent="0.3">
      <c r="A151" s="1" t="s">
        <v>9</v>
      </c>
      <c r="B151" s="4">
        <v>10</v>
      </c>
      <c r="C151" s="1" t="s">
        <v>5</v>
      </c>
      <c r="D151" s="3">
        <v>43963</v>
      </c>
      <c r="E151" s="2">
        <v>38</v>
      </c>
      <c r="G151" s="2">
        <v>22.41</v>
      </c>
      <c r="H151" s="14">
        <f t="shared" si="43"/>
        <v>0.58973684210526311</v>
      </c>
      <c r="I151" s="14">
        <f t="shared" si="44"/>
        <v>2.1568421052631579</v>
      </c>
    </row>
    <row r="152" spans="1:17" ht="15" thickBot="1" x14ac:dyDescent="0.35">
      <c r="A152" s="9" t="s">
        <v>9</v>
      </c>
      <c r="B152" s="15">
        <v>11</v>
      </c>
      <c r="C152" s="9" t="s">
        <v>3</v>
      </c>
      <c r="D152" s="16">
        <v>43963</v>
      </c>
      <c r="E152" s="17"/>
      <c r="F152" s="18"/>
      <c r="G152" s="18"/>
      <c r="H152" s="18"/>
      <c r="I152" s="18"/>
    </row>
    <row r="153" spans="1:17" ht="15" thickTop="1" x14ac:dyDescent="0.3">
      <c r="B153" s="20" t="s">
        <v>15</v>
      </c>
      <c r="C153" s="21" t="s">
        <v>3</v>
      </c>
      <c r="D153" s="22"/>
      <c r="E153" s="23"/>
      <c r="F153" s="23"/>
      <c r="G153" s="24">
        <f>AVERAGE(G143,G146,G149)</f>
        <v>18.753333333333334</v>
      </c>
      <c r="H153" s="24">
        <f t="shared" ref="H153" si="45">AVERAGE(H143,H146,H149)</f>
        <v>0.49833217833217835</v>
      </c>
      <c r="I153" s="24">
        <f>AVERAGE(I143,I146,I149)</f>
        <v>2.5542434742434748</v>
      </c>
    </row>
    <row r="154" spans="1:17" x14ac:dyDescent="0.3">
      <c r="B154" s="20"/>
      <c r="C154" s="21" t="s">
        <v>4</v>
      </c>
      <c r="D154" s="22"/>
      <c r="E154" s="23"/>
      <c r="F154" s="23"/>
      <c r="G154" s="24">
        <f t="shared" ref="G154:I155" si="46">AVERAGE(G144,G147,G150)</f>
        <v>20.403333333333332</v>
      </c>
      <c r="H154" s="24">
        <f t="shared" si="46"/>
        <v>0.55144144144144136</v>
      </c>
      <c r="I154" s="24">
        <f t="shared" si="46"/>
        <v>2.5690090090090085</v>
      </c>
    </row>
    <row r="155" spans="1:17" x14ac:dyDescent="0.3">
      <c r="B155" s="20"/>
      <c r="C155" s="21" t="s">
        <v>5</v>
      </c>
      <c r="D155" s="22"/>
      <c r="E155" s="23"/>
      <c r="F155" s="23"/>
      <c r="G155" s="24">
        <f>AVERAGE(G145,G148,G151)</f>
        <v>20.266666666666666</v>
      </c>
      <c r="H155" s="24">
        <f t="shared" si="46"/>
        <v>0.54243480322427684</v>
      </c>
      <c r="I155" s="24">
        <f t="shared" si="46"/>
        <v>2.4606590801327646</v>
      </c>
    </row>
    <row r="156" spans="1:17" x14ac:dyDescent="0.3">
      <c r="B156" s="25" t="s">
        <v>16</v>
      </c>
      <c r="C156" s="26" t="s">
        <v>3</v>
      </c>
      <c r="D156" s="27"/>
      <c r="E156" s="28"/>
      <c r="F156" s="28"/>
      <c r="G156" s="29">
        <f>_xlfn.STDEV.P(G143,G146,G149)</f>
        <v>1.2900732106701882</v>
      </c>
      <c r="H156" s="29">
        <f t="shared" ref="H156:I158" si="47">_xlfn.STDEV.P(H143,H146,H149)</f>
        <v>3.8852424182817993E-2</v>
      </c>
      <c r="I156" s="29">
        <f t="shared" si="47"/>
        <v>4.392511419367956E-2</v>
      </c>
    </row>
    <row r="157" spans="1:17" x14ac:dyDescent="0.3">
      <c r="B157" s="25"/>
      <c r="C157" s="26" t="s">
        <v>4</v>
      </c>
      <c r="D157" s="27"/>
      <c r="E157" s="28"/>
      <c r="F157" s="28"/>
      <c r="G157" s="29">
        <f>_xlfn.STDEV.P(G144,G147,G150)</f>
        <v>1.5391844882563257</v>
      </c>
      <c r="H157" s="29">
        <f t="shared" si="47"/>
        <v>4.1599580763684488E-2</v>
      </c>
      <c r="I157" s="29">
        <f t="shared" si="47"/>
        <v>0.11501036536285583</v>
      </c>
    </row>
    <row r="158" spans="1:17" ht="15" thickBot="1" x14ac:dyDescent="0.35">
      <c r="A158" s="19"/>
      <c r="B158" s="30"/>
      <c r="C158" s="31" t="s">
        <v>5</v>
      </c>
      <c r="D158" s="32"/>
      <c r="E158" s="33"/>
      <c r="F158" s="33"/>
      <c r="G158" s="34">
        <f>_xlfn.STDEV.P(G145,G148,G151)</f>
        <v>1.6361404449360557</v>
      </c>
      <c r="H158" s="34">
        <f t="shared" si="47"/>
        <v>3.7367479011235577E-2</v>
      </c>
      <c r="I158" s="34">
        <f t="shared" si="47"/>
        <v>0.23155200042125976</v>
      </c>
    </row>
    <row r="159" spans="1:17" x14ac:dyDescent="0.3">
      <c r="A159" s="1" t="s">
        <v>10</v>
      </c>
      <c r="B159" s="4">
        <v>12</v>
      </c>
      <c r="C159" s="1" t="s">
        <v>3</v>
      </c>
      <c r="D159" s="3">
        <v>43963</v>
      </c>
      <c r="E159" s="2"/>
    </row>
    <row r="160" spans="1:17" x14ac:dyDescent="0.3">
      <c r="A160" s="1" t="s">
        <v>10</v>
      </c>
      <c r="B160" s="4">
        <v>13</v>
      </c>
      <c r="C160" s="1" t="s">
        <v>3</v>
      </c>
      <c r="D160" s="3">
        <v>43963</v>
      </c>
      <c r="E160" s="2">
        <v>32</v>
      </c>
      <c r="G160" s="4">
        <v>13.57</v>
      </c>
      <c r="H160" s="14">
        <f>G160/E160</f>
        <v>0.42406250000000001</v>
      </c>
      <c r="I160" s="14">
        <f>I125+H160</f>
        <v>1.9021874999999999</v>
      </c>
    </row>
    <row r="161" spans="1:24" x14ac:dyDescent="0.3">
      <c r="A161" s="1" t="s">
        <v>10</v>
      </c>
      <c r="B161" s="4">
        <v>14</v>
      </c>
      <c r="C161" s="1" t="s">
        <v>4</v>
      </c>
      <c r="D161" s="3">
        <v>43963</v>
      </c>
      <c r="E161" s="2">
        <v>33</v>
      </c>
      <c r="G161" s="4">
        <v>15.73</v>
      </c>
      <c r="H161" s="14">
        <f t="shared" ref="H161:H168" si="48">G161/E161</f>
        <v>0.47666666666666668</v>
      </c>
      <c r="I161" s="14">
        <f t="shared" ref="I161:I169" si="49">I126+H161</f>
        <v>1.8596969696969698</v>
      </c>
    </row>
    <row r="162" spans="1:24" x14ac:dyDescent="0.3">
      <c r="A162" s="1" t="s">
        <v>10</v>
      </c>
      <c r="B162" s="4">
        <v>15</v>
      </c>
      <c r="C162" s="1" t="s">
        <v>5</v>
      </c>
      <c r="D162" s="3">
        <v>43963</v>
      </c>
      <c r="E162" s="2">
        <v>38</v>
      </c>
      <c r="G162" s="4">
        <v>15.4</v>
      </c>
      <c r="H162" s="14">
        <f t="shared" si="48"/>
        <v>0.40526315789473683</v>
      </c>
      <c r="I162" s="14">
        <f t="shared" si="49"/>
        <v>1.8792105263157892</v>
      </c>
    </row>
    <row r="163" spans="1:24" x14ac:dyDescent="0.3">
      <c r="A163" s="1" t="s">
        <v>10</v>
      </c>
      <c r="B163" s="4">
        <v>16</v>
      </c>
      <c r="C163" s="1" t="s">
        <v>3</v>
      </c>
      <c r="D163" s="3">
        <v>43963</v>
      </c>
      <c r="E163" s="2">
        <v>40</v>
      </c>
      <c r="G163" s="4">
        <v>18.29</v>
      </c>
      <c r="H163" s="14">
        <f t="shared" si="48"/>
        <v>0.45724999999999999</v>
      </c>
      <c r="I163" s="14">
        <f t="shared" si="49"/>
        <v>1.95225</v>
      </c>
    </row>
    <row r="164" spans="1:24" x14ac:dyDescent="0.3">
      <c r="A164" s="1" t="s">
        <v>10</v>
      </c>
      <c r="B164" s="4">
        <v>17</v>
      </c>
      <c r="C164" s="1" t="s">
        <v>4</v>
      </c>
      <c r="D164" s="3">
        <v>43963</v>
      </c>
      <c r="E164" s="2">
        <v>38</v>
      </c>
      <c r="G164" s="2">
        <v>16.36</v>
      </c>
      <c r="H164" s="14">
        <f t="shared" si="48"/>
        <v>0.43052631578947365</v>
      </c>
      <c r="I164" s="14">
        <f t="shared" si="49"/>
        <v>1.8628947368421052</v>
      </c>
    </row>
    <row r="165" spans="1:24" x14ac:dyDescent="0.3">
      <c r="A165" s="1" t="s">
        <v>10</v>
      </c>
      <c r="B165" s="4">
        <v>18</v>
      </c>
      <c r="C165" s="1" t="s">
        <v>5</v>
      </c>
      <c r="D165" s="3">
        <v>43963</v>
      </c>
      <c r="E165" s="2">
        <v>40</v>
      </c>
      <c r="G165" s="2">
        <f>5.09+14.45</f>
        <v>19.54</v>
      </c>
      <c r="H165" s="14">
        <f t="shared" si="48"/>
        <v>0.48849999999999999</v>
      </c>
      <c r="I165" s="14">
        <f t="shared" si="49"/>
        <v>1.8922499999999998</v>
      </c>
    </row>
    <row r="166" spans="1:24" x14ac:dyDescent="0.3">
      <c r="A166" s="1" t="s">
        <v>10</v>
      </c>
      <c r="B166" s="4">
        <v>19</v>
      </c>
      <c r="C166" s="1" t="s">
        <v>3</v>
      </c>
      <c r="D166" s="3">
        <v>43963</v>
      </c>
      <c r="E166" s="2">
        <v>37</v>
      </c>
      <c r="G166" s="4">
        <v>20</v>
      </c>
      <c r="H166" s="14">
        <f t="shared" si="48"/>
        <v>0.54054054054054057</v>
      </c>
      <c r="I166" s="14">
        <f t="shared" si="49"/>
        <v>2.0021621621621621</v>
      </c>
    </row>
    <row r="167" spans="1:24" x14ac:dyDescent="0.3">
      <c r="A167" s="1" t="s">
        <v>10</v>
      </c>
      <c r="B167" s="4">
        <v>20</v>
      </c>
      <c r="C167" s="1" t="s">
        <v>4</v>
      </c>
      <c r="D167" s="3">
        <v>43963</v>
      </c>
      <c r="E167" s="2">
        <v>40</v>
      </c>
      <c r="G167" s="4">
        <v>13.53</v>
      </c>
      <c r="H167" s="14">
        <f t="shared" si="48"/>
        <v>0.33825</v>
      </c>
      <c r="I167" s="14">
        <f t="shared" si="49"/>
        <v>1.73325</v>
      </c>
    </row>
    <row r="168" spans="1:24" x14ac:dyDescent="0.3">
      <c r="A168" s="1" t="s">
        <v>10</v>
      </c>
      <c r="B168" s="4">
        <v>21</v>
      </c>
      <c r="C168" s="1" t="s">
        <v>5</v>
      </c>
      <c r="D168" s="3">
        <v>43963</v>
      </c>
      <c r="E168" s="2">
        <v>36</v>
      </c>
      <c r="G168" s="4">
        <v>14.68</v>
      </c>
      <c r="H168" s="14">
        <f t="shared" si="48"/>
        <v>0.40777777777777779</v>
      </c>
      <c r="I168" s="14">
        <f t="shared" si="49"/>
        <v>1.9486111111111113</v>
      </c>
    </row>
    <row r="169" spans="1:24" x14ac:dyDescent="0.3">
      <c r="A169" s="1" t="s">
        <v>10</v>
      </c>
      <c r="B169" s="4">
        <v>22</v>
      </c>
      <c r="C169" s="1" t="s">
        <v>3</v>
      </c>
      <c r="D169" s="3">
        <v>43963</v>
      </c>
      <c r="E169" s="2">
        <v>38</v>
      </c>
      <c r="G169" s="4">
        <v>15.79</v>
      </c>
      <c r="H169" s="14">
        <f>G169/E169</f>
        <v>0.41552631578947369</v>
      </c>
      <c r="I169" s="14">
        <f t="shared" si="49"/>
        <v>2.0521052631578947</v>
      </c>
    </row>
    <row r="170" spans="1:24" x14ac:dyDescent="0.3">
      <c r="A170" s="5" t="s">
        <v>10</v>
      </c>
      <c r="B170" s="6">
        <v>23</v>
      </c>
      <c r="C170" s="5" t="s">
        <v>3</v>
      </c>
      <c r="D170" s="7">
        <v>43963</v>
      </c>
      <c r="E170" s="13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x14ac:dyDescent="0.3">
      <c r="B171" s="20" t="s">
        <v>15</v>
      </c>
      <c r="C171" s="21" t="s">
        <v>3</v>
      </c>
      <c r="D171" s="22"/>
      <c r="E171" s="23"/>
      <c r="F171" s="23"/>
      <c r="G171" s="24">
        <f t="shared" ref="G171:I173" si="50">AVERAGE(G160,G163,G166)</f>
        <v>17.286666666666665</v>
      </c>
      <c r="H171" s="24">
        <f t="shared" si="50"/>
        <v>0.47395101351351349</v>
      </c>
      <c r="I171" s="24">
        <f t="shared" si="50"/>
        <v>1.9521998873873876</v>
      </c>
    </row>
    <row r="172" spans="1:24" x14ac:dyDescent="0.3">
      <c r="B172" s="20"/>
      <c r="C172" s="21" t="s">
        <v>4</v>
      </c>
      <c r="D172" s="22"/>
      <c r="E172" s="23"/>
      <c r="F172" s="23"/>
      <c r="G172" s="24">
        <f t="shared" si="50"/>
        <v>15.206666666666669</v>
      </c>
      <c r="H172" s="24">
        <f t="shared" si="50"/>
        <v>0.41514766081871346</v>
      </c>
      <c r="I172" s="24">
        <f t="shared" si="50"/>
        <v>1.8186139021796917</v>
      </c>
    </row>
    <row r="173" spans="1:24" x14ac:dyDescent="0.3">
      <c r="B173" s="20"/>
      <c r="C173" s="21" t="s">
        <v>5</v>
      </c>
      <c r="D173" s="22"/>
      <c r="E173" s="23"/>
      <c r="F173" s="23"/>
      <c r="G173" s="24">
        <f t="shared" si="50"/>
        <v>16.54</v>
      </c>
      <c r="H173" s="24">
        <f t="shared" si="50"/>
        <v>0.43384697855750493</v>
      </c>
      <c r="I173" s="24">
        <f t="shared" si="50"/>
        <v>1.9066905458089669</v>
      </c>
    </row>
    <row r="174" spans="1:24" x14ac:dyDescent="0.3">
      <c r="B174" s="25" t="s">
        <v>16</v>
      </c>
      <c r="C174" s="26" t="s">
        <v>3</v>
      </c>
      <c r="D174" s="27"/>
      <c r="E174" s="28"/>
      <c r="F174" s="28"/>
      <c r="G174" s="29">
        <f t="shared" ref="G174:I176" si="51">_xlfn.STDEV.P(G160,G163,G166)</f>
        <v>2.7192196593058728</v>
      </c>
      <c r="H174" s="29">
        <f t="shared" si="51"/>
        <v>4.8996437770684749E-2</v>
      </c>
      <c r="I174" s="29">
        <f t="shared" si="51"/>
        <v>4.0814500299649017E-2</v>
      </c>
    </row>
    <row r="175" spans="1:24" x14ac:dyDescent="0.3">
      <c r="B175" s="25"/>
      <c r="C175" s="26" t="s">
        <v>4</v>
      </c>
      <c r="D175" s="27"/>
      <c r="E175" s="28"/>
      <c r="F175" s="28"/>
      <c r="G175" s="29">
        <f t="shared" si="51"/>
        <v>1.2131593281822284</v>
      </c>
      <c r="H175" s="29">
        <f t="shared" si="51"/>
        <v>5.7545174569260719E-2</v>
      </c>
      <c r="I175" s="29">
        <f t="shared" si="51"/>
        <v>6.0375509798739901E-2</v>
      </c>
    </row>
    <row r="176" spans="1:24" ht="15" thickBot="1" x14ac:dyDescent="0.35">
      <c r="A176" s="19"/>
      <c r="B176" s="30"/>
      <c r="C176" s="31" t="s">
        <v>5</v>
      </c>
      <c r="D176" s="32"/>
      <c r="E176" s="33"/>
      <c r="F176" s="33"/>
      <c r="G176" s="34">
        <f t="shared" si="51"/>
        <v>2.1415881957089669</v>
      </c>
      <c r="H176" s="34">
        <f t="shared" si="51"/>
        <v>3.8659154956141327E-2</v>
      </c>
      <c r="I176" s="34">
        <f t="shared" si="51"/>
        <v>3.0116521655384088E-2</v>
      </c>
    </row>
    <row r="177" spans="1:17" ht="15" thickBot="1" x14ac:dyDescent="0.35">
      <c r="A177" s="1" t="s">
        <v>9</v>
      </c>
      <c r="B177" s="4">
        <v>1</v>
      </c>
      <c r="C177" s="1" t="s">
        <v>11</v>
      </c>
      <c r="D177" s="3">
        <v>43970</v>
      </c>
      <c r="E177" s="2"/>
      <c r="N177" s="36" t="s">
        <v>13</v>
      </c>
      <c r="P177" s="36" t="s">
        <v>14</v>
      </c>
    </row>
    <row r="178" spans="1:17" ht="15" thickTop="1" x14ac:dyDescent="0.3">
      <c r="A178" s="1" t="s">
        <v>9</v>
      </c>
      <c r="B178" s="4">
        <v>2</v>
      </c>
      <c r="C178" s="1" t="s">
        <v>3</v>
      </c>
      <c r="D178" s="3">
        <v>43970</v>
      </c>
      <c r="E178" s="2">
        <v>36</v>
      </c>
      <c r="G178" s="2">
        <v>23.06</v>
      </c>
      <c r="H178" s="14">
        <f>G178/E178</f>
        <v>0.64055555555555554</v>
      </c>
      <c r="I178" s="14">
        <f>I143+H178</f>
        <v>3.1400427350427353</v>
      </c>
      <c r="K178" s="84">
        <v>43970</v>
      </c>
      <c r="L178" s="85" t="s">
        <v>3</v>
      </c>
      <c r="M178" t="s">
        <v>17</v>
      </c>
      <c r="N178" s="35">
        <f>H188</f>
        <v>0.48786343486343481</v>
      </c>
      <c r="O178" s="35">
        <f>H191</f>
        <v>0.1082552930403141</v>
      </c>
      <c r="P178" s="35">
        <f>I188</f>
        <v>3.0421069091069093</v>
      </c>
      <c r="Q178" s="35">
        <f>I191</f>
        <v>7.4925441240083948E-2</v>
      </c>
    </row>
    <row r="179" spans="1:17" x14ac:dyDescent="0.3">
      <c r="A179" s="1" t="s">
        <v>9</v>
      </c>
      <c r="B179" s="4">
        <v>3</v>
      </c>
      <c r="C179" s="1" t="s">
        <v>4</v>
      </c>
      <c r="D179" s="3">
        <v>43970</v>
      </c>
      <c r="E179" s="2">
        <v>34</v>
      </c>
      <c r="G179" s="2">
        <v>20.170000000000002</v>
      </c>
      <c r="H179" s="14">
        <f t="shared" ref="H179:H186" si="52">G179/E179</f>
        <v>0.59323529411764708</v>
      </c>
      <c r="I179" s="14">
        <f t="shared" ref="I179:I186" si="53">I144+H179</f>
        <v>3.0897217806041337</v>
      </c>
      <c r="K179" s="84"/>
      <c r="L179" s="85"/>
      <c r="M179" t="s">
        <v>18</v>
      </c>
      <c r="N179" s="35">
        <f>H206</f>
        <v>0.4388799019607843</v>
      </c>
      <c r="O179" s="35">
        <f>H209</f>
        <v>1.9589617448636645E-2</v>
      </c>
      <c r="P179" s="35">
        <f>I206</f>
        <v>2.3910797893481717</v>
      </c>
      <c r="Q179" s="35">
        <f>I209</f>
        <v>3.0334837274114144E-2</v>
      </c>
    </row>
    <row r="180" spans="1:17" x14ac:dyDescent="0.3">
      <c r="A180" s="1" t="s">
        <v>9</v>
      </c>
      <c r="B180" s="4">
        <v>4</v>
      </c>
      <c r="C180" s="1" t="s">
        <v>5</v>
      </c>
      <c r="D180" s="3">
        <v>43970</v>
      </c>
      <c r="E180" s="2">
        <v>37</v>
      </c>
      <c r="G180" s="2">
        <v>18.579999999999998</v>
      </c>
      <c r="H180" s="14">
        <f t="shared" si="52"/>
        <v>0.50216216216216214</v>
      </c>
      <c r="I180" s="14">
        <f t="shared" si="53"/>
        <v>3.220540540540541</v>
      </c>
      <c r="K180" s="84"/>
      <c r="L180" s="85" t="s">
        <v>4</v>
      </c>
      <c r="M180" t="s">
        <v>17</v>
      </c>
      <c r="N180" s="35">
        <f>H189</f>
        <v>0.48644880174291938</v>
      </c>
      <c r="O180" s="35">
        <f>H192</f>
        <v>7.5722042250656874E-2</v>
      </c>
      <c r="P180" s="35">
        <f>I189</f>
        <v>3.0554578107519283</v>
      </c>
      <c r="Q180" s="35">
        <f>I192</f>
        <v>0.11128433601625107</v>
      </c>
    </row>
    <row r="181" spans="1:17" x14ac:dyDescent="0.3">
      <c r="A181" s="1" t="s">
        <v>9</v>
      </c>
      <c r="B181" s="4">
        <v>5</v>
      </c>
      <c r="C181" s="1" t="s">
        <v>3</v>
      </c>
      <c r="D181" s="3">
        <v>43970</v>
      </c>
      <c r="E181" s="2">
        <v>35</v>
      </c>
      <c r="G181" s="2">
        <v>14.74</v>
      </c>
      <c r="H181" s="14">
        <f t="shared" si="52"/>
        <v>0.42114285714285715</v>
      </c>
      <c r="I181" s="14">
        <f t="shared" si="53"/>
        <v>3.0281698841698845</v>
      </c>
      <c r="K181" s="84"/>
      <c r="L181" s="85"/>
      <c r="M181" t="s">
        <v>18</v>
      </c>
      <c r="N181" s="35">
        <f>H207</f>
        <v>0.34270870469399878</v>
      </c>
      <c r="O181" s="35">
        <f>H210</f>
        <v>2.951664600849711E-2</v>
      </c>
      <c r="P181" s="35">
        <f>I207</f>
        <v>2.1613226068736906</v>
      </c>
      <c r="Q181" s="35">
        <f>I210</f>
        <v>3.1605690338746321E-2</v>
      </c>
    </row>
    <row r="182" spans="1:17" x14ac:dyDescent="0.3">
      <c r="A182" s="1" t="s">
        <v>9</v>
      </c>
      <c r="B182" s="4">
        <v>6</v>
      </c>
      <c r="C182" s="1" t="s">
        <v>4</v>
      </c>
      <c r="D182" s="3">
        <v>43970</v>
      </c>
      <c r="E182" s="2">
        <v>37</v>
      </c>
      <c r="G182" s="2">
        <v>16.28</v>
      </c>
      <c r="H182" s="14">
        <f t="shared" si="52"/>
        <v>0.44000000000000006</v>
      </c>
      <c r="I182" s="14">
        <f t="shared" si="53"/>
        <v>3.1713513513513507</v>
      </c>
      <c r="K182" s="84"/>
      <c r="L182" s="85" t="s">
        <v>5</v>
      </c>
      <c r="M182" t="s">
        <v>17</v>
      </c>
      <c r="N182" s="35">
        <f>H190</f>
        <v>0.42367811420442997</v>
      </c>
      <c r="O182" s="35">
        <f>H193</f>
        <v>6.0248105874833882E-2</v>
      </c>
      <c r="P182" s="35">
        <f>I190</f>
        <v>2.8843371943371943</v>
      </c>
      <c r="Q182" s="35">
        <f>I193</f>
        <v>0.26603175896844855</v>
      </c>
    </row>
    <row r="183" spans="1:17" x14ac:dyDescent="0.3">
      <c r="A183" s="1" t="s">
        <v>9</v>
      </c>
      <c r="B183" s="4">
        <v>7</v>
      </c>
      <c r="C183" s="1" t="s">
        <v>5</v>
      </c>
      <c r="D183" s="3">
        <v>43970</v>
      </c>
      <c r="E183" s="2">
        <v>35</v>
      </c>
      <c r="G183" s="2">
        <v>12.45</v>
      </c>
      <c r="H183" s="14">
        <f t="shared" si="52"/>
        <v>0.35571428571428571</v>
      </c>
      <c r="I183" s="14">
        <f t="shared" si="53"/>
        <v>2.8624710424710429</v>
      </c>
      <c r="K183" s="84"/>
      <c r="L183" s="85"/>
      <c r="M183" t="s">
        <v>18</v>
      </c>
      <c r="N183" s="35">
        <f>H208</f>
        <v>0.34737609649122803</v>
      </c>
      <c r="O183" s="35">
        <f>H211</f>
        <v>5.6130701974578985E-2</v>
      </c>
      <c r="P183" s="35">
        <f>I208</f>
        <v>2.2540666423001952</v>
      </c>
      <c r="Q183" s="35">
        <f>I211</f>
        <v>7.9164613406124143E-2</v>
      </c>
    </row>
    <row r="184" spans="1:17" x14ac:dyDescent="0.3">
      <c r="A184" s="1" t="s">
        <v>9</v>
      </c>
      <c r="B184" s="4">
        <v>8</v>
      </c>
      <c r="C184" s="1" t="s">
        <v>3</v>
      </c>
      <c r="D184" s="3">
        <v>43970</v>
      </c>
      <c r="E184" s="2">
        <v>37</v>
      </c>
      <c r="G184" s="2">
        <v>14.87</v>
      </c>
      <c r="H184" s="14">
        <f t="shared" si="52"/>
        <v>0.40189189189189189</v>
      </c>
      <c r="I184" s="14">
        <f t="shared" si="53"/>
        <v>2.9581081081081084</v>
      </c>
    </row>
    <row r="185" spans="1:17" x14ac:dyDescent="0.3">
      <c r="A185" s="1" t="s">
        <v>9</v>
      </c>
      <c r="B185" s="4">
        <v>9</v>
      </c>
      <c r="C185" s="1" t="s">
        <v>4</v>
      </c>
      <c r="D185" s="3">
        <v>43970</v>
      </c>
      <c r="E185" s="2">
        <v>36</v>
      </c>
      <c r="G185" s="2">
        <v>15.34</v>
      </c>
      <c r="H185" s="14">
        <f t="shared" si="52"/>
        <v>0.42611111111111111</v>
      </c>
      <c r="I185" s="14">
        <f t="shared" si="53"/>
        <v>2.9053003003003002</v>
      </c>
    </row>
    <row r="186" spans="1:17" x14ac:dyDescent="0.3">
      <c r="A186" s="1" t="s">
        <v>9</v>
      </c>
      <c r="B186" s="4">
        <v>10</v>
      </c>
      <c r="C186" s="1" t="s">
        <v>5</v>
      </c>
      <c r="D186" s="3">
        <v>43970</v>
      </c>
      <c r="E186" s="2">
        <v>38</v>
      </c>
      <c r="G186" s="2">
        <v>15.7</v>
      </c>
      <c r="H186" s="14">
        <f t="shared" si="52"/>
        <v>0.41315789473684211</v>
      </c>
      <c r="I186" s="14">
        <f t="shared" si="53"/>
        <v>2.57</v>
      </c>
    </row>
    <row r="187" spans="1:17" ht="15" thickBot="1" x14ac:dyDescent="0.35">
      <c r="A187" s="9" t="s">
        <v>9</v>
      </c>
      <c r="B187" s="15">
        <v>11</v>
      </c>
      <c r="C187" s="9" t="s">
        <v>3</v>
      </c>
      <c r="D187" s="16">
        <v>43970</v>
      </c>
      <c r="E187" s="17"/>
      <c r="F187" s="18"/>
      <c r="G187" s="18"/>
      <c r="H187" s="18"/>
      <c r="I187" s="18"/>
    </row>
    <row r="188" spans="1:17" ht="15" thickTop="1" x14ac:dyDescent="0.3">
      <c r="B188" s="20" t="s">
        <v>15</v>
      </c>
      <c r="C188" s="21" t="s">
        <v>3</v>
      </c>
      <c r="D188" s="22"/>
      <c r="E188" s="23"/>
      <c r="F188" s="23"/>
      <c r="G188" s="24">
        <f>AVERAGE(G178,G181,G184)</f>
        <v>17.556666666666665</v>
      </c>
      <c r="H188" s="24">
        <f t="shared" ref="H188:I188" si="54">AVERAGE(H178,H181,H184)</f>
        <v>0.48786343486343481</v>
      </c>
      <c r="I188" s="24">
        <f t="shared" si="54"/>
        <v>3.0421069091069093</v>
      </c>
    </row>
    <row r="189" spans="1:17" x14ac:dyDescent="0.3">
      <c r="B189" s="20"/>
      <c r="C189" s="21" t="s">
        <v>4</v>
      </c>
      <c r="D189" s="22"/>
      <c r="E189" s="23"/>
      <c r="F189" s="23"/>
      <c r="G189" s="24">
        <f t="shared" ref="G189:I190" si="55">AVERAGE(G179,G182,G185)</f>
        <v>17.263333333333335</v>
      </c>
      <c r="H189" s="24">
        <f t="shared" si="55"/>
        <v>0.48644880174291938</v>
      </c>
      <c r="I189" s="24">
        <f t="shared" si="55"/>
        <v>3.0554578107519283</v>
      </c>
    </row>
    <row r="190" spans="1:17" x14ac:dyDescent="0.3">
      <c r="B190" s="20"/>
      <c r="C190" s="21" t="s">
        <v>5</v>
      </c>
      <c r="D190" s="22"/>
      <c r="E190" s="23"/>
      <c r="F190" s="23"/>
      <c r="G190" s="24">
        <f>AVERAGE(G180,G183,G186)</f>
        <v>15.576666666666666</v>
      </c>
      <c r="H190" s="24">
        <f t="shared" si="55"/>
        <v>0.42367811420442997</v>
      </c>
      <c r="I190" s="24">
        <f t="shared" si="55"/>
        <v>2.8843371943371943</v>
      </c>
    </row>
    <row r="191" spans="1:17" x14ac:dyDescent="0.3">
      <c r="B191" s="25" t="s">
        <v>16</v>
      </c>
      <c r="C191" s="26" t="s">
        <v>3</v>
      </c>
      <c r="D191" s="27"/>
      <c r="E191" s="28"/>
      <c r="F191" s="28"/>
      <c r="G191" s="29">
        <f>_xlfn.STDEV.P(G178,G181,G184)</f>
        <v>3.8918062073484148</v>
      </c>
      <c r="H191" s="29">
        <f t="shared" ref="H191:I193" si="56">_xlfn.STDEV.P(H178,H181,H184)</f>
        <v>0.1082552930403141</v>
      </c>
      <c r="I191" s="29">
        <f t="shared" si="56"/>
        <v>7.4925441240083948E-2</v>
      </c>
    </row>
    <row r="192" spans="1:17" x14ac:dyDescent="0.3">
      <c r="B192" s="25"/>
      <c r="C192" s="26" t="s">
        <v>4</v>
      </c>
      <c r="D192" s="27"/>
      <c r="E192" s="28"/>
      <c r="F192" s="28"/>
      <c r="G192" s="29">
        <f>_xlfn.STDEV.P(G179,G182,G185)</f>
        <v>2.0908424670984087</v>
      </c>
      <c r="H192" s="29">
        <f t="shared" si="56"/>
        <v>7.5722042250656874E-2</v>
      </c>
      <c r="I192" s="29">
        <f t="shared" si="56"/>
        <v>0.11128433601625107</v>
      </c>
    </row>
    <row r="193" spans="1:24" ht="15" thickBot="1" x14ac:dyDescent="0.35">
      <c r="A193" s="19"/>
      <c r="B193" s="30"/>
      <c r="C193" s="31" t="s">
        <v>5</v>
      </c>
      <c r="D193" s="32"/>
      <c r="E193" s="33"/>
      <c r="F193" s="33"/>
      <c r="G193" s="34">
        <f>_xlfn.STDEV.P(G180,G183,G186)</f>
        <v>2.5040811133472194</v>
      </c>
      <c r="H193" s="34">
        <f t="shared" si="56"/>
        <v>6.0248105874833882E-2</v>
      </c>
      <c r="I193" s="34">
        <f t="shared" si="56"/>
        <v>0.26603175896844855</v>
      </c>
    </row>
    <row r="194" spans="1:24" x14ac:dyDescent="0.3">
      <c r="A194" s="1" t="s">
        <v>10</v>
      </c>
      <c r="B194" s="4">
        <v>12</v>
      </c>
      <c r="C194" s="1" t="s">
        <v>3</v>
      </c>
      <c r="D194" s="3">
        <v>43970</v>
      </c>
      <c r="E194" s="2"/>
    </row>
    <row r="195" spans="1:24" x14ac:dyDescent="0.3">
      <c r="A195" s="1" t="s">
        <v>10</v>
      </c>
      <c r="B195" s="4">
        <v>13</v>
      </c>
      <c r="C195" s="1" t="s">
        <v>3</v>
      </c>
      <c r="D195" s="3">
        <v>43970</v>
      </c>
      <c r="E195" s="2">
        <v>32</v>
      </c>
      <c r="G195" s="4">
        <v>14.9</v>
      </c>
      <c r="H195" s="14">
        <f>G195/E195</f>
        <v>0.46562500000000001</v>
      </c>
      <c r="I195" s="14">
        <f>I160+H195</f>
        <v>2.3678124999999999</v>
      </c>
    </row>
    <row r="196" spans="1:24" x14ac:dyDescent="0.3">
      <c r="A196" s="1" t="s">
        <v>10</v>
      </c>
      <c r="B196" s="4">
        <v>14</v>
      </c>
      <c r="C196" s="1" t="s">
        <v>4</v>
      </c>
      <c r="D196" s="3">
        <v>43970</v>
      </c>
      <c r="E196" s="2">
        <v>33</v>
      </c>
      <c r="G196" s="4">
        <v>10.85</v>
      </c>
      <c r="H196" s="14">
        <f t="shared" ref="H196:H203" si="57">G196/E196</f>
        <v>0.3287878787878788</v>
      </c>
      <c r="I196" s="14">
        <f t="shared" ref="I196:I204" si="58">I161+H196</f>
        <v>2.1884848484848485</v>
      </c>
    </row>
    <row r="197" spans="1:24" x14ac:dyDescent="0.3">
      <c r="A197" s="1" t="s">
        <v>10</v>
      </c>
      <c r="B197" s="4">
        <v>15</v>
      </c>
      <c r="C197" s="1" t="s">
        <v>5</v>
      </c>
      <c r="D197" s="3">
        <v>43970</v>
      </c>
      <c r="E197" s="2">
        <v>35</v>
      </c>
      <c r="G197" s="4">
        <v>9.3800000000000008</v>
      </c>
      <c r="H197" s="14">
        <f t="shared" si="57"/>
        <v>0.26800000000000002</v>
      </c>
      <c r="I197" s="14">
        <f t="shared" si="58"/>
        <v>2.1472105263157895</v>
      </c>
    </row>
    <row r="198" spans="1:24" x14ac:dyDescent="0.3">
      <c r="A198" s="1" t="s">
        <v>10</v>
      </c>
      <c r="B198" s="4">
        <v>16</v>
      </c>
      <c r="C198" s="1" t="s">
        <v>3</v>
      </c>
      <c r="D198" s="3">
        <v>43970</v>
      </c>
      <c r="E198" s="2">
        <v>40</v>
      </c>
      <c r="G198" s="4">
        <v>16.77</v>
      </c>
      <c r="H198" s="14">
        <f t="shared" si="57"/>
        <v>0.41925000000000001</v>
      </c>
      <c r="I198" s="14">
        <f t="shared" si="58"/>
        <v>2.3715000000000002</v>
      </c>
    </row>
    <row r="199" spans="1:24" x14ac:dyDescent="0.3">
      <c r="A199" s="1" t="s">
        <v>10</v>
      </c>
      <c r="B199" s="4">
        <v>17</v>
      </c>
      <c r="C199" s="1" t="s">
        <v>4</v>
      </c>
      <c r="D199" s="3">
        <v>43970</v>
      </c>
      <c r="E199" s="2">
        <v>34</v>
      </c>
      <c r="G199" s="2">
        <v>10.73</v>
      </c>
      <c r="H199" s="14">
        <f t="shared" si="57"/>
        <v>0.31558823529411767</v>
      </c>
      <c r="I199" s="14">
        <f t="shared" si="58"/>
        <v>2.1784829721362229</v>
      </c>
    </row>
    <row r="200" spans="1:24" x14ac:dyDescent="0.3">
      <c r="A200" s="1" t="s">
        <v>10</v>
      </c>
      <c r="B200" s="4">
        <v>18</v>
      </c>
      <c r="C200" s="1" t="s">
        <v>5</v>
      </c>
      <c r="D200" s="3">
        <v>43970</v>
      </c>
      <c r="E200" s="2">
        <v>38</v>
      </c>
      <c r="G200" s="2">
        <v>14.68</v>
      </c>
      <c r="H200" s="14">
        <f t="shared" si="57"/>
        <v>0.38631578947368422</v>
      </c>
      <c r="I200" s="14">
        <f t="shared" si="58"/>
        <v>2.2785657894736842</v>
      </c>
    </row>
    <row r="201" spans="1:24" x14ac:dyDescent="0.3">
      <c r="A201" s="1" t="s">
        <v>10</v>
      </c>
      <c r="B201" s="4">
        <v>19</v>
      </c>
      <c r="C201" s="1" t="s">
        <v>3</v>
      </c>
      <c r="D201" s="3">
        <v>43970</v>
      </c>
      <c r="E201" s="2">
        <v>34</v>
      </c>
      <c r="G201" s="4">
        <v>14.68</v>
      </c>
      <c r="H201" s="14">
        <f t="shared" si="57"/>
        <v>0.43176470588235294</v>
      </c>
      <c r="I201" s="14">
        <f t="shared" si="58"/>
        <v>2.433926868044515</v>
      </c>
    </row>
    <row r="202" spans="1:24" x14ac:dyDescent="0.3">
      <c r="A202" s="1" t="s">
        <v>10</v>
      </c>
      <c r="B202" s="4">
        <v>20</v>
      </c>
      <c r="C202" s="1" t="s">
        <v>4</v>
      </c>
      <c r="D202" s="3">
        <v>43970</v>
      </c>
      <c r="E202" s="2">
        <v>40</v>
      </c>
      <c r="G202" s="4">
        <v>15.35</v>
      </c>
      <c r="H202" s="14">
        <f t="shared" si="57"/>
        <v>0.38374999999999998</v>
      </c>
      <c r="I202" s="14">
        <f t="shared" si="58"/>
        <v>2.117</v>
      </c>
    </row>
    <row r="203" spans="1:24" x14ac:dyDescent="0.3">
      <c r="A203" s="1" t="s">
        <v>10</v>
      </c>
      <c r="B203" s="4">
        <v>21</v>
      </c>
      <c r="C203" s="1" t="s">
        <v>5</v>
      </c>
      <c r="D203" s="3">
        <v>43970</v>
      </c>
      <c r="E203" s="2">
        <v>32</v>
      </c>
      <c r="G203" s="4">
        <v>12.41</v>
      </c>
      <c r="H203" s="14">
        <f t="shared" si="57"/>
        <v>0.3878125</v>
      </c>
      <c r="I203" s="14">
        <f t="shared" si="58"/>
        <v>2.3364236111111114</v>
      </c>
    </row>
    <row r="204" spans="1:24" x14ac:dyDescent="0.3">
      <c r="A204" s="1" t="s">
        <v>10</v>
      </c>
      <c r="B204" s="4">
        <v>22</v>
      </c>
      <c r="C204" s="1" t="s">
        <v>3</v>
      </c>
      <c r="D204" s="3">
        <v>43970</v>
      </c>
      <c r="E204" s="2">
        <v>38</v>
      </c>
      <c r="G204" s="4">
        <v>21.01</v>
      </c>
      <c r="H204" s="14">
        <f>G204/E204</f>
        <v>0.55289473684210533</v>
      </c>
      <c r="I204" s="14">
        <f t="shared" si="58"/>
        <v>2.605</v>
      </c>
    </row>
    <row r="205" spans="1:24" x14ac:dyDescent="0.3">
      <c r="A205" s="5" t="s">
        <v>10</v>
      </c>
      <c r="B205" s="6">
        <v>23</v>
      </c>
      <c r="C205" s="5" t="s">
        <v>3</v>
      </c>
      <c r="D205" s="7">
        <v>43970</v>
      </c>
      <c r="E205" s="13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x14ac:dyDescent="0.3">
      <c r="B206" s="20" t="s">
        <v>15</v>
      </c>
      <c r="C206" s="21" t="s">
        <v>3</v>
      </c>
      <c r="D206" s="22"/>
      <c r="E206" s="23"/>
      <c r="F206" s="23"/>
      <c r="G206" s="24">
        <f t="shared" ref="G206:I208" si="59">AVERAGE(G195,G198,G201)</f>
        <v>15.450000000000001</v>
      </c>
      <c r="H206" s="24">
        <f t="shared" si="59"/>
        <v>0.4388799019607843</v>
      </c>
      <c r="I206" s="24">
        <f t="shared" si="59"/>
        <v>2.3910797893481717</v>
      </c>
    </row>
    <row r="207" spans="1:24" x14ac:dyDescent="0.3">
      <c r="B207" s="20"/>
      <c r="C207" s="21" t="s">
        <v>4</v>
      </c>
      <c r="D207" s="22"/>
      <c r="E207" s="23"/>
      <c r="F207" s="23"/>
      <c r="G207" s="24">
        <f t="shared" si="59"/>
        <v>12.31</v>
      </c>
      <c r="H207" s="24">
        <f t="shared" si="59"/>
        <v>0.34270870469399878</v>
      </c>
      <c r="I207" s="24">
        <f t="shared" si="59"/>
        <v>2.1613226068736906</v>
      </c>
    </row>
    <row r="208" spans="1:24" x14ac:dyDescent="0.3">
      <c r="B208" s="20"/>
      <c r="C208" s="21" t="s">
        <v>5</v>
      </c>
      <c r="D208" s="22"/>
      <c r="E208" s="23"/>
      <c r="F208" s="23"/>
      <c r="G208" s="24">
        <f t="shared" si="59"/>
        <v>12.156666666666666</v>
      </c>
      <c r="H208" s="24">
        <f t="shared" si="59"/>
        <v>0.34737609649122803</v>
      </c>
      <c r="I208" s="24">
        <f t="shared" si="59"/>
        <v>2.2540666423001952</v>
      </c>
    </row>
    <row r="209" spans="1:17" x14ac:dyDescent="0.3">
      <c r="B209" s="25" t="s">
        <v>16</v>
      </c>
      <c r="C209" s="26" t="s">
        <v>3</v>
      </c>
      <c r="D209" s="27"/>
      <c r="E209" s="28"/>
      <c r="F209" s="28"/>
      <c r="G209" s="29">
        <f t="shared" ref="G209:I211" si="60">_xlfn.STDEV.P(G195,G198,G201)</f>
        <v>0.93769220251992402</v>
      </c>
      <c r="H209" s="29">
        <f t="shared" si="60"/>
        <v>1.9589617448636645E-2</v>
      </c>
      <c r="I209" s="29">
        <f t="shared" si="60"/>
        <v>3.0334837274114144E-2</v>
      </c>
    </row>
    <row r="210" spans="1:17" x14ac:dyDescent="0.3">
      <c r="B210" s="25"/>
      <c r="C210" s="26" t="s">
        <v>4</v>
      </c>
      <c r="D210" s="27"/>
      <c r="E210" s="28"/>
      <c r="F210" s="28"/>
      <c r="G210" s="29">
        <f t="shared" si="60"/>
        <v>2.1501627845351612</v>
      </c>
      <c r="H210" s="29">
        <f t="shared" si="60"/>
        <v>2.951664600849711E-2</v>
      </c>
      <c r="I210" s="29">
        <f t="shared" si="60"/>
        <v>3.1605690338746321E-2</v>
      </c>
    </row>
    <row r="211" spans="1:17" ht="15" thickBot="1" x14ac:dyDescent="0.35">
      <c r="A211" s="19"/>
      <c r="B211" s="30"/>
      <c r="C211" s="31" t="s">
        <v>5</v>
      </c>
      <c r="D211" s="32"/>
      <c r="E211" s="33"/>
      <c r="F211" s="33"/>
      <c r="G211" s="34">
        <f t="shared" si="60"/>
        <v>2.1711185033423575</v>
      </c>
      <c r="H211" s="34">
        <f t="shared" si="60"/>
        <v>5.6130701974578985E-2</v>
      </c>
      <c r="I211" s="34">
        <f t="shared" si="60"/>
        <v>7.9164613406124143E-2</v>
      </c>
    </row>
    <row r="212" spans="1:17" ht="15" thickBot="1" x14ac:dyDescent="0.35">
      <c r="A212" s="1" t="s">
        <v>9</v>
      </c>
      <c r="B212" s="4">
        <v>1</v>
      </c>
      <c r="C212" s="1" t="s">
        <v>11</v>
      </c>
      <c r="D212" s="3">
        <v>43977</v>
      </c>
      <c r="E212" s="2"/>
      <c r="N212" s="36" t="s">
        <v>13</v>
      </c>
      <c r="P212" s="36" t="s">
        <v>14</v>
      </c>
    </row>
    <row r="213" spans="1:17" ht="15" thickTop="1" x14ac:dyDescent="0.3">
      <c r="A213" s="1" t="s">
        <v>9</v>
      </c>
      <c r="B213" s="4">
        <v>2</v>
      </c>
      <c r="C213" s="1" t="s">
        <v>3</v>
      </c>
      <c r="D213" s="3">
        <v>43977</v>
      </c>
      <c r="E213" s="2">
        <v>36</v>
      </c>
      <c r="G213" s="2">
        <f>17.92+16.63</f>
        <v>34.549999999999997</v>
      </c>
      <c r="H213" s="14">
        <f>G213/E213</f>
        <v>0.95972222222222214</v>
      </c>
      <c r="I213" s="14">
        <f>I178+H213</f>
        <v>4.0997649572649575</v>
      </c>
      <c r="K213" s="84">
        <v>43977</v>
      </c>
      <c r="L213" s="85" t="s">
        <v>3</v>
      </c>
      <c r="M213" t="s">
        <v>17</v>
      </c>
      <c r="N213" s="35">
        <f>H223</f>
        <v>0.82709917059917049</v>
      </c>
      <c r="O213" s="35">
        <f>H226</f>
        <v>0.10518867548483266</v>
      </c>
      <c r="P213" s="35">
        <f>I223</f>
        <v>3.8692060797060801</v>
      </c>
      <c r="Q213" s="35">
        <f>I226</f>
        <v>0.17997964840731284</v>
      </c>
    </row>
    <row r="214" spans="1:17" x14ac:dyDescent="0.3">
      <c r="A214" s="1" t="s">
        <v>9</v>
      </c>
      <c r="B214" s="4">
        <v>3</v>
      </c>
      <c r="C214" s="1" t="s">
        <v>4</v>
      </c>
      <c r="D214" s="3">
        <v>43977</v>
      </c>
      <c r="E214" s="2">
        <v>34</v>
      </c>
      <c r="G214" s="2">
        <f>22.06+6.05</f>
        <v>28.11</v>
      </c>
      <c r="H214" s="14">
        <f t="shared" ref="H214:H221" si="61">G214/E214</f>
        <v>0.82676470588235296</v>
      </c>
      <c r="I214" s="14">
        <f t="shared" ref="I214:I221" si="62">I179+H214</f>
        <v>3.9164864864864866</v>
      </c>
      <c r="K214" s="84"/>
      <c r="L214" s="85"/>
      <c r="M214" t="s">
        <v>18</v>
      </c>
      <c r="N214" s="35">
        <f>H241</f>
        <v>0.49696568627450977</v>
      </c>
      <c r="O214" s="35">
        <f>H244</f>
        <v>1.7346169887484528E-2</v>
      </c>
      <c r="P214" s="35">
        <f>I241</f>
        <v>2.8880454756226812</v>
      </c>
      <c r="Q214" s="35">
        <f>I244</f>
        <v>4.1542426474692945E-2</v>
      </c>
    </row>
    <row r="215" spans="1:17" x14ac:dyDescent="0.3">
      <c r="A215" s="1" t="s">
        <v>9</v>
      </c>
      <c r="B215" s="4">
        <v>4</v>
      </c>
      <c r="C215" s="1" t="s">
        <v>5</v>
      </c>
      <c r="D215" s="3">
        <v>43977</v>
      </c>
      <c r="E215" s="2">
        <v>37</v>
      </c>
      <c r="G215" s="2">
        <f>10.71+13.13+6.2</f>
        <v>30.040000000000003</v>
      </c>
      <c r="H215" s="14">
        <f t="shared" si="61"/>
        <v>0.81189189189189193</v>
      </c>
      <c r="I215" s="14">
        <f t="shared" si="62"/>
        <v>4.032432432432433</v>
      </c>
      <c r="K215" s="84"/>
      <c r="L215" s="85" t="s">
        <v>4</v>
      </c>
      <c r="M215" t="s">
        <v>17</v>
      </c>
      <c r="N215" s="35">
        <f>H224</f>
        <v>0.73887402107990352</v>
      </c>
      <c r="O215" s="35">
        <f>H227</f>
        <v>6.2660422657484685E-2</v>
      </c>
      <c r="P215" s="35">
        <f>I224</f>
        <v>3.7943318318318315</v>
      </c>
      <c r="Q215" s="35">
        <f>I227</f>
        <v>0.13260829819071401</v>
      </c>
    </row>
    <row r="216" spans="1:17" x14ac:dyDescent="0.3">
      <c r="A216" s="1" t="s">
        <v>9</v>
      </c>
      <c r="B216" s="4">
        <v>5</v>
      </c>
      <c r="C216" s="1" t="s">
        <v>3</v>
      </c>
      <c r="D216" s="3">
        <v>43977</v>
      </c>
      <c r="E216" s="2">
        <v>35</v>
      </c>
      <c r="G216" s="2">
        <f>13.72+14.95</f>
        <v>28.67</v>
      </c>
      <c r="H216" s="14">
        <f t="shared" si="61"/>
        <v>0.81914285714285717</v>
      </c>
      <c r="I216" s="14">
        <f t="shared" si="62"/>
        <v>3.8473127413127415</v>
      </c>
      <c r="K216" s="84"/>
      <c r="L216" s="85"/>
      <c r="M216" t="s">
        <v>18</v>
      </c>
      <c r="N216" s="35">
        <f>H242</f>
        <v>0.50770632798573978</v>
      </c>
      <c r="O216" s="35">
        <f>H245</f>
        <v>1.2816597759390811E-2</v>
      </c>
      <c r="P216" s="35">
        <f>I242</f>
        <v>2.6690289348594298</v>
      </c>
      <c r="Q216" s="35">
        <f>I245</f>
        <v>4.4099809306247607E-2</v>
      </c>
    </row>
    <row r="217" spans="1:17" x14ac:dyDescent="0.3">
      <c r="A217" s="1" t="s">
        <v>9</v>
      </c>
      <c r="B217" s="4">
        <v>6</v>
      </c>
      <c r="C217" s="1" t="s">
        <v>4</v>
      </c>
      <c r="D217" s="3">
        <v>43977</v>
      </c>
      <c r="E217" s="2">
        <v>37</v>
      </c>
      <c r="G217" s="2">
        <f>11.1+14.25</f>
        <v>25.35</v>
      </c>
      <c r="H217" s="14">
        <f t="shared" si="61"/>
        <v>0.68513513513513513</v>
      </c>
      <c r="I217" s="14">
        <f t="shared" si="62"/>
        <v>3.8564864864864861</v>
      </c>
      <c r="K217" s="84"/>
      <c r="L217" s="85" t="s">
        <v>5</v>
      </c>
      <c r="M217" t="s">
        <v>17</v>
      </c>
      <c r="N217" s="35">
        <f>H225</f>
        <v>0.74716195895143267</v>
      </c>
      <c r="O217" s="35">
        <f>H228</f>
        <v>6.7008749363110298E-2</v>
      </c>
      <c r="P217" s="35">
        <f>I225</f>
        <v>3.6314991532886274</v>
      </c>
      <c r="Q217" s="35">
        <f>I228</f>
        <v>0.29212732804107511</v>
      </c>
    </row>
    <row r="218" spans="1:17" x14ac:dyDescent="0.3">
      <c r="A218" s="1" t="s">
        <v>9</v>
      </c>
      <c r="B218" s="4">
        <v>7</v>
      </c>
      <c r="C218" s="1" t="s">
        <v>5</v>
      </c>
      <c r="D218" s="3">
        <v>43977</v>
      </c>
      <c r="E218" s="2">
        <v>35</v>
      </c>
      <c r="G218" s="2">
        <f>11.89+11.03</f>
        <v>22.92</v>
      </c>
      <c r="H218" s="14">
        <f t="shared" si="61"/>
        <v>0.65485714285714292</v>
      </c>
      <c r="I218" s="14">
        <f t="shared" si="62"/>
        <v>3.5173281853281857</v>
      </c>
      <c r="K218" s="84"/>
      <c r="L218" s="85"/>
      <c r="M218" t="s">
        <v>18</v>
      </c>
      <c r="N218" s="35">
        <f>H243</f>
        <v>0.57491838972431075</v>
      </c>
      <c r="O218" s="35">
        <f>H246</f>
        <v>6.4247237730996762E-2</v>
      </c>
      <c r="P218" s="35">
        <f>I243</f>
        <v>2.8289850320245065</v>
      </c>
      <c r="Q218" s="35">
        <f>I246</f>
        <v>0.1220483243172298</v>
      </c>
    </row>
    <row r="219" spans="1:17" x14ac:dyDescent="0.3">
      <c r="A219" s="1" t="s">
        <v>9</v>
      </c>
      <c r="B219" s="4">
        <v>8</v>
      </c>
      <c r="C219" s="1" t="s">
        <v>3</v>
      </c>
      <c r="D219" s="3">
        <v>43977</v>
      </c>
      <c r="E219" s="2">
        <v>37</v>
      </c>
      <c r="G219" s="2">
        <f>17.5+8.49</f>
        <v>25.990000000000002</v>
      </c>
      <c r="H219" s="14">
        <f t="shared" si="61"/>
        <v>0.70243243243243247</v>
      </c>
      <c r="I219" s="14">
        <f t="shared" si="62"/>
        <v>3.6605405405405409</v>
      </c>
    </row>
    <row r="220" spans="1:17" x14ac:dyDescent="0.3">
      <c r="A220" s="1" t="s">
        <v>9</v>
      </c>
      <c r="B220" s="4">
        <v>9</v>
      </c>
      <c r="C220" s="1" t="s">
        <v>4</v>
      </c>
      <c r="D220" s="3">
        <v>43977</v>
      </c>
      <c r="E220" s="2">
        <v>36</v>
      </c>
      <c r="G220" s="2">
        <f>10.3+15.07</f>
        <v>25.37</v>
      </c>
      <c r="H220" s="14">
        <f t="shared" si="61"/>
        <v>0.70472222222222225</v>
      </c>
      <c r="I220" s="14">
        <f t="shared" si="62"/>
        <v>3.6100225225225224</v>
      </c>
    </row>
    <row r="221" spans="1:17" x14ac:dyDescent="0.3">
      <c r="A221" s="1" t="s">
        <v>9</v>
      </c>
      <c r="B221" s="4">
        <v>10</v>
      </c>
      <c r="C221" s="1" t="s">
        <v>5</v>
      </c>
      <c r="D221" s="3">
        <v>43977</v>
      </c>
      <c r="E221" s="2">
        <v>38</v>
      </c>
      <c r="G221" s="2">
        <f>13.61+15.83</f>
        <v>29.439999999999998</v>
      </c>
      <c r="H221" s="14">
        <f t="shared" si="61"/>
        <v>0.77473684210526306</v>
      </c>
      <c r="I221" s="14">
        <f t="shared" si="62"/>
        <v>3.344736842105263</v>
      </c>
    </row>
    <row r="222" spans="1:17" ht="15" thickBot="1" x14ac:dyDescent="0.35">
      <c r="A222" s="9" t="s">
        <v>9</v>
      </c>
      <c r="B222" s="15">
        <v>11</v>
      </c>
      <c r="C222" s="9" t="s">
        <v>3</v>
      </c>
      <c r="D222" s="16">
        <v>43977</v>
      </c>
      <c r="E222" s="17"/>
      <c r="F222" s="18"/>
      <c r="G222" s="18"/>
      <c r="H222" s="18"/>
      <c r="I222" s="18"/>
    </row>
    <row r="223" spans="1:17" ht="15" thickTop="1" x14ac:dyDescent="0.3">
      <c r="B223" s="20" t="s">
        <v>15</v>
      </c>
      <c r="C223" s="21" t="s">
        <v>3</v>
      </c>
      <c r="D223" s="22"/>
      <c r="E223" s="23"/>
      <c r="F223" s="23"/>
      <c r="G223" s="24">
        <f>AVERAGE(G213,G216,G219)</f>
        <v>29.736666666666668</v>
      </c>
      <c r="H223" s="24">
        <f>AVERAGE(H213,H216,H219)</f>
        <v>0.82709917059917049</v>
      </c>
      <c r="I223" s="24">
        <f t="shared" ref="I223" si="63">AVERAGE(I213,I216,I219)</f>
        <v>3.8692060797060801</v>
      </c>
    </row>
    <row r="224" spans="1:17" x14ac:dyDescent="0.3">
      <c r="B224" s="20"/>
      <c r="C224" s="21" t="s">
        <v>4</v>
      </c>
      <c r="D224" s="22"/>
      <c r="E224" s="23"/>
      <c r="F224" s="23"/>
      <c r="G224" s="24">
        <f t="shared" ref="G224:I224" si="64">AVERAGE(G214,G217,G220)</f>
        <v>26.276666666666667</v>
      </c>
      <c r="H224" s="24">
        <f>AVERAGE(H214,H217,H220)</f>
        <v>0.73887402107990352</v>
      </c>
      <c r="I224" s="24">
        <f t="shared" si="64"/>
        <v>3.7943318318318315</v>
      </c>
    </row>
    <row r="225" spans="1:24" x14ac:dyDescent="0.3">
      <c r="B225" s="20"/>
      <c r="C225" s="21" t="s">
        <v>5</v>
      </c>
      <c r="D225" s="22"/>
      <c r="E225" s="23"/>
      <c r="F225" s="23"/>
      <c r="G225" s="24">
        <f>AVERAGE(G215,G218,G221)</f>
        <v>27.466666666666669</v>
      </c>
      <c r="H225" s="24">
        <f>AVERAGE(H215,H218,H221)</f>
        <v>0.74716195895143267</v>
      </c>
      <c r="I225" s="24">
        <f t="shared" ref="I225" si="65">AVERAGE(I215,I218,I221)</f>
        <v>3.6314991532886274</v>
      </c>
    </row>
    <row r="226" spans="1:24" x14ac:dyDescent="0.3">
      <c r="B226" s="25" t="s">
        <v>16</v>
      </c>
      <c r="C226" s="26" t="s">
        <v>3</v>
      </c>
      <c r="D226" s="27"/>
      <c r="E226" s="28"/>
      <c r="F226" s="28"/>
      <c r="G226" s="29">
        <f>_xlfn.STDEV.P(G213,G216,G219)</f>
        <v>3.5750742028041063</v>
      </c>
      <c r="H226" s="29">
        <f t="shared" ref="H226:I226" si="66">_xlfn.STDEV.P(H213,H216,H219)</f>
        <v>0.10518867548483266</v>
      </c>
      <c r="I226" s="29">
        <f t="shared" si="66"/>
        <v>0.17997964840731284</v>
      </c>
    </row>
    <row r="227" spans="1:24" x14ac:dyDescent="0.3">
      <c r="B227" s="25"/>
      <c r="C227" s="26" t="s">
        <v>4</v>
      </c>
      <c r="D227" s="27"/>
      <c r="E227" s="28"/>
      <c r="F227" s="28"/>
      <c r="G227" s="29">
        <f>_xlfn.STDEV.P(G214,G217,G220)</f>
        <v>1.2963881448941981</v>
      </c>
      <c r="H227" s="29">
        <f t="shared" ref="H227:I227" si="67">_xlfn.STDEV.P(H214,H217,H220)</f>
        <v>6.2660422657484685E-2</v>
      </c>
      <c r="I227" s="29">
        <f t="shared" si="67"/>
        <v>0.13260829819071401</v>
      </c>
    </row>
    <row r="228" spans="1:24" ht="15" thickBot="1" x14ac:dyDescent="0.35">
      <c r="A228" s="19"/>
      <c r="B228" s="30"/>
      <c r="C228" s="31" t="s">
        <v>5</v>
      </c>
      <c r="D228" s="32"/>
      <c r="E228" s="33"/>
      <c r="F228" s="33"/>
      <c r="G228" s="34">
        <f>_xlfn.STDEV.P(G215,G218,G221)</f>
        <v>3.2242966502616968</v>
      </c>
      <c r="H228" s="34">
        <f t="shared" ref="H228:I228" si="68">_xlfn.STDEV.P(H215,H218,H221)</f>
        <v>6.7008749363110298E-2</v>
      </c>
      <c r="I228" s="34">
        <f t="shared" si="68"/>
        <v>0.29212732804107511</v>
      </c>
    </row>
    <row r="229" spans="1:24" x14ac:dyDescent="0.3">
      <c r="A229" s="1" t="s">
        <v>10</v>
      </c>
      <c r="B229" s="4">
        <v>12</v>
      </c>
      <c r="C229" s="1" t="s">
        <v>3</v>
      </c>
      <c r="D229" s="3">
        <v>43977</v>
      </c>
      <c r="E229" s="2"/>
    </row>
    <row r="230" spans="1:24" x14ac:dyDescent="0.3">
      <c r="A230" s="1" t="s">
        <v>10</v>
      </c>
      <c r="B230" s="4">
        <v>13</v>
      </c>
      <c r="C230" s="1" t="s">
        <v>3</v>
      </c>
      <c r="D230" s="3">
        <v>43977</v>
      </c>
      <c r="E230" s="2">
        <v>32</v>
      </c>
      <c r="G230" s="4">
        <v>15.12</v>
      </c>
      <c r="H230" s="14">
        <f>G230/E230</f>
        <v>0.47249999999999998</v>
      </c>
      <c r="I230" s="14">
        <f>I195+H230</f>
        <v>2.8403125</v>
      </c>
    </row>
    <row r="231" spans="1:24" x14ac:dyDescent="0.3">
      <c r="A231" s="1" t="s">
        <v>10</v>
      </c>
      <c r="B231" s="4">
        <v>14</v>
      </c>
      <c r="C231" s="1" t="s">
        <v>4</v>
      </c>
      <c r="D231" s="3">
        <v>43977</v>
      </c>
      <c r="E231" s="2">
        <v>33</v>
      </c>
      <c r="G231" s="4">
        <f>16.1+0.88</f>
        <v>16.98</v>
      </c>
      <c r="H231" s="14">
        <f t="shared" ref="H231:H238" si="69">G231/E231</f>
        <v>0.51454545454545453</v>
      </c>
      <c r="I231" s="14">
        <f t="shared" ref="I231:I239" si="70">I196+H231</f>
        <v>2.7030303030303031</v>
      </c>
    </row>
    <row r="232" spans="1:24" x14ac:dyDescent="0.3">
      <c r="A232" s="1" t="s">
        <v>10</v>
      </c>
      <c r="B232" s="4">
        <v>15</v>
      </c>
      <c r="C232" s="1" t="s">
        <v>5</v>
      </c>
      <c r="D232" s="3">
        <v>43977</v>
      </c>
      <c r="E232" s="2">
        <v>35</v>
      </c>
      <c r="G232" s="4">
        <f>8.66+10.97</f>
        <v>19.630000000000003</v>
      </c>
      <c r="H232" s="14">
        <f t="shared" si="69"/>
        <v>0.56085714285714294</v>
      </c>
      <c r="I232" s="14">
        <f t="shared" si="70"/>
        <v>2.7080676691729324</v>
      </c>
    </row>
    <row r="233" spans="1:24" x14ac:dyDescent="0.3">
      <c r="A233" s="1" t="s">
        <v>10</v>
      </c>
      <c r="B233" s="4">
        <v>16</v>
      </c>
      <c r="C233" s="1" t="s">
        <v>3</v>
      </c>
      <c r="D233" s="3">
        <v>43977</v>
      </c>
      <c r="E233" s="2">
        <v>40</v>
      </c>
      <c r="G233" s="4">
        <f>10.59+9.84</f>
        <v>20.43</v>
      </c>
      <c r="H233" s="14">
        <f t="shared" si="69"/>
        <v>0.51075000000000004</v>
      </c>
      <c r="I233" s="14">
        <f t="shared" si="70"/>
        <v>2.88225</v>
      </c>
    </row>
    <row r="234" spans="1:24" x14ac:dyDescent="0.3">
      <c r="A234" s="1" t="s">
        <v>10</v>
      </c>
      <c r="B234" s="4">
        <v>17</v>
      </c>
      <c r="C234" s="1" t="s">
        <v>4</v>
      </c>
      <c r="D234" s="3">
        <v>43977</v>
      </c>
      <c r="E234" s="2">
        <v>34</v>
      </c>
      <c r="G234" s="2">
        <f>7.55+10.09</f>
        <v>17.64</v>
      </c>
      <c r="H234" s="14">
        <f t="shared" si="69"/>
        <v>0.51882352941176468</v>
      </c>
      <c r="I234" s="14">
        <f t="shared" si="70"/>
        <v>2.6973065015479873</v>
      </c>
    </row>
    <row r="235" spans="1:24" x14ac:dyDescent="0.3">
      <c r="A235" s="1" t="s">
        <v>10</v>
      </c>
      <c r="B235" s="4">
        <v>18</v>
      </c>
      <c r="C235" s="1" t="s">
        <v>5</v>
      </c>
      <c r="D235" s="3">
        <v>43977</v>
      </c>
      <c r="E235" s="2">
        <v>38</v>
      </c>
      <c r="G235" s="2">
        <f>11.08+8.08</f>
        <v>19.16</v>
      </c>
      <c r="H235" s="14">
        <f t="shared" si="69"/>
        <v>0.50421052631578944</v>
      </c>
      <c r="I235" s="14">
        <f t="shared" si="70"/>
        <v>2.7827763157894738</v>
      </c>
    </row>
    <row r="236" spans="1:24" x14ac:dyDescent="0.3">
      <c r="A236" s="1" t="s">
        <v>10</v>
      </c>
      <c r="B236" s="4">
        <v>19</v>
      </c>
      <c r="C236" s="1" t="s">
        <v>3</v>
      </c>
      <c r="D236" s="3">
        <v>43977</v>
      </c>
      <c r="E236" s="2">
        <v>34</v>
      </c>
      <c r="G236" s="4">
        <f>11.54+5.72</f>
        <v>17.259999999999998</v>
      </c>
      <c r="H236" s="14">
        <f t="shared" si="69"/>
        <v>0.50764705882352934</v>
      </c>
      <c r="I236" s="14">
        <f t="shared" si="70"/>
        <v>2.9415739268680445</v>
      </c>
    </row>
    <row r="237" spans="1:24" x14ac:dyDescent="0.3">
      <c r="A237" s="1" t="s">
        <v>10</v>
      </c>
      <c r="B237" s="4">
        <v>20</v>
      </c>
      <c r="C237" s="1" t="s">
        <v>4</v>
      </c>
      <c r="D237" s="3">
        <v>43977</v>
      </c>
      <c r="E237" s="2">
        <v>40</v>
      </c>
      <c r="G237" s="4">
        <f>10.21+9.38</f>
        <v>19.590000000000003</v>
      </c>
      <c r="H237" s="14">
        <f t="shared" si="69"/>
        <v>0.48975000000000007</v>
      </c>
      <c r="I237" s="14">
        <f t="shared" si="70"/>
        <v>2.6067499999999999</v>
      </c>
    </row>
    <row r="238" spans="1:24" x14ac:dyDescent="0.3">
      <c r="A238" s="1" t="s">
        <v>10</v>
      </c>
      <c r="B238" s="4">
        <v>21</v>
      </c>
      <c r="C238" s="1" t="s">
        <v>5</v>
      </c>
      <c r="D238" s="3">
        <v>43977</v>
      </c>
      <c r="E238" s="2">
        <v>32</v>
      </c>
      <c r="G238" s="4">
        <v>21.11</v>
      </c>
      <c r="H238" s="14">
        <f t="shared" si="69"/>
        <v>0.65968749999999998</v>
      </c>
      <c r="I238" s="14">
        <f t="shared" si="70"/>
        <v>2.9961111111111114</v>
      </c>
    </row>
    <row r="239" spans="1:24" x14ac:dyDescent="0.3">
      <c r="A239" s="1" t="s">
        <v>10</v>
      </c>
      <c r="B239" s="4">
        <v>22</v>
      </c>
      <c r="C239" s="1" t="s">
        <v>3</v>
      </c>
      <c r="D239" s="3">
        <v>43977</v>
      </c>
      <c r="E239" s="2">
        <v>38</v>
      </c>
      <c r="G239" s="4">
        <v>19</v>
      </c>
      <c r="H239" s="14">
        <f>G239/E239</f>
        <v>0.5</v>
      </c>
      <c r="I239" s="14">
        <f t="shared" si="70"/>
        <v>3.105</v>
      </c>
    </row>
    <row r="240" spans="1:24" x14ac:dyDescent="0.3">
      <c r="A240" s="5" t="s">
        <v>10</v>
      </c>
      <c r="B240" s="6">
        <v>23</v>
      </c>
      <c r="C240" s="5" t="s">
        <v>3</v>
      </c>
      <c r="D240" s="7">
        <v>43977</v>
      </c>
      <c r="E240" s="13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17" x14ac:dyDescent="0.3">
      <c r="B241" s="20" t="s">
        <v>15</v>
      </c>
      <c r="C241" s="21" t="s">
        <v>3</v>
      </c>
      <c r="D241" s="22"/>
      <c r="E241" s="23"/>
      <c r="F241" s="23"/>
      <c r="G241" s="24">
        <f t="shared" ref="G241:I243" si="71">AVERAGE(G230,G233,G236)</f>
        <v>17.603333333333332</v>
      </c>
      <c r="H241" s="24">
        <f t="shared" si="71"/>
        <v>0.49696568627450977</v>
      </c>
      <c r="I241" s="24">
        <f t="shared" si="71"/>
        <v>2.8880454756226812</v>
      </c>
    </row>
    <row r="242" spans="1:17" x14ac:dyDescent="0.3">
      <c r="B242" s="20"/>
      <c r="C242" s="21" t="s">
        <v>4</v>
      </c>
      <c r="D242" s="22"/>
      <c r="E242" s="23"/>
      <c r="F242" s="23"/>
      <c r="G242" s="24">
        <f t="shared" si="71"/>
        <v>18.070000000000004</v>
      </c>
      <c r="H242" s="24">
        <f t="shared" si="71"/>
        <v>0.50770632798573978</v>
      </c>
      <c r="I242" s="24">
        <f t="shared" si="71"/>
        <v>2.6690289348594298</v>
      </c>
    </row>
    <row r="243" spans="1:17" x14ac:dyDescent="0.3">
      <c r="B243" s="20"/>
      <c r="C243" s="21" t="s">
        <v>5</v>
      </c>
      <c r="D243" s="22"/>
      <c r="E243" s="23"/>
      <c r="F243" s="23"/>
      <c r="G243" s="24">
        <f>AVERAGE(G232,G235,G238)</f>
        <v>19.966666666666669</v>
      </c>
      <c r="H243" s="24">
        <f t="shared" si="71"/>
        <v>0.57491838972431075</v>
      </c>
      <c r="I243" s="24">
        <f t="shared" si="71"/>
        <v>2.8289850320245065</v>
      </c>
    </row>
    <row r="244" spans="1:17" x14ac:dyDescent="0.3">
      <c r="B244" s="25" t="s">
        <v>16</v>
      </c>
      <c r="C244" s="26" t="s">
        <v>3</v>
      </c>
      <c r="D244" s="27"/>
      <c r="E244" s="28"/>
      <c r="F244" s="28"/>
      <c r="G244" s="29">
        <f t="shared" ref="G244:I246" si="72">_xlfn.STDEV.P(G230,G233,G236)</f>
        <v>2.1813502444332342</v>
      </c>
      <c r="H244" s="29">
        <f t="shared" si="72"/>
        <v>1.7346169887484528E-2</v>
      </c>
      <c r="I244" s="29">
        <f t="shared" si="72"/>
        <v>4.1542426474692945E-2</v>
      </c>
    </row>
    <row r="245" spans="1:17" x14ac:dyDescent="0.3">
      <c r="B245" s="25"/>
      <c r="C245" s="26" t="s">
        <v>4</v>
      </c>
      <c r="D245" s="27"/>
      <c r="E245" s="28"/>
      <c r="F245" s="28"/>
      <c r="G245" s="29">
        <f t="shared" si="72"/>
        <v>1.1080613701415654</v>
      </c>
      <c r="H245" s="29">
        <f t="shared" si="72"/>
        <v>1.2816597759390811E-2</v>
      </c>
      <c r="I245" s="29">
        <f t="shared" si="72"/>
        <v>4.4099809306247607E-2</v>
      </c>
    </row>
    <row r="246" spans="1:17" ht="15" thickBot="1" x14ac:dyDescent="0.35">
      <c r="A246" s="19"/>
      <c r="B246" s="30"/>
      <c r="C246" s="31" t="s">
        <v>5</v>
      </c>
      <c r="D246" s="32"/>
      <c r="E246" s="33"/>
      <c r="F246" s="33"/>
      <c r="G246" s="34">
        <f t="shared" si="72"/>
        <v>0.83091649533645751</v>
      </c>
      <c r="H246" s="34">
        <f t="shared" si="72"/>
        <v>6.4247237730996762E-2</v>
      </c>
      <c r="I246" s="34">
        <f t="shared" si="72"/>
        <v>0.1220483243172298</v>
      </c>
    </row>
    <row r="247" spans="1:17" ht="15" thickBot="1" x14ac:dyDescent="0.35">
      <c r="A247" s="1" t="s">
        <v>9</v>
      </c>
      <c r="B247" s="4">
        <v>1</v>
      </c>
      <c r="C247" s="1" t="s">
        <v>11</v>
      </c>
      <c r="D247" s="3">
        <v>43984</v>
      </c>
      <c r="E247" s="2"/>
      <c r="N247" s="36" t="s">
        <v>13</v>
      </c>
      <c r="P247" s="36" t="s">
        <v>14</v>
      </c>
    </row>
    <row r="248" spans="1:17" ht="15" thickTop="1" x14ac:dyDescent="0.3">
      <c r="A248" s="1" t="s">
        <v>9</v>
      </c>
      <c r="B248" s="4">
        <v>2</v>
      </c>
      <c r="C248" s="1" t="s">
        <v>3</v>
      </c>
      <c r="D248" s="3">
        <v>43984</v>
      </c>
      <c r="E248" s="2">
        <v>36</v>
      </c>
      <c r="G248" s="2">
        <f>4.06+18.97</f>
        <v>23.029999999999998</v>
      </c>
      <c r="H248" s="14">
        <f>G248/E248</f>
        <v>0.63972222222222219</v>
      </c>
      <c r="I248" s="14">
        <f>I213+H248</f>
        <v>4.7394871794871793</v>
      </c>
      <c r="K248" s="84">
        <v>43984</v>
      </c>
      <c r="L248" s="85" t="s">
        <v>3</v>
      </c>
      <c r="M248" t="s">
        <v>17</v>
      </c>
      <c r="N248" s="35">
        <f>H258</f>
        <v>0.63210303160303161</v>
      </c>
      <c r="O248" s="35">
        <f>H261</f>
        <v>1.608623118595677E-2</v>
      </c>
      <c r="P248" s="35">
        <f>I258</f>
        <v>4.5013091113091113</v>
      </c>
      <c r="Q248" s="35">
        <f>I261</f>
        <v>0.19162350829491354</v>
      </c>
    </row>
    <row r="249" spans="1:17" x14ac:dyDescent="0.3">
      <c r="A249" s="1" t="s">
        <v>9</v>
      </c>
      <c r="B249" s="4">
        <v>3</v>
      </c>
      <c r="C249" s="1" t="s">
        <v>4</v>
      </c>
      <c r="D249" s="3">
        <v>43984</v>
      </c>
      <c r="E249" s="2">
        <v>34</v>
      </c>
      <c r="G249" s="2">
        <f>15.74+3.49+3.7</f>
        <v>22.93</v>
      </c>
      <c r="H249" s="14">
        <f t="shared" ref="H249:H256" si="73">G249/E249</f>
        <v>0.67441176470588238</v>
      </c>
      <c r="I249" s="14">
        <f t="shared" ref="I249:I256" si="74">I214+H249</f>
        <v>4.5908982511923693</v>
      </c>
      <c r="K249" s="84"/>
      <c r="L249" s="85"/>
      <c r="M249" t="s">
        <v>18</v>
      </c>
      <c r="N249" s="35">
        <f>H276</f>
        <v>0.48420710784313731</v>
      </c>
      <c r="O249" s="35">
        <f>H279</f>
        <v>5.8550595081315576E-2</v>
      </c>
      <c r="P249" s="35">
        <f>I276</f>
        <v>3.3722525834658188</v>
      </c>
      <c r="Q249" s="35">
        <f>I279</f>
        <v>6.8969148095922292E-2</v>
      </c>
    </row>
    <row r="250" spans="1:17" x14ac:dyDescent="0.3">
      <c r="A250" s="1" t="s">
        <v>9</v>
      </c>
      <c r="B250" s="4">
        <v>4</v>
      </c>
      <c r="C250" s="1" t="s">
        <v>5</v>
      </c>
      <c r="D250" s="3">
        <v>43984</v>
      </c>
      <c r="E250" s="2">
        <v>37</v>
      </c>
      <c r="G250" s="2">
        <f>14.52+10.98</f>
        <v>25.5</v>
      </c>
      <c r="H250" s="14">
        <f t="shared" si="73"/>
        <v>0.68918918918918914</v>
      </c>
      <c r="I250" s="14">
        <f t="shared" si="74"/>
        <v>4.7216216216216225</v>
      </c>
      <c r="K250" s="84"/>
      <c r="L250" s="85" t="s">
        <v>4</v>
      </c>
      <c r="M250" t="s">
        <v>17</v>
      </c>
      <c r="N250" s="35">
        <f>H259</f>
        <v>0.64107018783489378</v>
      </c>
      <c r="O250" s="35">
        <f>H262</f>
        <v>4.1049358506826408E-2</v>
      </c>
      <c r="P250" s="35">
        <f>I259</f>
        <v>4.435402019666725</v>
      </c>
      <c r="Q250" s="35">
        <f>I262</f>
        <v>0.12876528957499578</v>
      </c>
    </row>
    <row r="251" spans="1:17" x14ac:dyDescent="0.3">
      <c r="A251" s="1" t="s">
        <v>9</v>
      </c>
      <c r="B251" s="4">
        <v>5</v>
      </c>
      <c r="C251" s="1" t="s">
        <v>3</v>
      </c>
      <c r="D251" s="3">
        <v>43984</v>
      </c>
      <c r="E251" s="2">
        <v>35</v>
      </c>
      <c r="G251" s="2">
        <f>8.42+14.22</f>
        <v>22.64</v>
      </c>
      <c r="H251" s="14">
        <f t="shared" si="73"/>
        <v>0.64685714285714291</v>
      </c>
      <c r="I251" s="14">
        <f t="shared" si="74"/>
        <v>4.4941698841698843</v>
      </c>
      <c r="K251" s="84"/>
      <c r="L251" s="85"/>
      <c r="M251" t="s">
        <v>18</v>
      </c>
      <c r="N251" s="35">
        <f>H277</f>
        <v>0.3980659536541889</v>
      </c>
      <c r="O251" s="35">
        <f>H280</f>
        <v>4.1315206778826691E-2</v>
      </c>
      <c r="P251" s="35">
        <f>I277</f>
        <v>3.0670948885136191</v>
      </c>
      <c r="Q251" s="35">
        <f>I280</f>
        <v>8.5378581894592187E-2</v>
      </c>
    </row>
    <row r="252" spans="1:17" x14ac:dyDescent="0.3">
      <c r="A252" s="1" t="s">
        <v>9</v>
      </c>
      <c r="B252" s="4">
        <v>6</v>
      </c>
      <c r="C252" s="1" t="s">
        <v>4</v>
      </c>
      <c r="D252" s="3">
        <v>43984</v>
      </c>
      <c r="E252" s="2">
        <v>37</v>
      </c>
      <c r="G252" s="2">
        <f>7.7+13.88</f>
        <v>21.580000000000002</v>
      </c>
      <c r="H252" s="14">
        <f t="shared" si="73"/>
        <v>0.58324324324324328</v>
      </c>
      <c r="I252" s="14">
        <f t="shared" si="74"/>
        <v>4.4397297297297289</v>
      </c>
      <c r="K252" s="84"/>
      <c r="L252" s="85" t="s">
        <v>5</v>
      </c>
      <c r="M252" t="s">
        <v>17</v>
      </c>
      <c r="N252" s="35">
        <f>H260</f>
        <v>0.60236632120842648</v>
      </c>
      <c r="O252" s="35">
        <f>H263</f>
        <v>6.1731156085558445E-2</v>
      </c>
      <c r="P252" s="35">
        <f>I260</f>
        <v>4.2338654744970539</v>
      </c>
      <c r="Q252" s="35">
        <f>I263</f>
        <v>0.35336741388310894</v>
      </c>
    </row>
    <row r="253" spans="1:17" x14ac:dyDescent="0.3">
      <c r="A253" s="1" t="s">
        <v>9</v>
      </c>
      <c r="B253" s="4">
        <v>7</v>
      </c>
      <c r="C253" s="1" t="s">
        <v>5</v>
      </c>
      <c r="D253" s="3">
        <v>43984</v>
      </c>
      <c r="E253" s="2">
        <v>35</v>
      </c>
      <c r="G253" s="2">
        <f>8.05+11.79</f>
        <v>19.84</v>
      </c>
      <c r="H253" s="14">
        <f t="shared" si="73"/>
        <v>0.56685714285714284</v>
      </c>
      <c r="I253" s="14">
        <f t="shared" si="74"/>
        <v>4.0841853281853284</v>
      </c>
      <c r="K253" s="84"/>
      <c r="L253" s="85"/>
      <c r="M253" t="s">
        <v>18</v>
      </c>
      <c r="N253" s="35">
        <f>H278</f>
        <v>0.4614901315789473</v>
      </c>
      <c r="O253" s="35">
        <f>H281</f>
        <v>3.8251536169582406E-2</v>
      </c>
      <c r="P253" s="35">
        <f>I278</f>
        <v>3.2904751636034533</v>
      </c>
      <c r="Q253" s="35">
        <f>I281</f>
        <v>0.13159468272410516</v>
      </c>
    </row>
    <row r="254" spans="1:17" x14ac:dyDescent="0.3">
      <c r="A254" s="1" t="s">
        <v>9</v>
      </c>
      <c r="B254" s="4">
        <v>8</v>
      </c>
      <c r="C254" s="1" t="s">
        <v>3</v>
      </c>
      <c r="D254" s="3">
        <v>43984</v>
      </c>
      <c r="E254" s="2">
        <v>37</v>
      </c>
      <c r="G254" s="2">
        <f>7.57+14.99</f>
        <v>22.560000000000002</v>
      </c>
      <c r="H254" s="14">
        <f t="shared" si="73"/>
        <v>0.60972972972972983</v>
      </c>
      <c r="I254" s="14">
        <f t="shared" si="74"/>
        <v>4.2702702702702711</v>
      </c>
    </row>
    <row r="255" spans="1:17" x14ac:dyDescent="0.3">
      <c r="A255" s="1" t="s">
        <v>9</v>
      </c>
      <c r="B255" s="4">
        <v>9</v>
      </c>
      <c r="C255" s="1" t="s">
        <v>4</v>
      </c>
      <c r="D255" s="3">
        <v>43984</v>
      </c>
      <c r="E255" s="2">
        <v>36</v>
      </c>
      <c r="G255" s="2">
        <f>10.62+13.34</f>
        <v>23.96</v>
      </c>
      <c r="H255" s="14">
        <f t="shared" si="73"/>
        <v>0.66555555555555557</v>
      </c>
      <c r="I255" s="14">
        <f t="shared" si="74"/>
        <v>4.2755780780780777</v>
      </c>
    </row>
    <row r="256" spans="1:17" x14ac:dyDescent="0.3">
      <c r="A256" s="1" t="s">
        <v>9</v>
      </c>
      <c r="B256" s="4">
        <v>10</v>
      </c>
      <c r="C256" s="1" t="s">
        <v>5</v>
      </c>
      <c r="D256" s="3">
        <v>43984</v>
      </c>
      <c r="E256" s="2">
        <v>38</v>
      </c>
      <c r="G256" s="2">
        <f>4.31+16.63</f>
        <v>20.939999999999998</v>
      </c>
      <c r="H256" s="14">
        <f t="shared" si="73"/>
        <v>0.55105263157894735</v>
      </c>
      <c r="I256" s="14">
        <f t="shared" si="74"/>
        <v>3.8957894736842102</v>
      </c>
    </row>
    <row r="257" spans="1:9" ht="15" thickBot="1" x14ac:dyDescent="0.35">
      <c r="A257" s="9" t="s">
        <v>9</v>
      </c>
      <c r="B257" s="15">
        <v>11</v>
      </c>
      <c r="C257" s="9" t="s">
        <v>3</v>
      </c>
      <c r="D257" s="16">
        <v>43984</v>
      </c>
      <c r="E257" s="17"/>
      <c r="F257" s="18"/>
      <c r="G257" s="18"/>
      <c r="H257" s="18"/>
      <c r="I257" s="18"/>
    </row>
    <row r="258" spans="1:9" ht="15" thickTop="1" x14ac:dyDescent="0.3">
      <c r="B258" s="20" t="s">
        <v>15</v>
      </c>
      <c r="C258" s="21" t="s">
        <v>3</v>
      </c>
      <c r="D258" s="22"/>
      <c r="E258" s="23"/>
      <c r="F258" s="23"/>
      <c r="G258" s="24">
        <f>AVERAGE(G248,G251,G254)</f>
        <v>22.743333333333336</v>
      </c>
      <c r="H258" s="24">
        <f>AVERAGE(H248,H251,H254)</f>
        <v>0.63210303160303161</v>
      </c>
      <c r="I258" s="24">
        <f t="shared" ref="I258" si="75">AVERAGE(I248,I251,I254)</f>
        <v>4.5013091113091113</v>
      </c>
    </row>
    <row r="259" spans="1:9" x14ac:dyDescent="0.3">
      <c r="B259" s="20"/>
      <c r="C259" s="21" t="s">
        <v>4</v>
      </c>
      <c r="D259" s="22"/>
      <c r="E259" s="23"/>
      <c r="F259" s="23"/>
      <c r="G259" s="24">
        <f t="shared" ref="G259" si="76">AVERAGE(G249,G252,G255)</f>
        <v>22.823333333333334</v>
      </c>
      <c r="H259" s="24">
        <f>AVERAGE(H249,H252,H255)</f>
        <v>0.64107018783489378</v>
      </c>
      <c r="I259" s="24">
        <f t="shared" ref="I259:I260" si="77">AVERAGE(I249,I252,I255)</f>
        <v>4.435402019666725</v>
      </c>
    </row>
    <row r="260" spans="1:9" x14ac:dyDescent="0.3">
      <c r="B260" s="20"/>
      <c r="C260" s="21" t="s">
        <v>5</v>
      </c>
      <c r="D260" s="22"/>
      <c r="E260" s="23"/>
      <c r="F260" s="23"/>
      <c r="G260" s="24">
        <f>AVERAGE(G250,G253,G256)</f>
        <v>22.093333333333334</v>
      </c>
      <c r="H260" s="24">
        <f>AVERAGE(H250,H253,H256)</f>
        <v>0.60236632120842648</v>
      </c>
      <c r="I260" s="24">
        <f t="shared" si="77"/>
        <v>4.2338654744970539</v>
      </c>
    </row>
    <row r="261" spans="1:9" x14ac:dyDescent="0.3">
      <c r="B261" s="25" t="s">
        <v>16</v>
      </c>
      <c r="C261" s="26" t="s">
        <v>3</v>
      </c>
      <c r="D261" s="27"/>
      <c r="E261" s="28"/>
      <c r="F261" s="28"/>
      <c r="G261" s="29">
        <f>_xlfn.STDEV.P(G248,G251,G254)</f>
        <v>0.20531818125912468</v>
      </c>
      <c r="H261" s="29">
        <f t="shared" ref="H261:I261" si="78">_xlfn.STDEV.P(H248,H251,H254)</f>
        <v>1.608623118595677E-2</v>
      </c>
      <c r="I261" s="29">
        <f t="shared" si="78"/>
        <v>0.19162350829491354</v>
      </c>
    </row>
    <row r="262" spans="1:9" x14ac:dyDescent="0.3">
      <c r="B262" s="25"/>
      <c r="C262" s="26" t="s">
        <v>4</v>
      </c>
      <c r="D262" s="27"/>
      <c r="E262" s="28"/>
      <c r="F262" s="28"/>
      <c r="G262" s="29">
        <f>_xlfn.STDEV.P(G249,G252,G255)</f>
        <v>0.97455402905921773</v>
      </c>
      <c r="H262" s="29">
        <f t="shared" ref="H262:I262" si="79">_xlfn.STDEV.P(H249,H252,H255)</f>
        <v>4.1049358506826408E-2</v>
      </c>
      <c r="I262" s="29">
        <f t="shared" si="79"/>
        <v>0.12876528957499578</v>
      </c>
    </row>
    <row r="263" spans="1:9" ht="15" thickBot="1" x14ac:dyDescent="0.35">
      <c r="A263" s="19"/>
      <c r="B263" s="30"/>
      <c r="C263" s="31" t="s">
        <v>5</v>
      </c>
      <c r="D263" s="32"/>
      <c r="E263" s="33"/>
      <c r="F263" s="33"/>
      <c r="G263" s="34">
        <f>_xlfn.STDEV.P(G250,G253,G256)</f>
        <v>2.4503786555460105</v>
      </c>
      <c r="H263" s="34">
        <f t="shared" ref="H263:I263" si="80">_xlfn.STDEV.P(H250,H253,H256)</f>
        <v>6.1731156085558445E-2</v>
      </c>
      <c r="I263" s="34">
        <f t="shared" si="80"/>
        <v>0.35336741388310894</v>
      </c>
    </row>
    <row r="264" spans="1:9" x14ac:dyDescent="0.3">
      <c r="A264" s="1" t="s">
        <v>10</v>
      </c>
      <c r="B264" s="4">
        <v>12</v>
      </c>
      <c r="C264" s="1" t="s">
        <v>3</v>
      </c>
      <c r="D264" s="3">
        <v>43984</v>
      </c>
      <c r="E264" s="2"/>
    </row>
    <row r="265" spans="1:9" x14ac:dyDescent="0.3">
      <c r="A265" s="1" t="s">
        <v>10</v>
      </c>
      <c r="B265" s="4">
        <v>13</v>
      </c>
      <c r="C265" s="1" t="s">
        <v>3</v>
      </c>
      <c r="D265" s="3">
        <v>43984</v>
      </c>
      <c r="E265" s="2">
        <v>32</v>
      </c>
      <c r="G265" s="4">
        <f>17.21</f>
        <v>17.21</v>
      </c>
      <c r="H265" s="14">
        <f>G265/E265</f>
        <v>0.53781250000000003</v>
      </c>
      <c r="I265" s="14">
        <f>I230+H265</f>
        <v>3.3781249999999998</v>
      </c>
    </row>
    <row r="266" spans="1:9" x14ac:dyDescent="0.3">
      <c r="A266" s="1" t="s">
        <v>10</v>
      </c>
      <c r="B266" s="4">
        <v>14</v>
      </c>
      <c r="C266" s="1" t="s">
        <v>4</v>
      </c>
      <c r="D266" s="3">
        <v>43984</v>
      </c>
      <c r="E266" s="2">
        <v>33</v>
      </c>
      <c r="G266" s="4">
        <v>14.28</v>
      </c>
      <c r="H266" s="14">
        <f t="shared" ref="H266:H273" si="81">G266/E266</f>
        <v>0.43272727272727268</v>
      </c>
      <c r="I266" s="14">
        <f t="shared" ref="I266:I274" si="82">I231+H266</f>
        <v>3.1357575757575757</v>
      </c>
    </row>
    <row r="267" spans="1:9" x14ac:dyDescent="0.3">
      <c r="A267" s="1" t="s">
        <v>10</v>
      </c>
      <c r="B267" s="4">
        <v>15</v>
      </c>
      <c r="C267" s="1" t="s">
        <v>5</v>
      </c>
      <c r="D267" s="3">
        <v>43984</v>
      </c>
      <c r="E267" s="2">
        <v>35</v>
      </c>
      <c r="G267" s="4">
        <v>17.36</v>
      </c>
      <c r="H267" s="14">
        <f t="shared" si="81"/>
        <v>0.496</v>
      </c>
      <c r="I267" s="14">
        <f t="shared" si="82"/>
        <v>3.2040676691729324</v>
      </c>
    </row>
    <row r="268" spans="1:9" x14ac:dyDescent="0.3">
      <c r="A268" s="1" t="s">
        <v>10</v>
      </c>
      <c r="B268" s="4">
        <v>16</v>
      </c>
      <c r="C268" s="1" t="s">
        <v>3</v>
      </c>
      <c r="D268" s="3">
        <v>43984</v>
      </c>
      <c r="E268" s="2">
        <v>40</v>
      </c>
      <c r="G268" s="4">
        <v>16.11</v>
      </c>
      <c r="H268" s="14">
        <f t="shared" si="81"/>
        <v>0.40275</v>
      </c>
      <c r="I268" s="14">
        <f t="shared" si="82"/>
        <v>3.2850000000000001</v>
      </c>
    </row>
    <row r="269" spans="1:9" x14ac:dyDescent="0.3">
      <c r="A269" s="1" t="s">
        <v>10</v>
      </c>
      <c r="B269" s="4">
        <v>17</v>
      </c>
      <c r="C269" s="1" t="s">
        <v>4</v>
      </c>
      <c r="D269" s="3">
        <v>43984</v>
      </c>
      <c r="E269" s="2">
        <v>34</v>
      </c>
      <c r="G269" s="2">
        <f>6.67+7.66</f>
        <v>14.33</v>
      </c>
      <c r="H269" s="14">
        <f t="shared" si="81"/>
        <v>0.4214705882352941</v>
      </c>
      <c r="I269" s="14">
        <f t="shared" si="82"/>
        <v>3.1187770897832814</v>
      </c>
    </row>
    <row r="270" spans="1:9" x14ac:dyDescent="0.3">
      <c r="A270" s="1" t="s">
        <v>10</v>
      </c>
      <c r="B270" s="4">
        <v>18</v>
      </c>
      <c r="C270" s="1" t="s">
        <v>5</v>
      </c>
      <c r="D270" s="3">
        <v>43984</v>
      </c>
      <c r="E270" s="2">
        <v>38</v>
      </c>
      <c r="G270" s="2">
        <v>15.51</v>
      </c>
      <c r="H270" s="14">
        <f t="shared" si="81"/>
        <v>0.40815789473684211</v>
      </c>
      <c r="I270" s="14">
        <f t="shared" si="82"/>
        <v>3.1909342105263159</v>
      </c>
    </row>
    <row r="271" spans="1:9" x14ac:dyDescent="0.3">
      <c r="A271" s="1" t="s">
        <v>10</v>
      </c>
      <c r="B271" s="4">
        <v>19</v>
      </c>
      <c r="C271" s="1" t="s">
        <v>3</v>
      </c>
      <c r="D271" s="3">
        <v>43984</v>
      </c>
      <c r="E271" s="2">
        <v>34</v>
      </c>
      <c r="G271" s="4">
        <v>17.41</v>
      </c>
      <c r="H271" s="14">
        <f t="shared" si="81"/>
        <v>0.51205882352941179</v>
      </c>
      <c r="I271" s="14">
        <f t="shared" si="82"/>
        <v>3.4536327503974564</v>
      </c>
    </row>
    <row r="272" spans="1:9" x14ac:dyDescent="0.3">
      <c r="A272" s="1" t="s">
        <v>10</v>
      </c>
      <c r="B272" s="4">
        <v>20</v>
      </c>
      <c r="C272" s="1" t="s">
        <v>4</v>
      </c>
      <c r="D272" s="3">
        <v>43984</v>
      </c>
      <c r="E272" s="2">
        <v>40</v>
      </c>
      <c r="G272" s="4">
        <v>13.6</v>
      </c>
      <c r="H272" s="14">
        <f t="shared" si="81"/>
        <v>0.33999999999999997</v>
      </c>
      <c r="I272" s="14">
        <f t="shared" si="82"/>
        <v>2.9467499999999998</v>
      </c>
    </row>
    <row r="273" spans="1:24" x14ac:dyDescent="0.3">
      <c r="A273" s="1" t="s">
        <v>10</v>
      </c>
      <c r="B273" s="4">
        <v>21</v>
      </c>
      <c r="C273" s="1" t="s">
        <v>5</v>
      </c>
      <c r="D273" s="3">
        <v>43984</v>
      </c>
      <c r="E273" s="2">
        <v>32</v>
      </c>
      <c r="G273" s="4">
        <v>15.37</v>
      </c>
      <c r="H273" s="14">
        <f t="shared" si="81"/>
        <v>0.48031249999999998</v>
      </c>
      <c r="I273" s="14">
        <f>I238+H273</f>
        <v>3.4764236111111115</v>
      </c>
    </row>
    <row r="274" spans="1:24" x14ac:dyDescent="0.3">
      <c r="A274" s="1" t="s">
        <v>10</v>
      </c>
      <c r="B274" s="4">
        <v>22</v>
      </c>
      <c r="C274" s="1" t="s">
        <v>3</v>
      </c>
      <c r="D274" s="3">
        <v>43984</v>
      </c>
      <c r="E274" s="2">
        <v>38</v>
      </c>
      <c r="G274" s="4">
        <v>17.25</v>
      </c>
      <c r="H274" s="14">
        <f>G274/E274</f>
        <v>0.45394736842105265</v>
      </c>
      <c r="I274" s="14">
        <f t="shared" si="82"/>
        <v>3.5589473684210526</v>
      </c>
    </row>
    <row r="275" spans="1:24" x14ac:dyDescent="0.3">
      <c r="A275" s="5" t="s">
        <v>10</v>
      </c>
      <c r="B275" s="6">
        <v>23</v>
      </c>
      <c r="C275" s="5" t="s">
        <v>3</v>
      </c>
      <c r="D275" s="7">
        <v>43984</v>
      </c>
      <c r="E275" s="13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x14ac:dyDescent="0.3">
      <c r="B276" s="20" t="s">
        <v>15</v>
      </c>
      <c r="C276" s="21" t="s">
        <v>3</v>
      </c>
      <c r="D276" s="22"/>
      <c r="E276" s="23"/>
      <c r="F276" s="23"/>
      <c r="G276" s="24">
        <f>AVERAGE(G265,G268,G271)</f>
        <v>16.91</v>
      </c>
      <c r="H276" s="24">
        <f t="shared" ref="H276" si="83">AVERAGE(H265,H268,H271)</f>
        <v>0.48420710784313731</v>
      </c>
      <c r="I276" s="24">
        <f>AVERAGE(I265,I268,I271)</f>
        <v>3.3722525834658188</v>
      </c>
    </row>
    <row r="277" spans="1:24" x14ac:dyDescent="0.3">
      <c r="B277" s="20"/>
      <c r="C277" s="21" t="s">
        <v>4</v>
      </c>
      <c r="D277" s="22"/>
      <c r="E277" s="23"/>
      <c r="F277" s="23"/>
      <c r="G277" s="24">
        <f>AVERAGE(G266,G269,G272)</f>
        <v>14.07</v>
      </c>
      <c r="H277" s="24">
        <f t="shared" ref="H277" si="84">AVERAGE(H266,H269,H272)</f>
        <v>0.3980659536541889</v>
      </c>
      <c r="I277" s="24">
        <f>AVERAGE(I266,I269,I272)</f>
        <v>3.0670948885136191</v>
      </c>
    </row>
    <row r="278" spans="1:24" x14ac:dyDescent="0.3">
      <c r="B278" s="20"/>
      <c r="C278" s="21" t="s">
        <v>5</v>
      </c>
      <c r="D278" s="22"/>
      <c r="E278" s="23"/>
      <c r="F278" s="23"/>
      <c r="G278" s="24">
        <f>AVERAGE(G267,G270,G273)</f>
        <v>16.079999999999998</v>
      </c>
      <c r="H278" s="24">
        <f>AVERAGE(H267,H270,H273)</f>
        <v>0.4614901315789473</v>
      </c>
      <c r="I278" s="24">
        <f>AVERAGE(I267,I270,I273)</f>
        <v>3.2904751636034533</v>
      </c>
    </row>
    <row r="279" spans="1:24" x14ac:dyDescent="0.3">
      <c r="B279" s="25" t="s">
        <v>16</v>
      </c>
      <c r="C279" s="26" t="s">
        <v>3</v>
      </c>
      <c r="D279" s="27"/>
      <c r="E279" s="28"/>
      <c r="F279" s="28"/>
      <c r="G279" s="29">
        <f t="shared" ref="G279:I279" si="85">_xlfn.STDEV.P(G265,G268,G271)</f>
        <v>0.57154760664940862</v>
      </c>
      <c r="H279" s="29">
        <f t="shared" si="85"/>
        <v>5.8550595081315576E-2</v>
      </c>
      <c r="I279" s="29">
        <f t="shared" si="85"/>
        <v>6.8969148095922292E-2</v>
      </c>
    </row>
    <row r="280" spans="1:24" x14ac:dyDescent="0.3">
      <c r="B280" s="25"/>
      <c r="C280" s="26" t="s">
        <v>4</v>
      </c>
      <c r="D280" s="27"/>
      <c r="E280" s="28"/>
      <c r="F280" s="28"/>
      <c r="G280" s="29">
        <f t="shared" ref="G280:I280" si="86">_xlfn.STDEV.P(G266,G269,G272)</f>
        <v>0.33296646477786124</v>
      </c>
      <c r="H280" s="29">
        <f t="shared" si="86"/>
        <v>4.1315206778826691E-2</v>
      </c>
      <c r="I280" s="29">
        <f t="shared" si="86"/>
        <v>8.5378581894592187E-2</v>
      </c>
    </row>
    <row r="281" spans="1:24" ht="15" thickBot="1" x14ac:dyDescent="0.35">
      <c r="A281" s="19"/>
      <c r="B281" s="30"/>
      <c r="C281" s="31" t="s">
        <v>5</v>
      </c>
      <c r="D281" s="32"/>
      <c r="E281" s="33"/>
      <c r="F281" s="33"/>
      <c r="G281" s="34">
        <f t="shared" ref="G281:I281" si="87">_xlfn.STDEV.P(G267,G270,G273)</f>
        <v>0.90689947991310849</v>
      </c>
      <c r="H281" s="34">
        <f t="shared" si="87"/>
        <v>3.8251536169582406E-2</v>
      </c>
      <c r="I281" s="34">
        <f t="shared" si="87"/>
        <v>0.13159468272410516</v>
      </c>
    </row>
    <row r="282" spans="1:24" ht="15" thickBot="1" x14ac:dyDescent="0.35">
      <c r="A282" s="1" t="s">
        <v>9</v>
      </c>
      <c r="B282" s="4">
        <v>1</v>
      </c>
      <c r="C282" s="1" t="s">
        <v>11</v>
      </c>
      <c r="D282" s="3">
        <v>43991</v>
      </c>
      <c r="E282" s="2"/>
      <c r="N282" s="36" t="s">
        <v>13</v>
      </c>
      <c r="P282" s="36" t="s">
        <v>14</v>
      </c>
    </row>
    <row r="283" spans="1:24" ht="15" thickTop="1" x14ac:dyDescent="0.3">
      <c r="A283" s="1" t="s">
        <v>9</v>
      </c>
      <c r="B283" s="4">
        <v>2</v>
      </c>
      <c r="C283" s="1" t="s">
        <v>3</v>
      </c>
      <c r="D283" s="3">
        <v>43991</v>
      </c>
      <c r="E283" s="2">
        <v>36</v>
      </c>
      <c r="G283" s="4">
        <f>13.7+14.01</f>
        <v>27.71</v>
      </c>
      <c r="H283" s="14">
        <f>G283/E283</f>
        <v>0.7697222222222222</v>
      </c>
      <c r="I283" s="14">
        <f>I248+H283</f>
        <v>5.509209401709402</v>
      </c>
      <c r="K283" s="84">
        <v>43991</v>
      </c>
      <c r="L283" s="85" t="s">
        <v>3</v>
      </c>
      <c r="M283" t="s">
        <v>17</v>
      </c>
      <c r="N283" s="35">
        <f>H293</f>
        <v>0.69112491062491055</v>
      </c>
      <c r="O283" s="35">
        <f>H296</f>
        <v>6.4156550338684656E-2</v>
      </c>
      <c r="P283" s="35">
        <f>I293</f>
        <v>5.1924340219340221</v>
      </c>
      <c r="Q283" s="35">
        <f>I296</f>
        <v>0.23172475215525359</v>
      </c>
    </row>
    <row r="284" spans="1:24" x14ac:dyDescent="0.3">
      <c r="A284" s="1" t="s">
        <v>9</v>
      </c>
      <c r="B284" s="4">
        <v>3</v>
      </c>
      <c r="C284" s="1" t="s">
        <v>4</v>
      </c>
      <c r="D284" s="3">
        <v>43991</v>
      </c>
      <c r="E284" s="2">
        <v>34</v>
      </c>
      <c r="G284" s="4">
        <f>3.79+16.56</f>
        <v>20.349999999999998</v>
      </c>
      <c r="H284" s="14">
        <f t="shared" ref="H284:H291" si="88">G284/E284</f>
        <v>0.59852941176470587</v>
      </c>
      <c r="I284" s="14">
        <f t="shared" ref="I284:I291" si="89">I249+H284</f>
        <v>5.1894276629570752</v>
      </c>
      <c r="K284" s="84"/>
      <c r="L284" s="85"/>
      <c r="M284" t="s">
        <v>18</v>
      </c>
      <c r="N284" s="35">
        <f>H311</f>
        <v>0.40014460784313721</v>
      </c>
      <c r="O284" s="35">
        <f>H314</f>
        <v>4.2732196261910507E-2</v>
      </c>
      <c r="P284" s="35">
        <f>I311</f>
        <v>3.772397191308956</v>
      </c>
      <c r="Q284" s="35">
        <f>I314</f>
        <v>0.11026988322358522</v>
      </c>
    </row>
    <row r="285" spans="1:24" x14ac:dyDescent="0.3">
      <c r="A285" s="1" t="s">
        <v>9</v>
      </c>
      <c r="B285" s="4">
        <v>4</v>
      </c>
      <c r="C285" s="1" t="s">
        <v>5</v>
      </c>
      <c r="D285" s="3">
        <v>43991</v>
      </c>
      <c r="E285" s="2">
        <v>37</v>
      </c>
      <c r="G285" s="4">
        <f>14.05+14.48</f>
        <v>28.53</v>
      </c>
      <c r="H285" s="14">
        <f t="shared" si="88"/>
        <v>0.77108108108108109</v>
      </c>
      <c r="I285" s="14">
        <f t="shared" si="89"/>
        <v>5.4927027027027036</v>
      </c>
      <c r="K285" s="84"/>
      <c r="L285" s="85" t="s">
        <v>4</v>
      </c>
      <c r="M285" t="s">
        <v>17</v>
      </c>
      <c r="N285" s="35">
        <f>H294</f>
        <v>0.67156185597362061</v>
      </c>
      <c r="O285" s="35">
        <f>H297</f>
        <v>5.2245494891014564E-2</v>
      </c>
      <c r="P285" s="35">
        <f>I294</f>
        <v>5.1069638756403464</v>
      </c>
      <c r="Q285" s="35">
        <f>I297</f>
        <v>8.3020121243743958E-2</v>
      </c>
    </row>
    <row r="286" spans="1:24" x14ac:dyDescent="0.3">
      <c r="A286" s="1" t="s">
        <v>9</v>
      </c>
      <c r="B286" s="4">
        <v>5</v>
      </c>
      <c r="C286" s="1" t="s">
        <v>3</v>
      </c>
      <c r="D286" s="3">
        <v>43991</v>
      </c>
      <c r="E286" s="2">
        <v>35</v>
      </c>
      <c r="G286" s="4">
        <f>8.99+12.45</f>
        <v>21.439999999999998</v>
      </c>
      <c r="H286" s="14">
        <f t="shared" si="88"/>
        <v>0.61257142857142854</v>
      </c>
      <c r="I286" s="14">
        <f t="shared" si="89"/>
        <v>5.1067413127413133</v>
      </c>
      <c r="K286" s="84"/>
      <c r="L286" s="85"/>
      <c r="M286" t="s">
        <v>18</v>
      </c>
      <c r="N286" s="35">
        <f>H312</f>
        <v>0.34647326203208556</v>
      </c>
      <c r="O286" s="35">
        <f>H315</f>
        <v>2.8878172469317107E-2</v>
      </c>
      <c r="P286" s="35">
        <f>I312</f>
        <v>3.4135681505457049</v>
      </c>
      <c r="Q286" s="35">
        <f>I315</f>
        <v>0.10538174321627503</v>
      </c>
    </row>
    <row r="287" spans="1:24" x14ac:dyDescent="0.3">
      <c r="A287" s="1" t="s">
        <v>9</v>
      </c>
      <c r="B287" s="4">
        <v>6</v>
      </c>
      <c r="C287" s="1" t="s">
        <v>4</v>
      </c>
      <c r="D287" s="3">
        <v>43991</v>
      </c>
      <c r="E287" s="2">
        <v>37</v>
      </c>
      <c r="G287" s="2">
        <f>11.08+14.76</f>
        <v>25.84</v>
      </c>
      <c r="H287" s="14">
        <f t="shared" si="88"/>
        <v>0.69837837837837835</v>
      </c>
      <c r="I287" s="14">
        <f t="shared" si="89"/>
        <v>5.1381081081081073</v>
      </c>
      <c r="K287" s="84"/>
      <c r="L287" s="85" t="s">
        <v>5</v>
      </c>
      <c r="M287" t="s">
        <v>17</v>
      </c>
      <c r="N287" s="35">
        <f>H295</f>
        <v>0.70741800447063596</v>
      </c>
      <c r="O287" s="35">
        <f>H298</f>
        <v>4.5648555573739098E-2</v>
      </c>
      <c r="P287" s="35">
        <f>I295</f>
        <v>4.9412834789676898</v>
      </c>
      <c r="Q287" s="35">
        <f>I298</f>
        <v>0.39895958210505483</v>
      </c>
    </row>
    <row r="288" spans="1:24" x14ac:dyDescent="0.3">
      <c r="A288" s="1" t="s">
        <v>9</v>
      </c>
      <c r="B288" s="4">
        <v>7</v>
      </c>
      <c r="C288" s="1" t="s">
        <v>5</v>
      </c>
      <c r="D288" s="3">
        <v>43991</v>
      </c>
      <c r="E288" s="2">
        <v>35</v>
      </c>
      <c r="G288" s="2">
        <f>10.37+13.6</f>
        <v>23.97</v>
      </c>
      <c r="H288" s="14">
        <f t="shared" si="88"/>
        <v>0.68485714285714283</v>
      </c>
      <c r="I288" s="14">
        <f t="shared" si="89"/>
        <v>4.7690424710424715</v>
      </c>
      <c r="K288" s="84"/>
      <c r="L288" s="85"/>
      <c r="M288" t="s">
        <v>18</v>
      </c>
      <c r="N288" s="35">
        <f>H313</f>
        <v>0.40399279448621556</v>
      </c>
      <c r="O288" s="35">
        <f>H316</f>
        <v>3.6483406515245419E-2</v>
      </c>
      <c r="P288" s="35">
        <f>I313</f>
        <v>3.6944679580896689</v>
      </c>
      <c r="Q288" s="35">
        <f>I316</f>
        <v>0.16042259069231821</v>
      </c>
    </row>
    <row r="289" spans="1:9" x14ac:dyDescent="0.3">
      <c r="A289" s="1" t="s">
        <v>9</v>
      </c>
      <c r="B289" s="4">
        <v>8</v>
      </c>
      <c r="C289" s="1" t="s">
        <v>3</v>
      </c>
      <c r="D289" s="3">
        <v>43991</v>
      </c>
      <c r="E289" s="2">
        <v>37</v>
      </c>
      <c r="G289" s="4">
        <v>25.57</v>
      </c>
      <c r="H289" s="14">
        <f t="shared" si="88"/>
        <v>0.69108108108108113</v>
      </c>
      <c r="I289" s="14">
        <f t="shared" si="89"/>
        <v>4.9613513513513521</v>
      </c>
    </row>
    <row r="290" spans="1:9" x14ac:dyDescent="0.3">
      <c r="A290" s="1" t="s">
        <v>9</v>
      </c>
      <c r="B290" s="4">
        <v>9</v>
      </c>
      <c r="C290" s="1" t="s">
        <v>4</v>
      </c>
      <c r="D290" s="3">
        <v>43991</v>
      </c>
      <c r="E290" s="2">
        <v>36</v>
      </c>
      <c r="G290" s="4">
        <f>12.72+13.12</f>
        <v>25.84</v>
      </c>
      <c r="H290" s="14">
        <f t="shared" si="88"/>
        <v>0.71777777777777774</v>
      </c>
      <c r="I290" s="14">
        <f t="shared" si="89"/>
        <v>4.9933558558558557</v>
      </c>
    </row>
    <row r="291" spans="1:9" x14ac:dyDescent="0.3">
      <c r="A291" s="1" t="s">
        <v>9</v>
      </c>
      <c r="B291" s="4">
        <v>10</v>
      </c>
      <c r="C291" s="1" t="s">
        <v>5</v>
      </c>
      <c r="D291" s="3">
        <v>43991</v>
      </c>
      <c r="E291" s="2">
        <v>38</v>
      </c>
      <c r="G291" s="4">
        <f>9.7+15.62</f>
        <v>25.32</v>
      </c>
      <c r="H291" s="14">
        <f t="shared" si="88"/>
        <v>0.66631578947368419</v>
      </c>
      <c r="I291" s="14">
        <f t="shared" si="89"/>
        <v>4.5621052631578944</v>
      </c>
    </row>
    <row r="292" spans="1:9" ht="15" thickBot="1" x14ac:dyDescent="0.35">
      <c r="A292" s="9" t="s">
        <v>9</v>
      </c>
      <c r="B292" s="15">
        <v>11</v>
      </c>
      <c r="C292" s="9" t="s">
        <v>3</v>
      </c>
      <c r="D292" s="16">
        <v>43991</v>
      </c>
      <c r="E292" s="17"/>
      <c r="F292" s="18"/>
      <c r="G292" s="18"/>
      <c r="H292" s="18"/>
      <c r="I292" s="18"/>
    </row>
    <row r="293" spans="1:9" ht="15" thickTop="1" x14ac:dyDescent="0.3">
      <c r="B293" s="20" t="s">
        <v>15</v>
      </c>
      <c r="C293" s="21" t="s">
        <v>3</v>
      </c>
      <c r="D293" s="22"/>
      <c r="E293" s="23"/>
      <c r="F293" s="23"/>
      <c r="G293" s="24">
        <f t="shared" ref="G293:H295" si="90">AVERAGE(G283,G286,G289)</f>
        <v>24.906666666666666</v>
      </c>
      <c r="H293" s="24">
        <f t="shared" si="90"/>
        <v>0.69112491062491055</v>
      </c>
      <c r="I293" s="24">
        <f t="shared" ref="I293" si="91">AVERAGE(I283,I286,I289)</f>
        <v>5.1924340219340221</v>
      </c>
    </row>
    <row r="294" spans="1:9" x14ac:dyDescent="0.3">
      <c r="B294" s="20"/>
      <c r="C294" s="21" t="s">
        <v>4</v>
      </c>
      <c r="D294" s="22"/>
      <c r="E294" s="23"/>
      <c r="F294" s="23"/>
      <c r="G294" s="24">
        <f t="shared" si="90"/>
        <v>24.01</v>
      </c>
      <c r="H294" s="24">
        <f t="shared" si="90"/>
        <v>0.67156185597362061</v>
      </c>
      <c r="I294" s="24">
        <f t="shared" ref="I294" si="92">AVERAGE(I284,I287,I290)</f>
        <v>5.1069638756403464</v>
      </c>
    </row>
    <row r="295" spans="1:9" x14ac:dyDescent="0.3">
      <c r="B295" s="20"/>
      <c r="C295" s="21" t="s">
        <v>5</v>
      </c>
      <c r="D295" s="22"/>
      <c r="E295" s="23"/>
      <c r="F295" s="23"/>
      <c r="G295" s="24">
        <f t="shared" si="90"/>
        <v>25.939999999999998</v>
      </c>
      <c r="H295" s="24">
        <f t="shared" si="90"/>
        <v>0.70741800447063596</v>
      </c>
      <c r="I295" s="24">
        <f t="shared" ref="I295" si="93">AVERAGE(I285,I288,I291)</f>
        <v>4.9412834789676898</v>
      </c>
    </row>
    <row r="296" spans="1:9" x14ac:dyDescent="0.3">
      <c r="B296" s="25" t="s">
        <v>16</v>
      </c>
      <c r="C296" s="26" t="s">
        <v>3</v>
      </c>
      <c r="D296" s="27"/>
      <c r="E296" s="28"/>
      <c r="F296" s="28"/>
      <c r="G296" s="29">
        <f>_xlfn.STDEV.P(G283,G286,G289)</f>
        <v>2.6023365569340955</v>
      </c>
      <c r="H296" s="29">
        <f t="shared" ref="H296:I296" si="94">_xlfn.STDEV.P(H283,H286,H289)</f>
        <v>6.4156550338684656E-2</v>
      </c>
      <c r="I296" s="29">
        <f t="shared" si="94"/>
        <v>0.23172475215525359</v>
      </c>
    </row>
    <row r="297" spans="1:9" x14ac:dyDescent="0.3">
      <c r="B297" s="25"/>
      <c r="C297" s="26" t="s">
        <v>4</v>
      </c>
      <c r="D297" s="27"/>
      <c r="E297" s="28"/>
      <c r="F297" s="28"/>
      <c r="G297" s="29">
        <f>_xlfn.STDEV.P(G284,G287,G290)</f>
        <v>2.5880108191427671</v>
      </c>
      <c r="H297" s="29">
        <f t="shared" ref="H297:I297" si="95">_xlfn.STDEV.P(H284,H287,H290)</f>
        <v>5.2245494891014564E-2</v>
      </c>
      <c r="I297" s="29">
        <f t="shared" si="95"/>
        <v>8.3020121243743958E-2</v>
      </c>
    </row>
    <row r="298" spans="1:9" ht="15" thickBot="1" x14ac:dyDescent="0.35">
      <c r="A298" s="19"/>
      <c r="B298" s="30"/>
      <c r="C298" s="31" t="s">
        <v>5</v>
      </c>
      <c r="D298" s="32"/>
      <c r="E298" s="33"/>
      <c r="F298" s="33"/>
      <c r="G298" s="34">
        <f>_xlfn.STDEV.P(G285,G288,G291)</f>
        <v>1.9125375813301038</v>
      </c>
      <c r="H298" s="34">
        <f t="shared" ref="H298:I298" si="96">_xlfn.STDEV.P(H285,H288,H291)</f>
        <v>4.5648555573739098E-2</v>
      </c>
      <c r="I298" s="34">
        <f t="shared" si="96"/>
        <v>0.39895958210505483</v>
      </c>
    </row>
    <row r="299" spans="1:9" x14ac:dyDescent="0.3">
      <c r="A299" s="1" t="s">
        <v>10</v>
      </c>
      <c r="B299" s="4">
        <v>12</v>
      </c>
      <c r="C299" s="1" t="s">
        <v>3</v>
      </c>
      <c r="D299" s="3">
        <v>43991</v>
      </c>
      <c r="E299" s="2"/>
    </row>
    <row r="300" spans="1:9" x14ac:dyDescent="0.3">
      <c r="A300" s="1" t="s">
        <v>10</v>
      </c>
      <c r="B300" s="4">
        <v>13</v>
      </c>
      <c r="C300" s="1" t="s">
        <v>3</v>
      </c>
      <c r="D300" s="3">
        <v>43991</v>
      </c>
      <c r="E300" s="2">
        <v>32</v>
      </c>
      <c r="G300" s="4">
        <v>13.54</v>
      </c>
      <c r="H300" s="14">
        <f>G300/E300</f>
        <v>0.42312499999999997</v>
      </c>
      <c r="I300" s="14">
        <f>I265+H300</f>
        <v>3.8012499999999996</v>
      </c>
    </row>
    <row r="301" spans="1:9" x14ac:dyDescent="0.3">
      <c r="A301" s="1" t="s">
        <v>10</v>
      </c>
      <c r="B301" s="4">
        <v>14</v>
      </c>
      <c r="C301" s="1" t="s">
        <v>4</v>
      </c>
      <c r="D301" s="3">
        <v>43991</v>
      </c>
      <c r="E301" s="2">
        <v>33</v>
      </c>
      <c r="G301" s="4">
        <v>12.78</v>
      </c>
      <c r="H301" s="14">
        <f t="shared" ref="H301:H308" si="97">G301/E301</f>
        <v>0.38727272727272727</v>
      </c>
      <c r="I301" s="14">
        <f t="shared" ref="I301:I307" si="98">I266+H301</f>
        <v>3.523030303030303</v>
      </c>
    </row>
    <row r="302" spans="1:9" x14ac:dyDescent="0.3">
      <c r="A302" s="1" t="s">
        <v>10</v>
      </c>
      <c r="B302" s="4">
        <v>15</v>
      </c>
      <c r="C302" s="1" t="s">
        <v>5</v>
      </c>
      <c r="D302" s="3">
        <v>43991</v>
      </c>
      <c r="E302" s="2">
        <v>35</v>
      </c>
      <c r="G302" s="4">
        <f>11.58+3.02</f>
        <v>14.6</v>
      </c>
      <c r="H302" s="14">
        <f t="shared" si="97"/>
        <v>0.41714285714285715</v>
      </c>
      <c r="I302" s="14">
        <f t="shared" si="98"/>
        <v>3.6212105263157897</v>
      </c>
    </row>
    <row r="303" spans="1:9" x14ac:dyDescent="0.3">
      <c r="A303" s="1" t="s">
        <v>10</v>
      </c>
      <c r="B303" s="4">
        <v>16</v>
      </c>
      <c r="C303" s="1" t="s">
        <v>3</v>
      </c>
      <c r="D303" s="3">
        <v>43991</v>
      </c>
      <c r="E303" s="2">
        <v>40</v>
      </c>
      <c r="G303" s="4">
        <f>10.63+2.98</f>
        <v>13.610000000000001</v>
      </c>
      <c r="H303" s="14">
        <f t="shared" si="97"/>
        <v>0.34025000000000005</v>
      </c>
      <c r="I303" s="14">
        <f t="shared" si="98"/>
        <v>3.6252500000000003</v>
      </c>
    </row>
    <row r="304" spans="1:9" x14ac:dyDescent="0.3">
      <c r="A304" s="1" t="s">
        <v>10</v>
      </c>
      <c r="B304" s="4">
        <v>17</v>
      </c>
      <c r="C304" s="1" t="s">
        <v>4</v>
      </c>
      <c r="D304" s="3">
        <v>43991</v>
      </c>
      <c r="E304" s="2">
        <v>34</v>
      </c>
      <c r="G304" s="2">
        <v>11.14</v>
      </c>
      <c r="H304" s="14">
        <f t="shared" si="97"/>
        <v>0.3276470588235294</v>
      </c>
      <c r="I304" s="14">
        <f t="shared" si="98"/>
        <v>3.4464241486068108</v>
      </c>
    </row>
    <row r="305" spans="1:24" x14ac:dyDescent="0.3">
      <c r="A305" s="1" t="s">
        <v>10</v>
      </c>
      <c r="B305" s="4">
        <v>18</v>
      </c>
      <c r="C305" s="1" t="s">
        <v>5</v>
      </c>
      <c r="D305" s="3">
        <v>43991</v>
      </c>
      <c r="E305" s="2">
        <v>38</v>
      </c>
      <c r="G305" s="2">
        <v>13.46</v>
      </c>
      <c r="H305" s="14">
        <f t="shared" si="97"/>
        <v>0.35421052631578948</v>
      </c>
      <c r="I305" s="14">
        <f t="shared" si="98"/>
        <v>3.5451447368421052</v>
      </c>
    </row>
    <row r="306" spans="1:24" x14ac:dyDescent="0.3">
      <c r="A306" s="1" t="s">
        <v>10</v>
      </c>
      <c r="B306" s="4">
        <v>19</v>
      </c>
      <c r="C306" s="1" t="s">
        <v>3</v>
      </c>
      <c r="D306" s="3">
        <v>43991</v>
      </c>
      <c r="E306" s="2">
        <v>34</v>
      </c>
      <c r="G306" s="4">
        <v>14.86</v>
      </c>
      <c r="H306" s="14">
        <f t="shared" si="97"/>
        <v>0.43705882352941172</v>
      </c>
      <c r="I306" s="14">
        <f t="shared" si="98"/>
        <v>3.8906915739268682</v>
      </c>
    </row>
    <row r="307" spans="1:24" x14ac:dyDescent="0.3">
      <c r="A307" s="1" t="s">
        <v>10</v>
      </c>
      <c r="B307" s="4">
        <v>20</v>
      </c>
      <c r="C307" s="1" t="s">
        <v>4</v>
      </c>
      <c r="D307" s="3">
        <v>43991</v>
      </c>
      <c r="E307" s="2">
        <v>40</v>
      </c>
      <c r="G307" s="4">
        <v>12.98</v>
      </c>
      <c r="H307" s="14">
        <f t="shared" si="97"/>
        <v>0.32450000000000001</v>
      </c>
      <c r="I307" s="14">
        <f t="shared" si="98"/>
        <v>3.2712499999999998</v>
      </c>
    </row>
    <row r="308" spans="1:24" x14ac:dyDescent="0.3">
      <c r="A308" s="1" t="s">
        <v>10</v>
      </c>
      <c r="B308" s="4">
        <v>21</v>
      </c>
      <c r="C308" s="1" t="s">
        <v>5</v>
      </c>
      <c r="D308" s="3">
        <v>43991</v>
      </c>
      <c r="E308" s="2">
        <v>32</v>
      </c>
      <c r="G308" s="4">
        <f>2.75+11.35</f>
        <v>14.1</v>
      </c>
      <c r="H308" s="14">
        <f t="shared" si="97"/>
        <v>0.44062499999999999</v>
      </c>
      <c r="I308" s="14">
        <f>I273+H308</f>
        <v>3.9170486111111114</v>
      </c>
    </row>
    <row r="309" spans="1:24" x14ac:dyDescent="0.3">
      <c r="A309" s="1" t="s">
        <v>10</v>
      </c>
      <c r="B309" s="4">
        <v>22</v>
      </c>
      <c r="C309" s="1" t="s">
        <v>3</v>
      </c>
      <c r="D309" s="3">
        <v>43991</v>
      </c>
      <c r="E309" s="2">
        <v>38</v>
      </c>
      <c r="G309" s="4">
        <f>9.69+11.68</f>
        <v>21.369999999999997</v>
      </c>
      <c r="H309" s="14">
        <f>G309/E309</f>
        <v>0.56236842105263152</v>
      </c>
      <c r="I309" s="14">
        <f t="shared" ref="I309" si="99">I274+H309</f>
        <v>4.1213157894736838</v>
      </c>
    </row>
    <row r="310" spans="1:24" x14ac:dyDescent="0.3">
      <c r="A310" s="5" t="s">
        <v>10</v>
      </c>
      <c r="B310" s="6">
        <v>23</v>
      </c>
      <c r="C310" s="5" t="s">
        <v>3</v>
      </c>
      <c r="D310" s="7">
        <v>43991</v>
      </c>
      <c r="E310" s="13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x14ac:dyDescent="0.3">
      <c r="B311" s="20" t="s">
        <v>15</v>
      </c>
      <c r="C311" s="21" t="s">
        <v>3</v>
      </c>
      <c r="D311" s="22"/>
      <c r="E311" s="23"/>
      <c r="F311" s="23"/>
      <c r="G311" s="24">
        <f>AVERAGE(G300,G303,G306)</f>
        <v>14.003333333333332</v>
      </c>
      <c r="H311" s="24">
        <f t="shared" ref="H311:H312" si="100">AVERAGE(H300,H303,H306)</f>
        <v>0.40014460784313721</v>
      </c>
      <c r="I311" s="24">
        <f>AVERAGE(I300,I303,I306)</f>
        <v>3.772397191308956</v>
      </c>
    </row>
    <row r="312" spans="1:24" x14ac:dyDescent="0.3">
      <c r="B312" s="20"/>
      <c r="C312" s="21" t="s">
        <v>4</v>
      </c>
      <c r="D312" s="22"/>
      <c r="E312" s="23"/>
      <c r="F312" s="23"/>
      <c r="G312" s="24">
        <f>AVERAGE(G301,G304,G307)</f>
        <v>12.300000000000002</v>
      </c>
      <c r="H312" s="24">
        <f t="shared" si="100"/>
        <v>0.34647326203208556</v>
      </c>
      <c r="I312" s="24">
        <f>AVERAGE(I301,I304,I307)</f>
        <v>3.4135681505457049</v>
      </c>
    </row>
    <row r="313" spans="1:24" x14ac:dyDescent="0.3">
      <c r="B313" s="20"/>
      <c r="C313" s="21" t="s">
        <v>5</v>
      </c>
      <c r="D313" s="22"/>
      <c r="E313" s="23"/>
      <c r="F313" s="23"/>
      <c r="G313" s="24">
        <f>AVERAGE(G302,G305,G308)</f>
        <v>14.053333333333335</v>
      </c>
      <c r="H313" s="24">
        <f>AVERAGE(H302,H305,H308)</f>
        <v>0.40399279448621556</v>
      </c>
      <c r="I313" s="24">
        <f>AVERAGE(I302,I305,I308)</f>
        <v>3.6944679580896689</v>
      </c>
    </row>
    <row r="314" spans="1:24" x14ac:dyDescent="0.3">
      <c r="B314" s="25" t="s">
        <v>16</v>
      </c>
      <c r="C314" s="26" t="s">
        <v>3</v>
      </c>
      <c r="D314" s="27"/>
      <c r="E314" s="28"/>
      <c r="F314" s="28"/>
      <c r="G314" s="29">
        <f t="shared" ref="G314:I314" si="101">_xlfn.STDEV.P(G300,G303,G306)</f>
        <v>0.60642852468823993</v>
      </c>
      <c r="H314" s="29">
        <f t="shared" si="101"/>
        <v>4.2732196261910507E-2</v>
      </c>
      <c r="I314" s="29">
        <f t="shared" si="101"/>
        <v>0.11026988322358522</v>
      </c>
    </row>
    <row r="315" spans="1:24" x14ac:dyDescent="0.3">
      <c r="B315" s="25"/>
      <c r="C315" s="26" t="s">
        <v>4</v>
      </c>
      <c r="D315" s="27"/>
      <c r="E315" s="28"/>
      <c r="F315" s="28"/>
      <c r="G315" s="29">
        <f t="shared" ref="G315:I315" si="102">_xlfn.STDEV.P(G301,G304,G307)</f>
        <v>0.8242976808572654</v>
      </c>
      <c r="H315" s="29">
        <f t="shared" si="102"/>
        <v>2.8878172469317107E-2</v>
      </c>
      <c r="I315" s="29">
        <f t="shared" si="102"/>
        <v>0.10538174321627503</v>
      </c>
    </row>
    <row r="316" spans="1:24" ht="15" thickBot="1" x14ac:dyDescent="0.35">
      <c r="A316" s="19"/>
      <c r="B316" s="30"/>
      <c r="C316" s="31" t="s">
        <v>5</v>
      </c>
      <c r="D316" s="32"/>
      <c r="E316" s="33"/>
      <c r="F316" s="33"/>
      <c r="G316" s="34">
        <f t="shared" ref="G316:I316" si="103">_xlfn.STDEV.P(G302,G305,G308)</f>
        <v>0.46657141885127124</v>
      </c>
      <c r="H316" s="34">
        <f t="shared" si="103"/>
        <v>3.6483406515245419E-2</v>
      </c>
      <c r="I316" s="34">
        <f t="shared" si="103"/>
        <v>0.16042259069231821</v>
      </c>
    </row>
    <row r="317" spans="1:24" ht="15" thickBot="1" x14ac:dyDescent="0.35">
      <c r="A317" s="1" t="s">
        <v>9</v>
      </c>
      <c r="B317" s="4">
        <v>1</v>
      </c>
      <c r="C317" s="1" t="s">
        <v>11</v>
      </c>
      <c r="D317" s="3">
        <v>43998</v>
      </c>
      <c r="E317" s="2"/>
      <c r="N317" s="36" t="s">
        <v>13</v>
      </c>
      <c r="P317" s="36" t="s">
        <v>14</v>
      </c>
    </row>
    <row r="318" spans="1:24" ht="15" thickTop="1" x14ac:dyDescent="0.3">
      <c r="A318" s="1" t="s">
        <v>9</v>
      </c>
      <c r="B318" s="4">
        <v>2</v>
      </c>
      <c r="C318" s="1" t="s">
        <v>3</v>
      </c>
      <c r="D318" s="3">
        <v>43998</v>
      </c>
      <c r="E318" s="2">
        <v>36</v>
      </c>
      <c r="G318" s="4">
        <f>15.8+8.42</f>
        <v>24.22</v>
      </c>
      <c r="H318" s="14">
        <f>G318/E318</f>
        <v>0.6727777777777777</v>
      </c>
      <c r="I318" s="14">
        <f>I283+H318</f>
        <v>6.1819871794871801</v>
      </c>
      <c r="K318" s="84">
        <v>43998</v>
      </c>
      <c r="L318" s="85" t="s">
        <v>3</v>
      </c>
      <c r="M318" t="s">
        <v>17</v>
      </c>
      <c r="N318" s="35">
        <f>H328</f>
        <v>0.68088988988988985</v>
      </c>
      <c r="O318" s="35">
        <f>H331</f>
        <v>8.0664299114131394E-3</v>
      </c>
      <c r="P318" s="35">
        <f>I328</f>
        <v>5.8733239118239124</v>
      </c>
      <c r="Q318" s="35">
        <f>I331</f>
        <v>0.22476312742359719</v>
      </c>
    </row>
    <row r="319" spans="1:24" x14ac:dyDescent="0.3">
      <c r="A319" s="1" t="s">
        <v>9</v>
      </c>
      <c r="B319" s="4">
        <v>3</v>
      </c>
      <c r="C319" s="1" t="s">
        <v>4</v>
      </c>
      <c r="D319" s="3">
        <v>43998</v>
      </c>
      <c r="E319" s="2">
        <v>34</v>
      </c>
      <c r="G319" s="4">
        <f>14.88+3.02+7.22</f>
        <v>25.12</v>
      </c>
      <c r="H319" s="14">
        <f t="shared" ref="H319:H326" si="104">G319/E319</f>
        <v>0.73882352941176477</v>
      </c>
      <c r="I319" s="14">
        <f t="shared" ref="I319:I326" si="105">I284+H319</f>
        <v>5.9282511923688403</v>
      </c>
      <c r="K319" s="84"/>
      <c r="L319" s="85"/>
      <c r="M319" t="s">
        <v>18</v>
      </c>
      <c r="N319" s="35">
        <f>H346</f>
        <v>0.66925612745098029</v>
      </c>
      <c r="O319" s="35">
        <f>H349</f>
        <v>6.3304799376594847E-2</v>
      </c>
      <c r="P319" s="35">
        <f>I346</f>
        <v>4.4416533187599363</v>
      </c>
      <c r="Q319" s="35">
        <f>I349</f>
        <v>0.15911363313277349</v>
      </c>
    </row>
    <row r="320" spans="1:24" x14ac:dyDescent="0.3">
      <c r="A320" s="1" t="s">
        <v>9</v>
      </c>
      <c r="B320" s="4">
        <v>4</v>
      </c>
      <c r="C320" s="1" t="s">
        <v>5</v>
      </c>
      <c r="D320" s="3">
        <v>43998</v>
      </c>
      <c r="E320" s="2">
        <v>37</v>
      </c>
      <c r="G320" s="4">
        <f>19.02+5.76</f>
        <v>24.78</v>
      </c>
      <c r="H320" s="14">
        <f t="shared" si="104"/>
        <v>0.66972972972972977</v>
      </c>
      <c r="I320" s="14">
        <f t="shared" si="105"/>
        <v>6.1624324324324338</v>
      </c>
      <c r="K320" s="84"/>
      <c r="L320" s="85" t="s">
        <v>4</v>
      </c>
      <c r="M320" t="s">
        <v>17</v>
      </c>
      <c r="N320" s="35">
        <f>H329</f>
        <v>0.60253577106518286</v>
      </c>
      <c r="O320" s="35">
        <f>H332</f>
        <v>9.7662037242383662E-2</v>
      </c>
      <c r="P320" s="35">
        <f>I329</f>
        <v>5.7094996467055283</v>
      </c>
      <c r="Q320" s="35">
        <f>I332</f>
        <v>0.17187310857823979</v>
      </c>
    </row>
    <row r="321" spans="1:17" x14ac:dyDescent="0.3">
      <c r="A321" s="1" t="s">
        <v>9</v>
      </c>
      <c r="B321" s="4">
        <v>5</v>
      </c>
      <c r="C321" s="1" t="s">
        <v>3</v>
      </c>
      <c r="D321" s="3">
        <v>43998</v>
      </c>
      <c r="E321" s="2">
        <v>35</v>
      </c>
      <c r="G321" s="4">
        <f>2.35+21.38</f>
        <v>23.73</v>
      </c>
      <c r="H321" s="14">
        <f t="shared" si="104"/>
        <v>0.67800000000000005</v>
      </c>
      <c r="I321" s="14">
        <f t="shared" si="105"/>
        <v>5.7847413127413132</v>
      </c>
      <c r="K321" s="84"/>
      <c r="L321" s="85"/>
      <c r="M321" t="s">
        <v>18</v>
      </c>
      <c r="N321" s="35">
        <f>H347</f>
        <v>0.59414111705288175</v>
      </c>
      <c r="O321" s="35">
        <f>H350</f>
        <v>3.1656701974730188E-2</v>
      </c>
      <c r="P321" s="35">
        <f>I347</f>
        <v>4.0077092675985861</v>
      </c>
      <c r="Q321" s="35">
        <f>I350</f>
        <v>0.13642013330226188</v>
      </c>
    </row>
    <row r="322" spans="1:17" x14ac:dyDescent="0.3">
      <c r="A322" s="1" t="s">
        <v>9</v>
      </c>
      <c r="B322" s="4">
        <v>6</v>
      </c>
      <c r="C322" s="1" t="s">
        <v>4</v>
      </c>
      <c r="D322" s="3">
        <v>43998</v>
      </c>
      <c r="E322" s="2">
        <v>37</v>
      </c>
      <c r="G322" s="2">
        <f>13.35+7.14</f>
        <v>20.49</v>
      </c>
      <c r="H322" s="14">
        <f t="shared" si="104"/>
        <v>0.55378378378378379</v>
      </c>
      <c r="I322" s="14">
        <f t="shared" si="105"/>
        <v>5.691891891891891</v>
      </c>
      <c r="K322" s="84"/>
      <c r="L322" s="85" t="s">
        <v>5</v>
      </c>
      <c r="M322" t="s">
        <v>17</v>
      </c>
      <c r="N322" s="35">
        <f>H330</f>
        <v>0.65463422068685229</v>
      </c>
      <c r="O322" s="35">
        <f>H333</f>
        <v>1.6725629799058884E-2</v>
      </c>
      <c r="P322" s="35">
        <f>I330</f>
        <v>5.5959176996545423</v>
      </c>
      <c r="Q322" s="35">
        <f>I333</f>
        <v>0.41224767061150863</v>
      </c>
    </row>
    <row r="323" spans="1:17" x14ac:dyDescent="0.3">
      <c r="A323" s="1" t="s">
        <v>9</v>
      </c>
      <c r="B323" s="4">
        <v>7</v>
      </c>
      <c r="C323" s="1" t="s">
        <v>5</v>
      </c>
      <c r="D323" s="3">
        <v>43998</v>
      </c>
      <c r="E323" s="2">
        <v>35</v>
      </c>
      <c r="G323" s="2">
        <f>12.02+11.18</f>
        <v>23.2</v>
      </c>
      <c r="H323" s="14">
        <f t="shared" si="104"/>
        <v>0.66285714285714281</v>
      </c>
      <c r="I323" s="14">
        <f t="shared" si="105"/>
        <v>5.4318996138996143</v>
      </c>
      <c r="K323" s="84"/>
      <c r="L323" s="85"/>
      <c r="M323" t="s">
        <v>18</v>
      </c>
      <c r="N323" s="35">
        <f>H348</f>
        <v>0.66848652882205517</v>
      </c>
      <c r="O323" s="35">
        <f>H351</f>
        <v>4.4854621609564972E-2</v>
      </c>
      <c r="P323" s="35">
        <f>I348</f>
        <v>4.3629544869117236</v>
      </c>
      <c r="Q323" s="35">
        <f>I351</f>
        <v>0.19054088972639377</v>
      </c>
    </row>
    <row r="324" spans="1:17" x14ac:dyDescent="0.3">
      <c r="A324" s="1" t="s">
        <v>9</v>
      </c>
      <c r="B324" s="4">
        <v>8</v>
      </c>
      <c r="C324" s="1" t="s">
        <v>3</v>
      </c>
      <c r="D324" s="3">
        <v>43998</v>
      </c>
      <c r="E324" s="2">
        <v>37</v>
      </c>
      <c r="G324" s="4">
        <f>12.83+12.77</f>
        <v>25.6</v>
      </c>
      <c r="H324" s="14">
        <f t="shared" si="104"/>
        <v>0.69189189189189193</v>
      </c>
      <c r="I324" s="14">
        <f t="shared" si="105"/>
        <v>5.653243243243244</v>
      </c>
    </row>
    <row r="325" spans="1:17" x14ac:dyDescent="0.3">
      <c r="A325" s="1" t="s">
        <v>9</v>
      </c>
      <c r="B325" s="4">
        <v>9</v>
      </c>
      <c r="C325" s="1" t="s">
        <v>4</v>
      </c>
      <c r="D325" s="3">
        <v>43998</v>
      </c>
      <c r="E325" s="2">
        <v>36</v>
      </c>
      <c r="G325" s="4">
        <v>18.54</v>
      </c>
      <c r="H325" s="14">
        <f t="shared" si="104"/>
        <v>0.51500000000000001</v>
      </c>
      <c r="I325" s="14">
        <f t="shared" si="105"/>
        <v>5.5083558558558554</v>
      </c>
    </row>
    <row r="326" spans="1:17" x14ac:dyDescent="0.3">
      <c r="A326" s="1" t="s">
        <v>9</v>
      </c>
      <c r="B326" s="4">
        <v>10</v>
      </c>
      <c r="C326" s="1" t="s">
        <v>5</v>
      </c>
      <c r="D326" s="3">
        <v>43998</v>
      </c>
      <c r="E326" s="2">
        <v>38</v>
      </c>
      <c r="G326" s="4">
        <f>14.08+9.91</f>
        <v>23.990000000000002</v>
      </c>
      <c r="H326" s="14">
        <f t="shared" si="104"/>
        <v>0.63131578947368427</v>
      </c>
      <c r="I326" s="14">
        <f t="shared" si="105"/>
        <v>5.1934210526315789</v>
      </c>
    </row>
    <row r="327" spans="1:17" ht="15" thickBot="1" x14ac:dyDescent="0.35">
      <c r="A327" s="9" t="s">
        <v>9</v>
      </c>
      <c r="B327" s="15">
        <v>11</v>
      </c>
      <c r="C327" s="9" t="s">
        <v>3</v>
      </c>
      <c r="D327" s="16">
        <v>43998</v>
      </c>
      <c r="E327" s="17"/>
      <c r="F327" s="18"/>
      <c r="G327" s="18"/>
      <c r="H327" s="18"/>
      <c r="I327" s="18"/>
    </row>
    <row r="328" spans="1:17" ht="15" thickTop="1" x14ac:dyDescent="0.3">
      <c r="B328" s="20" t="s">
        <v>15</v>
      </c>
      <c r="C328" s="21" t="s">
        <v>3</v>
      </c>
      <c r="D328" s="22"/>
      <c r="E328" s="23"/>
      <c r="F328" s="23"/>
      <c r="G328" s="24">
        <f t="shared" ref="G328:I330" si="106">AVERAGE(G318,G321,G324)</f>
        <v>24.516666666666669</v>
      </c>
      <c r="H328" s="24">
        <f t="shared" si="106"/>
        <v>0.68088988988988985</v>
      </c>
      <c r="I328" s="24">
        <f t="shared" si="106"/>
        <v>5.8733239118239124</v>
      </c>
    </row>
    <row r="329" spans="1:17" x14ac:dyDescent="0.3">
      <c r="B329" s="20"/>
      <c r="C329" s="21" t="s">
        <v>4</v>
      </c>
      <c r="D329" s="22"/>
      <c r="E329" s="23"/>
      <c r="F329" s="23"/>
      <c r="G329" s="24">
        <f t="shared" ref="G329:H329" si="107">AVERAGE(G319,G322,G325)</f>
        <v>21.383333333333336</v>
      </c>
      <c r="H329" s="24">
        <f t="shared" si="107"/>
        <v>0.60253577106518286</v>
      </c>
      <c r="I329" s="24">
        <f t="shared" si="106"/>
        <v>5.7094996467055283</v>
      </c>
    </row>
    <row r="330" spans="1:17" x14ac:dyDescent="0.3">
      <c r="B330" s="20"/>
      <c r="C330" s="21" t="s">
        <v>5</v>
      </c>
      <c r="D330" s="22"/>
      <c r="E330" s="23"/>
      <c r="F330" s="23"/>
      <c r="G330" s="24">
        <f t="shared" ref="G330:H330" si="108">AVERAGE(G320,G323,G326)</f>
        <v>23.99</v>
      </c>
      <c r="H330" s="24">
        <f t="shared" si="108"/>
        <v>0.65463422068685229</v>
      </c>
      <c r="I330" s="24">
        <f t="shared" si="106"/>
        <v>5.5959176996545423</v>
      </c>
    </row>
    <row r="331" spans="1:17" x14ac:dyDescent="0.3">
      <c r="B331" s="25" t="s">
        <v>16</v>
      </c>
      <c r="C331" s="26" t="s">
        <v>3</v>
      </c>
      <c r="D331" s="27"/>
      <c r="E331" s="28"/>
      <c r="F331" s="28"/>
      <c r="G331" s="29">
        <f>_xlfn.STDEV.P(G318,G321,G324)</f>
        <v>0.79172105076360266</v>
      </c>
      <c r="H331" s="29">
        <f t="shared" ref="H331:I331" si="109">_xlfn.STDEV.P(H318,H321,H324)</f>
        <v>8.0664299114131394E-3</v>
      </c>
      <c r="I331" s="29">
        <f t="shared" si="109"/>
        <v>0.22476312742359719</v>
      </c>
    </row>
    <row r="332" spans="1:17" x14ac:dyDescent="0.3">
      <c r="B332" s="25"/>
      <c r="C332" s="26" t="s">
        <v>4</v>
      </c>
      <c r="D332" s="27"/>
      <c r="E332" s="28"/>
      <c r="F332" s="28"/>
      <c r="G332" s="29">
        <f>_xlfn.STDEV.P(G319,G322,G325)</f>
        <v>2.7595450510706923</v>
      </c>
      <c r="H332" s="29">
        <f t="shared" ref="H332:I332" si="110">_xlfn.STDEV.P(H319,H322,H325)</f>
        <v>9.7662037242383662E-2</v>
      </c>
      <c r="I332" s="29">
        <f t="shared" si="110"/>
        <v>0.17187310857823979</v>
      </c>
    </row>
    <row r="333" spans="1:17" ht="15" thickBot="1" x14ac:dyDescent="0.35">
      <c r="A333" s="19"/>
      <c r="B333" s="30"/>
      <c r="C333" s="31" t="s">
        <v>5</v>
      </c>
      <c r="D333" s="32"/>
      <c r="E333" s="33"/>
      <c r="F333" s="33"/>
      <c r="G333" s="34">
        <f>_xlfn.STDEV.P(G320,G323,G326)</f>
        <v>0.64503229893290437</v>
      </c>
      <c r="H333" s="34">
        <f t="shared" ref="H333:I333" si="111">_xlfn.STDEV.P(H320,H323,H326)</f>
        <v>1.6725629799058884E-2</v>
      </c>
      <c r="I333" s="34">
        <f t="shared" si="111"/>
        <v>0.41224767061150863</v>
      </c>
    </row>
    <row r="334" spans="1:17" x14ac:dyDescent="0.3">
      <c r="A334" s="1" t="s">
        <v>10</v>
      </c>
      <c r="B334" s="4">
        <v>12</v>
      </c>
      <c r="C334" s="1" t="s">
        <v>3</v>
      </c>
      <c r="D334" s="3">
        <v>43998</v>
      </c>
      <c r="E334" s="2"/>
    </row>
    <row r="335" spans="1:17" x14ac:dyDescent="0.3">
      <c r="A335" s="1" t="s">
        <v>10</v>
      </c>
      <c r="B335" s="4">
        <v>13</v>
      </c>
      <c r="C335" s="1" t="s">
        <v>3</v>
      </c>
      <c r="D335" s="3">
        <v>43998</v>
      </c>
      <c r="E335" s="2">
        <v>32</v>
      </c>
      <c r="G335" s="4">
        <v>23.89</v>
      </c>
      <c r="H335" s="14">
        <f>G335/E335</f>
        <v>0.74656250000000002</v>
      </c>
      <c r="I335" s="14">
        <f>I300+H335</f>
        <v>4.5478124999999991</v>
      </c>
    </row>
    <row r="336" spans="1:17" x14ac:dyDescent="0.3">
      <c r="A336" s="1" t="s">
        <v>10</v>
      </c>
      <c r="B336" s="4">
        <v>14</v>
      </c>
      <c r="C336" s="1" t="s">
        <v>4</v>
      </c>
      <c r="D336" s="3">
        <v>43998</v>
      </c>
      <c r="E336" s="2">
        <v>33</v>
      </c>
      <c r="G336" s="4">
        <v>20.440000000000001</v>
      </c>
      <c r="H336" s="14">
        <f t="shared" ref="H336:H343" si="112">G336/E336</f>
        <v>0.61939393939393939</v>
      </c>
      <c r="I336" s="14">
        <f t="shared" ref="I336:I342" si="113">I301+H336</f>
        <v>4.1424242424242426</v>
      </c>
    </row>
    <row r="337" spans="1:24" x14ac:dyDescent="0.3">
      <c r="A337" s="1" t="s">
        <v>10</v>
      </c>
      <c r="B337" s="4">
        <v>15</v>
      </c>
      <c r="C337" s="1" t="s">
        <v>5</v>
      </c>
      <c r="D337" s="3">
        <v>43998</v>
      </c>
      <c r="E337" s="2">
        <v>35</v>
      </c>
      <c r="G337" s="4">
        <f>9.27+15.39</f>
        <v>24.66</v>
      </c>
      <c r="H337" s="14">
        <f t="shared" si="112"/>
        <v>0.70457142857142863</v>
      </c>
      <c r="I337" s="14">
        <f t="shared" si="113"/>
        <v>4.3257819548872183</v>
      </c>
    </row>
    <row r="338" spans="1:24" x14ac:dyDescent="0.3">
      <c r="A338" s="1" t="s">
        <v>10</v>
      </c>
      <c r="B338" s="4">
        <v>16</v>
      </c>
      <c r="C338" s="1" t="s">
        <v>3</v>
      </c>
      <c r="D338" s="3">
        <v>43998</v>
      </c>
      <c r="E338" s="2">
        <v>40</v>
      </c>
      <c r="G338" s="4">
        <f>22.49+1.17</f>
        <v>23.659999999999997</v>
      </c>
      <c r="H338" s="14">
        <f t="shared" si="112"/>
        <v>0.59149999999999991</v>
      </c>
      <c r="I338" s="14">
        <f t="shared" si="113"/>
        <v>4.2167500000000002</v>
      </c>
    </row>
    <row r="339" spans="1:24" x14ac:dyDescent="0.3">
      <c r="A339" s="1" t="s">
        <v>10</v>
      </c>
      <c r="B339" s="4">
        <v>17</v>
      </c>
      <c r="C339" s="1" t="s">
        <v>4</v>
      </c>
      <c r="D339" s="3">
        <v>43998</v>
      </c>
      <c r="E339" s="2">
        <v>34</v>
      </c>
      <c r="G339" s="2">
        <v>20.86</v>
      </c>
      <c r="H339" s="14">
        <f t="shared" si="112"/>
        <v>0.61352941176470588</v>
      </c>
      <c r="I339" s="14">
        <f t="shared" si="113"/>
        <v>4.0599535603715164</v>
      </c>
    </row>
    <row r="340" spans="1:24" x14ac:dyDescent="0.3">
      <c r="A340" s="1" t="s">
        <v>10</v>
      </c>
      <c r="B340" s="4">
        <v>18</v>
      </c>
      <c r="C340" s="1" t="s">
        <v>5</v>
      </c>
      <c r="D340" s="3">
        <v>43998</v>
      </c>
      <c r="E340" s="2">
        <v>38</v>
      </c>
      <c r="G340" s="2">
        <v>23</v>
      </c>
      <c r="H340" s="14">
        <f t="shared" si="112"/>
        <v>0.60526315789473684</v>
      </c>
      <c r="I340" s="14">
        <f t="shared" si="113"/>
        <v>4.1504078947368424</v>
      </c>
    </row>
    <row r="341" spans="1:24" x14ac:dyDescent="0.3">
      <c r="A341" s="1" t="s">
        <v>10</v>
      </c>
      <c r="B341" s="4">
        <v>19</v>
      </c>
      <c r="C341" s="1" t="s">
        <v>3</v>
      </c>
      <c r="D341" s="3">
        <v>43998</v>
      </c>
      <c r="E341" s="2">
        <v>34</v>
      </c>
      <c r="G341" s="4">
        <v>22.77</v>
      </c>
      <c r="H341" s="14">
        <f t="shared" si="112"/>
        <v>0.66970588235294115</v>
      </c>
      <c r="I341" s="14">
        <f t="shared" si="113"/>
        <v>4.5603974562798095</v>
      </c>
    </row>
    <row r="342" spans="1:24" x14ac:dyDescent="0.3">
      <c r="A342" s="1" t="s">
        <v>10</v>
      </c>
      <c r="B342" s="4">
        <v>20</v>
      </c>
      <c r="C342" s="1" t="s">
        <v>4</v>
      </c>
      <c r="D342" s="3">
        <v>43998</v>
      </c>
      <c r="E342" s="2">
        <v>40</v>
      </c>
      <c r="G342" s="4">
        <v>21.98</v>
      </c>
      <c r="H342" s="14">
        <f t="shared" si="112"/>
        <v>0.54949999999999999</v>
      </c>
      <c r="I342" s="14">
        <f t="shared" si="113"/>
        <v>3.8207499999999999</v>
      </c>
    </row>
    <row r="343" spans="1:24" x14ac:dyDescent="0.3">
      <c r="A343" s="1" t="s">
        <v>10</v>
      </c>
      <c r="B343" s="4">
        <v>21</v>
      </c>
      <c r="C343" s="1" t="s">
        <v>5</v>
      </c>
      <c r="D343" s="3">
        <v>43998</v>
      </c>
      <c r="E343" s="2">
        <v>32</v>
      </c>
      <c r="G343" s="4">
        <f>18.96+3.3</f>
        <v>22.26</v>
      </c>
      <c r="H343" s="14">
        <f t="shared" si="112"/>
        <v>0.69562500000000005</v>
      </c>
      <c r="I343" s="14">
        <f>I308+H343</f>
        <v>4.6126736111111111</v>
      </c>
    </row>
    <row r="344" spans="1:24" x14ac:dyDescent="0.3">
      <c r="A344" s="1" t="s">
        <v>10</v>
      </c>
      <c r="B344" s="4">
        <v>22</v>
      </c>
      <c r="C344" s="1" t="s">
        <v>3</v>
      </c>
      <c r="D344" s="3">
        <v>43998</v>
      </c>
      <c r="E344" s="2">
        <v>38</v>
      </c>
      <c r="G344" s="4">
        <f>10.45+4.41+11.23</f>
        <v>26.09</v>
      </c>
      <c r="H344" s="14">
        <f>G344/E344</f>
        <v>0.68657894736842107</v>
      </c>
      <c r="I344" s="14">
        <f t="shared" ref="I344" si="114">I309+H344</f>
        <v>4.8078947368421048</v>
      </c>
    </row>
    <row r="345" spans="1:24" x14ac:dyDescent="0.3">
      <c r="A345" s="5" t="s">
        <v>10</v>
      </c>
      <c r="B345" s="6">
        <v>23</v>
      </c>
      <c r="C345" s="5" t="s">
        <v>3</v>
      </c>
      <c r="D345" s="7">
        <v>43998</v>
      </c>
      <c r="E345" s="13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x14ac:dyDescent="0.3">
      <c r="B346" s="20" t="s">
        <v>15</v>
      </c>
      <c r="C346" s="21" t="s">
        <v>3</v>
      </c>
      <c r="D346" s="22"/>
      <c r="E346" s="23"/>
      <c r="F346" s="23"/>
      <c r="G346" s="24">
        <f>AVERAGE(G335,G338,G341)</f>
        <v>23.439999999999998</v>
      </c>
      <c r="H346" s="24">
        <f t="shared" ref="H346:H347" si="115">AVERAGE(H335,H338,H341)</f>
        <v>0.66925612745098029</v>
      </c>
      <c r="I346" s="24">
        <f>AVERAGE(I335,I338,I341)</f>
        <v>4.4416533187599363</v>
      </c>
    </row>
    <row r="347" spans="1:24" x14ac:dyDescent="0.3">
      <c r="B347" s="20"/>
      <c r="C347" s="21" t="s">
        <v>4</v>
      </c>
      <c r="D347" s="22"/>
      <c r="E347" s="23"/>
      <c r="F347" s="23"/>
      <c r="G347" s="24">
        <f>AVERAGE(G336,G339,G342)</f>
        <v>21.093333333333334</v>
      </c>
      <c r="H347" s="24">
        <f t="shared" si="115"/>
        <v>0.59414111705288175</v>
      </c>
      <c r="I347" s="24">
        <f>AVERAGE(I336,I339,I342)</f>
        <v>4.0077092675985861</v>
      </c>
    </row>
    <row r="348" spans="1:24" x14ac:dyDescent="0.3">
      <c r="B348" s="20"/>
      <c r="C348" s="21" t="s">
        <v>5</v>
      </c>
      <c r="D348" s="22"/>
      <c r="E348" s="23"/>
      <c r="F348" s="23"/>
      <c r="G348" s="24">
        <f>AVERAGE(G337,G340,G343)</f>
        <v>23.306666666666668</v>
      </c>
      <c r="H348" s="24">
        <f>AVERAGE(H337,H340,H343)</f>
        <v>0.66848652882205517</v>
      </c>
      <c r="I348" s="24">
        <f>AVERAGE(I337,I340,I343)</f>
        <v>4.3629544869117236</v>
      </c>
    </row>
    <row r="349" spans="1:24" x14ac:dyDescent="0.3">
      <c r="B349" s="25" t="s">
        <v>16</v>
      </c>
      <c r="C349" s="26" t="s">
        <v>3</v>
      </c>
      <c r="D349" s="27"/>
      <c r="E349" s="28"/>
      <c r="F349" s="28"/>
      <c r="G349" s="29">
        <f t="shared" ref="G349:I349" si="116">_xlfn.STDEV.P(G335,G338,G341)</f>
        <v>0.48297688005396955</v>
      </c>
      <c r="H349" s="29">
        <f t="shared" si="116"/>
        <v>6.3304799376594847E-2</v>
      </c>
      <c r="I349" s="29">
        <f t="shared" si="116"/>
        <v>0.15911363313277349</v>
      </c>
    </row>
    <row r="350" spans="1:24" x14ac:dyDescent="0.3">
      <c r="B350" s="25"/>
      <c r="C350" s="26" t="s">
        <v>4</v>
      </c>
      <c r="D350" s="27"/>
      <c r="E350" s="28"/>
      <c r="F350" s="28"/>
      <c r="G350" s="29">
        <f t="shared" ref="G350:I350" si="117">_xlfn.STDEV.P(G336,G339,G342)</f>
        <v>0.64999145293525873</v>
      </c>
      <c r="H350" s="29">
        <f t="shared" si="117"/>
        <v>3.1656701974730188E-2</v>
      </c>
      <c r="I350" s="29">
        <f t="shared" si="117"/>
        <v>0.13642013330226188</v>
      </c>
    </row>
    <row r="351" spans="1:24" ht="15" thickBot="1" x14ac:dyDescent="0.35">
      <c r="A351" s="19"/>
      <c r="B351" s="30"/>
      <c r="C351" s="31" t="s">
        <v>5</v>
      </c>
      <c r="D351" s="32"/>
      <c r="E351" s="33"/>
      <c r="F351" s="33"/>
      <c r="G351" s="34">
        <f t="shared" ref="G351:I351" si="118">_xlfn.STDEV.P(G337,G340,G343)</f>
        <v>1.0035049687082875</v>
      </c>
      <c r="H351" s="34">
        <f t="shared" si="118"/>
        <v>4.4854621609564972E-2</v>
      </c>
      <c r="I351" s="34">
        <f t="shared" si="118"/>
        <v>0.19054088972639377</v>
      </c>
    </row>
    <row r="352" spans="1:24" ht="15" thickBot="1" x14ac:dyDescent="0.35">
      <c r="A352" s="1" t="s">
        <v>9</v>
      </c>
      <c r="B352" s="4">
        <v>1</v>
      </c>
      <c r="C352" s="1" t="s">
        <v>11</v>
      </c>
      <c r="D352" s="3">
        <v>44005</v>
      </c>
      <c r="E352" s="2"/>
      <c r="N352" s="36" t="s">
        <v>13</v>
      </c>
      <c r="P352" s="36" t="s">
        <v>14</v>
      </c>
    </row>
    <row r="353" spans="1:17" ht="15" thickTop="1" x14ac:dyDescent="0.3">
      <c r="A353" s="1" t="s">
        <v>9</v>
      </c>
      <c r="B353" s="4">
        <v>2</v>
      </c>
      <c r="C353" s="1" t="s">
        <v>3</v>
      </c>
      <c r="D353" s="3">
        <v>44005</v>
      </c>
      <c r="E353" s="2">
        <v>36</v>
      </c>
      <c r="G353" s="4">
        <f>16.98+10.98</f>
        <v>27.96</v>
      </c>
      <c r="H353" s="14">
        <f>G353/E353</f>
        <v>0.77666666666666673</v>
      </c>
      <c r="I353" s="14">
        <f>I318+H353</f>
        <v>6.9586538461538465</v>
      </c>
      <c r="K353" s="84">
        <v>44005</v>
      </c>
      <c r="L353" s="85" t="s">
        <v>3</v>
      </c>
      <c r="M353" t="s">
        <v>17</v>
      </c>
      <c r="N353" s="35">
        <f>H363</f>
        <v>0.75064435864435863</v>
      </c>
      <c r="O353" s="35">
        <f>H366</f>
        <v>3.7632281507813711E-2</v>
      </c>
      <c r="P353" s="35">
        <f>I363</f>
        <v>6.6239682704682714</v>
      </c>
      <c r="Q353" s="35">
        <f>I366</f>
        <v>0.23757573161590725</v>
      </c>
    </row>
    <row r="354" spans="1:17" x14ac:dyDescent="0.3">
      <c r="A354" s="1" t="s">
        <v>9</v>
      </c>
      <c r="B354" s="4">
        <v>3</v>
      </c>
      <c r="C354" s="1" t="s">
        <v>4</v>
      </c>
      <c r="D354" s="3">
        <v>44005</v>
      </c>
      <c r="E354" s="2">
        <v>34</v>
      </c>
      <c r="G354" s="4">
        <f>12.39+19.93</f>
        <v>32.32</v>
      </c>
      <c r="H354" s="14">
        <f t="shared" ref="H354:H361" si="119">G354/E354</f>
        <v>0.95058823529411762</v>
      </c>
      <c r="I354" s="14">
        <f t="shared" ref="I354:I360" si="120">I319+H354</f>
        <v>6.8788394276629576</v>
      </c>
      <c r="K354" s="84"/>
      <c r="L354" s="85"/>
      <c r="M354" t="s">
        <v>18</v>
      </c>
      <c r="N354" s="35">
        <f>H381</f>
        <v>0.67428308823529415</v>
      </c>
      <c r="O354" s="35">
        <f>H384</f>
        <v>7.6954625881518912E-2</v>
      </c>
      <c r="P354" s="35">
        <f>I381</f>
        <v>5.1159364069952309</v>
      </c>
      <c r="Q354" s="35">
        <f>I384</f>
        <v>0.18008562393696453</v>
      </c>
    </row>
    <row r="355" spans="1:17" x14ac:dyDescent="0.3">
      <c r="A355" s="1" t="s">
        <v>9</v>
      </c>
      <c r="B355" s="4">
        <v>4</v>
      </c>
      <c r="C355" s="1" t="s">
        <v>5</v>
      </c>
      <c r="D355" s="3">
        <v>44005</v>
      </c>
      <c r="E355" s="2">
        <v>37</v>
      </c>
      <c r="G355" s="4">
        <f>9.57+4.35+0.35+4.19</f>
        <v>18.46</v>
      </c>
      <c r="H355" s="14">
        <f t="shared" si="119"/>
        <v>0.49891891891891893</v>
      </c>
      <c r="I355" s="14">
        <f t="shared" si="120"/>
        <v>6.6613513513513531</v>
      </c>
      <c r="K355" s="84"/>
      <c r="L355" s="85" t="s">
        <v>4</v>
      </c>
      <c r="M355" t="s">
        <v>17</v>
      </c>
      <c r="N355" s="35">
        <f>H364</f>
        <v>0.82123461696991107</v>
      </c>
      <c r="O355" s="35">
        <f>H367</f>
        <v>0.12746058423540063</v>
      </c>
      <c r="P355" s="35">
        <f>I364</f>
        <v>6.5307342636754404</v>
      </c>
      <c r="Q355" s="35">
        <f>I367</f>
        <v>0.24653636996200465</v>
      </c>
    </row>
    <row r="356" spans="1:17" x14ac:dyDescent="0.3">
      <c r="A356" s="1" t="s">
        <v>9</v>
      </c>
      <c r="B356" s="4">
        <v>5</v>
      </c>
      <c r="C356" s="1" t="s">
        <v>3</v>
      </c>
      <c r="D356" s="3">
        <v>44005</v>
      </c>
      <c r="E356" s="2">
        <v>35</v>
      </c>
      <c r="G356" s="4">
        <f>13.85+10.56</f>
        <v>24.41</v>
      </c>
      <c r="H356" s="14">
        <f t="shared" si="119"/>
        <v>0.6974285714285714</v>
      </c>
      <c r="I356" s="14">
        <f t="shared" si="120"/>
        <v>6.4821698841698847</v>
      </c>
      <c r="K356" s="84"/>
      <c r="L356" s="85"/>
      <c r="M356" t="s">
        <v>18</v>
      </c>
      <c r="N356" s="35">
        <f>H382</f>
        <v>0.66935516934046346</v>
      </c>
      <c r="O356" s="35">
        <f>H385</f>
        <v>5.4568539952548678E-2</v>
      </c>
      <c r="P356" s="35">
        <f>I382</f>
        <v>4.6770644369390499</v>
      </c>
      <c r="Q356" s="35">
        <f>I385</f>
        <v>0.11192902773791844</v>
      </c>
    </row>
    <row r="357" spans="1:17" x14ac:dyDescent="0.3">
      <c r="A357" s="1" t="s">
        <v>9</v>
      </c>
      <c r="B357" s="4">
        <v>6</v>
      </c>
      <c r="C357" s="1" t="s">
        <v>4</v>
      </c>
      <c r="D357" s="3">
        <v>44005</v>
      </c>
      <c r="E357" s="2">
        <v>37</v>
      </c>
      <c r="G357" s="2">
        <f>6.73+17.24</f>
        <v>23.97</v>
      </c>
      <c r="H357" s="14">
        <f t="shared" si="119"/>
        <v>0.64783783783783777</v>
      </c>
      <c r="I357" s="14">
        <f t="shared" si="120"/>
        <v>6.3397297297297293</v>
      </c>
      <c r="K357" s="84"/>
      <c r="L357" s="85" t="s">
        <v>5</v>
      </c>
      <c r="M357" t="s">
        <v>17</v>
      </c>
      <c r="N357" s="35">
        <f>H365</f>
        <v>0.6404140757298652</v>
      </c>
      <c r="O357" s="35">
        <f>H368</f>
        <v>0.10050978320714046</v>
      </c>
      <c r="P357" s="35">
        <f>I365</f>
        <v>6.2363317753844072</v>
      </c>
      <c r="Q357" s="35">
        <f>I368</f>
        <v>0.31309084151314609</v>
      </c>
    </row>
    <row r="358" spans="1:17" x14ac:dyDescent="0.3">
      <c r="A358" s="1" t="s">
        <v>9</v>
      </c>
      <c r="B358" s="4">
        <v>7</v>
      </c>
      <c r="C358" s="1" t="s">
        <v>5</v>
      </c>
      <c r="D358" s="3">
        <v>44005</v>
      </c>
      <c r="E358" s="2">
        <v>35</v>
      </c>
      <c r="G358" s="2">
        <f>13.12+11.36</f>
        <v>24.479999999999997</v>
      </c>
      <c r="H358" s="14">
        <f t="shared" si="119"/>
        <v>0.69942857142857129</v>
      </c>
      <c r="I358" s="14">
        <f t="shared" si="120"/>
        <v>6.1313281853281856</v>
      </c>
      <c r="K358" s="84"/>
      <c r="L358" s="85"/>
      <c r="M358" t="s">
        <v>18</v>
      </c>
      <c r="N358" s="35">
        <f>H383</f>
        <v>0.7223673245614034</v>
      </c>
      <c r="O358" s="35">
        <f>H386</f>
        <v>3.564924317397701E-2</v>
      </c>
      <c r="P358" s="35">
        <f>I383</f>
        <v>5.0853218114731265</v>
      </c>
      <c r="Q358" s="35">
        <f>I386</f>
        <v>0.17207485060891653</v>
      </c>
    </row>
    <row r="359" spans="1:17" x14ac:dyDescent="0.3">
      <c r="A359" s="1" t="s">
        <v>9</v>
      </c>
      <c r="B359" s="4">
        <v>8</v>
      </c>
      <c r="C359" s="1" t="s">
        <v>3</v>
      </c>
      <c r="D359" s="3">
        <v>44005</v>
      </c>
      <c r="E359" s="2">
        <v>37</v>
      </c>
      <c r="G359" s="4">
        <f>14.98+13.8</f>
        <v>28.78</v>
      </c>
      <c r="H359" s="14">
        <f t="shared" si="119"/>
        <v>0.77783783783783789</v>
      </c>
      <c r="I359" s="14">
        <f t="shared" si="120"/>
        <v>6.4310810810810821</v>
      </c>
    </row>
    <row r="360" spans="1:17" x14ac:dyDescent="0.3">
      <c r="A360" s="1" t="s">
        <v>9</v>
      </c>
      <c r="B360" s="4">
        <v>9</v>
      </c>
      <c r="C360" s="1" t="s">
        <v>4</v>
      </c>
      <c r="D360" s="3">
        <v>44005</v>
      </c>
      <c r="E360" s="2">
        <v>36</v>
      </c>
      <c r="G360" s="4">
        <f>14.2+16.95</f>
        <v>31.15</v>
      </c>
      <c r="H360" s="14">
        <f t="shared" si="119"/>
        <v>0.8652777777777777</v>
      </c>
      <c r="I360" s="14">
        <f t="shared" si="120"/>
        <v>6.3736336336336334</v>
      </c>
    </row>
    <row r="361" spans="1:17" x14ac:dyDescent="0.3">
      <c r="A361" s="1" t="s">
        <v>9</v>
      </c>
      <c r="B361" s="4">
        <v>10</v>
      </c>
      <c r="C361" s="1" t="s">
        <v>5</v>
      </c>
      <c r="D361" s="3">
        <v>44005</v>
      </c>
      <c r="E361" s="2">
        <v>38</v>
      </c>
      <c r="G361" s="4">
        <f>11.95+15.52</f>
        <v>27.47</v>
      </c>
      <c r="H361" s="14">
        <f t="shared" si="119"/>
        <v>0.72289473684210526</v>
      </c>
      <c r="I361" s="14">
        <f>I326+H361</f>
        <v>5.9163157894736838</v>
      </c>
    </row>
    <row r="362" spans="1:17" ht="15" thickBot="1" x14ac:dyDescent="0.35">
      <c r="A362" s="9" t="s">
        <v>9</v>
      </c>
      <c r="B362" s="15">
        <v>11</v>
      </c>
      <c r="C362" s="9" t="s">
        <v>3</v>
      </c>
      <c r="D362" s="16">
        <v>44005</v>
      </c>
      <c r="E362" s="17"/>
      <c r="F362" s="18"/>
      <c r="G362" s="18"/>
      <c r="H362" s="18"/>
      <c r="I362" s="18"/>
    </row>
    <row r="363" spans="1:17" ht="15" thickTop="1" x14ac:dyDescent="0.3">
      <c r="B363" s="20" t="s">
        <v>15</v>
      </c>
      <c r="C363" s="21" t="s">
        <v>3</v>
      </c>
      <c r="D363" s="22"/>
      <c r="E363" s="23"/>
      <c r="F363" s="23"/>
      <c r="G363" s="24">
        <f t="shared" ref="G363:I363" si="121">AVERAGE(G353,G356,G359)</f>
        <v>27.05</v>
      </c>
      <c r="H363" s="24">
        <f t="shared" si="121"/>
        <v>0.75064435864435863</v>
      </c>
      <c r="I363" s="24">
        <f t="shared" si="121"/>
        <v>6.6239682704682714</v>
      </c>
    </row>
    <row r="364" spans="1:17" x14ac:dyDescent="0.3">
      <c r="B364" s="20"/>
      <c r="C364" s="21" t="s">
        <v>4</v>
      </c>
      <c r="D364" s="22"/>
      <c r="E364" s="23"/>
      <c r="F364" s="23"/>
      <c r="G364" s="24">
        <f>AVERAGE(G354,G357,G360)</f>
        <v>29.146666666666665</v>
      </c>
      <c r="H364" s="24">
        <f t="shared" ref="H364:I364" si="122">AVERAGE(H354,H357,H360)</f>
        <v>0.82123461696991107</v>
      </c>
      <c r="I364" s="24">
        <f t="shared" si="122"/>
        <v>6.5307342636754404</v>
      </c>
    </row>
    <row r="365" spans="1:17" x14ac:dyDescent="0.3">
      <c r="B365" s="20"/>
      <c r="C365" s="21" t="s">
        <v>5</v>
      </c>
      <c r="D365" s="22"/>
      <c r="E365" s="23"/>
      <c r="F365" s="23"/>
      <c r="G365" s="24">
        <f t="shared" ref="G365:I365" si="123">AVERAGE(G355,G358,G361)</f>
        <v>23.47</v>
      </c>
      <c r="H365" s="24">
        <f t="shared" si="123"/>
        <v>0.6404140757298652</v>
      </c>
      <c r="I365" s="24">
        <f t="shared" si="123"/>
        <v>6.2363317753844072</v>
      </c>
    </row>
    <row r="366" spans="1:17" x14ac:dyDescent="0.3">
      <c r="B366" s="25" t="s">
        <v>16</v>
      </c>
      <c r="C366" s="26" t="s">
        <v>3</v>
      </c>
      <c r="D366" s="27"/>
      <c r="E366" s="28"/>
      <c r="F366" s="28"/>
      <c r="G366" s="29">
        <f>_xlfn.STDEV.P(G353,G356,G359)</f>
        <v>1.8965407105218355</v>
      </c>
      <c r="H366" s="29">
        <f t="shared" ref="H366:I366" si="124">_xlfn.STDEV.P(H353,H356,H359)</f>
        <v>3.7632281507813711E-2</v>
      </c>
      <c r="I366" s="29">
        <f t="shared" si="124"/>
        <v>0.23757573161590725</v>
      </c>
    </row>
    <row r="367" spans="1:17" x14ac:dyDescent="0.3">
      <c r="B367" s="25"/>
      <c r="C367" s="26" t="s">
        <v>4</v>
      </c>
      <c r="D367" s="27"/>
      <c r="E367" s="28"/>
      <c r="F367" s="28"/>
      <c r="G367" s="29">
        <f>_xlfn.STDEV.P(G354,G357,G360)</f>
        <v>3.6914887090290378</v>
      </c>
      <c r="H367" s="29">
        <f t="shared" ref="H367:I367" si="125">_xlfn.STDEV.P(H354,H357,H360)</f>
        <v>0.12746058423540063</v>
      </c>
      <c r="I367" s="29">
        <f t="shared" si="125"/>
        <v>0.24653636996200465</v>
      </c>
    </row>
    <row r="368" spans="1:17" ht="15" thickBot="1" x14ac:dyDescent="0.35">
      <c r="A368" s="19"/>
      <c r="B368" s="30"/>
      <c r="C368" s="31" t="s">
        <v>5</v>
      </c>
      <c r="D368" s="32"/>
      <c r="E368" s="33"/>
      <c r="F368" s="33"/>
      <c r="G368" s="34">
        <f>_xlfn.STDEV.P(G355,G358,G361)</f>
        <v>3.747007695037023</v>
      </c>
      <c r="H368" s="34">
        <f t="shared" ref="H368:I368" si="126">_xlfn.STDEV.P(H355,H358,H361)</f>
        <v>0.10050978320714046</v>
      </c>
      <c r="I368" s="34">
        <f t="shared" si="126"/>
        <v>0.31309084151314609</v>
      </c>
    </row>
    <row r="369" spans="1:24" x14ac:dyDescent="0.3">
      <c r="A369" s="1" t="s">
        <v>10</v>
      </c>
      <c r="B369" s="4">
        <v>12</v>
      </c>
      <c r="C369" s="1" t="s">
        <v>3</v>
      </c>
      <c r="D369" s="3">
        <v>44005</v>
      </c>
      <c r="E369" s="2"/>
    </row>
    <row r="370" spans="1:24" x14ac:dyDescent="0.3">
      <c r="A370" s="1" t="s">
        <v>10</v>
      </c>
      <c r="B370" s="4">
        <v>13</v>
      </c>
      <c r="C370" s="1" t="s">
        <v>3</v>
      </c>
      <c r="D370" s="3">
        <v>44005</v>
      </c>
      <c r="E370" s="2">
        <v>32</v>
      </c>
      <c r="G370" s="4">
        <f>10.22+8.37</f>
        <v>18.59</v>
      </c>
      <c r="H370" s="14">
        <f>G370/E370</f>
        <v>0.5809375</v>
      </c>
      <c r="I370" s="14">
        <f>I335+H370</f>
        <v>5.1287499999999993</v>
      </c>
    </row>
    <row r="371" spans="1:24" x14ac:dyDescent="0.3">
      <c r="A371" s="1" t="s">
        <v>10</v>
      </c>
      <c r="B371" s="4">
        <v>14</v>
      </c>
      <c r="C371" s="1" t="s">
        <v>4</v>
      </c>
      <c r="D371" s="3">
        <v>44005</v>
      </c>
      <c r="E371" s="2">
        <v>33</v>
      </c>
      <c r="G371" s="4">
        <f>2.93+16.63</f>
        <v>19.559999999999999</v>
      </c>
      <c r="H371" s="14">
        <f t="shared" ref="H371:H378" si="127">G371/E371</f>
        <v>0.59272727272727266</v>
      </c>
      <c r="I371" s="14">
        <f t="shared" ref="I371:I377" si="128">I336+H371</f>
        <v>4.7351515151515153</v>
      </c>
    </row>
    <row r="372" spans="1:24" x14ac:dyDescent="0.3">
      <c r="A372" s="1" t="s">
        <v>10</v>
      </c>
      <c r="B372" s="4">
        <v>15</v>
      </c>
      <c r="C372" s="1" t="s">
        <v>5</v>
      </c>
      <c r="D372" s="3">
        <v>44005</v>
      </c>
      <c r="E372" s="2">
        <v>35</v>
      </c>
      <c r="G372" s="4">
        <f>15.9+8.11</f>
        <v>24.009999999999998</v>
      </c>
      <c r="H372" s="14">
        <f t="shared" si="127"/>
        <v>0.68599999999999994</v>
      </c>
      <c r="I372" s="14">
        <f t="shared" si="128"/>
        <v>5.0117819548872182</v>
      </c>
    </row>
    <row r="373" spans="1:24" x14ac:dyDescent="0.3">
      <c r="A373" s="1" t="s">
        <v>10</v>
      </c>
      <c r="B373" s="4">
        <v>16</v>
      </c>
      <c r="C373" s="1" t="s">
        <v>3</v>
      </c>
      <c r="D373" s="3">
        <v>44005</v>
      </c>
      <c r="E373" s="2">
        <v>40</v>
      </c>
      <c r="G373" s="4">
        <v>26.9</v>
      </c>
      <c r="H373" s="14">
        <f t="shared" si="127"/>
        <v>0.67249999999999999</v>
      </c>
      <c r="I373" s="14">
        <f t="shared" si="128"/>
        <v>4.8892500000000005</v>
      </c>
    </row>
    <row r="374" spans="1:24" x14ac:dyDescent="0.3">
      <c r="A374" s="1" t="s">
        <v>10</v>
      </c>
      <c r="B374" s="4">
        <v>17</v>
      </c>
      <c r="C374" s="1" t="s">
        <v>4</v>
      </c>
      <c r="D374" s="3">
        <v>44005</v>
      </c>
      <c r="E374" s="2">
        <v>34</v>
      </c>
      <c r="G374" s="2">
        <v>24.33</v>
      </c>
      <c r="H374" s="14">
        <f t="shared" si="127"/>
        <v>0.71558823529411764</v>
      </c>
      <c r="I374" s="14">
        <f t="shared" si="128"/>
        <v>4.7755417956656343</v>
      </c>
    </row>
    <row r="375" spans="1:24" x14ac:dyDescent="0.3">
      <c r="A375" s="1" t="s">
        <v>10</v>
      </c>
      <c r="B375" s="4">
        <v>18</v>
      </c>
      <c r="C375" s="1" t="s">
        <v>5</v>
      </c>
      <c r="D375" s="3">
        <v>44005</v>
      </c>
      <c r="E375" s="2">
        <v>38</v>
      </c>
      <c r="G375" s="2">
        <f>17.22+1.7+10.37</f>
        <v>29.29</v>
      </c>
      <c r="H375" s="14">
        <f t="shared" si="127"/>
        <v>0.77078947368421047</v>
      </c>
      <c r="I375" s="14">
        <f t="shared" si="128"/>
        <v>4.921197368421053</v>
      </c>
    </row>
    <row r="376" spans="1:24" x14ac:dyDescent="0.3">
      <c r="A376" s="1" t="s">
        <v>10</v>
      </c>
      <c r="B376" s="4">
        <v>19</v>
      </c>
      <c r="C376" s="1" t="s">
        <v>3</v>
      </c>
      <c r="D376" s="3">
        <v>44005</v>
      </c>
      <c r="E376" s="2">
        <v>34</v>
      </c>
      <c r="G376" s="4">
        <f>14.59+11.57</f>
        <v>26.16</v>
      </c>
      <c r="H376" s="14">
        <f t="shared" si="127"/>
        <v>0.76941176470588235</v>
      </c>
      <c r="I376" s="14">
        <f t="shared" si="128"/>
        <v>5.329809220985692</v>
      </c>
    </row>
    <row r="377" spans="1:24" x14ac:dyDescent="0.3">
      <c r="A377" s="1" t="s">
        <v>10</v>
      </c>
      <c r="B377" s="4">
        <v>20</v>
      </c>
      <c r="C377" s="1" t="s">
        <v>4</v>
      </c>
      <c r="D377" s="3">
        <v>44005</v>
      </c>
      <c r="E377" s="2">
        <v>40</v>
      </c>
      <c r="G377" s="4">
        <f>18.09+9.9</f>
        <v>27.990000000000002</v>
      </c>
      <c r="H377" s="14">
        <f t="shared" si="127"/>
        <v>0.69975000000000009</v>
      </c>
      <c r="I377" s="14">
        <f t="shared" si="128"/>
        <v>4.5205000000000002</v>
      </c>
    </row>
    <row r="378" spans="1:24" x14ac:dyDescent="0.3">
      <c r="A378" s="1" t="s">
        <v>10</v>
      </c>
      <c r="B378" s="4">
        <v>21</v>
      </c>
      <c r="C378" s="1" t="s">
        <v>5</v>
      </c>
      <c r="D378" s="3">
        <v>44005</v>
      </c>
      <c r="E378" s="2">
        <v>32</v>
      </c>
      <c r="G378" s="4">
        <f>6.48+16.25</f>
        <v>22.73</v>
      </c>
      <c r="H378" s="14">
        <f t="shared" si="127"/>
        <v>0.71031250000000001</v>
      </c>
      <c r="I378" s="14">
        <f>I343+H378</f>
        <v>5.3229861111111108</v>
      </c>
    </row>
    <row r="379" spans="1:24" x14ac:dyDescent="0.3">
      <c r="A379" s="1" t="s">
        <v>10</v>
      </c>
      <c r="B379" s="4">
        <v>22</v>
      </c>
      <c r="C379" s="1" t="s">
        <v>3</v>
      </c>
      <c r="D379" s="3">
        <v>44005</v>
      </c>
      <c r="E379" s="2">
        <v>38</v>
      </c>
      <c r="G379" s="4">
        <f>11.83+11.55</f>
        <v>23.380000000000003</v>
      </c>
      <c r="H379" s="14">
        <f>G379/E379</f>
        <v>0.61526315789473696</v>
      </c>
      <c r="I379" s="14">
        <f>I344+H379</f>
        <v>5.4231578947368417</v>
      </c>
    </row>
    <row r="380" spans="1:24" x14ac:dyDescent="0.3">
      <c r="A380" s="5" t="s">
        <v>10</v>
      </c>
      <c r="B380" s="6">
        <v>23</v>
      </c>
      <c r="C380" s="5" t="s">
        <v>3</v>
      </c>
      <c r="D380" s="7">
        <v>44005</v>
      </c>
      <c r="E380" s="13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x14ac:dyDescent="0.3">
      <c r="B381" s="20" t="s">
        <v>15</v>
      </c>
      <c r="C381" s="21" t="s">
        <v>3</v>
      </c>
      <c r="D381" s="22"/>
      <c r="E381" s="23"/>
      <c r="F381" s="23"/>
      <c r="G381" s="24">
        <f>AVERAGE(G370,G373,G376)</f>
        <v>23.883333333333329</v>
      </c>
      <c r="H381" s="24">
        <f t="shared" ref="H381:H382" si="129">AVERAGE(H370,H373,H376)</f>
        <v>0.67428308823529415</v>
      </c>
      <c r="I381" s="24">
        <f>AVERAGE(I370,I373,I376)</f>
        <v>5.1159364069952309</v>
      </c>
    </row>
    <row r="382" spans="1:24" x14ac:dyDescent="0.3">
      <c r="B382" s="20"/>
      <c r="C382" s="21" t="s">
        <v>4</v>
      </c>
      <c r="D382" s="22"/>
      <c r="E382" s="23"/>
      <c r="F382" s="23"/>
      <c r="G382" s="24">
        <f>AVERAGE(G371,G374,G377)</f>
        <v>23.959999999999997</v>
      </c>
      <c r="H382" s="24">
        <f t="shared" si="129"/>
        <v>0.66935516934046346</v>
      </c>
      <c r="I382" s="24">
        <f>AVERAGE(I371,I374,I377)</f>
        <v>4.6770644369390499</v>
      </c>
    </row>
    <row r="383" spans="1:24" x14ac:dyDescent="0.3">
      <c r="B383" s="20"/>
      <c r="C383" s="21" t="s">
        <v>5</v>
      </c>
      <c r="D383" s="22"/>
      <c r="E383" s="23"/>
      <c r="F383" s="23"/>
      <c r="G383" s="24">
        <f>AVERAGE(G372,G375,G378)</f>
        <v>25.343333333333334</v>
      </c>
      <c r="H383" s="24">
        <f>AVERAGE(H372,H375,H378)</f>
        <v>0.7223673245614034</v>
      </c>
      <c r="I383" s="24">
        <f>AVERAGE(I372,I375,I378)</f>
        <v>5.0853218114731265</v>
      </c>
    </row>
    <row r="384" spans="1:24" x14ac:dyDescent="0.3">
      <c r="B384" s="25" t="s">
        <v>16</v>
      </c>
      <c r="C384" s="26" t="s">
        <v>3</v>
      </c>
      <c r="D384" s="27"/>
      <c r="E384" s="28"/>
      <c r="F384" s="28"/>
      <c r="G384" s="29">
        <f t="shared" ref="G384:I384" si="130">_xlfn.STDEV.P(G370,G373,G376)</f>
        <v>3.7551239068179267</v>
      </c>
      <c r="H384" s="29">
        <f t="shared" si="130"/>
        <v>7.6954625881518912E-2</v>
      </c>
      <c r="I384" s="29">
        <f t="shared" si="130"/>
        <v>0.18008562393696453</v>
      </c>
    </row>
    <row r="385" spans="1:17" x14ac:dyDescent="0.3">
      <c r="B385" s="25"/>
      <c r="C385" s="26" t="s">
        <v>4</v>
      </c>
      <c r="D385" s="27"/>
      <c r="E385" s="28"/>
      <c r="F385" s="28"/>
      <c r="G385" s="29">
        <f t="shared" ref="G385:I385" si="131">_xlfn.STDEV.P(G371,G374,G377)</f>
        <v>3.4514634577234133</v>
      </c>
      <c r="H385" s="29">
        <f t="shared" si="131"/>
        <v>5.4568539952548678E-2</v>
      </c>
      <c r="I385" s="29">
        <f t="shared" si="131"/>
        <v>0.11192902773791844</v>
      </c>
    </row>
    <row r="386" spans="1:17" ht="15" thickBot="1" x14ac:dyDescent="0.35">
      <c r="A386" s="19"/>
      <c r="B386" s="30"/>
      <c r="C386" s="31" t="s">
        <v>5</v>
      </c>
      <c r="D386" s="32"/>
      <c r="E386" s="33"/>
      <c r="F386" s="33"/>
      <c r="G386" s="34">
        <f t="shared" ref="G386:I386" si="132">_xlfn.STDEV.P(G372,G375,G378)</f>
        <v>2.8392174195639837</v>
      </c>
      <c r="H386" s="34">
        <f t="shared" si="132"/>
        <v>3.564924317397701E-2</v>
      </c>
      <c r="I386" s="34">
        <f t="shared" si="132"/>
        <v>0.17207485060891653</v>
      </c>
    </row>
    <row r="387" spans="1:17" ht="15" thickBot="1" x14ac:dyDescent="0.35">
      <c r="A387" s="1" t="s">
        <v>9</v>
      </c>
      <c r="B387" s="4">
        <v>1</v>
      </c>
      <c r="C387" s="1" t="s">
        <v>11</v>
      </c>
      <c r="D387" s="3">
        <v>44012</v>
      </c>
      <c r="E387" s="2"/>
      <c r="N387" s="36" t="s">
        <v>13</v>
      </c>
      <c r="P387" s="36" t="s">
        <v>14</v>
      </c>
    </row>
    <row r="388" spans="1:17" ht="15" thickTop="1" x14ac:dyDescent="0.3">
      <c r="A388" s="1" t="s">
        <v>9</v>
      </c>
      <c r="B388" s="4">
        <v>2</v>
      </c>
      <c r="C388" s="1" t="s">
        <v>3</v>
      </c>
      <c r="D388" s="3">
        <v>44012</v>
      </c>
      <c r="E388" s="2">
        <v>36</v>
      </c>
      <c r="G388" s="4">
        <f>27.09+0.69</f>
        <v>27.78</v>
      </c>
      <c r="H388" s="14">
        <f>G388/E388</f>
        <v>0.77166666666666672</v>
      </c>
      <c r="I388" s="14">
        <f>I353+H388</f>
        <v>7.730320512820513</v>
      </c>
      <c r="K388" s="84">
        <v>44012</v>
      </c>
      <c r="L388" s="85" t="s">
        <v>3</v>
      </c>
      <c r="M388" t="s">
        <v>17</v>
      </c>
      <c r="N388" s="35">
        <f>H398</f>
        <v>0.7224345774345774</v>
      </c>
      <c r="O388" s="35">
        <f>H401</f>
        <v>3.7318601466207024E-2</v>
      </c>
      <c r="P388" s="35">
        <f>I398</f>
        <v>7.3464028479028487</v>
      </c>
      <c r="Q388" s="35">
        <f>I401</f>
        <v>0.27362937608379856</v>
      </c>
    </row>
    <row r="389" spans="1:17" x14ac:dyDescent="0.3">
      <c r="A389" s="1" t="s">
        <v>9</v>
      </c>
      <c r="B389" s="4">
        <v>3</v>
      </c>
      <c r="C389" s="1" t="s">
        <v>4</v>
      </c>
      <c r="D389" s="3">
        <v>44012</v>
      </c>
      <c r="E389" s="2">
        <v>34</v>
      </c>
      <c r="G389" s="4">
        <v>25.69</v>
      </c>
      <c r="H389" s="14">
        <f t="shared" ref="H389:H396" si="133">G389/E389</f>
        <v>0.75558823529411767</v>
      </c>
      <c r="I389" s="14">
        <f t="shared" ref="I389:I395" si="134">I354+H389</f>
        <v>7.6344276629570755</v>
      </c>
      <c r="K389" s="84"/>
      <c r="L389" s="85"/>
      <c r="M389" t="s">
        <v>18</v>
      </c>
      <c r="N389" s="35">
        <f>H416</f>
        <v>0.53116299019607849</v>
      </c>
      <c r="O389" s="35">
        <f>H419</f>
        <v>7.6187372668684292E-2</v>
      </c>
      <c r="P389" s="35">
        <f>I416</f>
        <v>5.647099397191309</v>
      </c>
      <c r="Q389" s="35">
        <f>I419</f>
        <v>0.23497018998637176</v>
      </c>
    </row>
    <row r="390" spans="1:17" x14ac:dyDescent="0.3">
      <c r="A390" s="1" t="s">
        <v>9</v>
      </c>
      <c r="B390" s="4">
        <v>4</v>
      </c>
      <c r="C390" s="1" t="s">
        <v>5</v>
      </c>
      <c r="D390" s="3">
        <v>44012</v>
      </c>
      <c r="E390" s="2">
        <v>37</v>
      </c>
      <c r="G390" s="4">
        <v>26.11</v>
      </c>
      <c r="H390" s="14">
        <f t="shared" si="133"/>
        <v>0.70567567567567568</v>
      </c>
      <c r="I390" s="14">
        <f t="shared" si="134"/>
        <v>7.3670270270270288</v>
      </c>
      <c r="K390" s="84"/>
      <c r="L390" s="85" t="s">
        <v>4</v>
      </c>
      <c r="M390" t="s">
        <v>17</v>
      </c>
      <c r="N390" s="35">
        <f>H399</f>
        <v>0.67406244479773891</v>
      </c>
      <c r="O390" s="35">
        <f>H402</f>
        <v>8.0681250951890576E-2</v>
      </c>
      <c r="P390" s="35">
        <f>I399</f>
        <v>7.2047967084731788</v>
      </c>
      <c r="Q390" s="35">
        <f>I402</f>
        <v>0.30676800935003673</v>
      </c>
    </row>
    <row r="391" spans="1:17" x14ac:dyDescent="0.3">
      <c r="A391" s="1" t="s">
        <v>9</v>
      </c>
      <c r="B391" s="4">
        <v>5</v>
      </c>
      <c r="C391" s="1" t="s">
        <v>3</v>
      </c>
      <c r="D391" s="3">
        <v>44012</v>
      </c>
      <c r="E391" s="2">
        <v>35</v>
      </c>
      <c r="G391" s="4">
        <v>25</v>
      </c>
      <c r="H391" s="14">
        <f t="shared" si="133"/>
        <v>0.7142857142857143</v>
      </c>
      <c r="I391" s="14">
        <f t="shared" si="134"/>
        <v>7.1964555984555991</v>
      </c>
      <c r="K391" s="84"/>
      <c r="L391" s="85"/>
      <c r="M391" t="s">
        <v>18</v>
      </c>
      <c r="N391" s="35">
        <f>H417</f>
        <v>0.49686942959001784</v>
      </c>
      <c r="O391" s="35">
        <f>H420</f>
        <v>9.0044885109263992E-2</v>
      </c>
      <c r="P391" s="35">
        <f>I417</f>
        <v>5.1739338665290679</v>
      </c>
      <c r="Q391" s="35">
        <f>I420</f>
        <v>0.14330678820159756</v>
      </c>
    </row>
    <row r="392" spans="1:17" x14ac:dyDescent="0.3">
      <c r="A392" s="1" t="s">
        <v>9</v>
      </c>
      <c r="B392" s="4">
        <v>6</v>
      </c>
      <c r="C392" s="1" t="s">
        <v>4</v>
      </c>
      <c r="D392" s="3">
        <v>44012</v>
      </c>
      <c r="E392" s="2">
        <v>37</v>
      </c>
      <c r="G392" s="2">
        <f>25.39+0.6</f>
        <v>25.990000000000002</v>
      </c>
      <c r="H392" s="14">
        <f t="shared" si="133"/>
        <v>0.70243243243243247</v>
      </c>
      <c r="I392" s="14">
        <f t="shared" si="134"/>
        <v>7.0421621621621622</v>
      </c>
      <c r="K392" s="84"/>
      <c r="L392" s="85" t="s">
        <v>5</v>
      </c>
      <c r="M392" t="s">
        <v>17</v>
      </c>
      <c r="N392" s="35">
        <f>H400</f>
        <v>0.68779414753098955</v>
      </c>
      <c r="O392" s="35">
        <f>H403</f>
        <v>0.11130057807530111</v>
      </c>
      <c r="P392" s="35">
        <f>I400</f>
        <v>6.9241259229153966</v>
      </c>
      <c r="Q392" s="35">
        <f>I403</f>
        <v>0.37071118117369112</v>
      </c>
    </row>
    <row r="393" spans="1:17" x14ac:dyDescent="0.3">
      <c r="A393" s="1" t="s">
        <v>9</v>
      </c>
      <c r="B393" s="4">
        <v>7</v>
      </c>
      <c r="C393" s="1" t="s">
        <v>5</v>
      </c>
      <c r="D393" s="3">
        <v>44012</v>
      </c>
      <c r="E393" s="2">
        <v>35</v>
      </c>
      <c r="G393" s="2">
        <f>28.5</f>
        <v>28.5</v>
      </c>
      <c r="H393" s="14">
        <f t="shared" si="133"/>
        <v>0.81428571428571428</v>
      </c>
      <c r="I393" s="14">
        <f t="shared" si="134"/>
        <v>6.9456138996138996</v>
      </c>
      <c r="K393" s="84"/>
      <c r="L393" s="85"/>
      <c r="M393" t="s">
        <v>18</v>
      </c>
      <c r="N393" s="35">
        <f>H418</f>
        <v>0.4727911967418546</v>
      </c>
      <c r="O393" s="35">
        <f>H421</f>
        <v>5.5496975280373693E-2</v>
      </c>
      <c r="P393" s="35">
        <f>I418</f>
        <v>5.5581130082149812</v>
      </c>
      <c r="Q393" s="35">
        <f>I421</f>
        <v>0.22707241517268076</v>
      </c>
    </row>
    <row r="394" spans="1:17" x14ac:dyDescent="0.3">
      <c r="A394" s="1" t="s">
        <v>9</v>
      </c>
      <c r="B394" s="4">
        <v>8</v>
      </c>
      <c r="C394" s="1" t="s">
        <v>3</v>
      </c>
      <c r="D394" s="3">
        <v>44012</v>
      </c>
      <c r="E394" s="2">
        <v>37</v>
      </c>
      <c r="G394" s="4">
        <v>25.21</v>
      </c>
      <c r="H394" s="14">
        <f t="shared" si="133"/>
        <v>0.68135135135135139</v>
      </c>
      <c r="I394" s="14">
        <f t="shared" si="134"/>
        <v>7.1124324324324331</v>
      </c>
    </row>
    <row r="395" spans="1:17" x14ac:dyDescent="0.3">
      <c r="A395" s="1" t="s">
        <v>9</v>
      </c>
      <c r="B395" s="4">
        <v>9</v>
      </c>
      <c r="C395" s="1" t="s">
        <v>4</v>
      </c>
      <c r="D395" s="3">
        <v>44012</v>
      </c>
      <c r="E395" s="2">
        <v>36</v>
      </c>
      <c r="G395" s="4">
        <v>20.309999999999999</v>
      </c>
      <c r="H395" s="14">
        <f t="shared" si="133"/>
        <v>0.56416666666666659</v>
      </c>
      <c r="I395" s="14">
        <f t="shared" si="134"/>
        <v>6.9378003003003004</v>
      </c>
    </row>
    <row r="396" spans="1:17" x14ac:dyDescent="0.3">
      <c r="A396" s="1" t="s">
        <v>9</v>
      </c>
      <c r="B396" s="4">
        <v>10</v>
      </c>
      <c r="C396" s="1" t="s">
        <v>5</v>
      </c>
      <c r="D396" s="3">
        <v>44012</v>
      </c>
      <c r="E396" s="2">
        <v>38</v>
      </c>
      <c r="G396" s="4">
        <v>20.65</v>
      </c>
      <c r="H396" s="14">
        <f t="shared" si="133"/>
        <v>0.54342105263157892</v>
      </c>
      <c r="I396" s="14">
        <f>I361+H396</f>
        <v>6.4597368421052623</v>
      </c>
    </row>
    <row r="397" spans="1:17" ht="15" thickBot="1" x14ac:dyDescent="0.35">
      <c r="A397" s="9" t="s">
        <v>9</v>
      </c>
      <c r="B397" s="15">
        <v>11</v>
      </c>
      <c r="C397" s="9" t="s">
        <v>3</v>
      </c>
      <c r="D397" s="16">
        <v>44012</v>
      </c>
      <c r="E397" s="17"/>
      <c r="F397" s="18"/>
      <c r="G397" s="18"/>
      <c r="H397" s="18"/>
      <c r="I397" s="18"/>
    </row>
    <row r="398" spans="1:17" ht="15" thickTop="1" x14ac:dyDescent="0.3">
      <c r="B398" s="20" t="s">
        <v>15</v>
      </c>
      <c r="C398" s="21" t="s">
        <v>3</v>
      </c>
      <c r="D398" s="22"/>
      <c r="E398" s="23"/>
      <c r="F398" s="23"/>
      <c r="G398" s="24">
        <f t="shared" ref="G398:I398" si="135">AVERAGE(G388,G391,G394)</f>
        <v>25.99666666666667</v>
      </c>
      <c r="H398" s="24">
        <f t="shared" si="135"/>
        <v>0.7224345774345774</v>
      </c>
      <c r="I398" s="24">
        <f t="shared" si="135"/>
        <v>7.3464028479028487</v>
      </c>
    </row>
    <row r="399" spans="1:17" x14ac:dyDescent="0.3">
      <c r="B399" s="20"/>
      <c r="C399" s="21" t="s">
        <v>4</v>
      </c>
      <c r="D399" s="22"/>
      <c r="E399" s="23"/>
      <c r="F399" s="23"/>
      <c r="G399" s="24">
        <f t="shared" ref="G399:I399" si="136">AVERAGE(G389,G392,G395)</f>
        <v>23.99666666666667</v>
      </c>
      <c r="H399" s="24">
        <f t="shared" si="136"/>
        <v>0.67406244479773891</v>
      </c>
      <c r="I399" s="24">
        <f t="shared" si="136"/>
        <v>7.2047967084731788</v>
      </c>
    </row>
    <row r="400" spans="1:17" x14ac:dyDescent="0.3">
      <c r="B400" s="20"/>
      <c r="C400" s="21" t="s">
        <v>5</v>
      </c>
      <c r="D400" s="22"/>
      <c r="E400" s="23"/>
      <c r="F400" s="23"/>
      <c r="G400" s="24">
        <f t="shared" ref="G400:I400" si="137">AVERAGE(G390,G393,G396)</f>
        <v>25.086666666666662</v>
      </c>
      <c r="H400" s="24">
        <f t="shared" si="137"/>
        <v>0.68779414753098955</v>
      </c>
      <c r="I400" s="24">
        <f t="shared" si="137"/>
        <v>6.9241259229153966</v>
      </c>
    </row>
    <row r="401" spans="1:24" x14ac:dyDescent="0.3">
      <c r="B401" s="25" t="s">
        <v>16</v>
      </c>
      <c r="C401" s="26" t="s">
        <v>3</v>
      </c>
      <c r="D401" s="27"/>
      <c r="E401" s="28"/>
      <c r="F401" s="28"/>
      <c r="G401" s="29">
        <f>_xlfn.STDEV.P(G388,G391,G394)</f>
        <v>1.2639180704811881</v>
      </c>
      <c r="H401" s="29">
        <f t="shared" ref="H401:I401" si="138">_xlfn.STDEV.P(H388,H391,H394)</f>
        <v>3.7318601466207024E-2</v>
      </c>
      <c r="I401" s="29">
        <f t="shared" si="138"/>
        <v>0.27362937608379856</v>
      </c>
    </row>
    <row r="402" spans="1:24" x14ac:dyDescent="0.3">
      <c r="B402" s="25"/>
      <c r="C402" s="26" t="s">
        <v>4</v>
      </c>
      <c r="D402" s="27"/>
      <c r="E402" s="28"/>
      <c r="F402" s="28"/>
      <c r="G402" s="29">
        <f>_xlfn.STDEV.P(G389,G392,G395)</f>
        <v>2.6097424308838146</v>
      </c>
      <c r="H402" s="29">
        <f t="shared" ref="H402:I402" si="139">_xlfn.STDEV.P(H389,H392,H395)</f>
        <v>8.0681250951890576E-2</v>
      </c>
      <c r="I402" s="29">
        <f t="shared" si="139"/>
        <v>0.30676800935003673</v>
      </c>
    </row>
    <row r="403" spans="1:24" ht="15" thickBot="1" x14ac:dyDescent="0.35">
      <c r="A403" s="19"/>
      <c r="B403" s="30"/>
      <c r="C403" s="31" t="s">
        <v>5</v>
      </c>
      <c r="D403" s="32"/>
      <c r="E403" s="33"/>
      <c r="F403" s="33"/>
      <c r="G403" s="34">
        <f>_xlfn.STDEV.P(G390,G393,G396)</f>
        <v>3.2854257292202389</v>
      </c>
      <c r="H403" s="34">
        <f t="shared" ref="H403:I403" si="140">_xlfn.STDEV.P(H390,H393,H396)</f>
        <v>0.11130057807530111</v>
      </c>
      <c r="I403" s="34">
        <f t="shared" si="140"/>
        <v>0.37071118117369112</v>
      </c>
    </row>
    <row r="404" spans="1:24" x14ac:dyDescent="0.3">
      <c r="A404" s="1" t="s">
        <v>10</v>
      </c>
      <c r="B404" s="4">
        <v>12</v>
      </c>
      <c r="C404" s="1" t="s">
        <v>3</v>
      </c>
      <c r="D404" s="3">
        <v>44012</v>
      </c>
      <c r="E404" s="2"/>
    </row>
    <row r="405" spans="1:24" x14ac:dyDescent="0.3">
      <c r="A405" s="1" t="s">
        <v>10</v>
      </c>
      <c r="B405" s="4">
        <v>13</v>
      </c>
      <c r="C405" s="1" t="s">
        <v>3</v>
      </c>
      <c r="D405" s="3">
        <v>44012</v>
      </c>
      <c r="E405" s="2">
        <v>32</v>
      </c>
      <c r="G405" s="4">
        <v>19.809999999999999</v>
      </c>
      <c r="H405" s="14">
        <f>G405/E405</f>
        <v>0.61906249999999996</v>
      </c>
      <c r="I405" s="14">
        <f>I370+H405</f>
        <v>5.7478124999999993</v>
      </c>
    </row>
    <row r="406" spans="1:24" x14ac:dyDescent="0.3">
      <c r="A406" s="1" t="s">
        <v>10</v>
      </c>
      <c r="B406" s="4">
        <v>14</v>
      </c>
      <c r="C406" s="1" t="s">
        <v>4</v>
      </c>
      <c r="D406" s="3">
        <v>44012</v>
      </c>
      <c r="E406" s="2">
        <v>33</v>
      </c>
      <c r="G406" s="4">
        <v>12.48</v>
      </c>
      <c r="H406" s="14">
        <f t="shared" ref="H406:H413" si="141">G406/E406</f>
        <v>0.37818181818181817</v>
      </c>
      <c r="I406" s="14">
        <f t="shared" ref="I406:I412" si="142">I371+H406</f>
        <v>5.1133333333333333</v>
      </c>
    </row>
    <row r="407" spans="1:24" x14ac:dyDescent="0.3">
      <c r="A407" s="1" t="s">
        <v>10</v>
      </c>
      <c r="B407" s="4">
        <v>15</v>
      </c>
      <c r="C407" s="1" t="s">
        <v>5</v>
      </c>
      <c r="D407" s="3">
        <v>44012</v>
      </c>
      <c r="E407" s="2">
        <v>35</v>
      </c>
      <c r="G407" s="4">
        <v>16.13</v>
      </c>
      <c r="H407" s="14">
        <f t="shared" si="141"/>
        <v>0.46085714285714285</v>
      </c>
      <c r="I407" s="14">
        <f t="shared" si="142"/>
        <v>5.4726390977443611</v>
      </c>
    </row>
    <row r="408" spans="1:24" x14ac:dyDescent="0.3">
      <c r="A408" s="1" t="s">
        <v>10</v>
      </c>
      <c r="B408" s="4">
        <v>16</v>
      </c>
      <c r="C408" s="1" t="s">
        <v>3</v>
      </c>
      <c r="D408" s="3">
        <v>44012</v>
      </c>
      <c r="E408" s="2">
        <v>40</v>
      </c>
      <c r="G408" s="4">
        <f>5.83+11.5</f>
        <v>17.329999999999998</v>
      </c>
      <c r="H408" s="14">
        <f t="shared" si="141"/>
        <v>0.43324999999999997</v>
      </c>
      <c r="I408" s="14">
        <f t="shared" si="142"/>
        <v>5.3225000000000007</v>
      </c>
    </row>
    <row r="409" spans="1:24" x14ac:dyDescent="0.3">
      <c r="A409" s="1" t="s">
        <v>10</v>
      </c>
      <c r="B409" s="4">
        <v>17</v>
      </c>
      <c r="C409" s="1" t="s">
        <v>4</v>
      </c>
      <c r="D409" s="3">
        <v>44012</v>
      </c>
      <c r="E409" s="2">
        <v>34</v>
      </c>
      <c r="G409" s="2">
        <f>16.53+2.82+0.92</f>
        <v>20.270000000000003</v>
      </c>
      <c r="H409" s="14">
        <f t="shared" si="141"/>
        <v>0.59617647058823542</v>
      </c>
      <c r="I409" s="14">
        <f t="shared" si="142"/>
        <v>5.3717182662538701</v>
      </c>
    </row>
    <row r="410" spans="1:24" x14ac:dyDescent="0.3">
      <c r="A410" s="1" t="s">
        <v>10</v>
      </c>
      <c r="B410" s="4">
        <v>18</v>
      </c>
      <c r="C410" s="1" t="s">
        <v>5</v>
      </c>
      <c r="D410" s="3">
        <v>44012</v>
      </c>
      <c r="E410" s="2">
        <v>38</v>
      </c>
      <c r="G410" s="2">
        <f>13.74+1.9</f>
        <v>15.64</v>
      </c>
      <c r="H410" s="14">
        <f t="shared" si="141"/>
        <v>0.41157894736842104</v>
      </c>
      <c r="I410" s="14">
        <f t="shared" si="142"/>
        <v>5.3327763157894736</v>
      </c>
    </row>
    <row r="411" spans="1:24" x14ac:dyDescent="0.3">
      <c r="A411" s="1" t="s">
        <v>10</v>
      </c>
      <c r="B411" s="4">
        <v>19</v>
      </c>
      <c r="C411" s="1" t="s">
        <v>3</v>
      </c>
      <c r="D411" s="3">
        <v>44012</v>
      </c>
      <c r="E411" s="2">
        <v>34</v>
      </c>
      <c r="G411" s="4">
        <v>18.399999999999999</v>
      </c>
      <c r="H411" s="14">
        <f t="shared" si="141"/>
        <v>0.54117647058823526</v>
      </c>
      <c r="I411" s="14">
        <f t="shared" si="142"/>
        <v>5.8709856915739271</v>
      </c>
    </row>
    <row r="412" spans="1:24" x14ac:dyDescent="0.3">
      <c r="A412" s="1" t="s">
        <v>10</v>
      </c>
      <c r="B412" s="4">
        <v>20</v>
      </c>
      <c r="C412" s="1" t="s">
        <v>4</v>
      </c>
      <c r="D412" s="3">
        <v>44012</v>
      </c>
      <c r="E412" s="2">
        <v>40</v>
      </c>
      <c r="G412" s="4">
        <v>20.65</v>
      </c>
      <c r="H412" s="14">
        <f t="shared" si="141"/>
        <v>0.51624999999999999</v>
      </c>
      <c r="I412" s="14">
        <f t="shared" si="142"/>
        <v>5.0367500000000005</v>
      </c>
    </row>
    <row r="413" spans="1:24" x14ac:dyDescent="0.3">
      <c r="A413" s="1" t="s">
        <v>10</v>
      </c>
      <c r="B413" s="4">
        <v>21</v>
      </c>
      <c r="C413" s="1" t="s">
        <v>5</v>
      </c>
      <c r="D413" s="3">
        <v>44012</v>
      </c>
      <c r="E413" s="2">
        <v>32</v>
      </c>
      <c r="G413" s="4">
        <v>17.47</v>
      </c>
      <c r="H413" s="14">
        <f t="shared" si="141"/>
        <v>0.54593749999999996</v>
      </c>
      <c r="I413" s="14">
        <f>I378+H413</f>
        <v>5.8689236111111107</v>
      </c>
    </row>
    <row r="414" spans="1:24" x14ac:dyDescent="0.3">
      <c r="A414" s="1" t="s">
        <v>10</v>
      </c>
      <c r="B414" s="4">
        <v>22</v>
      </c>
      <c r="C414" s="1" t="s">
        <v>3</v>
      </c>
      <c r="D414" s="3">
        <v>44012</v>
      </c>
      <c r="E414" s="2">
        <v>38</v>
      </c>
      <c r="G414" s="4">
        <f>10.71+10.55</f>
        <v>21.26</v>
      </c>
      <c r="H414" s="14">
        <f>G414/E414</f>
        <v>0.55947368421052635</v>
      </c>
      <c r="I414" s="14">
        <f>I379+H414</f>
        <v>5.9826315789473679</v>
      </c>
    </row>
    <row r="415" spans="1:24" x14ac:dyDescent="0.3">
      <c r="A415" s="5" t="s">
        <v>10</v>
      </c>
      <c r="B415" s="6">
        <v>23</v>
      </c>
      <c r="C415" s="5" t="s">
        <v>3</v>
      </c>
      <c r="D415" s="7">
        <v>44012</v>
      </c>
      <c r="E415" s="13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x14ac:dyDescent="0.3">
      <c r="B416" s="20" t="s">
        <v>15</v>
      </c>
      <c r="C416" s="21" t="s">
        <v>3</v>
      </c>
      <c r="D416" s="22"/>
      <c r="E416" s="23"/>
      <c r="F416" s="23"/>
      <c r="G416" s="24">
        <f>AVERAGE(G405,G408,G411)</f>
        <v>18.513333333333332</v>
      </c>
      <c r="H416" s="24">
        <f t="shared" ref="H416:H417" si="143">AVERAGE(H405,H408,H411)</f>
        <v>0.53116299019607849</v>
      </c>
      <c r="I416" s="24">
        <f>AVERAGE(I405,I408,I411)</f>
        <v>5.647099397191309</v>
      </c>
    </row>
    <row r="417" spans="1:17" x14ac:dyDescent="0.3">
      <c r="B417" s="20"/>
      <c r="C417" s="21" t="s">
        <v>4</v>
      </c>
      <c r="D417" s="22"/>
      <c r="E417" s="23"/>
      <c r="F417" s="23"/>
      <c r="G417" s="24">
        <f>AVERAGE(G406,G409,G412)</f>
        <v>17.8</v>
      </c>
      <c r="H417" s="24">
        <f t="shared" si="143"/>
        <v>0.49686942959001784</v>
      </c>
      <c r="I417" s="24">
        <f>AVERAGE(I406,I409,I412)</f>
        <v>5.1739338665290679</v>
      </c>
    </row>
    <row r="418" spans="1:17" x14ac:dyDescent="0.3">
      <c r="B418" s="20"/>
      <c r="C418" s="21" t="s">
        <v>5</v>
      </c>
      <c r="D418" s="22"/>
      <c r="E418" s="23"/>
      <c r="F418" s="23"/>
      <c r="G418" s="24">
        <f>AVERAGE(G407,G410,G413)</f>
        <v>16.41333333333333</v>
      </c>
      <c r="H418" s="24">
        <f>AVERAGE(H407,H410,H413)</f>
        <v>0.4727911967418546</v>
      </c>
      <c r="I418" s="24">
        <f>AVERAGE(I407,I410,I413)</f>
        <v>5.5581130082149812</v>
      </c>
    </row>
    <row r="419" spans="1:17" x14ac:dyDescent="0.3">
      <c r="B419" s="25" t="s">
        <v>16</v>
      </c>
      <c r="C419" s="26" t="s">
        <v>3</v>
      </c>
      <c r="D419" s="27"/>
      <c r="E419" s="28"/>
      <c r="F419" s="28"/>
      <c r="G419" s="29">
        <f t="shared" ref="G419:I419" si="144">_xlfn.STDEV.P(G405,G408,G411)</f>
        <v>1.0156224145266237</v>
      </c>
      <c r="H419" s="29">
        <f t="shared" si="144"/>
        <v>7.6187372668684292E-2</v>
      </c>
      <c r="I419" s="29">
        <f t="shared" si="144"/>
        <v>0.23497018998637176</v>
      </c>
    </row>
    <row r="420" spans="1:17" x14ac:dyDescent="0.3">
      <c r="B420" s="25"/>
      <c r="C420" s="26" t="s">
        <v>4</v>
      </c>
      <c r="D420" s="27"/>
      <c r="E420" s="28"/>
      <c r="F420" s="28"/>
      <c r="G420" s="29">
        <f t="shared" ref="G420:I420" si="145">_xlfn.STDEV.P(G406,G409,G412)</f>
        <v>3.7650055334178103</v>
      </c>
      <c r="H420" s="29">
        <f t="shared" si="145"/>
        <v>9.0044885109263992E-2</v>
      </c>
      <c r="I420" s="29">
        <f t="shared" si="145"/>
        <v>0.14330678820159756</v>
      </c>
    </row>
    <row r="421" spans="1:17" ht="15" thickBot="1" x14ac:dyDescent="0.35">
      <c r="A421" s="19"/>
      <c r="B421" s="30"/>
      <c r="C421" s="31" t="s">
        <v>5</v>
      </c>
      <c r="D421" s="32"/>
      <c r="E421" s="33"/>
      <c r="F421" s="33"/>
      <c r="G421" s="34">
        <f t="shared" ref="G421:I421" si="146">_xlfn.STDEV.P(G407,G410,G413)</f>
        <v>0.77349136316373179</v>
      </c>
      <c r="H421" s="34">
        <f t="shared" si="146"/>
        <v>5.5496975280373693E-2</v>
      </c>
      <c r="I421" s="34">
        <f t="shared" si="146"/>
        <v>0.22707241517268076</v>
      </c>
    </row>
    <row r="422" spans="1:17" ht="15" thickBot="1" x14ac:dyDescent="0.35">
      <c r="A422" s="1" t="s">
        <v>9</v>
      </c>
      <c r="B422" s="4">
        <v>1</v>
      </c>
      <c r="C422" s="1" t="s">
        <v>11</v>
      </c>
      <c r="D422" s="3">
        <v>44019</v>
      </c>
      <c r="E422" s="2"/>
      <c r="N422" s="36" t="s">
        <v>13</v>
      </c>
      <c r="P422" s="36" t="s">
        <v>14</v>
      </c>
    </row>
    <row r="423" spans="1:17" ht="15" thickTop="1" x14ac:dyDescent="0.3">
      <c r="A423" s="1" t="s">
        <v>9</v>
      </c>
      <c r="B423" s="4">
        <v>2</v>
      </c>
      <c r="C423" s="1" t="s">
        <v>3</v>
      </c>
      <c r="D423" s="3">
        <v>44019</v>
      </c>
      <c r="E423" s="2">
        <v>36</v>
      </c>
      <c r="G423" s="4">
        <f>6.94+14.45</f>
        <v>21.39</v>
      </c>
      <c r="H423" s="14">
        <f>G423/E423</f>
        <v>0.59416666666666673</v>
      </c>
      <c r="I423" s="14">
        <f>I388+H423</f>
        <v>8.3244871794871802</v>
      </c>
      <c r="K423" s="84">
        <v>44019</v>
      </c>
      <c r="L423" s="85" t="s">
        <v>3</v>
      </c>
      <c r="M423" t="s">
        <v>17</v>
      </c>
      <c r="N423" s="35">
        <f>H433</f>
        <v>0.62463728013728004</v>
      </c>
      <c r="O423" s="35">
        <f>H436</f>
        <v>2.7240160116284426E-2</v>
      </c>
      <c r="P423" s="35">
        <f>I433</f>
        <v>7.9710401280401273</v>
      </c>
      <c r="Q423" s="35">
        <f>I436</f>
        <v>0.25506921688575684</v>
      </c>
    </row>
    <row r="424" spans="1:17" x14ac:dyDescent="0.3">
      <c r="A424" s="1" t="s">
        <v>9</v>
      </c>
      <c r="B424" s="4">
        <v>3</v>
      </c>
      <c r="C424" s="1" t="s">
        <v>4</v>
      </c>
      <c r="D424" s="3">
        <v>44019</v>
      </c>
      <c r="E424" s="2">
        <v>34</v>
      </c>
      <c r="G424" s="4">
        <f>9.51+13.83</f>
        <v>23.34</v>
      </c>
      <c r="H424" s="14">
        <f t="shared" ref="H424:H431" si="147">G424/E424</f>
        <v>0.68647058823529417</v>
      </c>
      <c r="I424" s="14">
        <f t="shared" ref="I424:I430" si="148">I389+H424</f>
        <v>8.3208982511923697</v>
      </c>
      <c r="K424" s="84"/>
      <c r="L424" s="85"/>
      <c r="M424" t="s">
        <v>18</v>
      </c>
      <c r="N424" s="35">
        <f>H451</f>
        <v>0.4663921568627451</v>
      </c>
      <c r="O424" s="35">
        <f>H454</f>
        <v>5.5590887649832547E-2</v>
      </c>
      <c r="P424" s="35">
        <f>I451</f>
        <v>6.113491554054054</v>
      </c>
      <c r="Q424" s="35">
        <f>I454</f>
        <v>0.28460304785766954</v>
      </c>
    </row>
    <row r="425" spans="1:17" x14ac:dyDescent="0.3">
      <c r="A425" s="1" t="s">
        <v>9</v>
      </c>
      <c r="B425" s="4">
        <v>4</v>
      </c>
      <c r="C425" s="1" t="s">
        <v>5</v>
      </c>
      <c r="D425" s="3">
        <v>44019</v>
      </c>
      <c r="E425" s="2">
        <v>37</v>
      </c>
      <c r="G425" s="4">
        <f>22.58</f>
        <v>22.58</v>
      </c>
      <c r="H425" s="14">
        <f t="shared" si="147"/>
        <v>0.61027027027027025</v>
      </c>
      <c r="I425" s="14">
        <f t="shared" si="148"/>
        <v>7.9772972972972989</v>
      </c>
      <c r="K425" s="84"/>
      <c r="L425" s="85" t="s">
        <v>4</v>
      </c>
      <c r="M425" t="s">
        <v>17</v>
      </c>
      <c r="N425" s="35">
        <f>H434</f>
        <v>0.61670390979214507</v>
      </c>
      <c r="O425" s="35">
        <f>H437</f>
        <v>6.0503960091782369E-2</v>
      </c>
      <c r="P425" s="35">
        <f>I434</f>
        <v>7.8215006182653246</v>
      </c>
      <c r="Q425" s="35">
        <f>I437</f>
        <v>0.35320872191363456</v>
      </c>
    </row>
    <row r="426" spans="1:17" x14ac:dyDescent="0.3">
      <c r="A426" s="1" t="s">
        <v>9</v>
      </c>
      <c r="B426" s="4">
        <v>5</v>
      </c>
      <c r="C426" s="1" t="s">
        <v>3</v>
      </c>
      <c r="D426" s="3">
        <v>44019</v>
      </c>
      <c r="E426" s="2">
        <v>35</v>
      </c>
      <c r="G426" s="4">
        <f>12.83+10.28</f>
        <v>23.11</v>
      </c>
      <c r="H426" s="14">
        <f t="shared" si="147"/>
        <v>0.66028571428571425</v>
      </c>
      <c r="I426" s="14">
        <f t="shared" si="148"/>
        <v>7.8567413127413133</v>
      </c>
      <c r="K426" s="84"/>
      <c r="L426" s="85"/>
      <c r="M426" t="s">
        <v>18</v>
      </c>
      <c r="N426" s="35">
        <f>H452</f>
        <v>0.37189828431372546</v>
      </c>
      <c r="O426" s="35">
        <f>H455</f>
        <v>2.4718535277789326E-2</v>
      </c>
      <c r="P426" s="35">
        <f>I452</f>
        <v>5.5458321508427941</v>
      </c>
      <c r="Q426" s="35">
        <f>I455</f>
        <v>0.16585290108225892</v>
      </c>
    </row>
    <row r="427" spans="1:17" x14ac:dyDescent="0.3">
      <c r="A427" s="1" t="s">
        <v>9</v>
      </c>
      <c r="B427" s="4">
        <v>6</v>
      </c>
      <c r="C427" s="1" t="s">
        <v>4</v>
      </c>
      <c r="D427" s="3">
        <v>44019</v>
      </c>
      <c r="E427" s="2">
        <v>37</v>
      </c>
      <c r="G427" s="2">
        <f>11.5+8.44</f>
        <v>19.939999999999998</v>
      </c>
      <c r="H427" s="14">
        <f t="shared" si="147"/>
        <v>0.53891891891891885</v>
      </c>
      <c r="I427" s="14">
        <f t="shared" si="148"/>
        <v>7.5810810810810807</v>
      </c>
      <c r="K427" s="84"/>
      <c r="L427" s="85" t="s">
        <v>5</v>
      </c>
      <c r="M427" t="s">
        <v>17</v>
      </c>
      <c r="N427" s="35">
        <f>H435</f>
        <v>0.5901477342003657</v>
      </c>
      <c r="O427" s="35">
        <f>H438</f>
        <v>2.7464391257450347E-2</v>
      </c>
      <c r="P427" s="35">
        <f>I435</f>
        <v>7.5142736571157629</v>
      </c>
      <c r="Q427" s="35">
        <f>I438</f>
        <v>0.39549046414913147</v>
      </c>
    </row>
    <row r="428" spans="1:17" x14ac:dyDescent="0.3">
      <c r="A428" s="1" t="s">
        <v>9</v>
      </c>
      <c r="B428" s="4">
        <v>7</v>
      </c>
      <c r="C428" s="1" t="s">
        <v>5</v>
      </c>
      <c r="D428" s="3">
        <v>44019</v>
      </c>
      <c r="E428" s="2">
        <v>35</v>
      </c>
      <c r="G428" s="2">
        <v>21.31</v>
      </c>
      <c r="H428" s="14">
        <f t="shared" si="147"/>
        <v>0.60885714285714287</v>
      </c>
      <c r="I428" s="14">
        <f t="shared" si="148"/>
        <v>7.5544710424710422</v>
      </c>
      <c r="K428" s="84"/>
      <c r="L428" s="85"/>
      <c r="M428" t="s">
        <v>18</v>
      </c>
      <c r="N428" s="35">
        <f>H453</f>
        <v>0.40454479949874683</v>
      </c>
      <c r="O428" s="35">
        <f>H456</f>
        <v>5.8385877192983889E-2</v>
      </c>
      <c r="P428" s="35">
        <f>I453</f>
        <v>5.9626578077137289</v>
      </c>
      <c r="Q428" s="35">
        <f>I456</f>
        <v>0.25341292136056215</v>
      </c>
    </row>
    <row r="429" spans="1:17" x14ac:dyDescent="0.3">
      <c r="A429" s="1" t="s">
        <v>9</v>
      </c>
      <c r="B429" s="4">
        <v>8</v>
      </c>
      <c r="C429" s="1" t="s">
        <v>3</v>
      </c>
      <c r="D429" s="3">
        <v>44019</v>
      </c>
      <c r="E429" s="2">
        <v>37</v>
      </c>
      <c r="G429" s="4">
        <f>12.63+10.29</f>
        <v>22.92</v>
      </c>
      <c r="H429" s="14">
        <f t="shared" si="147"/>
        <v>0.61945945945945946</v>
      </c>
      <c r="I429" s="14">
        <f t="shared" si="148"/>
        <v>7.7318918918918929</v>
      </c>
    </row>
    <row r="430" spans="1:17" x14ac:dyDescent="0.3">
      <c r="A430" s="1" t="s">
        <v>9</v>
      </c>
      <c r="B430" s="4">
        <v>9</v>
      </c>
      <c r="C430" s="1" t="s">
        <v>4</v>
      </c>
      <c r="D430" s="3">
        <v>44019</v>
      </c>
      <c r="E430" s="2">
        <v>36</v>
      </c>
      <c r="G430" s="4">
        <v>22.49</v>
      </c>
      <c r="H430" s="14">
        <f t="shared" si="147"/>
        <v>0.62472222222222218</v>
      </c>
      <c r="I430" s="14">
        <f t="shared" si="148"/>
        <v>7.5625225225225226</v>
      </c>
    </row>
    <row r="431" spans="1:17" x14ac:dyDescent="0.3">
      <c r="A431" s="1" t="s">
        <v>9</v>
      </c>
      <c r="B431" s="4">
        <v>10</v>
      </c>
      <c r="C431" s="1" t="s">
        <v>5</v>
      </c>
      <c r="D431" s="3">
        <v>44019</v>
      </c>
      <c r="E431" s="2">
        <v>38</v>
      </c>
      <c r="G431" s="4">
        <f>16.3+2.2+2.45</f>
        <v>20.95</v>
      </c>
      <c r="H431" s="14">
        <f t="shared" si="147"/>
        <v>0.5513157894736842</v>
      </c>
      <c r="I431" s="14">
        <f>I396+H431</f>
        <v>7.0110526315789468</v>
      </c>
    </row>
    <row r="432" spans="1:17" ht="15" thickBot="1" x14ac:dyDescent="0.35">
      <c r="A432" s="9" t="s">
        <v>9</v>
      </c>
      <c r="B432" s="15">
        <v>11</v>
      </c>
      <c r="C432" s="9" t="s">
        <v>3</v>
      </c>
      <c r="D432" s="16">
        <v>44019</v>
      </c>
      <c r="E432" s="17"/>
      <c r="F432" s="18"/>
      <c r="G432" s="18"/>
      <c r="H432" s="18"/>
      <c r="I432" s="18"/>
    </row>
    <row r="433" spans="1:9" ht="15" thickTop="1" x14ac:dyDescent="0.3">
      <c r="B433" s="20" t="s">
        <v>15</v>
      </c>
      <c r="C433" s="21" t="s">
        <v>3</v>
      </c>
      <c r="D433" s="22"/>
      <c r="E433" s="23"/>
      <c r="F433" s="23"/>
      <c r="G433" s="24">
        <f t="shared" ref="G433:I435" si="149">AVERAGE(G423,G426,G429)</f>
        <v>22.473333333333333</v>
      </c>
      <c r="H433" s="24">
        <f t="shared" si="149"/>
        <v>0.62463728013728004</v>
      </c>
      <c r="I433" s="24">
        <f t="shared" si="149"/>
        <v>7.9710401280401273</v>
      </c>
    </row>
    <row r="434" spans="1:9" x14ac:dyDescent="0.3">
      <c r="B434" s="20"/>
      <c r="C434" s="21" t="s">
        <v>4</v>
      </c>
      <c r="D434" s="22"/>
      <c r="E434" s="23"/>
      <c r="F434" s="23"/>
      <c r="G434" s="24">
        <f t="shared" si="149"/>
        <v>21.923333333333332</v>
      </c>
      <c r="H434" s="24">
        <f t="shared" si="149"/>
        <v>0.61670390979214507</v>
      </c>
      <c r="I434" s="24">
        <f t="shared" si="149"/>
        <v>7.8215006182653246</v>
      </c>
    </row>
    <row r="435" spans="1:9" x14ac:dyDescent="0.3">
      <c r="B435" s="20"/>
      <c r="C435" s="21" t="s">
        <v>5</v>
      </c>
      <c r="D435" s="22"/>
      <c r="E435" s="23"/>
      <c r="F435" s="23"/>
      <c r="G435" s="24">
        <f t="shared" si="149"/>
        <v>21.613333333333333</v>
      </c>
      <c r="H435" s="24">
        <f t="shared" si="149"/>
        <v>0.5901477342003657</v>
      </c>
      <c r="I435" s="24">
        <f t="shared" si="149"/>
        <v>7.5142736571157629</v>
      </c>
    </row>
    <row r="436" spans="1:9" x14ac:dyDescent="0.3">
      <c r="B436" s="25" t="s">
        <v>16</v>
      </c>
      <c r="C436" s="26" t="s">
        <v>3</v>
      </c>
      <c r="D436" s="27"/>
      <c r="E436" s="28"/>
      <c r="F436" s="28"/>
      <c r="G436" s="29">
        <f>_xlfn.STDEV.P(G423,G426,G429)</f>
        <v>0.7699494932930484</v>
      </c>
      <c r="H436" s="29">
        <f t="shared" ref="H436:I438" si="150">_xlfn.STDEV.P(H423,H426,H429)</f>
        <v>2.7240160116284426E-2</v>
      </c>
      <c r="I436" s="29">
        <f t="shared" si="150"/>
        <v>0.25506921688575684</v>
      </c>
    </row>
    <row r="437" spans="1:9" x14ac:dyDescent="0.3">
      <c r="B437" s="25"/>
      <c r="C437" s="26" t="s">
        <v>4</v>
      </c>
      <c r="D437" s="27"/>
      <c r="E437" s="28"/>
      <c r="F437" s="28"/>
      <c r="G437" s="29">
        <f>_xlfn.STDEV.P(G424,G427,G430)</f>
        <v>1.4447221955179563</v>
      </c>
      <c r="H437" s="29">
        <f t="shared" si="150"/>
        <v>6.0503960091782369E-2</v>
      </c>
      <c r="I437" s="29">
        <f t="shared" si="150"/>
        <v>0.35320872191363456</v>
      </c>
    </row>
    <row r="438" spans="1:9" ht="15" thickBot="1" x14ac:dyDescent="0.35">
      <c r="A438" s="19"/>
      <c r="B438" s="30"/>
      <c r="C438" s="31" t="s">
        <v>5</v>
      </c>
      <c r="D438" s="32"/>
      <c r="E438" s="33"/>
      <c r="F438" s="33"/>
      <c r="G438" s="34">
        <f>_xlfn.STDEV.P(G425,G428,G431)</f>
        <v>0.69915822402530725</v>
      </c>
      <c r="H438" s="34">
        <f t="shared" si="150"/>
        <v>2.7464391257450347E-2</v>
      </c>
      <c r="I438" s="34">
        <f t="shared" si="150"/>
        <v>0.39549046414913147</v>
      </c>
    </row>
    <row r="439" spans="1:9" x14ac:dyDescent="0.3">
      <c r="A439" s="1" t="s">
        <v>10</v>
      </c>
      <c r="B439" s="4">
        <v>12</v>
      </c>
      <c r="C439" s="1" t="s">
        <v>3</v>
      </c>
      <c r="D439" s="3">
        <v>44019</v>
      </c>
      <c r="E439" s="2"/>
    </row>
    <row r="440" spans="1:9" x14ac:dyDescent="0.3">
      <c r="A440" s="1" t="s">
        <v>10</v>
      </c>
      <c r="B440" s="4">
        <v>13</v>
      </c>
      <c r="C440" s="1" t="s">
        <v>3</v>
      </c>
      <c r="D440" s="3">
        <v>44019</v>
      </c>
      <c r="E440" s="2">
        <v>32</v>
      </c>
      <c r="G440" s="4">
        <v>14.4</v>
      </c>
      <c r="H440" s="14">
        <f>G440/E440</f>
        <v>0.45</v>
      </c>
      <c r="I440" s="14">
        <f>I405+H440</f>
        <v>6.1978124999999995</v>
      </c>
    </row>
    <row r="441" spans="1:9" x14ac:dyDescent="0.3">
      <c r="A441" s="1" t="s">
        <v>10</v>
      </c>
      <c r="B441" s="4">
        <v>14</v>
      </c>
      <c r="C441" s="1" t="s">
        <v>4</v>
      </c>
      <c r="D441" s="3">
        <v>44019</v>
      </c>
      <c r="E441" s="2">
        <v>32</v>
      </c>
      <c r="G441" s="4">
        <v>11.13</v>
      </c>
      <c r="H441" s="14">
        <f t="shared" ref="H441:H448" si="151">G441/E441</f>
        <v>0.34781250000000002</v>
      </c>
      <c r="I441" s="14">
        <f t="shared" ref="I441:I447" si="152">I406+H441</f>
        <v>5.4611458333333331</v>
      </c>
    </row>
    <row r="442" spans="1:9" x14ac:dyDescent="0.3">
      <c r="A442" s="1" t="s">
        <v>10</v>
      </c>
      <c r="B442" s="4">
        <v>15</v>
      </c>
      <c r="C442" s="1" t="s">
        <v>5</v>
      </c>
      <c r="D442" s="3">
        <v>44019</v>
      </c>
      <c r="E442" s="2">
        <v>35</v>
      </c>
      <c r="G442" s="4">
        <v>11.28</v>
      </c>
      <c r="H442" s="14">
        <f t="shared" si="151"/>
        <v>0.32228571428571429</v>
      </c>
      <c r="I442" s="14">
        <f t="shared" si="152"/>
        <v>5.7949248120300751</v>
      </c>
    </row>
    <row r="443" spans="1:9" x14ac:dyDescent="0.3">
      <c r="A443" s="1" t="s">
        <v>10</v>
      </c>
      <c r="B443" s="4">
        <v>16</v>
      </c>
      <c r="C443" s="1" t="s">
        <v>3</v>
      </c>
      <c r="D443" s="3">
        <v>44019</v>
      </c>
      <c r="E443" s="2">
        <v>40</v>
      </c>
      <c r="G443" s="4">
        <f>5.7+10.62</f>
        <v>16.32</v>
      </c>
      <c r="H443" s="14">
        <f t="shared" si="151"/>
        <v>0.40800000000000003</v>
      </c>
      <c r="I443" s="14">
        <f t="shared" si="152"/>
        <v>5.730500000000001</v>
      </c>
    </row>
    <row r="444" spans="1:9" x14ac:dyDescent="0.3">
      <c r="A444" s="1" t="s">
        <v>10</v>
      </c>
      <c r="B444" s="4">
        <v>17</v>
      </c>
      <c r="C444" s="1" t="s">
        <v>4</v>
      </c>
      <c r="D444" s="3">
        <v>44019</v>
      </c>
      <c r="E444" s="2">
        <v>34</v>
      </c>
      <c r="G444" s="2">
        <f>12.71+1.09</f>
        <v>13.8</v>
      </c>
      <c r="H444" s="14">
        <f t="shared" si="151"/>
        <v>0.40588235294117647</v>
      </c>
      <c r="I444" s="14">
        <f t="shared" si="152"/>
        <v>5.7776006191950469</v>
      </c>
    </row>
    <row r="445" spans="1:9" x14ac:dyDescent="0.3">
      <c r="A445" s="1" t="s">
        <v>10</v>
      </c>
      <c r="B445" s="4">
        <v>18</v>
      </c>
      <c r="C445" s="1" t="s">
        <v>5</v>
      </c>
      <c r="D445" s="3">
        <v>44019</v>
      </c>
      <c r="E445" s="2">
        <v>38</v>
      </c>
      <c r="G445" s="2">
        <f>5.36+11.34</f>
        <v>16.7</v>
      </c>
      <c r="H445" s="14">
        <f t="shared" si="151"/>
        <v>0.43947368421052629</v>
      </c>
      <c r="I445" s="14">
        <f t="shared" si="152"/>
        <v>5.7722499999999997</v>
      </c>
    </row>
    <row r="446" spans="1:9" x14ac:dyDescent="0.3">
      <c r="A446" s="1" t="s">
        <v>10</v>
      </c>
      <c r="B446" s="4">
        <v>19</v>
      </c>
      <c r="C446" s="1" t="s">
        <v>3</v>
      </c>
      <c r="D446" s="3">
        <v>44019</v>
      </c>
      <c r="E446" s="2">
        <v>34</v>
      </c>
      <c r="G446" s="4">
        <f>7.59+10.81</f>
        <v>18.399999999999999</v>
      </c>
      <c r="H446" s="14">
        <f t="shared" si="151"/>
        <v>0.54117647058823526</v>
      </c>
      <c r="I446" s="14">
        <f t="shared" si="152"/>
        <v>6.4121621621621623</v>
      </c>
    </row>
    <row r="447" spans="1:9" x14ac:dyDescent="0.3">
      <c r="A447" s="1" t="s">
        <v>10</v>
      </c>
      <c r="B447" s="4">
        <v>20</v>
      </c>
      <c r="C447" s="1" t="s">
        <v>4</v>
      </c>
      <c r="D447" s="3">
        <v>44019</v>
      </c>
      <c r="E447" s="2">
        <v>40</v>
      </c>
      <c r="G447" s="4">
        <f>4.76+9.57+0.15</f>
        <v>14.48</v>
      </c>
      <c r="H447" s="14">
        <f t="shared" si="151"/>
        <v>0.36199999999999999</v>
      </c>
      <c r="I447" s="14">
        <f t="shared" si="152"/>
        <v>5.3987500000000006</v>
      </c>
    </row>
    <row r="448" spans="1:9" x14ac:dyDescent="0.3">
      <c r="A448" s="1" t="s">
        <v>10</v>
      </c>
      <c r="B448" s="4">
        <v>21</v>
      </c>
      <c r="C448" s="1" t="s">
        <v>5</v>
      </c>
      <c r="D448" s="3">
        <v>44019</v>
      </c>
      <c r="E448" s="2">
        <v>32</v>
      </c>
      <c r="G448" s="4">
        <v>14.46</v>
      </c>
      <c r="H448" s="14">
        <f t="shared" si="151"/>
        <v>0.45187500000000003</v>
      </c>
      <c r="I448" s="14">
        <f>I413+H448</f>
        <v>6.320798611111111</v>
      </c>
    </row>
    <row r="449" spans="1:24" x14ac:dyDescent="0.3">
      <c r="A449" s="1" t="s">
        <v>10</v>
      </c>
      <c r="B449" s="4">
        <v>22</v>
      </c>
      <c r="C449" s="1" t="s">
        <v>3</v>
      </c>
      <c r="D449" s="3">
        <v>44019</v>
      </c>
      <c r="E449" s="2">
        <v>38</v>
      </c>
      <c r="G449" s="4">
        <f>5.71+13.8</f>
        <v>19.510000000000002</v>
      </c>
      <c r="H449" s="14">
        <f>G449/E449</f>
        <v>0.513421052631579</v>
      </c>
      <c r="I449" s="14">
        <f>I414+H449</f>
        <v>6.4960526315789471</v>
      </c>
    </row>
    <row r="450" spans="1:24" x14ac:dyDescent="0.3">
      <c r="A450" s="5" t="s">
        <v>10</v>
      </c>
      <c r="B450" s="6">
        <v>23</v>
      </c>
      <c r="C450" s="5" t="s">
        <v>3</v>
      </c>
      <c r="D450" s="7">
        <v>44019</v>
      </c>
      <c r="E450" s="13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x14ac:dyDescent="0.3">
      <c r="B451" s="20" t="s">
        <v>15</v>
      </c>
      <c r="C451" s="21" t="s">
        <v>3</v>
      </c>
      <c r="D451" s="22"/>
      <c r="E451" s="23"/>
      <c r="F451" s="23"/>
      <c r="G451" s="24">
        <f>AVERAGE(G440,G443,G446)</f>
        <v>16.373333333333331</v>
      </c>
      <c r="H451" s="24">
        <f t="shared" ref="H451:H452" si="153">AVERAGE(H440,H443,H446)</f>
        <v>0.4663921568627451</v>
      </c>
      <c r="I451" s="24">
        <f>AVERAGE(I440,I443,I446)</f>
        <v>6.113491554054054</v>
      </c>
    </row>
    <row r="452" spans="1:24" x14ac:dyDescent="0.3">
      <c r="B452" s="20"/>
      <c r="C452" s="21" t="s">
        <v>4</v>
      </c>
      <c r="D452" s="22"/>
      <c r="E452" s="23"/>
      <c r="F452" s="23"/>
      <c r="G452" s="24">
        <f>AVERAGE(G441,G444,G447)</f>
        <v>13.136666666666665</v>
      </c>
      <c r="H452" s="24">
        <f t="shared" si="153"/>
        <v>0.37189828431372546</v>
      </c>
      <c r="I452" s="24">
        <f>AVERAGE(I441,I444,I447)</f>
        <v>5.5458321508427941</v>
      </c>
    </row>
    <row r="453" spans="1:24" x14ac:dyDescent="0.3">
      <c r="B453" s="20"/>
      <c r="C453" s="21" t="s">
        <v>5</v>
      </c>
      <c r="D453" s="22"/>
      <c r="E453" s="23"/>
      <c r="F453" s="23"/>
      <c r="G453" s="24">
        <f>AVERAGE(G442,G445,G448)</f>
        <v>14.146666666666667</v>
      </c>
      <c r="H453" s="24">
        <f>AVERAGE(H442,H445,H448)</f>
        <v>0.40454479949874683</v>
      </c>
      <c r="I453" s="24">
        <f>AVERAGE(I442,I445,I448)</f>
        <v>5.9626578077137289</v>
      </c>
    </row>
    <row r="454" spans="1:24" x14ac:dyDescent="0.3">
      <c r="B454" s="25" t="s">
        <v>16</v>
      </c>
      <c r="C454" s="26" t="s">
        <v>3</v>
      </c>
      <c r="D454" s="27"/>
      <c r="E454" s="28"/>
      <c r="F454" s="28"/>
      <c r="G454" s="29">
        <f t="shared" ref="G454:I456" si="154">_xlfn.STDEV.P(G440,G443,G446)</f>
        <v>1.6334285686521117</v>
      </c>
      <c r="H454" s="29">
        <f t="shared" si="154"/>
        <v>5.5590887649832547E-2</v>
      </c>
      <c r="I454" s="29">
        <f t="shared" si="154"/>
        <v>0.28460304785766954</v>
      </c>
    </row>
    <row r="455" spans="1:24" x14ac:dyDescent="0.3">
      <c r="B455" s="25"/>
      <c r="C455" s="26" t="s">
        <v>4</v>
      </c>
      <c r="D455" s="27"/>
      <c r="E455" s="28"/>
      <c r="F455" s="28"/>
      <c r="G455" s="29">
        <f t="shared" si="154"/>
        <v>1.4458292507147106</v>
      </c>
      <c r="H455" s="29">
        <f t="shared" si="154"/>
        <v>2.4718535277789326E-2</v>
      </c>
      <c r="I455" s="29">
        <f t="shared" si="154"/>
        <v>0.16585290108225892</v>
      </c>
    </row>
    <row r="456" spans="1:24" ht="15" thickBot="1" x14ac:dyDescent="0.35">
      <c r="A456" s="19"/>
      <c r="B456" s="30"/>
      <c r="C456" s="31" t="s">
        <v>5</v>
      </c>
      <c r="D456" s="32"/>
      <c r="E456" s="33"/>
      <c r="F456" s="33"/>
      <c r="G456" s="34">
        <f t="shared" si="154"/>
        <v>2.2237705716992431</v>
      </c>
      <c r="H456" s="34">
        <f t="shared" si="154"/>
        <v>5.8385877192983889E-2</v>
      </c>
      <c r="I456" s="34">
        <f t="shared" si="154"/>
        <v>0.25341292136056215</v>
      </c>
    </row>
    <row r="457" spans="1:24" ht="15" thickBot="1" x14ac:dyDescent="0.35">
      <c r="A457" s="1" t="s">
        <v>9</v>
      </c>
      <c r="B457" s="4">
        <v>1</v>
      </c>
      <c r="C457" s="1" t="s">
        <v>11</v>
      </c>
      <c r="D457" s="3">
        <v>44026</v>
      </c>
      <c r="E457" s="2"/>
      <c r="N457" s="36" t="s">
        <v>13</v>
      </c>
      <c r="P457" s="36" t="s">
        <v>14</v>
      </c>
    </row>
    <row r="458" spans="1:24" ht="15" thickTop="1" x14ac:dyDescent="0.3">
      <c r="A458" s="1" t="s">
        <v>9</v>
      </c>
      <c r="B458" s="4">
        <v>2</v>
      </c>
      <c r="C458" s="1" t="s">
        <v>3</v>
      </c>
      <c r="D458" s="3">
        <v>44026</v>
      </c>
      <c r="E458" s="2">
        <v>36</v>
      </c>
      <c r="G458" s="4">
        <v>17.420000000000002</v>
      </c>
      <c r="H458" s="14">
        <f>G458/E458</f>
        <v>0.48388888888888892</v>
      </c>
      <c r="I458" s="14">
        <f>I423+H458</f>
        <v>8.8083760683760683</v>
      </c>
      <c r="K458" s="84">
        <v>44026</v>
      </c>
      <c r="L458" s="85" t="s">
        <v>3</v>
      </c>
      <c r="M458" t="s">
        <v>17</v>
      </c>
      <c r="N458" s="35">
        <f>H468</f>
        <v>0.56355627055627056</v>
      </c>
      <c r="O458" s="35">
        <f>H471</f>
        <v>5.7184478709780648E-2</v>
      </c>
      <c r="P458" s="35">
        <f>I468</f>
        <v>8.5345963985963991</v>
      </c>
      <c r="Q458" s="35">
        <f>I471</f>
        <v>0.20291421304403778</v>
      </c>
    </row>
    <row r="459" spans="1:24" x14ac:dyDescent="0.3">
      <c r="A459" s="1" t="s">
        <v>9</v>
      </c>
      <c r="B459" s="4">
        <v>3</v>
      </c>
      <c r="C459" s="1" t="s">
        <v>4</v>
      </c>
      <c r="D459" s="3">
        <v>44026</v>
      </c>
      <c r="E459" s="2">
        <v>34</v>
      </c>
      <c r="G459" s="4">
        <v>14.12</v>
      </c>
      <c r="H459" s="14">
        <f t="shared" ref="H459:H466" si="155">G459/E459</f>
        <v>0.41529411764705881</v>
      </c>
      <c r="I459" s="14">
        <f t="shared" ref="I459:I465" si="156">I424+H459</f>
        <v>8.7361923688394292</v>
      </c>
      <c r="K459" s="84"/>
      <c r="L459" s="85"/>
      <c r="M459" t="s">
        <v>18</v>
      </c>
      <c r="N459" s="35">
        <f>H486</f>
        <v>0.34599754901960783</v>
      </c>
      <c r="O459" s="35">
        <f>H489</f>
        <v>6.8056520356208419E-2</v>
      </c>
      <c r="P459" s="35">
        <f>I486</f>
        <v>6.4594891030736621</v>
      </c>
      <c r="Q459" s="35">
        <f>I489</f>
        <v>0.35232222026937304</v>
      </c>
    </row>
    <row r="460" spans="1:24" x14ac:dyDescent="0.3">
      <c r="A460" s="1" t="s">
        <v>9</v>
      </c>
      <c r="B460" s="4">
        <v>4</v>
      </c>
      <c r="C460" s="1" t="s">
        <v>5</v>
      </c>
      <c r="D460" s="3">
        <v>44026</v>
      </c>
      <c r="E460" s="2">
        <v>37</v>
      </c>
      <c r="G460" s="4">
        <v>16.48</v>
      </c>
      <c r="H460" s="14">
        <f t="shared" si="155"/>
        <v>0.44540540540540541</v>
      </c>
      <c r="I460" s="14">
        <f t="shared" si="156"/>
        <v>8.4227027027027042</v>
      </c>
      <c r="K460" s="84"/>
      <c r="L460" s="85" t="s">
        <v>4</v>
      </c>
      <c r="M460" t="s">
        <v>17</v>
      </c>
      <c r="N460" s="35">
        <f>H469</f>
        <v>0.46688232349997055</v>
      </c>
      <c r="O460" s="35">
        <f>H472</f>
        <v>4.6530921727939108E-2</v>
      </c>
      <c r="P460" s="35">
        <f>I469</f>
        <v>8.2883829417652954</v>
      </c>
      <c r="Q460" s="35">
        <f>I472</f>
        <v>0.31736536714490771</v>
      </c>
    </row>
    <row r="461" spans="1:24" x14ac:dyDescent="0.3">
      <c r="A461" s="1" t="s">
        <v>9</v>
      </c>
      <c r="B461" s="4">
        <v>5</v>
      </c>
      <c r="C461" s="1" t="s">
        <v>3</v>
      </c>
      <c r="D461" s="3">
        <v>44026</v>
      </c>
      <c r="E461" s="2">
        <v>35</v>
      </c>
      <c r="G461" s="4">
        <v>21.54</v>
      </c>
      <c r="H461" s="14">
        <f t="shared" si="155"/>
        <v>0.61542857142857144</v>
      </c>
      <c r="I461" s="14">
        <f t="shared" si="156"/>
        <v>8.4721698841698849</v>
      </c>
      <c r="K461" s="84"/>
      <c r="L461" s="85"/>
      <c r="M461" t="s">
        <v>18</v>
      </c>
      <c r="N461" s="35">
        <f>H487</f>
        <v>0.30248897058823526</v>
      </c>
      <c r="O461" s="35">
        <f>H490</f>
        <v>5.0315855277590797E-2</v>
      </c>
      <c r="P461" s="35">
        <f>I487</f>
        <v>5.8483211214310282</v>
      </c>
      <c r="Q461" s="35">
        <f>I490</f>
        <v>0.21530655851897221</v>
      </c>
    </row>
    <row r="462" spans="1:24" x14ac:dyDescent="0.3">
      <c r="A462" s="1" t="s">
        <v>9</v>
      </c>
      <c r="B462" s="4">
        <v>6</v>
      </c>
      <c r="C462" s="1" t="s">
        <v>4</v>
      </c>
      <c r="D462" s="3">
        <v>44026</v>
      </c>
      <c r="E462" s="2">
        <v>37</v>
      </c>
      <c r="G462" s="2">
        <v>16.920000000000002</v>
      </c>
      <c r="H462" s="14">
        <f t="shared" si="155"/>
        <v>0.45729729729729734</v>
      </c>
      <c r="I462" s="14">
        <f t="shared" si="156"/>
        <v>8.0383783783783773</v>
      </c>
      <c r="K462" s="84"/>
      <c r="L462" s="85" t="s">
        <v>5</v>
      </c>
      <c r="M462" t="s">
        <v>17</v>
      </c>
      <c r="N462" s="35">
        <f>H470</f>
        <v>0.46692210255368155</v>
      </c>
      <c r="O462" s="35">
        <f>H473</f>
        <v>6.4598496393035471E-2</v>
      </c>
      <c r="P462" s="35">
        <f>I470</f>
        <v>7.9811957596694443</v>
      </c>
      <c r="Q462" s="35">
        <f>I473</f>
        <v>0.42246765009929693</v>
      </c>
    </row>
    <row r="463" spans="1:24" x14ac:dyDescent="0.3">
      <c r="A463" s="1" t="s">
        <v>9</v>
      </c>
      <c r="B463" s="4">
        <v>7</v>
      </c>
      <c r="C463" s="1" t="s">
        <v>5</v>
      </c>
      <c r="D463" s="3">
        <v>44026</v>
      </c>
      <c r="E463" s="2">
        <v>35</v>
      </c>
      <c r="G463" s="2">
        <v>19.41</v>
      </c>
      <c r="H463" s="14">
        <f t="shared" si="155"/>
        <v>0.5545714285714286</v>
      </c>
      <c r="I463" s="14">
        <f t="shared" si="156"/>
        <v>8.1090424710424713</v>
      </c>
      <c r="K463" s="84"/>
      <c r="L463" s="85"/>
      <c r="M463" t="s">
        <v>18</v>
      </c>
      <c r="N463" s="35">
        <f>H488</f>
        <v>0.32116572681704264</v>
      </c>
      <c r="O463" s="35">
        <f>H491</f>
        <v>6.8023854495168304E-2</v>
      </c>
      <c r="P463" s="35">
        <f>I488</f>
        <v>6.2838235345307716</v>
      </c>
      <c r="Q463" s="35">
        <f>I491</f>
        <v>0.32080147322532454</v>
      </c>
    </row>
    <row r="464" spans="1:24" x14ac:dyDescent="0.3">
      <c r="A464" s="1" t="s">
        <v>9</v>
      </c>
      <c r="B464" s="4">
        <v>8</v>
      </c>
      <c r="C464" s="1" t="s">
        <v>3</v>
      </c>
      <c r="D464" s="3">
        <v>44026</v>
      </c>
      <c r="E464" s="2">
        <v>37</v>
      </c>
      <c r="G464" s="4">
        <v>21.88</v>
      </c>
      <c r="H464" s="14">
        <f t="shared" si="155"/>
        <v>0.59135135135135131</v>
      </c>
      <c r="I464" s="14">
        <f t="shared" si="156"/>
        <v>8.3232432432432439</v>
      </c>
    </row>
    <row r="465" spans="1:9" x14ac:dyDescent="0.3">
      <c r="A465" s="1" t="s">
        <v>9</v>
      </c>
      <c r="B465" s="4">
        <v>9</v>
      </c>
      <c r="C465" s="1" t="s">
        <v>4</v>
      </c>
      <c r="D465" s="3">
        <v>44026</v>
      </c>
      <c r="E465" s="2">
        <v>36</v>
      </c>
      <c r="G465" s="4">
        <v>19.010000000000002</v>
      </c>
      <c r="H465" s="14">
        <f t="shared" si="155"/>
        <v>0.52805555555555561</v>
      </c>
      <c r="I465" s="14">
        <f t="shared" si="156"/>
        <v>8.0905780780780781</v>
      </c>
    </row>
    <row r="466" spans="1:9" x14ac:dyDescent="0.3">
      <c r="A466" s="1" t="s">
        <v>9</v>
      </c>
      <c r="B466" s="4">
        <v>10</v>
      </c>
      <c r="C466" s="1" t="s">
        <v>5</v>
      </c>
      <c r="D466" s="3">
        <v>44026</v>
      </c>
      <c r="E466" s="2">
        <v>38</v>
      </c>
      <c r="G466" s="4">
        <v>15.23</v>
      </c>
      <c r="H466" s="14">
        <f t="shared" si="155"/>
        <v>0.40078947368421053</v>
      </c>
      <c r="I466" s="14">
        <f>I431+H466</f>
        <v>7.4118421052631573</v>
      </c>
    </row>
    <row r="467" spans="1:9" ht="15" thickBot="1" x14ac:dyDescent="0.35">
      <c r="A467" s="9" t="s">
        <v>9</v>
      </c>
      <c r="B467" s="15">
        <v>11</v>
      </c>
      <c r="C467" s="9" t="s">
        <v>3</v>
      </c>
      <c r="D467" s="16">
        <v>44026</v>
      </c>
      <c r="E467" s="17"/>
      <c r="F467" s="18"/>
      <c r="G467" s="18"/>
      <c r="H467" s="18"/>
      <c r="I467" s="18"/>
    </row>
    <row r="468" spans="1:9" ht="15" thickTop="1" x14ac:dyDescent="0.3">
      <c r="B468" s="20" t="s">
        <v>15</v>
      </c>
      <c r="C468" s="21" t="s">
        <v>3</v>
      </c>
      <c r="D468" s="22"/>
      <c r="E468" s="23"/>
      <c r="F468" s="23"/>
      <c r="G468" s="24">
        <f t="shared" ref="G468:I468" si="157">AVERAGE(G458,G461,G464)</f>
        <v>20.28</v>
      </c>
      <c r="H468" s="24">
        <f t="shared" si="157"/>
        <v>0.56355627055627056</v>
      </c>
      <c r="I468" s="24">
        <f t="shared" si="157"/>
        <v>8.5345963985963991</v>
      </c>
    </row>
    <row r="469" spans="1:9" x14ac:dyDescent="0.3">
      <c r="B469" s="20"/>
      <c r="C469" s="21" t="s">
        <v>4</v>
      </c>
      <c r="D469" s="22"/>
      <c r="E469" s="23"/>
      <c r="F469" s="23"/>
      <c r="G469" s="24">
        <f t="shared" ref="G469:I469" si="158">AVERAGE(G459,G462,G465)</f>
        <v>16.683333333333334</v>
      </c>
      <c r="H469" s="24">
        <f t="shared" si="158"/>
        <v>0.46688232349997055</v>
      </c>
      <c r="I469" s="24">
        <f t="shared" si="158"/>
        <v>8.2883829417652954</v>
      </c>
    </row>
    <row r="470" spans="1:9" x14ac:dyDescent="0.3">
      <c r="B470" s="20"/>
      <c r="C470" s="21" t="s">
        <v>5</v>
      </c>
      <c r="D470" s="22"/>
      <c r="E470" s="23"/>
      <c r="F470" s="23"/>
      <c r="G470" s="24">
        <f t="shared" ref="G470:I470" si="159">AVERAGE(G460,G463,G466)</f>
        <v>17.040000000000003</v>
      </c>
      <c r="H470" s="24">
        <f t="shared" si="159"/>
        <v>0.46692210255368155</v>
      </c>
      <c r="I470" s="24">
        <f t="shared" si="159"/>
        <v>7.9811957596694443</v>
      </c>
    </row>
    <row r="471" spans="1:9" x14ac:dyDescent="0.3">
      <c r="B471" s="25" t="s">
        <v>16</v>
      </c>
      <c r="C471" s="26" t="s">
        <v>3</v>
      </c>
      <c r="D471" s="27"/>
      <c r="E471" s="28"/>
      <c r="F471" s="28"/>
      <c r="G471" s="29">
        <f>_xlfn.STDEV.P(G458,G461,G464)</f>
        <v>2.027083290510447</v>
      </c>
      <c r="H471" s="29">
        <f t="shared" ref="H471:I471" si="160">_xlfn.STDEV.P(H458,H461,H464)</f>
        <v>5.7184478709780648E-2</v>
      </c>
      <c r="I471" s="29">
        <f t="shared" si="160"/>
        <v>0.20291421304403778</v>
      </c>
    </row>
    <row r="472" spans="1:9" x14ac:dyDescent="0.3">
      <c r="B472" s="25"/>
      <c r="C472" s="26" t="s">
        <v>4</v>
      </c>
      <c r="D472" s="27"/>
      <c r="E472" s="28"/>
      <c r="F472" s="28"/>
      <c r="G472" s="29">
        <f>_xlfn.STDEV.P(G459,G462,G465)</f>
        <v>2.0033361064872985</v>
      </c>
      <c r="H472" s="29">
        <f t="shared" ref="H472:I472" si="161">_xlfn.STDEV.P(H459,H462,H465)</f>
        <v>4.6530921727939108E-2</v>
      </c>
      <c r="I472" s="29">
        <f t="shared" si="161"/>
        <v>0.31736536714490771</v>
      </c>
    </row>
    <row r="473" spans="1:9" ht="15" thickBot="1" x14ac:dyDescent="0.35">
      <c r="A473" s="19"/>
      <c r="B473" s="30"/>
      <c r="C473" s="31" t="s">
        <v>5</v>
      </c>
      <c r="D473" s="32"/>
      <c r="E473" s="33"/>
      <c r="F473" s="33"/>
      <c r="G473" s="34">
        <f>_xlfn.STDEV.P(G460,G463,G466)</f>
        <v>1.7518181031906994</v>
      </c>
      <c r="H473" s="34">
        <f t="shared" ref="H473:I473" si="162">_xlfn.STDEV.P(H460,H463,H466)</f>
        <v>6.4598496393035471E-2</v>
      </c>
      <c r="I473" s="34">
        <f t="shared" si="162"/>
        <v>0.42246765009929693</v>
      </c>
    </row>
    <row r="474" spans="1:9" x14ac:dyDescent="0.3">
      <c r="A474" s="1" t="s">
        <v>10</v>
      </c>
      <c r="B474" s="4">
        <v>12</v>
      </c>
      <c r="C474" s="1" t="s">
        <v>3</v>
      </c>
      <c r="D474" s="3">
        <v>44026</v>
      </c>
      <c r="E474" s="2"/>
    </row>
    <row r="475" spans="1:9" x14ac:dyDescent="0.3">
      <c r="A475" s="1" t="s">
        <v>10</v>
      </c>
      <c r="B475" s="4">
        <v>13</v>
      </c>
      <c r="C475" s="1" t="s">
        <v>3</v>
      </c>
      <c r="D475" s="3">
        <v>44026</v>
      </c>
      <c r="E475" s="2">
        <v>32</v>
      </c>
      <c r="G475" s="4">
        <v>11.38</v>
      </c>
      <c r="H475" s="14">
        <f>G475/E475</f>
        <v>0.35562500000000002</v>
      </c>
      <c r="I475" s="14">
        <f>I440+H475</f>
        <v>6.5534374999999994</v>
      </c>
    </row>
    <row r="476" spans="1:9" x14ac:dyDescent="0.3">
      <c r="A476" s="1" t="s">
        <v>10</v>
      </c>
      <c r="B476" s="4">
        <v>14</v>
      </c>
      <c r="C476" s="1" t="s">
        <v>4</v>
      </c>
      <c r="D476" s="3">
        <v>44026</v>
      </c>
      <c r="E476" s="2">
        <v>32</v>
      </c>
      <c r="G476" s="4">
        <v>8.43</v>
      </c>
      <c r="H476" s="14">
        <f t="shared" ref="H476:H483" si="163">G476/E476</f>
        <v>0.26343749999999999</v>
      </c>
      <c r="I476" s="14">
        <f t="shared" ref="I476:I482" si="164">I441+H476</f>
        <v>5.7245833333333334</v>
      </c>
    </row>
    <row r="477" spans="1:9" x14ac:dyDescent="0.3">
      <c r="A477" s="1" t="s">
        <v>10</v>
      </c>
      <c r="B477" s="4">
        <v>15</v>
      </c>
      <c r="C477" s="1" t="s">
        <v>5</v>
      </c>
      <c r="D477" s="3">
        <v>44026</v>
      </c>
      <c r="E477" s="2">
        <v>35</v>
      </c>
      <c r="G477" s="4">
        <v>10.14</v>
      </c>
      <c r="H477" s="14">
        <f t="shared" si="163"/>
        <v>0.28971428571428576</v>
      </c>
      <c r="I477" s="14">
        <f t="shared" si="164"/>
        <v>6.0846390977443612</v>
      </c>
    </row>
    <row r="478" spans="1:9" x14ac:dyDescent="0.3">
      <c r="A478" s="1" t="s">
        <v>10</v>
      </c>
      <c r="B478" s="4">
        <v>16</v>
      </c>
      <c r="C478" s="1" t="s">
        <v>3</v>
      </c>
      <c r="D478" s="3">
        <v>44026</v>
      </c>
      <c r="E478" s="2">
        <v>40</v>
      </c>
      <c r="G478" s="4">
        <f>9.86+0.47</f>
        <v>10.33</v>
      </c>
      <c r="H478" s="14">
        <f t="shared" si="163"/>
        <v>0.25824999999999998</v>
      </c>
      <c r="I478" s="14">
        <f t="shared" si="164"/>
        <v>5.9887500000000014</v>
      </c>
    </row>
    <row r="479" spans="1:9" x14ac:dyDescent="0.3">
      <c r="A479" s="1" t="s">
        <v>10</v>
      </c>
      <c r="B479" s="4">
        <v>17</v>
      </c>
      <c r="C479" s="1" t="s">
        <v>4</v>
      </c>
      <c r="D479" s="3">
        <v>44026</v>
      </c>
      <c r="E479" s="2">
        <v>34</v>
      </c>
      <c r="G479" s="2">
        <v>12.7</v>
      </c>
      <c r="H479" s="14">
        <f t="shared" si="163"/>
        <v>0.37352941176470589</v>
      </c>
      <c r="I479" s="14">
        <f t="shared" si="164"/>
        <v>6.1511300309597523</v>
      </c>
    </row>
    <row r="480" spans="1:9" x14ac:dyDescent="0.3">
      <c r="A480" s="1" t="s">
        <v>10</v>
      </c>
      <c r="B480" s="4">
        <v>18</v>
      </c>
      <c r="C480" s="1" t="s">
        <v>5</v>
      </c>
      <c r="D480" s="3">
        <v>44026</v>
      </c>
      <c r="E480" s="2">
        <v>38</v>
      </c>
      <c r="G480" s="2">
        <v>9.81</v>
      </c>
      <c r="H480" s="14">
        <f t="shared" si="163"/>
        <v>0.25815789473684214</v>
      </c>
      <c r="I480" s="14">
        <f t="shared" si="164"/>
        <v>6.0304078947368414</v>
      </c>
    </row>
    <row r="481" spans="1:24" x14ac:dyDescent="0.3">
      <c r="A481" s="1" t="s">
        <v>10</v>
      </c>
      <c r="B481" s="4">
        <v>19</v>
      </c>
      <c r="C481" s="1" t="s">
        <v>3</v>
      </c>
      <c r="D481" s="3">
        <v>44026</v>
      </c>
      <c r="E481" s="2">
        <v>34</v>
      </c>
      <c r="G481" s="4">
        <v>14.42</v>
      </c>
      <c r="H481" s="14">
        <f t="shared" si="163"/>
        <v>0.42411764705882354</v>
      </c>
      <c r="I481" s="14">
        <f t="shared" si="164"/>
        <v>6.8362798092209855</v>
      </c>
    </row>
    <row r="482" spans="1:24" x14ac:dyDescent="0.3">
      <c r="A482" s="1" t="s">
        <v>10</v>
      </c>
      <c r="B482" s="4">
        <v>20</v>
      </c>
      <c r="C482" s="1" t="s">
        <v>4</v>
      </c>
      <c r="D482" s="3">
        <v>44026</v>
      </c>
      <c r="E482" s="2">
        <v>40</v>
      </c>
      <c r="G482" s="4">
        <v>10.82</v>
      </c>
      <c r="H482" s="14">
        <f t="shared" si="163"/>
        <v>0.27050000000000002</v>
      </c>
      <c r="I482" s="14">
        <f t="shared" si="164"/>
        <v>5.6692500000000008</v>
      </c>
    </row>
    <row r="483" spans="1:24" x14ac:dyDescent="0.3">
      <c r="A483" s="1" t="s">
        <v>10</v>
      </c>
      <c r="B483" s="4">
        <v>21</v>
      </c>
      <c r="C483" s="1" t="s">
        <v>5</v>
      </c>
      <c r="D483" s="3">
        <v>44026</v>
      </c>
      <c r="E483" s="2">
        <v>32</v>
      </c>
      <c r="G483" s="4">
        <v>13.3</v>
      </c>
      <c r="H483" s="14">
        <f t="shared" si="163"/>
        <v>0.41562500000000002</v>
      </c>
      <c r="I483" s="14">
        <f>I448+H483</f>
        <v>6.7364236111111113</v>
      </c>
    </row>
    <row r="484" spans="1:24" x14ac:dyDescent="0.3">
      <c r="A484" s="1" t="s">
        <v>10</v>
      </c>
      <c r="B484" s="4">
        <v>22</v>
      </c>
      <c r="C484" s="1" t="s">
        <v>3</v>
      </c>
      <c r="D484" s="3">
        <v>44026</v>
      </c>
      <c r="E484" s="2">
        <v>38</v>
      </c>
      <c r="G484" s="4">
        <v>15.16</v>
      </c>
      <c r="H484" s="14">
        <f>G484/E484</f>
        <v>0.39894736842105266</v>
      </c>
      <c r="I484" s="14">
        <f>I449+H484</f>
        <v>6.8949999999999996</v>
      </c>
    </row>
    <row r="485" spans="1:24" x14ac:dyDescent="0.3">
      <c r="A485" s="5" t="s">
        <v>10</v>
      </c>
      <c r="B485" s="6">
        <v>23</v>
      </c>
      <c r="C485" s="5" t="s">
        <v>3</v>
      </c>
      <c r="D485" s="7">
        <v>44026</v>
      </c>
      <c r="E485" s="13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x14ac:dyDescent="0.3">
      <c r="B486" s="20" t="s">
        <v>15</v>
      </c>
      <c r="C486" s="21" t="s">
        <v>3</v>
      </c>
      <c r="D486" s="22"/>
      <c r="E486" s="23"/>
      <c r="F486" s="23"/>
      <c r="G486" s="24">
        <f t="shared" ref="G486:I488" si="165">AVERAGE(G475,G478,G481)</f>
        <v>12.043333333333335</v>
      </c>
      <c r="H486" s="24">
        <f t="shared" si="165"/>
        <v>0.34599754901960783</v>
      </c>
      <c r="I486" s="24">
        <f t="shared" si="165"/>
        <v>6.4594891030736621</v>
      </c>
    </row>
    <row r="487" spans="1:24" x14ac:dyDescent="0.3">
      <c r="B487" s="20"/>
      <c r="C487" s="21" t="s">
        <v>4</v>
      </c>
      <c r="D487" s="22"/>
      <c r="E487" s="23"/>
      <c r="F487" s="23"/>
      <c r="G487" s="24">
        <f t="shared" si="165"/>
        <v>10.65</v>
      </c>
      <c r="H487" s="24">
        <f t="shared" si="165"/>
        <v>0.30248897058823526</v>
      </c>
      <c r="I487" s="24">
        <f t="shared" si="165"/>
        <v>5.8483211214310282</v>
      </c>
    </row>
    <row r="488" spans="1:24" x14ac:dyDescent="0.3">
      <c r="B488" s="20"/>
      <c r="C488" s="21" t="s">
        <v>5</v>
      </c>
      <c r="D488" s="22"/>
      <c r="E488" s="23"/>
      <c r="F488" s="23"/>
      <c r="G488" s="24">
        <f t="shared" si="165"/>
        <v>11.083333333333334</v>
      </c>
      <c r="H488" s="24">
        <f t="shared" si="165"/>
        <v>0.32116572681704264</v>
      </c>
      <c r="I488" s="24">
        <f t="shared" si="165"/>
        <v>6.2838235345307716</v>
      </c>
    </row>
    <row r="489" spans="1:24" x14ac:dyDescent="0.3">
      <c r="B489" s="25" t="s">
        <v>16</v>
      </c>
      <c r="C489" s="26" t="s">
        <v>3</v>
      </c>
      <c r="D489" s="27"/>
      <c r="E489" s="28"/>
      <c r="F489" s="28"/>
      <c r="G489" s="29">
        <f>_xlfn.STDEV.P(G475,G478,G481)</f>
        <v>1.734365077549189</v>
      </c>
      <c r="H489" s="29">
        <f t="shared" ref="H489:I489" si="166">_xlfn.STDEV.P(H475,H478,H481)</f>
        <v>6.8056520356208419E-2</v>
      </c>
      <c r="I489" s="29">
        <f t="shared" si="166"/>
        <v>0.35232222026937304</v>
      </c>
    </row>
    <row r="490" spans="1:24" x14ac:dyDescent="0.3">
      <c r="B490" s="25"/>
      <c r="C490" s="26" t="s">
        <v>4</v>
      </c>
      <c r="D490" s="27"/>
      <c r="E490" s="28"/>
      <c r="F490" s="28"/>
      <c r="G490" s="29">
        <f>_xlfn.STDEV.P(G476,G479,G482)</f>
        <v>1.7473599133168474</v>
      </c>
      <c r="H490" s="29">
        <f t="shared" ref="H490:I490" si="167">_xlfn.STDEV.P(H476,H479,H482)</f>
        <v>5.0315855277590797E-2</v>
      </c>
      <c r="I490" s="29">
        <f t="shared" si="167"/>
        <v>0.21530655851897221</v>
      </c>
    </row>
    <row r="491" spans="1:24" ht="15" thickBot="1" x14ac:dyDescent="0.35">
      <c r="A491" s="19"/>
      <c r="B491" s="30"/>
      <c r="C491" s="31" t="s">
        <v>5</v>
      </c>
      <c r="D491" s="32"/>
      <c r="E491" s="33"/>
      <c r="F491" s="33"/>
      <c r="G491" s="34">
        <f>_xlfn.STDEV.P(G477,G480,G483)</f>
        <v>1.5731991468201194</v>
      </c>
      <c r="H491" s="34">
        <f t="shared" ref="H491:I491" si="168">_xlfn.STDEV.P(H477,H480,H483)</f>
        <v>6.8023854495168304E-2</v>
      </c>
      <c r="I491" s="34">
        <f t="shared" si="168"/>
        <v>0.32080147322532454</v>
      </c>
    </row>
    <row r="492" spans="1:24" ht="15" thickBot="1" x14ac:dyDescent="0.35">
      <c r="A492" s="1" t="s">
        <v>9</v>
      </c>
      <c r="B492" s="4">
        <v>1</v>
      </c>
      <c r="C492" s="1" t="s">
        <v>11</v>
      </c>
      <c r="D492" s="3">
        <v>44033</v>
      </c>
      <c r="E492" s="2"/>
      <c r="N492" s="36" t="s">
        <v>13</v>
      </c>
      <c r="P492" s="36" t="s">
        <v>14</v>
      </c>
    </row>
    <row r="493" spans="1:24" ht="15" thickTop="1" x14ac:dyDescent="0.3">
      <c r="A493" s="1" t="s">
        <v>9</v>
      </c>
      <c r="B493" s="4">
        <v>2</v>
      </c>
      <c r="C493" s="1" t="s">
        <v>3</v>
      </c>
      <c r="D493" s="3">
        <v>44033</v>
      </c>
      <c r="E493" s="2">
        <v>36</v>
      </c>
      <c r="G493" s="4">
        <v>12.3</v>
      </c>
      <c r="H493" s="14">
        <f>G493/E493</f>
        <v>0.34166666666666667</v>
      </c>
      <c r="I493" s="14">
        <f>I458+H493</f>
        <v>9.1500427350427351</v>
      </c>
      <c r="K493" s="84">
        <v>44033</v>
      </c>
      <c r="L493" s="85" t="s">
        <v>3</v>
      </c>
      <c r="M493" t="s">
        <v>17</v>
      </c>
      <c r="N493" s="35">
        <f>H503</f>
        <v>0.41260703560703565</v>
      </c>
      <c r="O493" s="35">
        <f>H506</f>
        <v>5.5547066359943734E-2</v>
      </c>
      <c r="P493" s="35">
        <f>I503</f>
        <v>8.9472034342034341</v>
      </c>
      <c r="Q493" s="35">
        <f>I506</f>
        <v>0.14810984107051403</v>
      </c>
    </row>
    <row r="494" spans="1:24" x14ac:dyDescent="0.3">
      <c r="A494" s="1" t="s">
        <v>9</v>
      </c>
      <c r="B494" s="4">
        <v>3</v>
      </c>
      <c r="C494" s="1" t="s">
        <v>4</v>
      </c>
      <c r="D494" s="3">
        <v>44033</v>
      </c>
      <c r="E494" s="2">
        <v>34</v>
      </c>
      <c r="G494" s="4">
        <v>12.64</v>
      </c>
      <c r="H494" s="14">
        <f t="shared" ref="H494:H501" si="169">G494/E494</f>
        <v>0.37176470588235294</v>
      </c>
      <c r="I494" s="14">
        <f t="shared" ref="I494:I500" si="170">I459+H494</f>
        <v>9.1079570747217815</v>
      </c>
      <c r="K494" s="84"/>
      <c r="L494" s="85"/>
      <c r="M494" t="s">
        <v>18</v>
      </c>
      <c r="N494" s="35">
        <f>H521</f>
        <v>0.36051102941176466</v>
      </c>
      <c r="O494" s="35">
        <f>H524</f>
        <v>4.8337225568383824E-2</v>
      </c>
      <c r="P494" s="35">
        <f>I521</f>
        <v>6.8200001324854265</v>
      </c>
      <c r="Q494" s="35">
        <f>I524</f>
        <v>0.39749547130573271</v>
      </c>
    </row>
    <row r="495" spans="1:24" x14ac:dyDescent="0.3">
      <c r="A495" s="1" t="s">
        <v>9</v>
      </c>
      <c r="B495" s="4">
        <v>4</v>
      </c>
      <c r="C495" s="1" t="s">
        <v>5</v>
      </c>
      <c r="D495" s="3">
        <v>44033</v>
      </c>
      <c r="E495" s="2">
        <v>37</v>
      </c>
      <c r="G495" s="4">
        <v>11.78</v>
      </c>
      <c r="H495" s="14">
        <f t="shared" si="169"/>
        <v>0.31837837837837835</v>
      </c>
      <c r="I495" s="14">
        <f t="shared" si="170"/>
        <v>8.7410810810810826</v>
      </c>
      <c r="K495" s="84"/>
      <c r="L495" s="85" t="s">
        <v>4</v>
      </c>
      <c r="M495" t="s">
        <v>17</v>
      </c>
      <c r="N495" s="35">
        <f>H504</f>
        <v>0.40319834540422778</v>
      </c>
      <c r="O495" s="35">
        <f>H507</f>
        <v>5.4397018656868801E-2</v>
      </c>
      <c r="P495" s="35">
        <f>I504</f>
        <v>8.6915812871695231</v>
      </c>
      <c r="Q495" s="35">
        <f>I507</f>
        <v>0.30285244791586624</v>
      </c>
    </row>
    <row r="496" spans="1:24" x14ac:dyDescent="0.3">
      <c r="A496" s="1" t="s">
        <v>9</v>
      </c>
      <c r="B496" s="4">
        <v>5</v>
      </c>
      <c r="C496" s="1" t="s">
        <v>3</v>
      </c>
      <c r="D496" s="3">
        <v>44033</v>
      </c>
      <c r="E496" s="2">
        <v>35</v>
      </c>
      <c r="G496" s="4">
        <v>14.66</v>
      </c>
      <c r="H496" s="14">
        <f t="shared" si="169"/>
        <v>0.41885714285714287</v>
      </c>
      <c r="I496" s="14">
        <f t="shared" si="170"/>
        <v>8.8910270270270271</v>
      </c>
      <c r="K496" s="84"/>
      <c r="L496" s="85"/>
      <c r="M496" t="s">
        <v>18</v>
      </c>
      <c r="N496" s="35">
        <f>H522</f>
        <v>0.30032598039215691</v>
      </c>
      <c r="O496" s="35">
        <f>H525</f>
        <v>1.7011869471128972E-2</v>
      </c>
      <c r="P496" s="35">
        <f>I522</f>
        <v>6.1486471018231859</v>
      </c>
      <c r="Q496" s="35">
        <f>I525</f>
        <v>0.19864950765286035</v>
      </c>
    </row>
    <row r="497" spans="1:17" x14ac:dyDescent="0.3">
      <c r="A497" s="1" t="s">
        <v>9</v>
      </c>
      <c r="B497" s="4">
        <v>6</v>
      </c>
      <c r="C497" s="1" t="s">
        <v>4</v>
      </c>
      <c r="D497" s="3">
        <v>44033</v>
      </c>
      <c r="E497" s="2">
        <v>37</v>
      </c>
      <c r="G497" s="2">
        <v>13.25</v>
      </c>
      <c r="H497" s="14">
        <f t="shared" si="169"/>
        <v>0.35810810810810811</v>
      </c>
      <c r="I497" s="14">
        <f t="shared" si="170"/>
        <v>8.3964864864864861</v>
      </c>
      <c r="K497" s="84"/>
      <c r="L497" s="85" t="s">
        <v>5</v>
      </c>
      <c r="M497" t="s">
        <v>17</v>
      </c>
      <c r="N497" s="35">
        <f>H505</f>
        <v>0.35726898326898326</v>
      </c>
      <c r="O497" s="35">
        <f>H508</f>
        <v>2.7630361077809609E-2</v>
      </c>
      <c r="P497" s="35">
        <f>I505</f>
        <v>8.3384647429384273</v>
      </c>
      <c r="Q497" s="35">
        <f>I508</f>
        <v>0.40068027073280749</v>
      </c>
    </row>
    <row r="498" spans="1:17" x14ac:dyDescent="0.3">
      <c r="A498" s="1" t="s">
        <v>9</v>
      </c>
      <c r="B498" s="4">
        <v>7</v>
      </c>
      <c r="C498" s="1" t="s">
        <v>5</v>
      </c>
      <c r="D498" s="3">
        <v>44033</v>
      </c>
      <c r="E498" s="2">
        <v>35</v>
      </c>
      <c r="G498" s="2">
        <v>13.07</v>
      </c>
      <c r="H498" s="14">
        <f t="shared" si="169"/>
        <v>0.37342857142857144</v>
      </c>
      <c r="I498" s="14">
        <f t="shared" si="170"/>
        <v>8.4824710424710421</v>
      </c>
      <c r="K498" s="84"/>
      <c r="L498" s="85"/>
      <c r="M498" t="s">
        <v>18</v>
      </c>
      <c r="N498" s="35">
        <f>H523</f>
        <v>0.37458662280701754</v>
      </c>
      <c r="O498" s="35">
        <f>H526</f>
        <v>8.8800743378449759E-2</v>
      </c>
      <c r="P498" s="35">
        <f>I523</f>
        <v>6.6584101573377898</v>
      </c>
      <c r="Q498" s="35">
        <f>I526</f>
        <v>0.40720131788199831</v>
      </c>
    </row>
    <row r="499" spans="1:17" x14ac:dyDescent="0.3">
      <c r="A499" s="1" t="s">
        <v>9</v>
      </c>
      <c r="B499" s="4">
        <v>8</v>
      </c>
      <c r="C499" s="1" t="s">
        <v>3</v>
      </c>
      <c r="D499" s="3">
        <v>44033</v>
      </c>
      <c r="E499" s="2">
        <v>37</v>
      </c>
      <c r="G499" s="4">
        <f>5.43+12.23</f>
        <v>17.66</v>
      </c>
      <c r="H499" s="14">
        <f t="shared" si="169"/>
        <v>0.47729729729729731</v>
      </c>
      <c r="I499" s="14">
        <f t="shared" si="170"/>
        <v>8.8005405405405419</v>
      </c>
    </row>
    <row r="500" spans="1:17" x14ac:dyDescent="0.3">
      <c r="A500" s="1" t="s">
        <v>9</v>
      </c>
      <c r="B500" s="4">
        <v>9</v>
      </c>
      <c r="C500" s="1" t="s">
        <v>4</v>
      </c>
      <c r="D500" s="3">
        <v>44033</v>
      </c>
      <c r="E500" s="2">
        <v>36</v>
      </c>
      <c r="G500" s="4">
        <f>8.87+8.4</f>
        <v>17.27</v>
      </c>
      <c r="H500" s="14">
        <f t="shared" si="169"/>
        <v>0.47972222222222222</v>
      </c>
      <c r="I500" s="14">
        <f t="shared" si="170"/>
        <v>8.5703003003002998</v>
      </c>
    </row>
    <row r="501" spans="1:17" x14ac:dyDescent="0.3">
      <c r="A501" s="1" t="s">
        <v>9</v>
      </c>
      <c r="B501" s="4">
        <v>10</v>
      </c>
      <c r="C501" s="1" t="s">
        <v>5</v>
      </c>
      <c r="D501" s="3">
        <v>44033</v>
      </c>
      <c r="E501" s="2">
        <v>38</v>
      </c>
      <c r="G501" s="4">
        <v>14.44</v>
      </c>
      <c r="H501" s="14">
        <f t="shared" si="169"/>
        <v>0.38</v>
      </c>
      <c r="I501" s="14">
        <f>I466+H501</f>
        <v>7.7918421052631572</v>
      </c>
    </row>
    <row r="502" spans="1:17" ht="15" thickBot="1" x14ac:dyDescent="0.35">
      <c r="A502" s="9" t="s">
        <v>9</v>
      </c>
      <c r="B502" s="15">
        <v>11</v>
      </c>
      <c r="C502" s="9" t="s">
        <v>3</v>
      </c>
      <c r="D502" s="16">
        <v>44033</v>
      </c>
      <c r="E502" s="17"/>
      <c r="F502" s="18"/>
      <c r="G502" s="18"/>
      <c r="H502" s="18"/>
      <c r="I502" s="18"/>
    </row>
    <row r="503" spans="1:17" ht="15" thickTop="1" x14ac:dyDescent="0.3">
      <c r="B503" s="20" t="s">
        <v>15</v>
      </c>
      <c r="C503" s="21" t="s">
        <v>3</v>
      </c>
      <c r="D503" s="22"/>
      <c r="E503" s="23"/>
      <c r="F503" s="23"/>
      <c r="G503" s="24">
        <f t="shared" ref="G503:I503" si="171">AVERAGE(G493,G496,G499)</f>
        <v>14.873333333333335</v>
      </c>
      <c r="H503" s="24">
        <f t="shared" si="171"/>
        <v>0.41260703560703565</v>
      </c>
      <c r="I503" s="24">
        <f t="shared" si="171"/>
        <v>8.9472034342034341</v>
      </c>
    </row>
    <row r="504" spans="1:17" x14ac:dyDescent="0.3">
      <c r="B504" s="20"/>
      <c r="C504" s="21" t="s">
        <v>4</v>
      </c>
      <c r="D504" s="22"/>
      <c r="E504" s="23"/>
      <c r="F504" s="23"/>
      <c r="G504" s="24">
        <f t="shared" ref="G504:I504" si="172">AVERAGE(G494,G497,G500)</f>
        <v>14.386666666666665</v>
      </c>
      <c r="H504" s="24">
        <f t="shared" si="172"/>
        <v>0.40319834540422778</v>
      </c>
      <c r="I504" s="24">
        <f t="shared" si="172"/>
        <v>8.6915812871695231</v>
      </c>
    </row>
    <row r="505" spans="1:17" x14ac:dyDescent="0.3">
      <c r="B505" s="20"/>
      <c r="C505" s="21" t="s">
        <v>5</v>
      </c>
      <c r="D505" s="22"/>
      <c r="E505" s="23"/>
      <c r="F505" s="23"/>
      <c r="G505" s="24">
        <f t="shared" ref="G505:I505" si="173">AVERAGE(G495,G498,G501)</f>
        <v>13.096666666666666</v>
      </c>
      <c r="H505" s="24">
        <f t="shared" si="173"/>
        <v>0.35726898326898326</v>
      </c>
      <c r="I505" s="24">
        <f t="shared" si="173"/>
        <v>8.3384647429384273</v>
      </c>
    </row>
    <row r="506" spans="1:17" x14ac:dyDescent="0.3">
      <c r="B506" s="25" t="s">
        <v>16</v>
      </c>
      <c r="C506" s="26" t="s">
        <v>3</v>
      </c>
      <c r="D506" s="27"/>
      <c r="E506" s="28"/>
      <c r="F506" s="28"/>
      <c r="G506" s="29">
        <f>_xlfn.STDEV.P(G493,G496,G499)</f>
        <v>2.193404254172544</v>
      </c>
      <c r="H506" s="29">
        <f t="shared" ref="H506:I506" si="174">_xlfn.STDEV.P(H493,H496,H499)</f>
        <v>5.5547066359943734E-2</v>
      </c>
      <c r="I506" s="29">
        <f t="shared" si="174"/>
        <v>0.14810984107051403</v>
      </c>
    </row>
    <row r="507" spans="1:17" x14ac:dyDescent="0.3">
      <c r="B507" s="25"/>
      <c r="C507" s="26" t="s">
        <v>4</v>
      </c>
      <c r="D507" s="27"/>
      <c r="E507" s="28"/>
      <c r="F507" s="28"/>
      <c r="G507" s="29">
        <f>_xlfn.STDEV.P(G494,G497,G500)</f>
        <v>2.053977171787035</v>
      </c>
      <c r="H507" s="29">
        <f t="shared" ref="H507:I507" si="175">_xlfn.STDEV.P(H494,H497,H500)</f>
        <v>5.4397018656868801E-2</v>
      </c>
      <c r="I507" s="29">
        <f t="shared" si="175"/>
        <v>0.30285244791586624</v>
      </c>
    </row>
    <row r="508" spans="1:17" ht="15" thickBot="1" x14ac:dyDescent="0.35">
      <c r="A508" s="19"/>
      <c r="B508" s="30"/>
      <c r="C508" s="31" t="s">
        <v>5</v>
      </c>
      <c r="D508" s="32"/>
      <c r="E508" s="33"/>
      <c r="F508" s="33"/>
      <c r="G508" s="34">
        <f>_xlfn.STDEV.P(G495,G498,G501)</f>
        <v>1.0861041488836245</v>
      </c>
      <c r="H508" s="34">
        <f t="shared" ref="H508:I508" si="176">_xlfn.STDEV.P(H495,H498,H501)</f>
        <v>2.7630361077809609E-2</v>
      </c>
      <c r="I508" s="34">
        <f t="shared" si="176"/>
        <v>0.40068027073280749</v>
      </c>
    </row>
    <row r="509" spans="1:17" x14ac:dyDescent="0.3">
      <c r="A509" s="1" t="s">
        <v>10</v>
      </c>
      <c r="B509" s="4">
        <v>12</v>
      </c>
      <c r="C509" s="1" t="s">
        <v>3</v>
      </c>
      <c r="D509" s="3">
        <v>44033</v>
      </c>
      <c r="E509" s="2"/>
    </row>
    <row r="510" spans="1:17" x14ac:dyDescent="0.3">
      <c r="A510" s="1" t="s">
        <v>10</v>
      </c>
      <c r="B510" s="4">
        <v>13</v>
      </c>
      <c r="C510" s="1" t="s">
        <v>3</v>
      </c>
      <c r="D510" s="3">
        <v>44033</v>
      </c>
      <c r="E510" s="2">
        <v>32</v>
      </c>
      <c r="G510" s="4">
        <v>12.73</v>
      </c>
      <c r="H510" s="14">
        <f>G510/E510</f>
        <v>0.39781250000000001</v>
      </c>
      <c r="I510" s="14">
        <f>I475+H510</f>
        <v>6.951249999999999</v>
      </c>
    </row>
    <row r="511" spans="1:17" x14ac:dyDescent="0.3">
      <c r="A511" s="1" t="s">
        <v>10</v>
      </c>
      <c r="B511" s="4">
        <v>14</v>
      </c>
      <c r="C511" s="1" t="s">
        <v>4</v>
      </c>
      <c r="D511" s="3">
        <v>44033</v>
      </c>
      <c r="E511" s="2">
        <v>32</v>
      </c>
      <c r="G511" s="4">
        <v>9.7799999999999994</v>
      </c>
      <c r="H511" s="14">
        <f t="shared" ref="H511:H518" si="177">G511/E511</f>
        <v>0.30562499999999998</v>
      </c>
      <c r="I511" s="14">
        <f t="shared" ref="I511:I517" si="178">I476+H511</f>
        <v>6.0302083333333334</v>
      </c>
    </row>
    <row r="512" spans="1:17" x14ac:dyDescent="0.3">
      <c r="A512" s="1" t="s">
        <v>10</v>
      </c>
      <c r="B512" s="4">
        <v>15</v>
      </c>
      <c r="C512" s="1" t="s">
        <v>5</v>
      </c>
      <c r="D512" s="3">
        <v>44033</v>
      </c>
      <c r="E512" s="2">
        <v>35</v>
      </c>
      <c r="G512" s="4">
        <v>10.220000000000001</v>
      </c>
      <c r="H512" s="14">
        <f t="shared" si="177"/>
        <v>0.29200000000000004</v>
      </c>
      <c r="I512" s="14">
        <f t="shared" si="178"/>
        <v>6.376639097744361</v>
      </c>
    </row>
    <row r="513" spans="1:24" x14ac:dyDescent="0.3">
      <c r="A513" s="1" t="s">
        <v>10</v>
      </c>
      <c r="B513" s="4">
        <v>16</v>
      </c>
      <c r="C513" s="1" t="s">
        <v>3</v>
      </c>
      <c r="D513" s="3">
        <v>44033</v>
      </c>
      <c r="E513" s="2">
        <v>40</v>
      </c>
      <c r="G513" s="4">
        <v>11.69</v>
      </c>
      <c r="H513" s="14">
        <f t="shared" si="177"/>
        <v>0.29225000000000001</v>
      </c>
      <c r="I513" s="14">
        <f t="shared" si="178"/>
        <v>6.2810000000000015</v>
      </c>
    </row>
    <row r="514" spans="1:24" x14ac:dyDescent="0.3">
      <c r="A514" s="1" t="s">
        <v>10</v>
      </c>
      <c r="B514" s="4">
        <v>17</v>
      </c>
      <c r="C514" s="1" t="s">
        <v>4</v>
      </c>
      <c r="D514" s="3">
        <v>44033</v>
      </c>
      <c r="E514" s="2">
        <v>34</v>
      </c>
      <c r="G514" s="2">
        <v>9.43</v>
      </c>
      <c r="H514" s="14">
        <f t="shared" si="177"/>
        <v>0.27735294117647058</v>
      </c>
      <c r="I514" s="14">
        <f t="shared" si="178"/>
        <v>6.4284829721362229</v>
      </c>
    </row>
    <row r="515" spans="1:24" x14ac:dyDescent="0.3">
      <c r="A515" s="1" t="s">
        <v>10</v>
      </c>
      <c r="B515" s="4">
        <v>18</v>
      </c>
      <c r="C515" s="1" t="s">
        <v>5</v>
      </c>
      <c r="D515" s="3">
        <v>44033</v>
      </c>
      <c r="E515" s="2">
        <v>38</v>
      </c>
      <c r="G515" s="2">
        <v>12.69</v>
      </c>
      <c r="H515" s="14">
        <f t="shared" si="177"/>
        <v>0.3339473684210526</v>
      </c>
      <c r="I515" s="14">
        <f t="shared" si="178"/>
        <v>6.3643552631578943</v>
      </c>
    </row>
    <row r="516" spans="1:24" x14ac:dyDescent="0.3">
      <c r="A516" s="1" t="s">
        <v>10</v>
      </c>
      <c r="B516" s="4">
        <v>19</v>
      </c>
      <c r="C516" s="1" t="s">
        <v>3</v>
      </c>
      <c r="D516" s="3">
        <v>44033</v>
      </c>
      <c r="E516" s="2">
        <v>34</v>
      </c>
      <c r="G516" s="4">
        <v>13.31</v>
      </c>
      <c r="H516" s="14">
        <f t="shared" si="177"/>
        <v>0.39147058823529413</v>
      </c>
      <c r="I516" s="14">
        <f t="shared" si="178"/>
        <v>7.2277503974562798</v>
      </c>
    </row>
    <row r="517" spans="1:24" x14ac:dyDescent="0.3">
      <c r="A517" s="1" t="s">
        <v>10</v>
      </c>
      <c r="B517" s="4">
        <v>20</v>
      </c>
      <c r="C517" s="1" t="s">
        <v>4</v>
      </c>
      <c r="D517" s="3">
        <v>44033</v>
      </c>
      <c r="E517" s="2">
        <v>40</v>
      </c>
      <c r="G517" s="4">
        <v>12.72</v>
      </c>
      <c r="H517" s="14">
        <f t="shared" si="177"/>
        <v>0.318</v>
      </c>
      <c r="I517" s="14">
        <f t="shared" si="178"/>
        <v>5.9872500000000004</v>
      </c>
    </row>
    <row r="518" spans="1:24" x14ac:dyDescent="0.3">
      <c r="A518" s="1" t="s">
        <v>10</v>
      </c>
      <c r="B518" s="4">
        <v>21</v>
      </c>
      <c r="C518" s="1" t="s">
        <v>5</v>
      </c>
      <c r="D518" s="3">
        <v>44033</v>
      </c>
      <c r="E518" s="2">
        <v>32</v>
      </c>
      <c r="G518" s="4">
        <f>2.22+13.71</f>
        <v>15.930000000000001</v>
      </c>
      <c r="H518" s="14">
        <f t="shared" si="177"/>
        <v>0.49781250000000005</v>
      </c>
      <c r="I518" s="14">
        <f>I483+H518</f>
        <v>7.2342361111111115</v>
      </c>
    </row>
    <row r="519" spans="1:24" x14ac:dyDescent="0.3">
      <c r="A519" s="1" t="s">
        <v>10</v>
      </c>
      <c r="B519" s="4">
        <v>22</v>
      </c>
      <c r="C519" s="1" t="s">
        <v>3</v>
      </c>
      <c r="D519" s="3">
        <v>44033</v>
      </c>
      <c r="E519" s="2">
        <v>38</v>
      </c>
      <c r="G519" s="4">
        <f>14.29+4.52</f>
        <v>18.809999999999999</v>
      </c>
      <c r="H519" s="14">
        <f>G519/E519</f>
        <v>0.49499999999999994</v>
      </c>
      <c r="I519" s="14">
        <f>I484+H519</f>
        <v>7.39</v>
      </c>
    </row>
    <row r="520" spans="1:24" x14ac:dyDescent="0.3">
      <c r="A520" s="5" t="s">
        <v>10</v>
      </c>
      <c r="B520" s="6">
        <v>23</v>
      </c>
      <c r="C520" s="5" t="s">
        <v>3</v>
      </c>
      <c r="D520" s="7">
        <v>44033</v>
      </c>
      <c r="E520" s="13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x14ac:dyDescent="0.3">
      <c r="B521" s="20" t="s">
        <v>15</v>
      </c>
      <c r="C521" s="21" t="s">
        <v>3</v>
      </c>
      <c r="D521" s="22"/>
      <c r="E521" s="23"/>
      <c r="F521" s="23"/>
      <c r="G521" s="24">
        <f t="shared" ref="G521:I523" si="179">AVERAGE(G510,G513,G516)</f>
        <v>12.576666666666668</v>
      </c>
      <c r="H521" s="24">
        <f t="shared" si="179"/>
        <v>0.36051102941176466</v>
      </c>
      <c r="I521" s="24">
        <f t="shared" si="179"/>
        <v>6.8200001324854265</v>
      </c>
    </row>
    <row r="522" spans="1:24" x14ac:dyDescent="0.3">
      <c r="B522" s="20"/>
      <c r="C522" s="21" t="s">
        <v>4</v>
      </c>
      <c r="D522" s="22"/>
      <c r="E522" s="23"/>
      <c r="F522" s="23"/>
      <c r="G522" s="24">
        <f t="shared" si="179"/>
        <v>10.643333333333333</v>
      </c>
      <c r="H522" s="24">
        <f t="shared" si="179"/>
        <v>0.30032598039215691</v>
      </c>
      <c r="I522" s="24">
        <f t="shared" si="179"/>
        <v>6.1486471018231859</v>
      </c>
    </row>
    <row r="523" spans="1:24" x14ac:dyDescent="0.3">
      <c r="B523" s="20"/>
      <c r="C523" s="21" t="s">
        <v>5</v>
      </c>
      <c r="D523" s="22"/>
      <c r="E523" s="23"/>
      <c r="F523" s="23"/>
      <c r="G523" s="24">
        <f t="shared" si="179"/>
        <v>12.946666666666667</v>
      </c>
      <c r="H523" s="24">
        <f t="shared" si="179"/>
        <v>0.37458662280701754</v>
      </c>
      <c r="I523" s="24">
        <f t="shared" si="179"/>
        <v>6.6584101573377898</v>
      </c>
    </row>
    <row r="524" spans="1:24" x14ac:dyDescent="0.3">
      <c r="B524" s="25" t="s">
        <v>16</v>
      </c>
      <c r="C524" s="26" t="s">
        <v>3</v>
      </c>
      <c r="D524" s="27"/>
      <c r="E524" s="28"/>
      <c r="F524" s="28"/>
      <c r="G524" s="29">
        <f>_xlfn.STDEV.P(G510,G513,G516)</f>
        <v>0.67019068596598397</v>
      </c>
      <c r="H524" s="29">
        <f t="shared" ref="H524:I524" si="180">_xlfn.STDEV.P(H510,H513,H516)</f>
        <v>4.8337225568383824E-2</v>
      </c>
      <c r="I524" s="29">
        <f t="shared" si="180"/>
        <v>0.39749547130573271</v>
      </c>
    </row>
    <row r="525" spans="1:24" x14ac:dyDescent="0.3">
      <c r="B525" s="25"/>
      <c r="C525" s="26" t="s">
        <v>4</v>
      </c>
      <c r="D525" s="27"/>
      <c r="E525" s="28"/>
      <c r="F525" s="28"/>
      <c r="G525" s="29">
        <f>_xlfn.STDEV.P(G511,G514,G517)</f>
        <v>1.4753605962234748</v>
      </c>
      <c r="H525" s="29">
        <f t="shared" ref="H525:I525" si="181">_xlfn.STDEV.P(H511,H514,H517)</f>
        <v>1.7011869471128972E-2</v>
      </c>
      <c r="I525" s="29">
        <f t="shared" si="181"/>
        <v>0.19864950765286035</v>
      </c>
    </row>
    <row r="526" spans="1:24" ht="15" thickBot="1" x14ac:dyDescent="0.35">
      <c r="A526" s="19"/>
      <c r="B526" s="30"/>
      <c r="C526" s="31" t="s">
        <v>5</v>
      </c>
      <c r="D526" s="32"/>
      <c r="E526" s="33"/>
      <c r="F526" s="33"/>
      <c r="G526" s="34">
        <f>_xlfn.STDEV.P(G512,G515,G518)</f>
        <v>2.3381521668949419</v>
      </c>
      <c r="H526" s="34">
        <f t="shared" ref="H526:I526" si="182">_xlfn.STDEV.P(H512,H515,H518)</f>
        <v>8.8800743378449759E-2</v>
      </c>
      <c r="I526" s="34">
        <f t="shared" si="182"/>
        <v>0.40720131788199831</v>
      </c>
    </row>
    <row r="527" spans="1:24" ht="15" thickBot="1" x14ac:dyDescent="0.35">
      <c r="A527" s="1" t="s">
        <v>9</v>
      </c>
      <c r="B527" s="4">
        <v>1</v>
      </c>
      <c r="C527" s="1" t="s">
        <v>11</v>
      </c>
      <c r="D527" s="3">
        <v>44039</v>
      </c>
      <c r="E527" s="2"/>
      <c r="N527" s="36" t="s">
        <v>13</v>
      </c>
      <c r="P527" s="36" t="s">
        <v>14</v>
      </c>
    </row>
    <row r="528" spans="1:24" ht="15" thickTop="1" x14ac:dyDescent="0.3">
      <c r="A528" s="1" t="s">
        <v>9</v>
      </c>
      <c r="B528" s="4">
        <v>2</v>
      </c>
      <c r="C528" s="1" t="s">
        <v>3</v>
      </c>
      <c r="D528" s="3">
        <v>44039</v>
      </c>
      <c r="E528" s="2">
        <v>36</v>
      </c>
      <c r="G528" s="4">
        <v>20.05</v>
      </c>
      <c r="H528" s="14">
        <f>G528/E528</f>
        <v>0.55694444444444446</v>
      </c>
      <c r="I528" s="14">
        <f>I493+H528</f>
        <v>9.7069871794871787</v>
      </c>
      <c r="K528" s="84">
        <v>44039</v>
      </c>
      <c r="L528" s="85" t="s">
        <v>3</v>
      </c>
      <c r="M528" t="s">
        <v>17</v>
      </c>
      <c r="N528" s="35">
        <f>H538</f>
        <v>0.6447807092807093</v>
      </c>
      <c r="O528" s="35">
        <f>H541</f>
        <v>6.3854683807561055E-2</v>
      </c>
      <c r="P528" s="35">
        <f>I538</f>
        <v>9.591984143484142</v>
      </c>
      <c r="Q528" s="35">
        <f>I541</f>
        <v>9.6398580729308028E-2</v>
      </c>
    </row>
    <row r="529" spans="1:17" x14ac:dyDescent="0.3">
      <c r="A529" s="1" t="s">
        <v>9</v>
      </c>
      <c r="B529" s="4">
        <v>3</v>
      </c>
      <c r="C529" s="1" t="s">
        <v>4</v>
      </c>
      <c r="D529" s="3">
        <v>44039</v>
      </c>
      <c r="E529" s="2">
        <v>34</v>
      </c>
      <c r="G529" s="4">
        <f>19.78+2.94</f>
        <v>22.720000000000002</v>
      </c>
      <c r="H529" s="14">
        <f t="shared" ref="H529:H536" si="183">G529/E529</f>
        <v>0.66823529411764715</v>
      </c>
      <c r="I529" s="14">
        <f t="shared" ref="I529:I535" si="184">I494+H529</f>
        <v>9.7761923688394283</v>
      </c>
      <c r="K529" s="84"/>
      <c r="L529" s="85"/>
      <c r="M529" t="s">
        <v>18</v>
      </c>
      <c r="N529" s="35">
        <f>H556</f>
        <v>0.33493382352941176</v>
      </c>
      <c r="O529" s="35">
        <f>H559</f>
        <v>4.3501917738024247E-2</v>
      </c>
      <c r="P529" s="35">
        <f>I556</f>
        <v>7.1549339560148395</v>
      </c>
      <c r="Q529" s="35">
        <f>I559</f>
        <v>0.43258394083831203</v>
      </c>
    </row>
    <row r="530" spans="1:17" x14ac:dyDescent="0.3">
      <c r="A530" s="1" t="s">
        <v>9</v>
      </c>
      <c r="B530" s="4">
        <v>4</v>
      </c>
      <c r="C530" s="1" t="s">
        <v>5</v>
      </c>
      <c r="D530" s="3">
        <v>44039</v>
      </c>
      <c r="E530" s="2">
        <v>37</v>
      </c>
      <c r="G530" s="4">
        <v>20.059999999999999</v>
      </c>
      <c r="H530" s="14">
        <f t="shared" si="183"/>
        <v>0.54216216216216218</v>
      </c>
      <c r="I530" s="14">
        <f t="shared" si="184"/>
        <v>9.2832432432432448</v>
      </c>
      <c r="K530" s="84"/>
      <c r="L530" s="85" t="s">
        <v>4</v>
      </c>
      <c r="M530" t="s">
        <v>17</v>
      </c>
      <c r="N530" s="35">
        <f>H539</f>
        <v>0.49076812106223872</v>
      </c>
      <c r="O530" s="35">
        <f>H542</f>
        <v>0.14203232531050963</v>
      </c>
      <c r="P530" s="35">
        <f>I539</f>
        <v>9.1823494082317598</v>
      </c>
      <c r="Q530" s="35">
        <f>I542</f>
        <v>0.41993377160297585</v>
      </c>
    </row>
    <row r="531" spans="1:17" x14ac:dyDescent="0.3">
      <c r="A531" s="1" t="s">
        <v>9</v>
      </c>
      <c r="B531" s="4">
        <v>5</v>
      </c>
      <c r="C531" s="1" t="s">
        <v>3</v>
      </c>
      <c r="D531" s="3">
        <v>44039</v>
      </c>
      <c r="E531" s="2">
        <v>35</v>
      </c>
      <c r="G531" s="4">
        <f>17.45+7.29</f>
        <v>24.74</v>
      </c>
      <c r="H531" s="14">
        <f t="shared" si="183"/>
        <v>0.70685714285714285</v>
      </c>
      <c r="I531" s="14">
        <f t="shared" si="184"/>
        <v>9.5978841698841695</v>
      </c>
      <c r="K531" s="84"/>
      <c r="L531" s="85"/>
      <c r="M531" t="s">
        <v>18</v>
      </c>
      <c r="N531" s="35">
        <f>H557</f>
        <v>0.34080269607843139</v>
      </c>
      <c r="O531" s="35">
        <f>H560</f>
        <v>4.9623602018422225E-2</v>
      </c>
      <c r="P531" s="35">
        <f>I557</f>
        <v>6.4894497979016172</v>
      </c>
      <c r="Q531" s="35">
        <f>I560</f>
        <v>0.2277848629699554</v>
      </c>
    </row>
    <row r="532" spans="1:17" x14ac:dyDescent="0.3">
      <c r="A532" s="1" t="s">
        <v>9</v>
      </c>
      <c r="B532" s="4">
        <v>6</v>
      </c>
      <c r="C532" s="1" t="s">
        <v>4</v>
      </c>
      <c r="D532" s="3">
        <v>44039</v>
      </c>
      <c r="E532" s="2">
        <v>37</v>
      </c>
      <c r="G532" s="2">
        <f>7.65+10.24</f>
        <v>17.89</v>
      </c>
      <c r="H532" s="14">
        <f t="shared" si="183"/>
        <v>0.48351351351351352</v>
      </c>
      <c r="I532" s="14">
        <f t="shared" si="184"/>
        <v>8.879999999999999</v>
      </c>
      <c r="K532" s="84"/>
      <c r="L532" s="85" t="s">
        <v>5</v>
      </c>
      <c r="M532" t="s">
        <v>17</v>
      </c>
      <c r="N532" s="35">
        <f>H540</f>
        <v>0.49028463049515675</v>
      </c>
      <c r="O532" s="35">
        <f>H543</f>
        <v>8.8828829776354479E-2</v>
      </c>
      <c r="P532" s="35">
        <f>I540</f>
        <v>8.8287493734335829</v>
      </c>
      <c r="Q532" s="35">
        <f>I543</f>
        <v>0.48470771794179901</v>
      </c>
    </row>
    <row r="533" spans="1:17" x14ac:dyDescent="0.3">
      <c r="A533" s="1" t="s">
        <v>9</v>
      </c>
      <c r="B533" s="4">
        <v>7</v>
      </c>
      <c r="C533" s="1" t="s">
        <v>5</v>
      </c>
      <c r="D533" s="3">
        <v>44039</v>
      </c>
      <c r="E533" s="2">
        <v>35</v>
      </c>
      <c r="G533" s="2">
        <f>4.4+15.32</f>
        <v>19.72</v>
      </c>
      <c r="H533" s="14">
        <f t="shared" si="183"/>
        <v>0.56342857142857139</v>
      </c>
      <c r="I533" s="14">
        <f t="shared" si="184"/>
        <v>9.0458996138996142</v>
      </c>
      <c r="K533" s="84"/>
      <c r="L533" s="85"/>
      <c r="M533" t="s">
        <v>18</v>
      </c>
      <c r="N533" s="35">
        <f>H558</f>
        <v>0.38287061403508771</v>
      </c>
      <c r="O533" s="35">
        <f>H561</f>
        <v>9.2193723236795519E-2</v>
      </c>
      <c r="P533" s="35">
        <f>I558</f>
        <v>7.0412807713728762</v>
      </c>
      <c r="Q533" s="35">
        <f>I561</f>
        <v>0.49846025400946981</v>
      </c>
    </row>
    <row r="534" spans="1:17" x14ac:dyDescent="0.3">
      <c r="A534" s="1" t="s">
        <v>9</v>
      </c>
      <c r="B534" s="4">
        <v>8</v>
      </c>
      <c r="C534" s="1" t="s">
        <v>3</v>
      </c>
      <c r="D534" s="3">
        <v>44039</v>
      </c>
      <c r="E534" s="2">
        <v>37</v>
      </c>
      <c r="G534" s="4">
        <f>13.93+10.88</f>
        <v>24.810000000000002</v>
      </c>
      <c r="H534" s="14">
        <f t="shared" si="183"/>
        <v>0.67054054054054057</v>
      </c>
      <c r="I534" s="14">
        <f t="shared" si="184"/>
        <v>9.471081081081083</v>
      </c>
    </row>
    <row r="535" spans="1:17" x14ac:dyDescent="0.3">
      <c r="A535" s="1" t="s">
        <v>9</v>
      </c>
      <c r="B535" s="4">
        <v>9</v>
      </c>
      <c r="C535" s="1" t="s">
        <v>4</v>
      </c>
      <c r="D535" s="3">
        <v>44039</v>
      </c>
      <c r="E535" s="2">
        <v>36</v>
      </c>
      <c r="G535" s="4">
        <v>11.54</v>
      </c>
      <c r="H535" s="14">
        <f t="shared" si="183"/>
        <v>0.32055555555555554</v>
      </c>
      <c r="I535" s="14">
        <f t="shared" si="184"/>
        <v>8.8908558558558557</v>
      </c>
    </row>
    <row r="536" spans="1:17" x14ac:dyDescent="0.3">
      <c r="A536" s="1" t="s">
        <v>9</v>
      </c>
      <c r="B536" s="4">
        <v>10</v>
      </c>
      <c r="C536" s="1" t="s">
        <v>5</v>
      </c>
      <c r="D536" s="3">
        <v>44039</v>
      </c>
      <c r="E536" s="2">
        <v>38</v>
      </c>
      <c r="G536" s="4">
        <f>3.57+10.31</f>
        <v>13.88</v>
      </c>
      <c r="H536" s="14">
        <f t="shared" si="183"/>
        <v>0.36526315789473685</v>
      </c>
      <c r="I536" s="14">
        <f>I501+H536</f>
        <v>8.1571052631578933</v>
      </c>
    </row>
    <row r="537" spans="1:17" ht="15" thickBot="1" x14ac:dyDescent="0.35">
      <c r="A537" s="9" t="s">
        <v>9</v>
      </c>
      <c r="B537" s="15">
        <v>11</v>
      </c>
      <c r="C537" s="9" t="s">
        <v>3</v>
      </c>
      <c r="D537" s="16">
        <v>44039</v>
      </c>
      <c r="E537" s="17"/>
      <c r="F537" s="18"/>
      <c r="G537" s="18"/>
      <c r="H537" s="18"/>
      <c r="I537" s="18"/>
    </row>
    <row r="538" spans="1:17" ht="15" thickTop="1" x14ac:dyDescent="0.3">
      <c r="B538" s="20" t="s">
        <v>15</v>
      </c>
      <c r="C538" s="21" t="s">
        <v>3</v>
      </c>
      <c r="D538" s="22"/>
      <c r="E538" s="23"/>
      <c r="F538" s="23"/>
      <c r="G538" s="24">
        <f t="shared" ref="G538:I538" si="185">AVERAGE(G528,G531,G534)</f>
        <v>23.2</v>
      </c>
      <c r="H538" s="24">
        <f t="shared" si="185"/>
        <v>0.6447807092807093</v>
      </c>
      <c r="I538" s="24">
        <f t="shared" si="185"/>
        <v>9.591984143484142</v>
      </c>
    </row>
    <row r="539" spans="1:17" x14ac:dyDescent="0.3">
      <c r="B539" s="20"/>
      <c r="C539" s="21" t="s">
        <v>4</v>
      </c>
      <c r="D539" s="22"/>
      <c r="E539" s="23"/>
      <c r="F539" s="23"/>
      <c r="G539" s="24">
        <f t="shared" ref="G539:I539" si="186">AVERAGE(G529,G532,G535)</f>
        <v>17.383333333333333</v>
      </c>
      <c r="H539" s="24">
        <f t="shared" si="186"/>
        <v>0.49076812106223872</v>
      </c>
      <c r="I539" s="24">
        <f t="shared" si="186"/>
        <v>9.1823494082317598</v>
      </c>
    </row>
    <row r="540" spans="1:17" x14ac:dyDescent="0.3">
      <c r="B540" s="20"/>
      <c r="C540" s="21" t="s">
        <v>5</v>
      </c>
      <c r="D540" s="22"/>
      <c r="E540" s="23"/>
      <c r="F540" s="23"/>
      <c r="G540" s="24">
        <f t="shared" ref="G540:I540" si="187">AVERAGE(G530,G533,G536)</f>
        <v>17.886666666666667</v>
      </c>
      <c r="H540" s="24">
        <f t="shared" si="187"/>
        <v>0.49028463049515675</v>
      </c>
      <c r="I540" s="24">
        <f t="shared" si="187"/>
        <v>8.8287493734335829</v>
      </c>
    </row>
    <row r="541" spans="1:17" x14ac:dyDescent="0.3">
      <c r="B541" s="25" t="s">
        <v>16</v>
      </c>
      <c r="C541" s="26" t="s">
        <v>3</v>
      </c>
      <c r="D541" s="27"/>
      <c r="E541" s="28"/>
      <c r="F541" s="28"/>
      <c r="G541" s="29">
        <f>_xlfn.STDEV.P(G528,G531,G534)</f>
        <v>2.2275696771743565</v>
      </c>
      <c r="H541" s="29">
        <f t="shared" ref="H541:I541" si="188">_xlfn.STDEV.P(H528,H531,H534)</f>
        <v>6.3854683807561055E-2</v>
      </c>
      <c r="I541" s="29">
        <f t="shared" si="188"/>
        <v>9.6398580729308028E-2</v>
      </c>
    </row>
    <row r="542" spans="1:17" x14ac:dyDescent="0.3">
      <c r="B542" s="25"/>
      <c r="C542" s="26" t="s">
        <v>4</v>
      </c>
      <c r="D542" s="27"/>
      <c r="E542" s="28"/>
      <c r="F542" s="28"/>
      <c r="G542" s="29">
        <f>_xlfn.STDEV.P(G529,G532,G535)</f>
        <v>4.5782553688301677</v>
      </c>
      <c r="H542" s="29">
        <f t="shared" ref="H542:I542" si="189">_xlfn.STDEV.P(H529,H532,H535)</f>
        <v>0.14203232531050963</v>
      </c>
      <c r="I542" s="29">
        <f t="shared" si="189"/>
        <v>0.41993377160297585</v>
      </c>
    </row>
    <row r="543" spans="1:17" ht="15" thickBot="1" x14ac:dyDescent="0.35">
      <c r="A543" s="19"/>
      <c r="B543" s="30"/>
      <c r="C543" s="31" t="s">
        <v>5</v>
      </c>
      <c r="D543" s="32"/>
      <c r="E543" s="33"/>
      <c r="F543" s="33"/>
      <c r="G543" s="34">
        <f>_xlfn.STDEV.P(G530,G533,G536)</f>
        <v>2.836539362595818</v>
      </c>
      <c r="H543" s="34">
        <f t="shared" ref="H543:I543" si="190">_xlfn.STDEV.P(H530,H533,H536)</f>
        <v>8.8828829776354479E-2</v>
      </c>
      <c r="I543" s="34">
        <f t="shared" si="190"/>
        <v>0.48470771794179901</v>
      </c>
    </row>
    <row r="544" spans="1:17" x14ac:dyDescent="0.3">
      <c r="A544" s="1" t="s">
        <v>10</v>
      </c>
      <c r="B544" s="4">
        <v>12</v>
      </c>
      <c r="C544" s="1" t="s">
        <v>3</v>
      </c>
      <c r="D544" s="3">
        <v>44039</v>
      </c>
      <c r="E544" s="2"/>
    </row>
    <row r="545" spans="1:24" x14ac:dyDescent="0.3">
      <c r="A545" s="1" t="s">
        <v>10</v>
      </c>
      <c r="B545" s="4">
        <v>13</v>
      </c>
      <c r="C545" s="1" t="s">
        <v>3</v>
      </c>
      <c r="D545" s="3">
        <v>44039</v>
      </c>
      <c r="E545" s="2">
        <v>32</v>
      </c>
      <c r="G545" s="4">
        <v>9.9</v>
      </c>
      <c r="H545" s="14">
        <f>G545/E545</f>
        <v>0.30937500000000001</v>
      </c>
      <c r="I545" s="14">
        <f>I510+H545</f>
        <v>7.2606249999999992</v>
      </c>
    </row>
    <row r="546" spans="1:24" x14ac:dyDescent="0.3">
      <c r="A546" s="1" t="s">
        <v>10</v>
      </c>
      <c r="B546" s="4">
        <v>14</v>
      </c>
      <c r="C546" s="1" t="s">
        <v>4</v>
      </c>
      <c r="D546" s="3">
        <v>44039</v>
      </c>
      <c r="E546" s="2">
        <v>32</v>
      </c>
      <c r="G546" s="4">
        <v>8.67</v>
      </c>
      <c r="H546" s="14">
        <f t="shared" ref="H546:H550" si="191">G546/E546</f>
        <v>0.2709375</v>
      </c>
      <c r="I546" s="14">
        <f t="shared" ref="I546:I552" si="192">I511+H546</f>
        <v>6.301145833333333</v>
      </c>
    </row>
    <row r="547" spans="1:24" x14ac:dyDescent="0.3">
      <c r="A547" s="1" t="s">
        <v>10</v>
      </c>
      <c r="B547" s="4">
        <v>15</v>
      </c>
      <c r="C547" s="1" t="s">
        <v>5</v>
      </c>
      <c r="D547" s="3">
        <v>44039</v>
      </c>
      <c r="E547" s="2">
        <v>35</v>
      </c>
      <c r="G547" s="4">
        <v>10.57</v>
      </c>
      <c r="H547" s="14">
        <f t="shared" si="191"/>
        <v>0.30199999999999999</v>
      </c>
      <c r="I547" s="14">
        <f t="shared" si="192"/>
        <v>6.6786390977443606</v>
      </c>
    </row>
    <row r="548" spans="1:24" x14ac:dyDescent="0.3">
      <c r="A548" s="1" t="s">
        <v>10</v>
      </c>
      <c r="B548" s="4">
        <v>16</v>
      </c>
      <c r="C548" s="1" t="s">
        <v>3</v>
      </c>
      <c r="D548" s="3">
        <v>44039</v>
      </c>
      <c r="E548" s="2">
        <v>40</v>
      </c>
      <c r="G548" s="4">
        <v>11.97</v>
      </c>
      <c r="H548" s="14">
        <f t="shared" si="191"/>
        <v>0.29925000000000002</v>
      </c>
      <c r="I548" s="14">
        <f t="shared" si="192"/>
        <v>6.5802500000000013</v>
      </c>
    </row>
    <row r="549" spans="1:24" x14ac:dyDescent="0.3">
      <c r="A549" s="1" t="s">
        <v>10</v>
      </c>
      <c r="B549" s="4">
        <v>17</v>
      </c>
      <c r="C549" s="1" t="s">
        <v>4</v>
      </c>
      <c r="D549" s="3">
        <v>44039</v>
      </c>
      <c r="E549" s="2">
        <v>34</v>
      </c>
      <c r="G549" s="2">
        <f>9.67+3.3</f>
        <v>12.969999999999999</v>
      </c>
      <c r="H549" s="14">
        <f t="shared" si="191"/>
        <v>0.38147058823529406</v>
      </c>
      <c r="I549" s="14">
        <f t="shared" si="192"/>
        <v>6.8099535603715173</v>
      </c>
    </row>
    <row r="550" spans="1:24" x14ac:dyDescent="0.3">
      <c r="A550" s="1" t="s">
        <v>10</v>
      </c>
      <c r="B550" s="4">
        <v>18</v>
      </c>
      <c r="C550" s="1" t="s">
        <v>5</v>
      </c>
      <c r="D550" s="3">
        <v>44039</v>
      </c>
      <c r="E550" s="2">
        <v>38</v>
      </c>
      <c r="G550" s="2">
        <v>12.72</v>
      </c>
      <c r="H550" s="14">
        <f t="shared" si="191"/>
        <v>0.33473684210526317</v>
      </c>
      <c r="I550" s="14">
        <f t="shared" si="192"/>
        <v>6.6990921052631576</v>
      </c>
    </row>
    <row r="551" spans="1:24" x14ac:dyDescent="0.3">
      <c r="A551" s="1" t="s">
        <v>10</v>
      </c>
      <c r="B551" s="4">
        <v>19</v>
      </c>
      <c r="C551" s="1" t="s">
        <v>3</v>
      </c>
      <c r="D551" s="3">
        <v>44039</v>
      </c>
      <c r="E551" s="2">
        <v>34</v>
      </c>
      <c r="G551" s="4">
        <v>13.47</v>
      </c>
      <c r="H551" s="14">
        <f>G551/E551</f>
        <v>0.3961764705882353</v>
      </c>
      <c r="I551" s="14">
        <f t="shared" si="192"/>
        <v>7.6239268680445154</v>
      </c>
    </row>
    <row r="552" spans="1:24" x14ac:dyDescent="0.3">
      <c r="A552" s="1" t="s">
        <v>10</v>
      </c>
      <c r="B552" s="4">
        <v>20</v>
      </c>
      <c r="C552" s="1" t="s">
        <v>4</v>
      </c>
      <c r="D552" s="3">
        <v>44039</v>
      </c>
      <c r="E552" s="2">
        <v>40</v>
      </c>
      <c r="G552" s="4">
        <v>14.8</v>
      </c>
      <c r="H552" s="14">
        <f>G552/E552</f>
        <v>0.37</v>
      </c>
      <c r="I552" s="14">
        <f t="shared" si="192"/>
        <v>6.3572500000000005</v>
      </c>
    </row>
    <row r="553" spans="1:24" x14ac:dyDescent="0.3">
      <c r="A553" s="1" t="s">
        <v>10</v>
      </c>
      <c r="B553" s="4">
        <v>21</v>
      </c>
      <c r="C553" s="1" t="s">
        <v>5</v>
      </c>
      <c r="D553" s="3">
        <v>44039</v>
      </c>
      <c r="E553" s="2">
        <v>32</v>
      </c>
      <c r="G553" s="4">
        <v>16.38</v>
      </c>
      <c r="H553" s="14">
        <f>G553/E553</f>
        <v>0.51187499999999997</v>
      </c>
      <c r="I553" s="14">
        <f>I518+H553</f>
        <v>7.7461111111111114</v>
      </c>
    </row>
    <row r="554" spans="1:24" x14ac:dyDescent="0.3">
      <c r="A554" s="1" t="s">
        <v>10</v>
      </c>
      <c r="B554" s="4">
        <v>22</v>
      </c>
      <c r="C554" s="1" t="s">
        <v>3</v>
      </c>
      <c r="D554" s="3">
        <v>44039</v>
      </c>
      <c r="E554" s="2">
        <v>38</v>
      </c>
      <c r="G554" s="4">
        <v>16</v>
      </c>
      <c r="H554" s="14">
        <f>G554/E554</f>
        <v>0.42105263157894735</v>
      </c>
      <c r="I554" s="14">
        <f>I519+H554</f>
        <v>7.8110526315789475</v>
      </c>
    </row>
    <row r="555" spans="1:24" x14ac:dyDescent="0.3">
      <c r="A555" s="5" t="s">
        <v>10</v>
      </c>
      <c r="B555" s="6">
        <v>23</v>
      </c>
      <c r="C555" s="5" t="s">
        <v>3</v>
      </c>
      <c r="D555" s="7">
        <v>44039</v>
      </c>
      <c r="E555" s="13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x14ac:dyDescent="0.3">
      <c r="B556" s="20" t="s">
        <v>15</v>
      </c>
      <c r="C556" s="21" t="s">
        <v>3</v>
      </c>
      <c r="D556" s="22"/>
      <c r="E556" s="23"/>
      <c r="F556" s="23"/>
      <c r="G556" s="24">
        <f>AVERAGE(G545,G548,G551)</f>
        <v>11.780000000000001</v>
      </c>
      <c r="H556" s="24">
        <f t="shared" ref="H556:I556" si="193">AVERAGE(H545,H548,H551)</f>
        <v>0.33493382352941176</v>
      </c>
      <c r="I556" s="24">
        <f t="shared" si="193"/>
        <v>7.1549339560148395</v>
      </c>
    </row>
    <row r="557" spans="1:24" x14ac:dyDescent="0.3">
      <c r="B557" s="20"/>
      <c r="C557" s="21" t="s">
        <v>4</v>
      </c>
      <c r="D557" s="22"/>
      <c r="E557" s="23"/>
      <c r="F557" s="23"/>
      <c r="G557" s="24">
        <f>AVERAGE(G546,G549,G552)</f>
        <v>12.146666666666667</v>
      </c>
      <c r="H557" s="24">
        <f t="shared" ref="H557:I557" si="194">AVERAGE(H546,H549,H552)</f>
        <v>0.34080269607843139</v>
      </c>
      <c r="I557" s="24">
        <f t="shared" si="194"/>
        <v>6.4894497979016172</v>
      </c>
    </row>
    <row r="558" spans="1:24" x14ac:dyDescent="0.3">
      <c r="B558" s="20"/>
      <c r="C558" s="21" t="s">
        <v>5</v>
      </c>
      <c r="D558" s="22"/>
      <c r="E558" s="23"/>
      <c r="F558" s="23"/>
      <c r="G558" s="24">
        <f>AVERAGE(G547,G550,G553)</f>
        <v>13.223333333333334</v>
      </c>
      <c r="H558" s="24">
        <f t="shared" ref="H558:I558" si="195">AVERAGE(H547,H550,H553)</f>
        <v>0.38287061403508771</v>
      </c>
      <c r="I558" s="24">
        <f t="shared" si="195"/>
        <v>7.0412807713728762</v>
      </c>
    </row>
    <row r="559" spans="1:24" x14ac:dyDescent="0.3">
      <c r="B559" s="25" t="s">
        <v>16</v>
      </c>
      <c r="C559" s="26" t="s">
        <v>3</v>
      </c>
      <c r="D559" s="27"/>
      <c r="E559" s="28"/>
      <c r="F559" s="28"/>
      <c r="G559" s="29">
        <f>_xlfn.STDEV.P(G545,G548,G551)</f>
        <v>1.4636256351950034</v>
      </c>
      <c r="H559" s="29">
        <f t="shared" ref="H559:I559" si="196">_xlfn.STDEV.P(H545,H548,H551)</f>
        <v>4.3501917738024247E-2</v>
      </c>
      <c r="I559" s="29">
        <f t="shared" si="196"/>
        <v>0.43258394083831203</v>
      </c>
    </row>
    <row r="560" spans="1:24" x14ac:dyDescent="0.3">
      <c r="B560" s="25"/>
      <c r="C560" s="26" t="s">
        <v>4</v>
      </c>
      <c r="D560" s="27"/>
      <c r="E560" s="28"/>
      <c r="F560" s="28"/>
      <c r="G560" s="29">
        <f>_xlfn.STDEV.P(G546,G549,G552)</f>
        <v>2.5693881675518746</v>
      </c>
      <c r="H560" s="29">
        <f t="shared" ref="H560:I560" si="197">_xlfn.STDEV.P(H546,H549,H552)</f>
        <v>4.9623602018422225E-2</v>
      </c>
      <c r="I560" s="29">
        <f t="shared" si="197"/>
        <v>0.2277848629699554</v>
      </c>
    </row>
    <row r="561" spans="1:17" ht="15" thickBot="1" x14ac:dyDescent="0.35">
      <c r="A561" s="19"/>
      <c r="B561" s="30"/>
      <c r="C561" s="31" t="s">
        <v>5</v>
      </c>
      <c r="D561" s="32"/>
      <c r="E561" s="33"/>
      <c r="F561" s="33"/>
      <c r="G561" s="34">
        <f>_xlfn.STDEV.P(G547,G550,G553)</f>
        <v>2.398476368215642</v>
      </c>
      <c r="H561" s="34">
        <f t="shared" ref="H561:I561" si="198">_xlfn.STDEV.P(H547,H550,H553)</f>
        <v>9.2193723236795519E-2</v>
      </c>
      <c r="I561" s="34">
        <f t="shared" si="198"/>
        <v>0.49846025400946981</v>
      </c>
    </row>
    <row r="562" spans="1:17" ht="15" thickBot="1" x14ac:dyDescent="0.35">
      <c r="A562" s="1" t="s">
        <v>9</v>
      </c>
      <c r="B562" s="4">
        <v>1</v>
      </c>
      <c r="C562" s="1" t="s">
        <v>11</v>
      </c>
      <c r="D562" s="3">
        <v>44046</v>
      </c>
      <c r="E562" s="2"/>
      <c r="N562" s="36" t="s">
        <v>13</v>
      </c>
      <c r="P562" s="36" t="s">
        <v>14</v>
      </c>
    </row>
    <row r="563" spans="1:17" ht="15" thickTop="1" x14ac:dyDescent="0.3">
      <c r="A563" s="1" t="s">
        <v>9</v>
      </c>
      <c r="B563" s="4">
        <v>2</v>
      </c>
      <c r="C563" s="1" t="s">
        <v>3</v>
      </c>
      <c r="D563" s="3">
        <v>44046</v>
      </c>
      <c r="E563" s="2">
        <v>36</v>
      </c>
      <c r="G563" s="4">
        <v>14.88</v>
      </c>
      <c r="H563" s="14">
        <f>G563/E563</f>
        <v>0.41333333333333333</v>
      </c>
      <c r="I563" s="14">
        <f>I528+H563</f>
        <v>10.120320512820513</v>
      </c>
      <c r="K563" s="84">
        <v>44046</v>
      </c>
      <c r="L563" s="85" t="s">
        <v>3</v>
      </c>
      <c r="M563" t="s">
        <v>17</v>
      </c>
      <c r="N563" s="35">
        <f>H573</f>
        <v>0.52248562848562852</v>
      </c>
      <c r="O563" s="35">
        <f>H576</f>
        <v>8.7612313070126471E-2</v>
      </c>
      <c r="P563" s="35">
        <f>I573</f>
        <v>10.114469771969773</v>
      </c>
      <c r="Q563" s="35">
        <f>I576</f>
        <v>1.1107840711354289E-2</v>
      </c>
    </row>
    <row r="564" spans="1:17" x14ac:dyDescent="0.3">
      <c r="A564" s="1" t="s">
        <v>9</v>
      </c>
      <c r="B564" s="4">
        <v>3</v>
      </c>
      <c r="C564" s="1" t="s">
        <v>4</v>
      </c>
      <c r="D564" s="3">
        <v>44046</v>
      </c>
      <c r="E564" s="2">
        <v>34</v>
      </c>
      <c r="G564" s="4">
        <f>11.92+2.67</f>
        <v>14.59</v>
      </c>
      <c r="H564" s="14">
        <f t="shared" ref="H564:H571" si="199">G564/E564</f>
        <v>0.42911764705882355</v>
      </c>
      <c r="I564" s="14">
        <f t="shared" ref="I564:I570" si="200">I529+H564</f>
        <v>10.205310015898252</v>
      </c>
      <c r="K564" s="84"/>
      <c r="L564" s="85"/>
      <c r="M564" t="s">
        <v>18</v>
      </c>
      <c r="N564" s="35">
        <f>H591</f>
        <v>0.39783823529411766</v>
      </c>
      <c r="O564" s="35">
        <f>H594</f>
        <v>7.6148934193312201E-2</v>
      </c>
      <c r="P564" s="35">
        <f>I591</f>
        <v>7.5527721913089563</v>
      </c>
      <c r="Q564" s="35">
        <f>I594</f>
        <v>0.4646158971243195</v>
      </c>
    </row>
    <row r="565" spans="1:17" x14ac:dyDescent="0.3">
      <c r="A565" s="1" t="s">
        <v>9</v>
      </c>
      <c r="B565" s="4">
        <v>4</v>
      </c>
      <c r="C565" s="1" t="s">
        <v>5</v>
      </c>
      <c r="D565" s="3">
        <v>44046</v>
      </c>
      <c r="E565" s="2">
        <v>37</v>
      </c>
      <c r="G565" s="4">
        <v>17.03</v>
      </c>
      <c r="H565" s="14">
        <f t="shared" si="199"/>
        <v>0.46027027027027029</v>
      </c>
      <c r="I565" s="14">
        <f t="shared" si="200"/>
        <v>9.7435135135135145</v>
      </c>
      <c r="K565" s="84"/>
      <c r="L565" s="85" t="s">
        <v>4</v>
      </c>
      <c r="M565" t="s">
        <v>17</v>
      </c>
      <c r="N565" s="35">
        <f>H574</f>
        <v>0.39920538185244064</v>
      </c>
      <c r="O565" s="35">
        <f>H577</f>
        <v>2.6819192335648667E-2</v>
      </c>
      <c r="P565" s="35">
        <f>I574</f>
        <v>9.5815547900842031</v>
      </c>
      <c r="Q565" s="35">
        <f>I577</f>
        <v>0.44155745623594334</v>
      </c>
    </row>
    <row r="566" spans="1:17" x14ac:dyDescent="0.3">
      <c r="A566" s="1" t="s">
        <v>9</v>
      </c>
      <c r="B566" s="4">
        <v>5</v>
      </c>
      <c r="C566" s="1" t="s">
        <v>3</v>
      </c>
      <c r="D566" s="3">
        <v>44046</v>
      </c>
      <c r="E566" s="2">
        <v>35</v>
      </c>
      <c r="G566" s="4">
        <f>2.33+16.09</f>
        <v>18.420000000000002</v>
      </c>
      <c r="H566" s="14">
        <f t="shared" si="199"/>
        <v>0.52628571428571436</v>
      </c>
      <c r="I566" s="14">
        <f t="shared" si="200"/>
        <v>10.124169884169884</v>
      </c>
      <c r="K566" s="84"/>
      <c r="L566" s="85"/>
      <c r="M566" t="s">
        <v>18</v>
      </c>
      <c r="N566" s="35">
        <f>H592</f>
        <v>0.31315196078431373</v>
      </c>
      <c r="O566" s="35">
        <f>H595</f>
        <v>2.2738218406832152E-2</v>
      </c>
      <c r="P566" s="35">
        <f>I592</f>
        <v>6.8026017586859311</v>
      </c>
      <c r="Q566" s="35">
        <f>I595</f>
        <v>0.2383601753680562</v>
      </c>
    </row>
    <row r="567" spans="1:17" x14ac:dyDescent="0.3">
      <c r="A567" s="1" t="s">
        <v>9</v>
      </c>
      <c r="B567" s="4">
        <v>6</v>
      </c>
      <c r="C567" s="1" t="s">
        <v>4</v>
      </c>
      <c r="D567" s="3">
        <v>44046</v>
      </c>
      <c r="E567" s="2">
        <v>37</v>
      </c>
      <c r="G567" s="2">
        <f>1.61+11.86</f>
        <v>13.469999999999999</v>
      </c>
      <c r="H567" s="14">
        <f t="shared" si="199"/>
        <v>0.364054054054054</v>
      </c>
      <c r="I567" s="14">
        <f t="shared" si="200"/>
        <v>9.2440540540540539</v>
      </c>
      <c r="K567" s="84"/>
      <c r="L567" s="85" t="s">
        <v>5</v>
      </c>
      <c r="M567" t="s">
        <v>17</v>
      </c>
      <c r="N567" s="35">
        <f>H575</f>
        <v>0.47553369911264642</v>
      </c>
      <c r="O567" s="35">
        <f>H578</f>
        <v>3.7271046906689247E-2</v>
      </c>
      <c r="P567" s="35">
        <f>I575</f>
        <v>9.304283072546232</v>
      </c>
      <c r="Q567" s="35">
        <f>I578</f>
        <v>0.50525459858688382</v>
      </c>
    </row>
    <row r="568" spans="1:17" x14ac:dyDescent="0.3">
      <c r="A568" s="1" t="s">
        <v>9</v>
      </c>
      <c r="B568" s="4">
        <v>7</v>
      </c>
      <c r="C568" s="1" t="s">
        <v>5</v>
      </c>
      <c r="D568" s="3">
        <v>44046</v>
      </c>
      <c r="E568" s="2">
        <v>35</v>
      </c>
      <c r="G568" s="2">
        <f>2.77+9.65+6.02</f>
        <v>18.439999999999998</v>
      </c>
      <c r="H568" s="14">
        <f t="shared" si="199"/>
        <v>0.5268571428571428</v>
      </c>
      <c r="I568" s="14">
        <f t="shared" si="200"/>
        <v>9.5727567567567569</v>
      </c>
      <c r="K568" s="84"/>
      <c r="L568" s="85"/>
      <c r="M568" t="s">
        <v>18</v>
      </c>
      <c r="N568" s="35">
        <f>H593</f>
        <v>0.3086235902255639</v>
      </c>
      <c r="O568" s="35">
        <f>H596</f>
        <v>2.4090046930584932E-2</v>
      </c>
      <c r="P568" s="35">
        <f>I593</f>
        <v>7.3499043615984405</v>
      </c>
      <c r="Q568" s="35">
        <f>I596</f>
        <v>0.51188754063031205</v>
      </c>
    </row>
    <row r="569" spans="1:17" x14ac:dyDescent="0.3">
      <c r="A569" s="1" t="s">
        <v>9</v>
      </c>
      <c r="B569" s="4">
        <v>8</v>
      </c>
      <c r="C569" s="1" t="s">
        <v>3</v>
      </c>
      <c r="D569" s="3">
        <v>44046</v>
      </c>
      <c r="E569" s="2">
        <v>37</v>
      </c>
      <c r="G569" s="4">
        <f>9.65+13.58</f>
        <v>23.23</v>
      </c>
      <c r="H569" s="14">
        <f t="shared" si="199"/>
        <v>0.62783783783783786</v>
      </c>
      <c r="I569" s="14">
        <f t="shared" si="200"/>
        <v>10.098918918918921</v>
      </c>
    </row>
    <row r="570" spans="1:17" x14ac:dyDescent="0.3">
      <c r="A570" s="1" t="s">
        <v>9</v>
      </c>
      <c r="B570" s="4">
        <v>9</v>
      </c>
      <c r="C570" s="1" t="s">
        <v>4</v>
      </c>
      <c r="D570" s="3">
        <v>44046</v>
      </c>
      <c r="E570" s="2">
        <v>36</v>
      </c>
      <c r="G570" s="4">
        <v>14.56</v>
      </c>
      <c r="H570" s="14">
        <f t="shared" si="199"/>
        <v>0.40444444444444444</v>
      </c>
      <c r="I570" s="14">
        <f t="shared" si="200"/>
        <v>9.2953003003002994</v>
      </c>
    </row>
    <row r="571" spans="1:17" x14ac:dyDescent="0.3">
      <c r="A571" s="1" t="s">
        <v>9</v>
      </c>
      <c r="B571" s="4">
        <v>10</v>
      </c>
      <c r="C571" s="1" t="s">
        <v>5</v>
      </c>
      <c r="D571" s="3">
        <v>44046</v>
      </c>
      <c r="E571" s="2">
        <v>38</v>
      </c>
      <c r="G571" s="4">
        <v>16.7</v>
      </c>
      <c r="H571" s="14">
        <f t="shared" si="199"/>
        <v>0.43947368421052629</v>
      </c>
      <c r="I571" s="14">
        <f>I536+H571</f>
        <v>8.5965789473684193</v>
      </c>
    </row>
    <row r="572" spans="1:17" ht="15" thickBot="1" x14ac:dyDescent="0.35">
      <c r="A572" s="9" t="s">
        <v>9</v>
      </c>
      <c r="B572" s="15">
        <v>11</v>
      </c>
      <c r="C572" s="9" t="s">
        <v>3</v>
      </c>
      <c r="D572" s="16">
        <v>44046</v>
      </c>
      <c r="E572" s="17"/>
      <c r="F572" s="18"/>
      <c r="G572" s="18"/>
      <c r="H572" s="18"/>
      <c r="I572" s="18"/>
    </row>
    <row r="573" spans="1:17" ht="15" thickTop="1" x14ac:dyDescent="0.3">
      <c r="B573" s="20" t="s">
        <v>15</v>
      </c>
      <c r="C573" s="21" t="s">
        <v>3</v>
      </c>
      <c r="D573" s="22"/>
      <c r="E573" s="23"/>
      <c r="F573" s="23"/>
      <c r="G573" s="24">
        <f t="shared" ref="G573:I573" si="201">AVERAGE(G563,G566,G569)</f>
        <v>18.843333333333334</v>
      </c>
      <c r="H573" s="24">
        <f t="shared" si="201"/>
        <v>0.52248562848562852</v>
      </c>
      <c r="I573" s="24">
        <f t="shared" si="201"/>
        <v>10.114469771969773</v>
      </c>
    </row>
    <row r="574" spans="1:17" x14ac:dyDescent="0.3">
      <c r="B574" s="20"/>
      <c r="C574" s="21" t="s">
        <v>4</v>
      </c>
      <c r="D574" s="22"/>
      <c r="E574" s="23"/>
      <c r="F574" s="23"/>
      <c r="G574" s="24">
        <f t="shared" ref="G574:I574" si="202">AVERAGE(G564,G567,G570)</f>
        <v>14.206666666666665</v>
      </c>
      <c r="H574" s="24">
        <f t="shared" si="202"/>
        <v>0.39920538185244064</v>
      </c>
      <c r="I574" s="24">
        <f t="shared" si="202"/>
        <v>9.5815547900842031</v>
      </c>
    </row>
    <row r="575" spans="1:17" x14ac:dyDescent="0.3">
      <c r="B575" s="20"/>
      <c r="C575" s="21" t="s">
        <v>5</v>
      </c>
      <c r="D575" s="22"/>
      <c r="E575" s="23"/>
      <c r="F575" s="23"/>
      <c r="G575" s="24">
        <f t="shared" ref="G575:I575" si="203">AVERAGE(G565,G568,G571)</f>
        <v>17.39</v>
      </c>
      <c r="H575" s="24">
        <f t="shared" si="203"/>
        <v>0.47553369911264642</v>
      </c>
      <c r="I575" s="24">
        <f t="shared" si="203"/>
        <v>9.304283072546232</v>
      </c>
    </row>
    <row r="576" spans="1:17" x14ac:dyDescent="0.3">
      <c r="B576" s="25" t="s">
        <v>16</v>
      </c>
      <c r="C576" s="26" t="s">
        <v>3</v>
      </c>
      <c r="D576" s="27"/>
      <c r="E576" s="28"/>
      <c r="F576" s="28"/>
      <c r="G576" s="29">
        <f>_xlfn.STDEV.P(G563,G566,G569)</f>
        <v>3.4219909734279255</v>
      </c>
      <c r="H576" s="29">
        <f t="shared" ref="H576:I576" si="204">_xlfn.STDEV.P(H563,H566,H569)</f>
        <v>8.7612313070126471E-2</v>
      </c>
      <c r="I576" s="29">
        <f t="shared" si="204"/>
        <v>1.1107840711354289E-2</v>
      </c>
    </row>
    <row r="577" spans="1:24" x14ac:dyDescent="0.3">
      <c r="B577" s="25"/>
      <c r="C577" s="26" t="s">
        <v>4</v>
      </c>
      <c r="D577" s="27"/>
      <c r="E577" s="28"/>
      <c r="F577" s="28"/>
      <c r="G577" s="29">
        <f>_xlfn.STDEV.P(G564,G567,G570)</f>
        <v>0.52104595659969333</v>
      </c>
      <c r="H577" s="29">
        <f t="shared" ref="H577:I577" si="205">_xlfn.STDEV.P(H564,H567,H570)</f>
        <v>2.6819192335648667E-2</v>
      </c>
      <c r="I577" s="29">
        <f t="shared" si="205"/>
        <v>0.44155745623594334</v>
      </c>
    </row>
    <row r="578" spans="1:24" ht="15" thickBot="1" x14ac:dyDescent="0.35">
      <c r="A578" s="19"/>
      <c r="B578" s="30"/>
      <c r="C578" s="31" t="s">
        <v>5</v>
      </c>
      <c r="D578" s="32"/>
      <c r="E578" s="33"/>
      <c r="F578" s="33"/>
      <c r="G578" s="34">
        <f>_xlfn.STDEV.P(G565,G568,G571)</f>
        <v>0.75458597919653825</v>
      </c>
      <c r="H578" s="34">
        <f t="shared" ref="H578:I578" si="206">_xlfn.STDEV.P(H565,H568,H571)</f>
        <v>3.7271046906689247E-2</v>
      </c>
      <c r="I578" s="34">
        <f t="shared" si="206"/>
        <v>0.50525459858688382</v>
      </c>
    </row>
    <row r="579" spans="1:24" x14ac:dyDescent="0.3">
      <c r="A579" s="1" t="s">
        <v>10</v>
      </c>
      <c r="B579" s="4">
        <v>12</v>
      </c>
      <c r="C579" s="1" t="s">
        <v>3</v>
      </c>
      <c r="D579" s="3">
        <v>44046</v>
      </c>
      <c r="E579" s="2"/>
    </row>
    <row r="580" spans="1:24" s="37" customFormat="1" x14ac:dyDescent="0.3">
      <c r="A580" s="38" t="s">
        <v>10</v>
      </c>
      <c r="B580" s="39">
        <v>13</v>
      </c>
      <c r="C580" s="38" t="s">
        <v>3</v>
      </c>
      <c r="D580" s="40">
        <v>44046</v>
      </c>
      <c r="E580" s="41">
        <v>32</v>
      </c>
      <c r="G580" s="39">
        <v>16.12</v>
      </c>
      <c r="H580" s="42">
        <f>G580/E580</f>
        <v>0.50375000000000003</v>
      </c>
      <c r="I580" s="14">
        <f>I545+H580</f>
        <v>7.7643749999999994</v>
      </c>
      <c r="J580" s="38" t="s">
        <v>19</v>
      </c>
    </row>
    <row r="581" spans="1:24" x14ac:dyDescent="0.3">
      <c r="A581" s="1" t="s">
        <v>10</v>
      </c>
      <c r="B581" s="4">
        <v>14</v>
      </c>
      <c r="C581" s="1" t="s">
        <v>4</v>
      </c>
      <c r="D581" s="3">
        <v>44046</v>
      </c>
      <c r="E581" s="2">
        <v>32</v>
      </c>
      <c r="G581" s="4">
        <v>10.52</v>
      </c>
      <c r="H581" s="14">
        <f t="shared" ref="H581:H588" si="207">G581/E581</f>
        <v>0.32874999999999999</v>
      </c>
      <c r="I581" s="14">
        <f t="shared" ref="I581:I587" si="208">I546+H581</f>
        <v>6.6298958333333333</v>
      </c>
    </row>
    <row r="582" spans="1:24" x14ac:dyDescent="0.3">
      <c r="A582" s="1" t="s">
        <v>10</v>
      </c>
      <c r="B582" s="4">
        <v>15</v>
      </c>
      <c r="C582" s="1" t="s">
        <v>5</v>
      </c>
      <c r="D582" s="3">
        <v>44046</v>
      </c>
      <c r="E582" s="2">
        <v>35</v>
      </c>
      <c r="G582" s="4">
        <v>9.61</v>
      </c>
      <c r="H582" s="14">
        <f t="shared" si="207"/>
        <v>0.27457142857142858</v>
      </c>
      <c r="I582" s="14">
        <f t="shared" si="208"/>
        <v>6.9532105263157895</v>
      </c>
    </row>
    <row r="583" spans="1:24" x14ac:dyDescent="0.3">
      <c r="A583" s="1" t="s">
        <v>10</v>
      </c>
      <c r="B583" s="4">
        <v>16</v>
      </c>
      <c r="C583" s="1" t="s">
        <v>3</v>
      </c>
      <c r="D583" s="3">
        <v>44046</v>
      </c>
      <c r="E583" s="2">
        <v>40</v>
      </c>
      <c r="G583" s="4">
        <v>13.12</v>
      </c>
      <c r="H583" s="14">
        <f t="shared" si="207"/>
        <v>0.32799999999999996</v>
      </c>
      <c r="I583" s="14">
        <f t="shared" si="208"/>
        <v>6.9082500000000016</v>
      </c>
    </row>
    <row r="584" spans="1:24" x14ac:dyDescent="0.3">
      <c r="A584" s="1" t="s">
        <v>10</v>
      </c>
      <c r="B584" s="4">
        <v>17</v>
      </c>
      <c r="C584" s="1" t="s">
        <v>4</v>
      </c>
      <c r="D584" s="3">
        <v>44046</v>
      </c>
      <c r="E584" s="2">
        <v>34</v>
      </c>
      <c r="G584" s="2">
        <v>11.21</v>
      </c>
      <c r="H584" s="14">
        <f t="shared" si="207"/>
        <v>0.32970588235294118</v>
      </c>
      <c r="I584" s="14">
        <f t="shared" si="208"/>
        <v>7.1396594427244588</v>
      </c>
    </row>
    <row r="585" spans="1:24" x14ac:dyDescent="0.3">
      <c r="A585" s="1" t="s">
        <v>10</v>
      </c>
      <c r="B585" s="4">
        <v>18</v>
      </c>
      <c r="C585" s="1" t="s">
        <v>5</v>
      </c>
      <c r="D585" s="3">
        <v>44046</v>
      </c>
      <c r="E585" s="2">
        <v>38</v>
      </c>
      <c r="G585" s="2">
        <v>12.34</v>
      </c>
      <c r="H585" s="14">
        <f t="shared" si="207"/>
        <v>0.32473684210526316</v>
      </c>
      <c r="I585" s="14">
        <f t="shared" si="208"/>
        <v>7.023828947368421</v>
      </c>
    </row>
    <row r="586" spans="1:24" x14ac:dyDescent="0.3">
      <c r="A586" s="1" t="s">
        <v>10</v>
      </c>
      <c r="B586" s="4">
        <v>19</v>
      </c>
      <c r="C586" s="1" t="s">
        <v>3</v>
      </c>
      <c r="D586" s="3">
        <v>44046</v>
      </c>
      <c r="E586" s="2">
        <v>34</v>
      </c>
      <c r="G586" s="4">
        <v>12.3</v>
      </c>
      <c r="H586" s="14">
        <f t="shared" si="207"/>
        <v>0.36176470588235299</v>
      </c>
      <c r="I586" s="14">
        <f t="shared" si="208"/>
        <v>7.9856915739268679</v>
      </c>
    </row>
    <row r="587" spans="1:24" x14ac:dyDescent="0.3">
      <c r="A587" s="1" t="s">
        <v>10</v>
      </c>
      <c r="B587" s="4">
        <v>20</v>
      </c>
      <c r="C587" s="1" t="s">
        <v>4</v>
      </c>
      <c r="D587" s="3">
        <v>44046</v>
      </c>
      <c r="E587" s="2">
        <v>40</v>
      </c>
      <c r="G587" s="4">
        <v>11.24</v>
      </c>
      <c r="H587" s="14">
        <f t="shared" si="207"/>
        <v>0.28100000000000003</v>
      </c>
      <c r="I587" s="14">
        <f t="shared" si="208"/>
        <v>6.6382500000000002</v>
      </c>
    </row>
    <row r="588" spans="1:24" x14ac:dyDescent="0.3">
      <c r="A588" s="1" t="s">
        <v>10</v>
      </c>
      <c r="B588" s="4">
        <v>21</v>
      </c>
      <c r="C588" s="1" t="s">
        <v>5</v>
      </c>
      <c r="D588" s="3">
        <v>44046</v>
      </c>
      <c r="E588" s="2">
        <v>32</v>
      </c>
      <c r="G588" s="4">
        <v>10.45</v>
      </c>
      <c r="H588" s="14">
        <f t="shared" si="207"/>
        <v>0.32656249999999998</v>
      </c>
      <c r="I588" s="14">
        <f>I553+H588</f>
        <v>8.0726736111111119</v>
      </c>
    </row>
    <row r="589" spans="1:24" s="37" customFormat="1" x14ac:dyDescent="0.3">
      <c r="A589" s="38" t="s">
        <v>10</v>
      </c>
      <c r="B589" s="39">
        <v>22</v>
      </c>
      <c r="C589" s="38" t="s">
        <v>3</v>
      </c>
      <c r="D589" s="40">
        <v>44046</v>
      </c>
      <c r="E589" s="41">
        <v>38</v>
      </c>
      <c r="G589" s="39">
        <v>12.02</v>
      </c>
      <c r="H589" s="42">
        <f>G589/E589</f>
        <v>0.31631578947368422</v>
      </c>
      <c r="I589" s="14">
        <f>I554+H589</f>
        <v>8.1273684210526316</v>
      </c>
    </row>
    <row r="590" spans="1:24" x14ac:dyDescent="0.3">
      <c r="A590" s="5" t="s">
        <v>10</v>
      </c>
      <c r="B590" s="6">
        <v>23</v>
      </c>
      <c r="C590" s="5" t="s">
        <v>3</v>
      </c>
      <c r="D590" s="7">
        <v>44046</v>
      </c>
      <c r="E590" s="13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x14ac:dyDescent="0.3">
      <c r="B591" s="20" t="s">
        <v>15</v>
      </c>
      <c r="C591" s="21" t="s">
        <v>3</v>
      </c>
      <c r="D591" s="22"/>
      <c r="E591" s="23"/>
      <c r="F591" s="23"/>
      <c r="G591" s="24">
        <f t="shared" ref="G591:I591" si="209">AVERAGE(G580,G583,G586)</f>
        <v>13.846666666666669</v>
      </c>
      <c r="H591" s="24">
        <f t="shared" si="209"/>
        <v>0.39783823529411766</v>
      </c>
      <c r="I591" s="24">
        <f t="shared" si="209"/>
        <v>7.5527721913089563</v>
      </c>
    </row>
    <row r="592" spans="1:24" x14ac:dyDescent="0.3">
      <c r="B592" s="20"/>
      <c r="C592" s="21" t="s">
        <v>4</v>
      </c>
      <c r="D592" s="22"/>
      <c r="E592" s="23"/>
      <c r="F592" s="23"/>
      <c r="G592" s="24">
        <f t="shared" ref="G592:I592" si="210">AVERAGE(G581,G584,G587)</f>
        <v>10.99</v>
      </c>
      <c r="H592" s="24">
        <f t="shared" si="210"/>
        <v>0.31315196078431373</v>
      </c>
      <c r="I592" s="24">
        <f t="shared" si="210"/>
        <v>6.8026017586859311</v>
      </c>
    </row>
    <row r="593" spans="1:17" x14ac:dyDescent="0.3">
      <c r="B593" s="20"/>
      <c r="C593" s="21" t="s">
        <v>5</v>
      </c>
      <c r="D593" s="22"/>
      <c r="E593" s="23"/>
      <c r="F593" s="23"/>
      <c r="G593" s="24">
        <f t="shared" ref="G593:I593" si="211">AVERAGE(G582,G585,G588)</f>
        <v>10.799999999999999</v>
      </c>
      <c r="H593" s="24">
        <f t="shared" si="211"/>
        <v>0.3086235902255639</v>
      </c>
      <c r="I593" s="24">
        <f t="shared" si="211"/>
        <v>7.3499043615984405</v>
      </c>
    </row>
    <row r="594" spans="1:17" x14ac:dyDescent="0.3">
      <c r="B594" s="25" t="s">
        <v>16</v>
      </c>
      <c r="C594" s="26" t="s">
        <v>3</v>
      </c>
      <c r="D594" s="27"/>
      <c r="E594" s="28"/>
      <c r="F594" s="28"/>
      <c r="G594" s="29">
        <f>_xlfn.STDEV.P(G580,G583,G586)</f>
        <v>1.6419771280041799</v>
      </c>
      <c r="H594" s="29">
        <f t="shared" ref="H594:I594" si="212">_xlfn.STDEV.P(H580,H583,H586)</f>
        <v>7.6148934193312201E-2</v>
      </c>
      <c r="I594" s="29">
        <f t="shared" si="212"/>
        <v>0.4646158971243195</v>
      </c>
    </row>
    <row r="595" spans="1:17" x14ac:dyDescent="0.3">
      <c r="B595" s="25"/>
      <c r="C595" s="26" t="s">
        <v>4</v>
      </c>
      <c r="D595" s="27"/>
      <c r="E595" s="28"/>
      <c r="F595" s="28"/>
      <c r="G595" s="29">
        <f>_xlfn.STDEV.P(G581,G584,G587)</f>
        <v>0.33256578296631828</v>
      </c>
      <c r="H595" s="29">
        <f t="shared" ref="H595:I595" si="213">_xlfn.STDEV.P(H581,H584,H587)</f>
        <v>2.2738218406832152E-2</v>
      </c>
      <c r="I595" s="29">
        <f t="shared" si="213"/>
        <v>0.2383601753680562</v>
      </c>
    </row>
    <row r="596" spans="1:17" ht="15" thickBot="1" x14ac:dyDescent="0.35">
      <c r="A596" s="19"/>
      <c r="B596" s="30"/>
      <c r="C596" s="31" t="s">
        <v>5</v>
      </c>
      <c r="D596" s="32"/>
      <c r="E596" s="33"/>
      <c r="F596" s="33"/>
      <c r="G596" s="34">
        <f>_xlfn.STDEV.P(G582,G585,G588)</f>
        <v>1.1416654501210111</v>
      </c>
      <c r="H596" s="34">
        <f t="shared" ref="H596:I596" si="214">_xlfn.STDEV.P(H582,H585,H588)</f>
        <v>2.4090046930584932E-2</v>
      </c>
      <c r="I596" s="34">
        <f t="shared" si="214"/>
        <v>0.51188754063031205</v>
      </c>
    </row>
    <row r="597" spans="1:17" ht="15" thickBot="1" x14ac:dyDescent="0.35">
      <c r="A597" s="1" t="s">
        <v>9</v>
      </c>
      <c r="B597" s="4">
        <v>1</v>
      </c>
      <c r="C597" s="1" t="s">
        <v>11</v>
      </c>
      <c r="D597" s="3">
        <v>44053</v>
      </c>
      <c r="E597" s="2"/>
      <c r="N597" s="36" t="s">
        <v>13</v>
      </c>
      <c r="P597" s="36" t="s">
        <v>14</v>
      </c>
    </row>
    <row r="598" spans="1:17" s="37" customFormat="1" ht="15" thickTop="1" x14ac:dyDescent="0.3">
      <c r="A598" s="38" t="s">
        <v>9</v>
      </c>
      <c r="B598" s="39">
        <v>2</v>
      </c>
      <c r="C598" s="38" t="s">
        <v>3</v>
      </c>
      <c r="D598" s="40">
        <v>44053</v>
      </c>
      <c r="E598" s="41">
        <v>36</v>
      </c>
      <c r="G598" s="39">
        <f>11.15+5.28</f>
        <v>16.43</v>
      </c>
      <c r="H598" s="42">
        <f>G598/E598</f>
        <v>0.4563888888888889</v>
      </c>
      <c r="I598" s="14">
        <f>I563+H598</f>
        <v>10.576709401709401</v>
      </c>
      <c r="K598" s="84">
        <v>44053</v>
      </c>
      <c r="L598" s="85" t="s">
        <v>3</v>
      </c>
      <c r="M598" s="37" t="s">
        <v>17</v>
      </c>
      <c r="N598" s="43">
        <f>H608</f>
        <v>0.44047454597454599</v>
      </c>
      <c r="O598" s="43">
        <f>H611</f>
        <v>6.6785318653071524E-2</v>
      </c>
      <c r="P598" s="43">
        <f>I608</f>
        <v>10.554944317944319</v>
      </c>
      <c r="Q598" s="43">
        <f>I611</f>
        <v>7.7678961861035359E-2</v>
      </c>
    </row>
    <row r="599" spans="1:17" x14ac:dyDescent="0.3">
      <c r="A599" s="1" t="s">
        <v>9</v>
      </c>
      <c r="B599" s="4">
        <v>3</v>
      </c>
      <c r="C599" s="1" t="s">
        <v>4</v>
      </c>
      <c r="D599" s="3">
        <v>44053</v>
      </c>
      <c r="E599" s="2">
        <v>34</v>
      </c>
      <c r="G599" s="4">
        <v>12.93</v>
      </c>
      <c r="H599" s="14">
        <f t="shared" ref="H599:H606" si="215">G599/E599</f>
        <v>0.38029411764705884</v>
      </c>
      <c r="I599" s="14">
        <f t="shared" ref="I599:I605" si="216">I564+H599</f>
        <v>10.585604133545312</v>
      </c>
      <c r="K599" s="84"/>
      <c r="L599" s="85"/>
      <c r="M599" t="s">
        <v>18</v>
      </c>
      <c r="N599" s="35">
        <f>H626</f>
        <v>0.33029289215686269</v>
      </c>
      <c r="O599" s="35">
        <f>H629</f>
        <v>1.7551220645325705E-2</v>
      </c>
      <c r="P599" s="35">
        <f>I626</f>
        <v>7.8830650834658185</v>
      </c>
      <c r="Q599" s="35">
        <f>I629</f>
        <v>0.44863689778393462</v>
      </c>
    </row>
    <row r="600" spans="1:17" x14ac:dyDescent="0.3">
      <c r="A600" s="1" t="s">
        <v>9</v>
      </c>
      <c r="B600" s="4">
        <v>4</v>
      </c>
      <c r="C600" s="1" t="s">
        <v>5</v>
      </c>
      <c r="D600" s="3">
        <v>44053</v>
      </c>
      <c r="E600" s="2">
        <v>37</v>
      </c>
      <c r="G600" s="4">
        <f>6.23+9.5</f>
        <v>15.73</v>
      </c>
      <c r="H600" s="14">
        <f t="shared" si="215"/>
        <v>0.42513513513513512</v>
      </c>
      <c r="I600" s="14">
        <f t="shared" si="216"/>
        <v>10.168648648648649</v>
      </c>
      <c r="K600" s="84"/>
      <c r="L600" s="85" t="s">
        <v>4</v>
      </c>
      <c r="M600" t="s">
        <v>17</v>
      </c>
      <c r="N600" s="35">
        <f>H609</f>
        <v>0.37148442560207268</v>
      </c>
      <c r="O600" s="35">
        <f>H612</f>
        <v>8.3496386634578871E-3</v>
      </c>
      <c r="P600" s="35">
        <f>I609</f>
        <v>9.9530392156862746</v>
      </c>
      <c r="Q600" s="35">
        <f>I612</f>
        <v>0.44807413386104766</v>
      </c>
    </row>
    <row r="601" spans="1:17" x14ac:dyDescent="0.3">
      <c r="A601" s="1" t="s">
        <v>9</v>
      </c>
      <c r="B601" s="4">
        <v>5</v>
      </c>
      <c r="C601" s="1" t="s">
        <v>3</v>
      </c>
      <c r="D601" s="3">
        <v>44053</v>
      </c>
      <c r="E601" s="2">
        <v>35</v>
      </c>
      <c r="G601" s="2">
        <f>7.65+10.31</f>
        <v>17.96</v>
      </c>
      <c r="H601" s="14">
        <f t="shared" si="215"/>
        <v>0.51314285714285712</v>
      </c>
      <c r="I601" s="14">
        <f t="shared" si="216"/>
        <v>10.637312741312741</v>
      </c>
      <c r="K601" s="84"/>
      <c r="L601" s="85"/>
      <c r="M601" t="s">
        <v>18</v>
      </c>
      <c r="N601" s="35">
        <f>H627</f>
        <v>0.2939191176470588</v>
      </c>
      <c r="O601" s="35">
        <f>H630</f>
        <v>3.9046253311112167E-2</v>
      </c>
      <c r="P601" s="35">
        <f>I627</f>
        <v>7.0965208763329892</v>
      </c>
      <c r="Q601" s="35">
        <f>I630</f>
        <v>0.2364208834694527</v>
      </c>
    </row>
    <row r="602" spans="1:17" x14ac:dyDescent="0.3">
      <c r="A602" s="1" t="s">
        <v>9</v>
      </c>
      <c r="B602" s="4">
        <v>6</v>
      </c>
      <c r="C602" s="1" t="s">
        <v>4</v>
      </c>
      <c r="D602" s="3">
        <v>44053</v>
      </c>
      <c r="E602" s="2">
        <v>37</v>
      </c>
      <c r="G602" s="2">
        <f>12.9+0.43</f>
        <v>13.33</v>
      </c>
      <c r="H602" s="14">
        <f t="shared" si="215"/>
        <v>0.36027027027027025</v>
      </c>
      <c r="I602" s="14">
        <f t="shared" si="216"/>
        <v>9.6043243243243239</v>
      </c>
      <c r="K602" s="84"/>
      <c r="L602" s="85" t="s">
        <v>5</v>
      </c>
      <c r="M602" t="s">
        <v>17</v>
      </c>
      <c r="N602" s="35">
        <f>H610</f>
        <v>0.37830068414278939</v>
      </c>
      <c r="O602" s="35">
        <f>H613</f>
        <v>4.1766148103469278E-2</v>
      </c>
      <c r="P602" s="35">
        <f>I610</f>
        <v>9.6825837566890183</v>
      </c>
      <c r="Q602" s="35">
        <f>I613</f>
        <v>0.50726058436146659</v>
      </c>
    </row>
    <row r="603" spans="1:17" x14ac:dyDescent="0.3">
      <c r="A603" s="1" t="s">
        <v>9</v>
      </c>
      <c r="B603" s="4">
        <v>7</v>
      </c>
      <c r="C603" s="1" t="s">
        <v>5</v>
      </c>
      <c r="D603" s="3">
        <v>44053</v>
      </c>
      <c r="E603" s="2">
        <v>35</v>
      </c>
      <c r="G603" s="4">
        <v>11.33</v>
      </c>
      <c r="H603" s="14">
        <f t="shared" si="215"/>
        <v>0.32371428571428573</v>
      </c>
      <c r="I603" s="14">
        <f t="shared" si="216"/>
        <v>9.8964710424710418</v>
      </c>
      <c r="K603" s="84"/>
      <c r="L603" s="85"/>
      <c r="M603" t="s">
        <v>18</v>
      </c>
      <c r="N603" s="35">
        <f>H628</f>
        <v>0.42371365914786968</v>
      </c>
      <c r="O603" s="35">
        <f>H631</f>
        <v>0.18607967766069339</v>
      </c>
      <c r="P603" s="35">
        <f>I628</f>
        <v>7.7736180207463095</v>
      </c>
      <c r="Q603" s="35">
        <f>I631</f>
        <v>0.6888708300390517</v>
      </c>
    </row>
    <row r="604" spans="1:17" x14ac:dyDescent="0.3">
      <c r="A604" s="1" t="s">
        <v>9</v>
      </c>
      <c r="B604" s="4">
        <v>8</v>
      </c>
      <c r="C604" s="1" t="s">
        <v>3</v>
      </c>
      <c r="D604" s="3">
        <v>44053</v>
      </c>
      <c r="E604" s="2">
        <v>37</v>
      </c>
      <c r="G604" s="4">
        <v>13.02</v>
      </c>
      <c r="H604" s="14">
        <f t="shared" si="215"/>
        <v>0.35189189189189191</v>
      </c>
      <c r="I604" s="14">
        <f t="shared" si="216"/>
        <v>10.450810810810813</v>
      </c>
    </row>
    <row r="605" spans="1:17" x14ac:dyDescent="0.3">
      <c r="A605" s="1" t="s">
        <v>9</v>
      </c>
      <c r="B605" s="4">
        <v>9</v>
      </c>
      <c r="C605" s="1" t="s">
        <v>4</v>
      </c>
      <c r="D605" s="3">
        <v>44053</v>
      </c>
      <c r="E605" s="2">
        <v>36</v>
      </c>
      <c r="G605" s="4">
        <v>13.46</v>
      </c>
      <c r="H605" s="14">
        <f t="shared" si="215"/>
        <v>0.37388888888888894</v>
      </c>
      <c r="I605" s="14">
        <f t="shared" si="216"/>
        <v>9.6691891891891881</v>
      </c>
    </row>
    <row r="606" spans="1:17" s="37" customFormat="1" x14ac:dyDescent="0.3">
      <c r="A606" s="38" t="s">
        <v>9</v>
      </c>
      <c r="B606" s="39">
        <v>10</v>
      </c>
      <c r="C606" s="38" t="s">
        <v>5</v>
      </c>
      <c r="D606" s="40">
        <v>44053</v>
      </c>
      <c r="E606" s="41">
        <v>38</v>
      </c>
      <c r="G606" s="39">
        <v>14.67</v>
      </c>
      <c r="H606" s="42">
        <f t="shared" si="215"/>
        <v>0.38605263157894737</v>
      </c>
      <c r="I606" s="14">
        <f>I571+H606</f>
        <v>8.9826315789473661</v>
      </c>
    </row>
    <row r="607" spans="1:17" ht="15" thickBot="1" x14ac:dyDescent="0.35">
      <c r="A607" s="9" t="s">
        <v>9</v>
      </c>
      <c r="B607" s="15">
        <v>11</v>
      </c>
      <c r="C607" s="9" t="s">
        <v>3</v>
      </c>
      <c r="D607" s="16">
        <v>44053</v>
      </c>
      <c r="E607" s="17"/>
      <c r="F607" s="18"/>
      <c r="G607" s="18"/>
      <c r="H607" s="18"/>
      <c r="I607" s="18"/>
    </row>
    <row r="608" spans="1:17" ht="15" thickTop="1" x14ac:dyDescent="0.3">
      <c r="B608" s="20" t="s">
        <v>15</v>
      </c>
      <c r="C608" s="21" t="s">
        <v>3</v>
      </c>
      <c r="D608" s="22"/>
      <c r="E608" s="23"/>
      <c r="F608" s="23"/>
      <c r="G608" s="24">
        <f>AVERAGE(G598,G601,G604)</f>
        <v>15.803333333333333</v>
      </c>
      <c r="H608" s="24">
        <f t="shared" ref="H608:I608" si="217">AVERAGE(H598,H601,H604)</f>
        <v>0.44047454597454599</v>
      </c>
      <c r="I608" s="24">
        <f t="shared" si="217"/>
        <v>10.554944317944319</v>
      </c>
    </row>
    <row r="609" spans="1:9" x14ac:dyDescent="0.3">
      <c r="B609" s="20"/>
      <c r="C609" s="21" t="s">
        <v>4</v>
      </c>
      <c r="D609" s="22"/>
      <c r="E609" s="23"/>
      <c r="F609" s="23"/>
      <c r="G609" s="24">
        <f t="shared" ref="G609" si="218">AVERAGE(G599,G602,G605)</f>
        <v>13.24</v>
      </c>
      <c r="H609" s="24">
        <f t="shared" ref="H609:I609" si="219">AVERAGE(H599,H602,H605)</f>
        <v>0.37148442560207268</v>
      </c>
      <c r="I609" s="24">
        <f t="shared" si="219"/>
        <v>9.9530392156862746</v>
      </c>
    </row>
    <row r="610" spans="1:9" x14ac:dyDescent="0.3">
      <c r="B610" s="20"/>
      <c r="C610" s="21" t="s">
        <v>5</v>
      </c>
      <c r="D610" s="22"/>
      <c r="E610" s="23"/>
      <c r="F610" s="23"/>
      <c r="G610" s="24">
        <f t="shared" ref="G610" si="220">AVERAGE(G600,G603,G606)</f>
        <v>13.910000000000002</v>
      </c>
      <c r="H610" s="24">
        <f t="shared" ref="H610:I610" si="221">AVERAGE(H600,H603,H606)</f>
        <v>0.37830068414278939</v>
      </c>
      <c r="I610" s="24">
        <f t="shared" si="221"/>
        <v>9.6825837566890183</v>
      </c>
    </row>
    <row r="611" spans="1:9" x14ac:dyDescent="0.3">
      <c r="B611" s="25" t="s">
        <v>16</v>
      </c>
      <c r="C611" s="26" t="s">
        <v>3</v>
      </c>
      <c r="D611" s="27"/>
      <c r="E611" s="28"/>
      <c r="F611" s="28"/>
      <c r="G611" s="29">
        <f>_xlfn.STDEV.P(G598,G601,G604)</f>
        <v>2.0648540438060725</v>
      </c>
      <c r="H611" s="29">
        <f t="shared" ref="H611:I611" si="222">_xlfn.STDEV.P(H598,H601,H604)</f>
        <v>6.6785318653071524E-2</v>
      </c>
      <c r="I611" s="29">
        <f t="shared" si="222"/>
        <v>7.7678961861035359E-2</v>
      </c>
    </row>
    <row r="612" spans="1:9" x14ac:dyDescent="0.3">
      <c r="B612" s="25"/>
      <c r="C612" s="26" t="s">
        <v>4</v>
      </c>
      <c r="D612" s="27"/>
      <c r="E612" s="28"/>
      <c r="F612" s="28"/>
      <c r="G612" s="29">
        <f>_xlfn.STDEV.P(G599,G602,G605)</f>
        <v>0.22553639765383071</v>
      </c>
      <c r="H612" s="29">
        <f t="shared" ref="H612:I612" si="223">_xlfn.STDEV.P(H599,H602,H605)</f>
        <v>8.3496386634578871E-3</v>
      </c>
      <c r="I612" s="29">
        <f t="shared" si="223"/>
        <v>0.44807413386104766</v>
      </c>
    </row>
    <row r="613" spans="1:9" ht="15" thickBot="1" x14ac:dyDescent="0.35">
      <c r="A613" s="19"/>
      <c r="B613" s="30"/>
      <c r="C613" s="31" t="s">
        <v>5</v>
      </c>
      <c r="D613" s="32"/>
      <c r="E613" s="33"/>
      <c r="F613" s="33"/>
      <c r="G613" s="34">
        <f>_xlfn.STDEV.P(G600,G603,G606)</f>
        <v>1.8749577773023716</v>
      </c>
      <c r="H613" s="34">
        <f t="shared" ref="H613:I613" si="224">_xlfn.STDEV.P(H600,H603,H606)</f>
        <v>4.1766148103469278E-2</v>
      </c>
      <c r="I613" s="34">
        <f t="shared" si="224"/>
        <v>0.50726058436146659</v>
      </c>
    </row>
    <row r="614" spans="1:9" x14ac:dyDescent="0.3">
      <c r="A614" s="1" t="s">
        <v>10</v>
      </c>
      <c r="B614" s="4">
        <v>12</v>
      </c>
      <c r="C614" s="1" t="s">
        <v>3</v>
      </c>
      <c r="D614" s="3">
        <v>44053</v>
      </c>
      <c r="E614" s="2"/>
    </row>
    <row r="615" spans="1:9" s="37" customFormat="1" x14ac:dyDescent="0.3">
      <c r="A615" s="38" t="s">
        <v>10</v>
      </c>
      <c r="B615" s="39">
        <v>13</v>
      </c>
      <c r="C615" s="38" t="s">
        <v>3</v>
      </c>
      <c r="D615" s="40">
        <v>44053</v>
      </c>
      <c r="E615" s="41">
        <v>32</v>
      </c>
      <c r="G615" s="39">
        <v>10.029999999999999</v>
      </c>
      <c r="H615" s="42">
        <f>G615/E615</f>
        <v>0.31343749999999998</v>
      </c>
      <c r="I615" s="14">
        <f>I580+H615</f>
        <v>8.0778124999999985</v>
      </c>
    </row>
    <row r="616" spans="1:9" x14ac:dyDescent="0.3">
      <c r="A616" s="1" t="s">
        <v>10</v>
      </c>
      <c r="B616" s="4">
        <v>14</v>
      </c>
      <c r="C616" s="1" t="s">
        <v>4</v>
      </c>
      <c r="D616" s="3">
        <v>44053</v>
      </c>
      <c r="E616" s="2">
        <v>32</v>
      </c>
      <c r="G616" s="4">
        <v>8.02</v>
      </c>
      <c r="H616" s="14">
        <f t="shared" ref="H616:H623" si="225">G616/E616</f>
        <v>0.25062499999999999</v>
      </c>
      <c r="I616" s="14">
        <f t="shared" ref="I616:I622" si="226">I581+H616</f>
        <v>6.8805208333333336</v>
      </c>
    </row>
    <row r="617" spans="1:9" x14ac:dyDescent="0.3">
      <c r="A617" s="1" t="s">
        <v>10</v>
      </c>
      <c r="B617" s="4">
        <v>15</v>
      </c>
      <c r="C617" s="1" t="s">
        <v>5</v>
      </c>
      <c r="D617" s="3">
        <v>44053</v>
      </c>
      <c r="E617" s="2">
        <v>35</v>
      </c>
      <c r="G617" s="4">
        <v>7.36</v>
      </c>
      <c r="H617" s="14">
        <f t="shared" si="225"/>
        <v>0.2102857142857143</v>
      </c>
      <c r="I617" s="14">
        <f t="shared" si="226"/>
        <v>7.1634962406015035</v>
      </c>
    </row>
    <row r="618" spans="1:9" x14ac:dyDescent="0.3">
      <c r="A618" s="1" t="s">
        <v>10</v>
      </c>
      <c r="B618" s="4">
        <v>16</v>
      </c>
      <c r="C618" s="1" t="s">
        <v>3</v>
      </c>
      <c r="D618" s="3">
        <v>44053</v>
      </c>
      <c r="E618" s="2">
        <v>40</v>
      </c>
      <c r="G618" s="4">
        <v>14.18</v>
      </c>
      <c r="H618" s="14">
        <f t="shared" si="225"/>
        <v>0.35449999999999998</v>
      </c>
      <c r="I618" s="14">
        <f t="shared" si="226"/>
        <v>7.2627500000000014</v>
      </c>
    </row>
    <row r="619" spans="1:9" x14ac:dyDescent="0.3">
      <c r="A619" s="1" t="s">
        <v>10</v>
      </c>
      <c r="B619" s="4">
        <v>17</v>
      </c>
      <c r="C619" s="1" t="s">
        <v>4</v>
      </c>
      <c r="D619" s="3">
        <v>44053</v>
      </c>
      <c r="E619" s="2">
        <v>34</v>
      </c>
      <c r="G619" s="2">
        <v>9.7200000000000006</v>
      </c>
      <c r="H619" s="14">
        <f t="shared" si="225"/>
        <v>0.28588235294117648</v>
      </c>
      <c r="I619" s="14">
        <f t="shared" si="226"/>
        <v>7.4255417956656355</v>
      </c>
    </row>
    <row r="620" spans="1:9" x14ac:dyDescent="0.3">
      <c r="A620" s="1" t="s">
        <v>10</v>
      </c>
      <c r="B620" s="4">
        <v>18</v>
      </c>
      <c r="C620" s="1" t="s">
        <v>5</v>
      </c>
      <c r="D620" s="3">
        <v>44053</v>
      </c>
      <c r="E620" s="2">
        <v>38</v>
      </c>
      <c r="G620" s="2">
        <f>13.95+1.14</f>
        <v>15.09</v>
      </c>
      <c r="H620" s="14">
        <f t="shared" si="225"/>
        <v>0.39710526315789474</v>
      </c>
      <c r="I620" s="14">
        <f t="shared" si="226"/>
        <v>7.4209342105263154</v>
      </c>
    </row>
    <row r="621" spans="1:9" x14ac:dyDescent="0.3">
      <c r="A621" s="1" t="s">
        <v>10</v>
      </c>
      <c r="B621" s="4">
        <v>19</v>
      </c>
      <c r="C621" s="1" t="s">
        <v>3</v>
      </c>
      <c r="D621" s="3">
        <v>44053</v>
      </c>
      <c r="E621" s="2">
        <v>34</v>
      </c>
      <c r="G621" s="4">
        <v>10.98</v>
      </c>
      <c r="H621" s="14">
        <f t="shared" si="225"/>
        <v>0.32294117647058823</v>
      </c>
      <c r="I621" s="14">
        <f t="shared" si="226"/>
        <v>8.3086327503974555</v>
      </c>
    </row>
    <row r="622" spans="1:9" x14ac:dyDescent="0.3">
      <c r="A622" s="1" t="s">
        <v>10</v>
      </c>
      <c r="B622" s="4">
        <v>20</v>
      </c>
      <c r="C622" s="1" t="s">
        <v>4</v>
      </c>
      <c r="D622" s="3">
        <v>44053</v>
      </c>
      <c r="E622" s="2">
        <v>40</v>
      </c>
      <c r="G622" s="4">
        <f>9.91+3.9</f>
        <v>13.81</v>
      </c>
      <c r="H622" s="14">
        <f t="shared" si="225"/>
        <v>0.34525</v>
      </c>
      <c r="I622" s="14">
        <f t="shared" si="226"/>
        <v>6.9835000000000003</v>
      </c>
    </row>
    <row r="623" spans="1:9" x14ac:dyDescent="0.3">
      <c r="A623" s="1" t="s">
        <v>10</v>
      </c>
      <c r="B623" s="4">
        <v>21</v>
      </c>
      <c r="C623" s="1" t="s">
        <v>5</v>
      </c>
      <c r="D623" s="3">
        <v>44053</v>
      </c>
      <c r="E623" s="2">
        <v>32</v>
      </c>
      <c r="G623" s="4">
        <f>11.28+9.96</f>
        <v>21.240000000000002</v>
      </c>
      <c r="H623" s="14">
        <f t="shared" si="225"/>
        <v>0.66375000000000006</v>
      </c>
      <c r="I623" s="14">
        <f>I588+H623</f>
        <v>8.7364236111111122</v>
      </c>
    </row>
    <row r="624" spans="1:9" s="37" customFormat="1" x14ac:dyDescent="0.3">
      <c r="A624" s="38" t="s">
        <v>10</v>
      </c>
      <c r="B624" s="39">
        <v>22</v>
      </c>
      <c r="C624" s="38" t="s">
        <v>3</v>
      </c>
      <c r="D624" s="40">
        <v>44053</v>
      </c>
      <c r="E624" s="41">
        <v>38</v>
      </c>
      <c r="G624" s="39">
        <v>14.35</v>
      </c>
      <c r="H624" s="42">
        <f>G624/E624</f>
        <v>0.37763157894736843</v>
      </c>
      <c r="I624" s="14">
        <f>I589+H624</f>
        <v>8.5050000000000008</v>
      </c>
    </row>
    <row r="625" spans="1:24" x14ac:dyDescent="0.3">
      <c r="A625" s="5" t="s">
        <v>10</v>
      </c>
      <c r="B625" s="6">
        <v>23</v>
      </c>
      <c r="C625" s="5" t="s">
        <v>3</v>
      </c>
      <c r="D625" s="7">
        <v>44053</v>
      </c>
      <c r="E625" s="13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x14ac:dyDescent="0.3">
      <c r="B626" s="20" t="s">
        <v>15</v>
      </c>
      <c r="C626" s="21" t="s">
        <v>3</v>
      </c>
      <c r="D626" s="22"/>
      <c r="E626" s="23"/>
      <c r="F626" s="23"/>
      <c r="G626" s="24">
        <f t="shared" ref="G626:I626" si="227">AVERAGE(G615,G618,G621)</f>
        <v>11.729999999999999</v>
      </c>
      <c r="H626" s="24">
        <f t="shared" si="227"/>
        <v>0.33029289215686269</v>
      </c>
      <c r="I626" s="24">
        <f t="shared" si="227"/>
        <v>7.8830650834658185</v>
      </c>
    </row>
    <row r="627" spans="1:24" x14ac:dyDescent="0.3">
      <c r="B627" s="20"/>
      <c r="C627" s="21" t="s">
        <v>4</v>
      </c>
      <c r="D627" s="22"/>
      <c r="E627" s="23"/>
      <c r="F627" s="23"/>
      <c r="G627" s="24">
        <f t="shared" ref="G627:I627" si="228">AVERAGE(G616,G619,G622)</f>
        <v>10.516666666666667</v>
      </c>
      <c r="H627" s="24">
        <f t="shared" si="228"/>
        <v>0.2939191176470588</v>
      </c>
      <c r="I627" s="24">
        <f t="shared" si="228"/>
        <v>7.0965208763329892</v>
      </c>
    </row>
    <row r="628" spans="1:24" x14ac:dyDescent="0.3">
      <c r="B628" s="20"/>
      <c r="C628" s="21" t="s">
        <v>5</v>
      </c>
      <c r="D628" s="22"/>
      <c r="E628" s="23"/>
      <c r="F628" s="23"/>
      <c r="G628" s="24">
        <f t="shared" ref="G628:I628" si="229">AVERAGE(G617,G620,G623)</f>
        <v>14.563333333333333</v>
      </c>
      <c r="H628" s="24">
        <f t="shared" si="229"/>
        <v>0.42371365914786968</v>
      </c>
      <c r="I628" s="24">
        <f t="shared" si="229"/>
        <v>7.7736180207463095</v>
      </c>
    </row>
    <row r="629" spans="1:24" x14ac:dyDescent="0.3">
      <c r="B629" s="25" t="s">
        <v>16</v>
      </c>
      <c r="C629" s="26" t="s">
        <v>3</v>
      </c>
      <c r="D629" s="27"/>
      <c r="E629" s="28"/>
      <c r="F629" s="28"/>
      <c r="G629" s="29">
        <f>_xlfn.STDEV.P(G615,G618,G621)</f>
        <v>1.7752934029806715</v>
      </c>
      <c r="H629" s="29">
        <f t="shared" ref="H629:I629" si="230">_xlfn.STDEV.P(H615,H618,H621)</f>
        <v>1.7551220645325705E-2</v>
      </c>
      <c r="I629" s="29">
        <f t="shared" si="230"/>
        <v>0.44863689778393462</v>
      </c>
    </row>
    <row r="630" spans="1:24" x14ac:dyDescent="0.3">
      <c r="B630" s="25"/>
      <c r="C630" s="26" t="s">
        <v>4</v>
      </c>
      <c r="D630" s="27"/>
      <c r="E630" s="28"/>
      <c r="F630" s="28"/>
      <c r="G630" s="29">
        <f>_xlfn.STDEV.P(G616,G619,G622)</f>
        <v>2.429956561111505</v>
      </c>
      <c r="H630" s="29">
        <f t="shared" ref="H630:I630" si="231">_xlfn.STDEV.P(H616,H619,H622)</f>
        <v>3.9046253311112167E-2</v>
      </c>
      <c r="I630" s="29">
        <f t="shared" si="231"/>
        <v>0.2364208834694527</v>
      </c>
    </row>
    <row r="631" spans="1:24" ht="15" thickBot="1" x14ac:dyDescent="0.35">
      <c r="A631" s="19"/>
      <c r="B631" s="30"/>
      <c r="C631" s="31" t="s">
        <v>5</v>
      </c>
      <c r="D631" s="32"/>
      <c r="E631" s="33"/>
      <c r="F631" s="33"/>
      <c r="G631" s="34">
        <f>_xlfn.STDEV.P(G617,G620,G623)</f>
        <v>5.6787107300474098</v>
      </c>
      <c r="H631" s="34">
        <f t="shared" ref="H631:I631" si="232">_xlfn.STDEV.P(H617,H620,H623)</f>
        <v>0.18607967766069339</v>
      </c>
      <c r="I631" s="34">
        <f t="shared" si="232"/>
        <v>0.6888708300390517</v>
      </c>
    </row>
    <row r="632" spans="1:24" ht="15" thickBot="1" x14ac:dyDescent="0.35">
      <c r="A632" s="1" t="s">
        <v>9</v>
      </c>
      <c r="B632" s="4">
        <v>1</v>
      </c>
      <c r="C632" s="1" t="s">
        <v>11</v>
      </c>
      <c r="D632" s="3">
        <v>44060</v>
      </c>
      <c r="E632" s="2"/>
      <c r="N632" s="36" t="s">
        <v>13</v>
      </c>
      <c r="P632" s="36" t="s">
        <v>14</v>
      </c>
    </row>
    <row r="633" spans="1:24" s="37" customFormat="1" ht="15" thickTop="1" x14ac:dyDescent="0.3">
      <c r="A633" s="38" t="s">
        <v>9</v>
      </c>
      <c r="B633" s="39">
        <v>2</v>
      </c>
      <c r="C633" s="38" t="s">
        <v>3</v>
      </c>
      <c r="D633" s="40">
        <v>44060</v>
      </c>
      <c r="E633" s="41">
        <v>36</v>
      </c>
      <c r="G633" s="39">
        <f>5.62+4.47+9.63+6.08</f>
        <v>25.799999999999997</v>
      </c>
      <c r="H633" s="42">
        <f>G633/E633</f>
        <v>0.71666666666666656</v>
      </c>
      <c r="I633" s="14">
        <f>I598+H633</f>
        <v>11.293376068376068</v>
      </c>
      <c r="K633" s="84">
        <v>44060</v>
      </c>
      <c r="L633" s="85" t="s">
        <v>3</v>
      </c>
      <c r="M633" s="37" t="s">
        <v>17</v>
      </c>
      <c r="N633" s="43">
        <f>H643</f>
        <v>0.71683998283998296</v>
      </c>
      <c r="O633" s="43">
        <f>H646</f>
        <v>1.5807092294155653E-2</v>
      </c>
      <c r="P633" s="43">
        <f>I643</f>
        <v>11.271784300784303</v>
      </c>
      <c r="Q633" s="43">
        <f>I646</f>
        <v>9.3204699869182894E-2</v>
      </c>
    </row>
    <row r="634" spans="1:24" x14ac:dyDescent="0.3">
      <c r="A634" s="1" t="s">
        <v>9</v>
      </c>
      <c r="B634" s="4">
        <v>3</v>
      </c>
      <c r="C634" s="1" t="s">
        <v>4</v>
      </c>
      <c r="D634" s="3">
        <v>44060</v>
      </c>
      <c r="E634" s="2">
        <v>34</v>
      </c>
      <c r="G634" s="4">
        <f>4.29+6.52+9.79+2.64+7.46</f>
        <v>30.7</v>
      </c>
      <c r="H634" s="14">
        <f t="shared" ref="H634:H641" si="233">G634/E634</f>
        <v>0.90294117647058825</v>
      </c>
      <c r="I634" s="14">
        <f t="shared" ref="I634:I640" si="234">I599+H634</f>
        <v>11.488545310015899</v>
      </c>
      <c r="K634" s="84"/>
      <c r="L634" s="85"/>
      <c r="M634" t="s">
        <v>18</v>
      </c>
      <c r="N634" s="35">
        <f>H661</f>
        <v>0.44244362745098043</v>
      </c>
      <c r="O634" s="35">
        <f>H664</f>
        <v>3.4676201547571249E-2</v>
      </c>
      <c r="P634" s="35">
        <f>I661</f>
        <v>8.3255087109167984</v>
      </c>
      <c r="Q634" s="35">
        <f>I664</f>
        <v>0.41999616881083152</v>
      </c>
    </row>
    <row r="635" spans="1:24" x14ac:dyDescent="0.3">
      <c r="A635" s="1" t="s">
        <v>9</v>
      </c>
      <c r="B635" s="4">
        <v>4</v>
      </c>
      <c r="C635" s="1" t="s">
        <v>5</v>
      </c>
      <c r="D635" s="3">
        <v>44060</v>
      </c>
      <c r="E635" s="2">
        <v>37</v>
      </c>
      <c r="G635" s="4">
        <f>8.75+8.89</f>
        <v>17.64</v>
      </c>
      <c r="H635" s="14">
        <f t="shared" si="233"/>
        <v>0.47675675675675677</v>
      </c>
      <c r="I635" s="14">
        <f t="shared" si="234"/>
        <v>10.645405405405405</v>
      </c>
      <c r="K635" s="84"/>
      <c r="L635" s="85" t="s">
        <v>4</v>
      </c>
      <c r="M635" t="s">
        <v>17</v>
      </c>
      <c r="N635" s="35">
        <f>H644</f>
        <v>0.76510451628098686</v>
      </c>
      <c r="O635" s="35">
        <f>H647</f>
        <v>0.12798453070919835</v>
      </c>
      <c r="P635" s="35">
        <f>I644</f>
        <v>10.718143731967261</v>
      </c>
      <c r="Q635" s="35">
        <f>I647</f>
        <v>0.55563860113714547</v>
      </c>
    </row>
    <row r="636" spans="1:24" x14ac:dyDescent="0.3">
      <c r="A636" s="1" t="s">
        <v>9</v>
      </c>
      <c r="B636" s="4">
        <v>5</v>
      </c>
      <c r="C636" s="1" t="s">
        <v>3</v>
      </c>
      <c r="D636" s="3">
        <v>44060</v>
      </c>
      <c r="E636" s="2">
        <v>35</v>
      </c>
      <c r="G636" s="4">
        <f>11.38+7.1+7.29</f>
        <v>25.77</v>
      </c>
      <c r="H636" s="14">
        <f t="shared" si="233"/>
        <v>0.73628571428571432</v>
      </c>
      <c r="I636" s="14">
        <f t="shared" si="234"/>
        <v>11.373598455598454</v>
      </c>
      <c r="K636" s="84"/>
      <c r="L636" s="85"/>
      <c r="M636" t="s">
        <v>18</v>
      </c>
      <c r="N636" s="35">
        <f>H662</f>
        <v>0.55256740196078435</v>
      </c>
      <c r="O636" s="35">
        <f>H665</f>
        <v>3.3260012759975539E-2</v>
      </c>
      <c r="P636" s="35">
        <f>I662</f>
        <v>7.6490882782937737</v>
      </c>
      <c r="Q636" s="35">
        <f>I665</f>
        <v>0.25755107956630707</v>
      </c>
    </row>
    <row r="637" spans="1:24" x14ac:dyDescent="0.3">
      <c r="A637" s="1" t="s">
        <v>9</v>
      </c>
      <c r="B637" s="4">
        <v>6</v>
      </c>
      <c r="C637" s="1" t="s">
        <v>4</v>
      </c>
      <c r="D637" s="3">
        <v>44060</v>
      </c>
      <c r="E637" s="2">
        <v>37</v>
      </c>
      <c r="G637" s="2">
        <f>10.53+11.47</f>
        <v>22</v>
      </c>
      <c r="H637" s="14">
        <f t="shared" si="233"/>
        <v>0.59459459459459463</v>
      </c>
      <c r="I637" s="14">
        <f t="shared" si="234"/>
        <v>10.198918918918919</v>
      </c>
      <c r="K637" s="84"/>
      <c r="L637" s="85" t="s">
        <v>5</v>
      </c>
      <c r="M637" t="s">
        <v>17</v>
      </c>
      <c r="N637" s="35">
        <f>H645</f>
        <v>0.62283370588633746</v>
      </c>
      <c r="O637" s="35">
        <f>H648</f>
        <v>0.10329263635974419</v>
      </c>
      <c r="P637" s="35">
        <f>I645</f>
        <v>10.305417462575356</v>
      </c>
      <c r="Q637" s="35">
        <f>I648</f>
        <v>0.44351948591799495</v>
      </c>
    </row>
    <row r="638" spans="1:24" x14ac:dyDescent="0.3">
      <c r="A638" s="1" t="s">
        <v>9</v>
      </c>
      <c r="B638" s="4">
        <v>7</v>
      </c>
      <c r="C638" s="1" t="s">
        <v>5</v>
      </c>
      <c r="D638" s="3">
        <v>44060</v>
      </c>
      <c r="E638" s="2">
        <v>35</v>
      </c>
      <c r="G638" s="2">
        <f>4.91+19.43</f>
        <v>24.34</v>
      </c>
      <c r="H638" s="14">
        <f t="shared" si="233"/>
        <v>0.6954285714285714</v>
      </c>
      <c r="I638" s="14">
        <f t="shared" si="234"/>
        <v>10.591899613899614</v>
      </c>
      <c r="K638" s="84"/>
      <c r="L638" s="85"/>
      <c r="M638" t="s">
        <v>18</v>
      </c>
      <c r="N638" s="35">
        <f>H663</f>
        <v>0.46948057644110275</v>
      </c>
      <c r="O638" s="35">
        <f>H666</f>
        <v>0.12814213991782605</v>
      </c>
      <c r="P638" s="35">
        <f>I663</f>
        <v>8.243098597187414</v>
      </c>
      <c r="Q638" s="35">
        <f>I666</f>
        <v>0.80142807380386993</v>
      </c>
    </row>
    <row r="639" spans="1:24" x14ac:dyDescent="0.3">
      <c r="A639" s="1" t="s">
        <v>9</v>
      </c>
      <c r="B639" s="4">
        <v>8</v>
      </c>
      <c r="C639" s="1" t="s">
        <v>3</v>
      </c>
      <c r="D639" s="3">
        <v>44060</v>
      </c>
      <c r="E639" s="2">
        <v>37</v>
      </c>
      <c r="G639" s="4">
        <f>11.66+14.15</f>
        <v>25.810000000000002</v>
      </c>
      <c r="H639" s="14">
        <f t="shared" si="233"/>
        <v>0.69756756756756766</v>
      </c>
      <c r="I639" s="14">
        <f t="shared" si="234"/>
        <v>11.14837837837838</v>
      </c>
    </row>
    <row r="640" spans="1:24" x14ac:dyDescent="0.3">
      <c r="A640" s="1" t="s">
        <v>9</v>
      </c>
      <c r="B640" s="4">
        <v>9</v>
      </c>
      <c r="C640" s="1" t="s">
        <v>4</v>
      </c>
      <c r="D640" s="3">
        <v>44060</v>
      </c>
      <c r="E640" s="2">
        <v>36</v>
      </c>
      <c r="G640" s="4">
        <f>22.16+6.56</f>
        <v>28.72</v>
      </c>
      <c r="H640" s="14">
        <f t="shared" si="233"/>
        <v>0.7977777777777777</v>
      </c>
      <c r="I640" s="14">
        <f t="shared" si="234"/>
        <v>10.466966966966966</v>
      </c>
    </row>
    <row r="641" spans="1:9" s="37" customFormat="1" x14ac:dyDescent="0.3">
      <c r="A641" s="38" t="s">
        <v>9</v>
      </c>
      <c r="B641" s="39">
        <v>10</v>
      </c>
      <c r="C641" s="38" t="s">
        <v>5</v>
      </c>
      <c r="D641" s="40">
        <v>44060</v>
      </c>
      <c r="E641" s="41">
        <v>38</v>
      </c>
      <c r="G641" s="39">
        <f>11.23+14.46+0.77</f>
        <v>26.46</v>
      </c>
      <c r="H641" s="42">
        <f t="shared" si="233"/>
        <v>0.69631578947368422</v>
      </c>
      <c r="I641" s="14">
        <f>I606+H641</f>
        <v>9.678947368421051</v>
      </c>
    </row>
    <row r="642" spans="1:9" ht="15" thickBot="1" x14ac:dyDescent="0.35">
      <c r="A642" s="9" t="s">
        <v>9</v>
      </c>
      <c r="B642" s="15">
        <v>11</v>
      </c>
      <c r="C642" s="9" t="s">
        <v>3</v>
      </c>
      <c r="D642" s="16">
        <v>44060</v>
      </c>
      <c r="E642" s="17"/>
      <c r="F642" s="18"/>
      <c r="G642" s="18"/>
      <c r="H642" s="18"/>
      <c r="I642" s="18"/>
    </row>
    <row r="643" spans="1:9" ht="15" thickTop="1" x14ac:dyDescent="0.3">
      <c r="B643" s="20" t="s">
        <v>15</v>
      </c>
      <c r="C643" s="21" t="s">
        <v>3</v>
      </c>
      <c r="D643" s="22"/>
      <c r="E643" s="23"/>
      <c r="F643" s="23"/>
      <c r="G643" s="24">
        <f t="shared" ref="G643:I643" si="235">AVERAGE(G633,G636,G639)</f>
        <v>25.793333333333333</v>
      </c>
      <c r="H643" s="24">
        <f t="shared" si="235"/>
        <v>0.71683998283998296</v>
      </c>
      <c r="I643" s="24">
        <f t="shared" si="235"/>
        <v>11.271784300784303</v>
      </c>
    </row>
    <row r="644" spans="1:9" x14ac:dyDescent="0.3">
      <c r="B644" s="20"/>
      <c r="C644" s="21" t="s">
        <v>4</v>
      </c>
      <c r="D644" s="22"/>
      <c r="E644" s="23"/>
      <c r="F644" s="23"/>
      <c r="G644" s="24">
        <f t="shared" ref="G644:I644" si="236">AVERAGE(G634,G637,G640)</f>
        <v>27.14</v>
      </c>
      <c r="H644" s="24">
        <f t="shared" si="236"/>
        <v>0.76510451628098686</v>
      </c>
      <c r="I644" s="24">
        <f t="shared" si="236"/>
        <v>10.718143731967261</v>
      </c>
    </row>
    <row r="645" spans="1:9" x14ac:dyDescent="0.3">
      <c r="B645" s="20"/>
      <c r="C645" s="21" t="s">
        <v>5</v>
      </c>
      <c r="D645" s="22"/>
      <c r="E645" s="23"/>
      <c r="F645" s="23"/>
      <c r="G645" s="24">
        <f t="shared" ref="G645:I645" si="237">AVERAGE(G635,G638,G641)</f>
        <v>22.813333333333333</v>
      </c>
      <c r="H645" s="24">
        <f t="shared" si="237"/>
        <v>0.62283370588633746</v>
      </c>
      <c r="I645" s="24">
        <f t="shared" si="237"/>
        <v>10.305417462575356</v>
      </c>
    </row>
    <row r="646" spans="1:9" x14ac:dyDescent="0.3">
      <c r="B646" s="25" t="s">
        <v>16</v>
      </c>
      <c r="C646" s="26" t="s">
        <v>3</v>
      </c>
      <c r="D646" s="27"/>
      <c r="E646" s="28"/>
      <c r="F646" s="28"/>
      <c r="G646" s="29">
        <f>_xlfn.STDEV.P(G633,G636,G639)</f>
        <v>1.6996731711976517E-2</v>
      </c>
      <c r="H646" s="29">
        <f t="shared" ref="H646:I646" si="238">_xlfn.STDEV.P(H633,H636,H639)</f>
        <v>1.5807092294155653E-2</v>
      </c>
      <c r="I646" s="29">
        <f t="shared" si="238"/>
        <v>9.3204699869182894E-2</v>
      </c>
    </row>
    <row r="647" spans="1:9" x14ac:dyDescent="0.3">
      <c r="B647" s="25"/>
      <c r="C647" s="26" t="s">
        <v>4</v>
      </c>
      <c r="D647" s="27"/>
      <c r="E647" s="28"/>
      <c r="F647" s="28"/>
      <c r="G647" s="29">
        <f>_xlfn.STDEV.P(G634,G637,G640)</f>
        <v>3.7233318412411056</v>
      </c>
      <c r="H647" s="29">
        <f t="shared" ref="H647:I647" si="239">_xlfn.STDEV.P(H634,H637,H640)</f>
        <v>0.12798453070919835</v>
      </c>
      <c r="I647" s="29">
        <f t="shared" si="239"/>
        <v>0.55563860113714547</v>
      </c>
    </row>
    <row r="648" spans="1:9" ht="15" thickBot="1" x14ac:dyDescent="0.35">
      <c r="A648" s="19"/>
      <c r="B648" s="30"/>
      <c r="C648" s="31" t="s">
        <v>5</v>
      </c>
      <c r="D648" s="32"/>
      <c r="E648" s="33"/>
      <c r="F648" s="33"/>
      <c r="G648" s="34">
        <f>_xlfn.STDEV.P(G635,G638,G641)</f>
        <v>3.7590897243289598</v>
      </c>
      <c r="H648" s="34">
        <f t="shared" ref="H648:I648" si="240">_xlfn.STDEV.P(H635,H638,H641)</f>
        <v>0.10329263635974419</v>
      </c>
      <c r="I648" s="34">
        <f t="shared" si="240"/>
        <v>0.44351948591799495</v>
      </c>
    </row>
    <row r="649" spans="1:9" x14ac:dyDescent="0.3">
      <c r="A649" s="1" t="s">
        <v>10</v>
      </c>
      <c r="B649" s="4">
        <v>12</v>
      </c>
      <c r="C649" s="1" t="s">
        <v>3</v>
      </c>
      <c r="D649" s="3">
        <v>44060</v>
      </c>
      <c r="E649" s="2"/>
    </row>
    <row r="650" spans="1:9" s="37" customFormat="1" x14ac:dyDescent="0.3">
      <c r="A650" s="38" t="s">
        <v>10</v>
      </c>
      <c r="B650" s="39">
        <v>13</v>
      </c>
      <c r="C650" s="38" t="s">
        <v>3</v>
      </c>
      <c r="D650" s="40">
        <v>44060</v>
      </c>
      <c r="E650" s="41">
        <v>32</v>
      </c>
      <c r="G650" s="39">
        <v>12.94</v>
      </c>
      <c r="H650" s="42">
        <f>G650/E650</f>
        <v>0.40437499999999998</v>
      </c>
      <c r="I650" s="14">
        <f>I615+H650</f>
        <v>8.4821874999999984</v>
      </c>
    </row>
    <row r="651" spans="1:9" x14ac:dyDescent="0.3">
      <c r="A651" s="1" t="s">
        <v>10</v>
      </c>
      <c r="B651" s="4">
        <v>14</v>
      </c>
      <c r="C651" s="1" t="s">
        <v>4</v>
      </c>
      <c r="D651" s="3">
        <v>44060</v>
      </c>
      <c r="E651" s="2">
        <v>32</v>
      </c>
      <c r="G651" s="4">
        <f>13.3+4.73</f>
        <v>18.03</v>
      </c>
      <c r="H651" s="14">
        <f t="shared" ref="H651:H658" si="241">G651/E651</f>
        <v>0.56343750000000004</v>
      </c>
      <c r="I651" s="14">
        <f t="shared" ref="I651:I657" si="242">I616+H651</f>
        <v>7.4439583333333337</v>
      </c>
    </row>
    <row r="652" spans="1:9" x14ac:dyDescent="0.3">
      <c r="A652" s="1" t="s">
        <v>10</v>
      </c>
      <c r="B652" s="4">
        <v>15</v>
      </c>
      <c r="C652" s="1" t="s">
        <v>5</v>
      </c>
      <c r="D652" s="3">
        <v>44060</v>
      </c>
      <c r="E652" s="2">
        <v>35</v>
      </c>
      <c r="G652" s="4">
        <v>10.48</v>
      </c>
      <c r="H652" s="14">
        <f t="shared" si="241"/>
        <v>0.29942857142857143</v>
      </c>
      <c r="I652" s="14">
        <f t="shared" si="242"/>
        <v>7.4629248120300753</v>
      </c>
    </row>
    <row r="653" spans="1:9" x14ac:dyDescent="0.3">
      <c r="A653" s="1" t="s">
        <v>10</v>
      </c>
      <c r="B653" s="4">
        <v>16</v>
      </c>
      <c r="C653" s="1" t="s">
        <v>3</v>
      </c>
      <c r="D653" s="3">
        <v>44060</v>
      </c>
      <c r="E653" s="2">
        <v>40</v>
      </c>
      <c r="G653" s="4">
        <f>13.69+5.84</f>
        <v>19.53</v>
      </c>
      <c r="H653" s="14">
        <f t="shared" si="241"/>
        <v>0.48825000000000002</v>
      </c>
      <c r="I653" s="14">
        <f t="shared" si="242"/>
        <v>7.7510000000000012</v>
      </c>
    </row>
    <row r="654" spans="1:9" x14ac:dyDescent="0.3">
      <c r="A654" s="1" t="s">
        <v>10</v>
      </c>
      <c r="B654" s="4">
        <v>17</v>
      </c>
      <c r="C654" s="1" t="s">
        <v>4</v>
      </c>
      <c r="D654" s="3">
        <v>44060</v>
      </c>
      <c r="E654" s="2">
        <v>34</v>
      </c>
      <c r="G654" s="2">
        <v>19.95</v>
      </c>
      <c r="H654" s="14">
        <f t="shared" si="241"/>
        <v>0.58676470588235297</v>
      </c>
      <c r="I654" s="14">
        <f t="shared" si="242"/>
        <v>8.0123065015479877</v>
      </c>
    </row>
    <row r="655" spans="1:9" x14ac:dyDescent="0.3">
      <c r="A655" s="1" t="s">
        <v>10</v>
      </c>
      <c r="B655" s="4">
        <v>18</v>
      </c>
      <c r="C655" s="1" t="s">
        <v>5</v>
      </c>
      <c r="D655" s="3">
        <v>44060</v>
      </c>
      <c r="E655" s="2">
        <v>38</v>
      </c>
      <c r="G655" s="2">
        <v>19.010000000000002</v>
      </c>
      <c r="H655" s="14">
        <f t="shared" si="241"/>
        <v>0.50026315789473685</v>
      </c>
      <c r="I655" s="14">
        <f t="shared" si="242"/>
        <v>7.9211973684210522</v>
      </c>
    </row>
    <row r="656" spans="1:9" x14ac:dyDescent="0.3">
      <c r="A656" s="1" t="s">
        <v>10</v>
      </c>
      <c r="B656" s="4">
        <v>19</v>
      </c>
      <c r="C656" s="1" t="s">
        <v>3</v>
      </c>
      <c r="D656" s="3">
        <v>44060</v>
      </c>
      <c r="E656" s="2">
        <v>34</v>
      </c>
      <c r="G656" s="4">
        <v>14.78</v>
      </c>
      <c r="H656" s="14">
        <f t="shared" si="241"/>
        <v>0.43470588235294116</v>
      </c>
      <c r="I656" s="14">
        <f t="shared" si="242"/>
        <v>8.7433386327503975</v>
      </c>
    </row>
    <row r="657" spans="1:24" x14ac:dyDescent="0.3">
      <c r="A657" s="1" t="s">
        <v>10</v>
      </c>
      <c r="B657" s="4">
        <v>20</v>
      </c>
      <c r="C657" s="1" t="s">
        <v>4</v>
      </c>
      <c r="D657" s="3">
        <v>44060</v>
      </c>
      <c r="E657" s="2">
        <v>40</v>
      </c>
      <c r="G657" s="4">
        <f>9.78+10.52</f>
        <v>20.299999999999997</v>
      </c>
      <c r="H657" s="14">
        <f t="shared" si="241"/>
        <v>0.50749999999999995</v>
      </c>
      <c r="I657" s="14">
        <f t="shared" si="242"/>
        <v>7.4910000000000005</v>
      </c>
    </row>
    <row r="658" spans="1:24" x14ac:dyDescent="0.3">
      <c r="A658" s="1" t="s">
        <v>10</v>
      </c>
      <c r="B658" s="4">
        <v>21</v>
      </c>
      <c r="C658" s="1" t="s">
        <v>5</v>
      </c>
      <c r="D658" s="3">
        <v>44060</v>
      </c>
      <c r="E658" s="2">
        <v>32</v>
      </c>
      <c r="G658" s="4">
        <f>7.3+12.18</f>
        <v>19.48</v>
      </c>
      <c r="H658" s="14">
        <f t="shared" si="241"/>
        <v>0.60875000000000001</v>
      </c>
      <c r="I658" s="14">
        <f>I623+H658</f>
        <v>9.3451736111111128</v>
      </c>
    </row>
    <row r="659" spans="1:24" s="37" customFormat="1" x14ac:dyDescent="0.3">
      <c r="A659" s="38" t="s">
        <v>10</v>
      </c>
      <c r="B659" s="39">
        <v>22</v>
      </c>
      <c r="C659" s="38" t="s">
        <v>3</v>
      </c>
      <c r="D659" s="40">
        <v>44060</v>
      </c>
      <c r="E659" s="41">
        <v>38</v>
      </c>
      <c r="G659" s="39">
        <f>5.93+12.74</f>
        <v>18.670000000000002</v>
      </c>
      <c r="H659" s="42">
        <f>G659/E659</f>
        <v>0.49131578947368426</v>
      </c>
      <c r="I659" s="14">
        <f>I624+H659</f>
        <v>8.9963157894736856</v>
      </c>
    </row>
    <row r="660" spans="1:24" x14ac:dyDescent="0.3">
      <c r="A660" s="5" t="s">
        <v>10</v>
      </c>
      <c r="B660" s="6">
        <v>23</v>
      </c>
      <c r="C660" s="5" t="s">
        <v>3</v>
      </c>
      <c r="D660" s="7">
        <v>44060</v>
      </c>
      <c r="E660" s="13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x14ac:dyDescent="0.3">
      <c r="B661" s="20" t="s">
        <v>15</v>
      </c>
      <c r="C661" s="21" t="s">
        <v>3</v>
      </c>
      <c r="D661" s="22"/>
      <c r="E661" s="23"/>
      <c r="F661" s="23"/>
      <c r="G661" s="24">
        <f t="shared" ref="G661:I661" si="243">AVERAGE(G650,G653,G656)</f>
        <v>15.75</v>
      </c>
      <c r="H661" s="24">
        <f t="shared" si="243"/>
        <v>0.44244362745098043</v>
      </c>
      <c r="I661" s="24">
        <f t="shared" si="243"/>
        <v>8.3255087109167984</v>
      </c>
    </row>
    <row r="662" spans="1:24" x14ac:dyDescent="0.3">
      <c r="B662" s="20"/>
      <c r="C662" s="21" t="s">
        <v>4</v>
      </c>
      <c r="D662" s="22"/>
      <c r="E662" s="23"/>
      <c r="F662" s="23"/>
      <c r="G662" s="24">
        <f t="shared" ref="G662:I662" si="244">AVERAGE(G651,G654,G657)</f>
        <v>19.426666666666666</v>
      </c>
      <c r="H662" s="24">
        <f t="shared" si="244"/>
        <v>0.55256740196078435</v>
      </c>
      <c r="I662" s="24">
        <f t="shared" si="244"/>
        <v>7.6490882782937737</v>
      </c>
    </row>
    <row r="663" spans="1:24" x14ac:dyDescent="0.3">
      <c r="B663" s="20"/>
      <c r="C663" s="21" t="s">
        <v>5</v>
      </c>
      <c r="D663" s="22"/>
      <c r="E663" s="23"/>
      <c r="F663" s="23"/>
      <c r="G663" s="24">
        <f t="shared" ref="G663:I663" si="245">AVERAGE(G652,G655,G658)</f>
        <v>16.323333333333334</v>
      </c>
      <c r="H663" s="24">
        <f t="shared" si="245"/>
        <v>0.46948057644110275</v>
      </c>
      <c r="I663" s="24">
        <f t="shared" si="245"/>
        <v>8.243098597187414</v>
      </c>
    </row>
    <row r="664" spans="1:24" x14ac:dyDescent="0.3">
      <c r="B664" s="25" t="s">
        <v>16</v>
      </c>
      <c r="C664" s="26" t="s">
        <v>3</v>
      </c>
      <c r="D664" s="27"/>
      <c r="E664" s="28"/>
      <c r="F664" s="28"/>
      <c r="G664" s="29">
        <f>_xlfn.STDEV.P(G650,G653,G656)</f>
        <v>2.776412553398123</v>
      </c>
      <c r="H664" s="29">
        <f t="shared" ref="H664:I664" si="246">_xlfn.STDEV.P(H650,H653,H656)</f>
        <v>3.4676201547571249E-2</v>
      </c>
      <c r="I664" s="29">
        <f t="shared" si="246"/>
        <v>0.41999616881083152</v>
      </c>
    </row>
    <row r="665" spans="1:24" x14ac:dyDescent="0.3">
      <c r="B665" s="25"/>
      <c r="C665" s="26" t="s">
        <v>4</v>
      </c>
      <c r="D665" s="27"/>
      <c r="E665" s="28"/>
      <c r="F665" s="28"/>
      <c r="G665" s="29">
        <f>_xlfn.STDEV.P(G651,G654,G657)</f>
        <v>0.99787552107241939</v>
      </c>
      <c r="H665" s="29">
        <f t="shared" ref="H665:I665" si="247">_xlfn.STDEV.P(H651,H654,H657)</f>
        <v>3.3260012759975539E-2</v>
      </c>
      <c r="I665" s="29">
        <f t="shared" si="247"/>
        <v>0.25755107956630707</v>
      </c>
    </row>
    <row r="666" spans="1:24" ht="15" thickBot="1" x14ac:dyDescent="0.35">
      <c r="A666" s="19"/>
      <c r="B666" s="30"/>
      <c r="C666" s="31" t="s">
        <v>5</v>
      </c>
      <c r="D666" s="32"/>
      <c r="E666" s="33"/>
      <c r="F666" s="33"/>
      <c r="G666" s="34">
        <f>_xlfn.STDEV.P(G652,G655,G658)</f>
        <v>4.1363134418088885</v>
      </c>
      <c r="H666" s="34">
        <f t="shared" ref="H666:I666" si="248">_xlfn.STDEV.P(H652,H655,H658)</f>
        <v>0.12814213991782605</v>
      </c>
      <c r="I666" s="34">
        <f t="shared" si="248"/>
        <v>0.80142807380386993</v>
      </c>
    </row>
    <row r="667" spans="1:24" ht="15" thickBot="1" x14ac:dyDescent="0.35">
      <c r="A667" s="1" t="s">
        <v>9</v>
      </c>
      <c r="B667" s="4">
        <v>1</v>
      </c>
      <c r="C667" s="1" t="s">
        <v>11</v>
      </c>
      <c r="D667" s="3">
        <v>44067</v>
      </c>
      <c r="E667" s="2"/>
      <c r="N667" s="36" t="s">
        <v>13</v>
      </c>
      <c r="P667" s="36" t="s">
        <v>14</v>
      </c>
    </row>
    <row r="668" spans="1:24" s="37" customFormat="1" ht="15" thickTop="1" x14ac:dyDescent="0.3">
      <c r="A668" s="38" t="s">
        <v>9</v>
      </c>
      <c r="B668" s="39">
        <v>2</v>
      </c>
      <c r="C668" s="38" t="s">
        <v>3</v>
      </c>
      <c r="D668" s="40">
        <v>44067</v>
      </c>
      <c r="E668" s="41">
        <v>36</v>
      </c>
      <c r="G668" s="39">
        <f>15.66+8.75</f>
        <v>24.41</v>
      </c>
      <c r="H668" s="42">
        <f>G668/E668</f>
        <v>0.67805555555555552</v>
      </c>
      <c r="I668" s="14">
        <f>I633+H668</f>
        <v>11.971431623931624</v>
      </c>
      <c r="K668" s="84">
        <v>44067</v>
      </c>
      <c r="L668" s="85" t="s">
        <v>3</v>
      </c>
      <c r="M668" s="37" t="s">
        <v>17</v>
      </c>
      <c r="N668" s="43">
        <f>H678</f>
        <v>0.67835828685828681</v>
      </c>
      <c r="O668" s="43">
        <f>H681</f>
        <v>4.6008031205734511E-2</v>
      </c>
      <c r="P668" s="43">
        <f>I678</f>
        <v>11.950142587642588</v>
      </c>
      <c r="Q668" s="43">
        <f>I681</f>
        <v>0.13877214872113355</v>
      </c>
    </row>
    <row r="669" spans="1:24" x14ac:dyDescent="0.3">
      <c r="A669" s="1" t="s">
        <v>9</v>
      </c>
      <c r="B669" s="4">
        <v>3</v>
      </c>
      <c r="C669" s="1" t="s">
        <v>4</v>
      </c>
      <c r="D669" s="3">
        <v>44067</v>
      </c>
      <c r="E669" s="2">
        <v>34</v>
      </c>
      <c r="G669" s="4">
        <f>7.24+10.04</f>
        <v>17.28</v>
      </c>
      <c r="H669" s="14">
        <f t="shared" ref="H669:H676" si="249">G669/E669</f>
        <v>0.50823529411764712</v>
      </c>
      <c r="I669" s="14">
        <f t="shared" ref="I669:I675" si="250">I634+H669</f>
        <v>11.996780604133546</v>
      </c>
      <c r="K669" s="84"/>
      <c r="L669" s="85"/>
      <c r="M669" t="s">
        <v>18</v>
      </c>
      <c r="N669" s="35">
        <f>H696</f>
        <v>0.45059558823529411</v>
      </c>
      <c r="O669" s="35">
        <f>H699</f>
        <v>8.2211310941807073E-2</v>
      </c>
      <c r="P669" s="35">
        <f>I696</f>
        <v>8.7761042991520934</v>
      </c>
      <c r="Q669" s="35">
        <f>I699</f>
        <v>0.46333623490554404</v>
      </c>
    </row>
    <row r="670" spans="1:24" x14ac:dyDescent="0.3">
      <c r="A670" s="1" t="s">
        <v>9</v>
      </c>
      <c r="B670" s="4">
        <v>4</v>
      </c>
      <c r="C670" s="1" t="s">
        <v>5</v>
      </c>
      <c r="D670" s="3">
        <v>44067</v>
      </c>
      <c r="E670" s="2">
        <v>37</v>
      </c>
      <c r="G670" s="4">
        <f>9.3+9.55</f>
        <v>18.850000000000001</v>
      </c>
      <c r="H670" s="14">
        <f t="shared" si="249"/>
        <v>0.50945945945945947</v>
      </c>
      <c r="I670" s="14">
        <f t="shared" si="250"/>
        <v>11.154864864864866</v>
      </c>
      <c r="K670" s="84"/>
      <c r="L670" s="85" t="s">
        <v>4</v>
      </c>
      <c r="M670" t="s">
        <v>17</v>
      </c>
      <c r="N670" s="35">
        <f>H679</f>
        <v>0.52488473767885535</v>
      </c>
      <c r="O670" s="35">
        <f>H682</f>
        <v>6.9822623854020258E-2</v>
      </c>
      <c r="P670" s="35">
        <f>I679</f>
        <v>11.243028469646115</v>
      </c>
      <c r="Q670" s="35">
        <f>I682</f>
        <v>0.56200116208912021</v>
      </c>
    </row>
    <row r="671" spans="1:24" x14ac:dyDescent="0.3">
      <c r="A671" s="1" t="s">
        <v>9</v>
      </c>
      <c r="B671" s="4">
        <v>5</v>
      </c>
      <c r="C671" s="1" t="s">
        <v>3</v>
      </c>
      <c r="D671" s="3">
        <v>44067</v>
      </c>
      <c r="E671" s="2">
        <v>35</v>
      </c>
      <c r="G671" s="4">
        <f>12.52+13.2</f>
        <v>25.72</v>
      </c>
      <c r="H671" s="14">
        <f t="shared" si="249"/>
        <v>0.73485714285714288</v>
      </c>
      <c r="I671" s="14">
        <f t="shared" si="250"/>
        <v>12.108455598455597</v>
      </c>
      <c r="K671" s="84"/>
      <c r="L671" s="85"/>
      <c r="M671" t="s">
        <v>18</v>
      </c>
      <c r="N671" s="35">
        <f>H697</f>
        <v>0.43555179308565534</v>
      </c>
      <c r="O671" s="35">
        <f>H700</f>
        <v>8.0623393968730431E-2</v>
      </c>
      <c r="P671" s="35">
        <f>I697</f>
        <v>8.0846400713794289</v>
      </c>
      <c r="Q671" s="35">
        <f>I700</f>
        <v>0.2278025076800764</v>
      </c>
    </row>
    <row r="672" spans="1:24" x14ac:dyDescent="0.3">
      <c r="A672" s="1" t="s">
        <v>9</v>
      </c>
      <c r="B672" s="4">
        <v>6</v>
      </c>
      <c r="C672" s="1" t="s">
        <v>4</v>
      </c>
      <c r="D672" s="3">
        <v>44067</v>
      </c>
      <c r="E672" s="2">
        <v>37</v>
      </c>
      <c r="G672" s="2">
        <v>16.61</v>
      </c>
      <c r="H672" s="14">
        <f t="shared" si="249"/>
        <v>0.44891891891891889</v>
      </c>
      <c r="I672" s="14">
        <f t="shared" si="250"/>
        <v>10.647837837837837</v>
      </c>
      <c r="K672" s="84"/>
      <c r="L672" s="85" t="s">
        <v>5</v>
      </c>
      <c r="M672" t="s">
        <v>17</v>
      </c>
      <c r="N672" s="35">
        <f>H680</f>
        <v>0.54877470703786491</v>
      </c>
      <c r="O672" s="35">
        <f>H683</f>
        <v>4.1748699561914827E-2</v>
      </c>
      <c r="P672" s="35">
        <f>I680</f>
        <v>10.854192169613222</v>
      </c>
      <c r="Q672" s="35">
        <f>I683</f>
        <v>0.40232874452634565</v>
      </c>
    </row>
    <row r="673" spans="1:17" x14ac:dyDescent="0.3">
      <c r="A673" s="1" t="s">
        <v>9</v>
      </c>
      <c r="B673" s="4">
        <v>7</v>
      </c>
      <c r="C673" s="1" t="s">
        <v>5</v>
      </c>
      <c r="D673" s="3">
        <v>44067</v>
      </c>
      <c r="E673" s="2">
        <v>35</v>
      </c>
      <c r="G673" s="2">
        <f>16.29+2.27</f>
        <v>18.559999999999999</v>
      </c>
      <c r="H673" s="14">
        <f t="shared" si="249"/>
        <v>0.53028571428571425</v>
      </c>
      <c r="I673" s="14">
        <f t="shared" si="250"/>
        <v>11.122185328185328</v>
      </c>
      <c r="K673" s="84"/>
      <c r="L673" s="85"/>
      <c r="M673" t="s">
        <v>18</v>
      </c>
      <c r="N673" s="35">
        <f>H698</f>
        <v>0.48929871553884707</v>
      </c>
      <c r="O673" s="35">
        <f>H701</f>
        <v>0.19794533929006289</v>
      </c>
      <c r="P673" s="35">
        <f>I698</f>
        <v>8.7323973127262615</v>
      </c>
      <c r="Q673" s="35">
        <f>I701</f>
        <v>0.99929348696245068</v>
      </c>
    </row>
    <row r="674" spans="1:17" x14ac:dyDescent="0.3">
      <c r="A674" s="1" t="s">
        <v>9</v>
      </c>
      <c r="B674" s="4">
        <v>8</v>
      </c>
      <c r="C674" s="1" t="s">
        <v>3</v>
      </c>
      <c r="D674" s="3">
        <v>44067</v>
      </c>
      <c r="E674" s="2">
        <v>37</v>
      </c>
      <c r="G674" s="4">
        <f>17.55+5.47</f>
        <v>23.02</v>
      </c>
      <c r="H674" s="14">
        <f t="shared" si="249"/>
        <v>0.62216216216216214</v>
      </c>
      <c r="I674" s="14">
        <f t="shared" si="250"/>
        <v>11.770540540540543</v>
      </c>
    </row>
    <row r="675" spans="1:17" x14ac:dyDescent="0.3">
      <c r="A675" s="1" t="s">
        <v>9</v>
      </c>
      <c r="B675" s="4">
        <v>9</v>
      </c>
      <c r="C675" s="1" t="s">
        <v>4</v>
      </c>
      <c r="D675" s="3">
        <v>44067</v>
      </c>
      <c r="E675" s="2">
        <v>36</v>
      </c>
      <c r="G675" s="4">
        <f>8.83+13.4</f>
        <v>22.23</v>
      </c>
      <c r="H675" s="14">
        <f t="shared" si="249"/>
        <v>0.61750000000000005</v>
      </c>
      <c r="I675" s="14">
        <f t="shared" si="250"/>
        <v>11.084466966966966</v>
      </c>
    </row>
    <row r="676" spans="1:17" s="37" customFormat="1" x14ac:dyDescent="0.3">
      <c r="A676" s="38" t="s">
        <v>9</v>
      </c>
      <c r="B676" s="39">
        <v>10</v>
      </c>
      <c r="C676" s="38" t="s">
        <v>5</v>
      </c>
      <c r="D676" s="40">
        <v>44067</v>
      </c>
      <c r="E676" s="41">
        <v>38</v>
      </c>
      <c r="G676" s="39">
        <f>11.52+11.53</f>
        <v>23.049999999999997</v>
      </c>
      <c r="H676" s="42">
        <f t="shared" si="249"/>
        <v>0.606578947368421</v>
      </c>
      <c r="I676" s="14">
        <f>I641+H676</f>
        <v>10.285526315789472</v>
      </c>
    </row>
    <row r="677" spans="1:17" ht="15" thickBot="1" x14ac:dyDescent="0.35">
      <c r="A677" s="9" t="s">
        <v>9</v>
      </c>
      <c r="B677" s="15">
        <v>11</v>
      </c>
      <c r="C677" s="9" t="s">
        <v>3</v>
      </c>
      <c r="D677" s="16">
        <v>44067</v>
      </c>
      <c r="E677" s="17"/>
      <c r="F677" s="18"/>
      <c r="G677" s="18"/>
      <c r="H677" s="18"/>
      <c r="I677" s="18"/>
    </row>
    <row r="678" spans="1:17" ht="15" thickTop="1" x14ac:dyDescent="0.3">
      <c r="B678" s="20" t="s">
        <v>15</v>
      </c>
      <c r="C678" s="21" t="s">
        <v>3</v>
      </c>
      <c r="D678" s="22"/>
      <c r="E678" s="23"/>
      <c r="F678" s="23"/>
      <c r="G678" s="24">
        <f t="shared" ref="G678:I678" si="251">AVERAGE(G668,G671,G674)</f>
        <v>24.383333333333329</v>
      </c>
      <c r="H678" s="24">
        <f t="shared" si="251"/>
        <v>0.67835828685828681</v>
      </c>
      <c r="I678" s="24">
        <f t="shared" si="251"/>
        <v>11.950142587642588</v>
      </c>
    </row>
    <row r="679" spans="1:17" x14ac:dyDescent="0.3">
      <c r="B679" s="20"/>
      <c r="C679" s="21" t="s">
        <v>4</v>
      </c>
      <c r="D679" s="22"/>
      <c r="E679" s="23"/>
      <c r="F679" s="23"/>
      <c r="G679" s="24">
        <f t="shared" ref="G679:I679" si="252">AVERAGE(G669,G672,G675)</f>
        <v>18.706666666666667</v>
      </c>
      <c r="H679" s="24">
        <f t="shared" si="252"/>
        <v>0.52488473767885535</v>
      </c>
      <c r="I679" s="24">
        <f t="shared" si="252"/>
        <v>11.243028469646115</v>
      </c>
    </row>
    <row r="680" spans="1:17" x14ac:dyDescent="0.3">
      <c r="B680" s="20"/>
      <c r="C680" s="21" t="s">
        <v>5</v>
      </c>
      <c r="D680" s="22"/>
      <c r="E680" s="23"/>
      <c r="F680" s="23"/>
      <c r="G680" s="24">
        <f t="shared" ref="G680:I680" si="253">AVERAGE(G670,G673,G676)</f>
        <v>20.153333333333332</v>
      </c>
      <c r="H680" s="24">
        <f t="shared" si="253"/>
        <v>0.54877470703786491</v>
      </c>
      <c r="I680" s="24">
        <f t="shared" si="253"/>
        <v>10.854192169613222</v>
      </c>
    </row>
    <row r="681" spans="1:17" x14ac:dyDescent="0.3">
      <c r="B681" s="25" t="s">
        <v>16</v>
      </c>
      <c r="C681" s="26" t="s">
        <v>3</v>
      </c>
      <c r="D681" s="27"/>
      <c r="E681" s="28"/>
      <c r="F681" s="28"/>
      <c r="G681" s="29">
        <f>_xlfn.STDEV.P(G668,G671,G674)</f>
        <v>1.1024316557299845</v>
      </c>
      <c r="H681" s="29">
        <f t="shared" ref="H681:I681" si="254">_xlfn.STDEV.P(H668,H671,H674)</f>
        <v>4.6008031205734511E-2</v>
      </c>
      <c r="I681" s="29">
        <f t="shared" si="254"/>
        <v>0.13877214872113355</v>
      </c>
    </row>
    <row r="682" spans="1:17" x14ac:dyDescent="0.3">
      <c r="B682" s="25"/>
      <c r="C682" s="26" t="s">
        <v>4</v>
      </c>
      <c r="D682" s="27"/>
      <c r="E682" s="28"/>
      <c r="F682" s="28"/>
      <c r="G682" s="29">
        <f>_xlfn.STDEV.P(G669,G672,G675)</f>
        <v>2.506343064218358</v>
      </c>
      <c r="H682" s="29">
        <f t="shared" ref="H682:I682" si="255">_xlfn.STDEV.P(H669,H672,H675)</f>
        <v>6.9822623854020258E-2</v>
      </c>
      <c r="I682" s="29">
        <f t="shared" si="255"/>
        <v>0.56200116208912021</v>
      </c>
    </row>
    <row r="683" spans="1:17" ht="15" thickBot="1" x14ac:dyDescent="0.35">
      <c r="A683" s="19"/>
      <c r="B683" s="30"/>
      <c r="C683" s="31" t="s">
        <v>5</v>
      </c>
      <c r="D683" s="32"/>
      <c r="E683" s="33"/>
      <c r="F683" s="33"/>
      <c r="G683" s="34">
        <f>_xlfn.STDEV.P(G670,G673,G676)</f>
        <v>2.0516714053560214</v>
      </c>
      <c r="H683" s="34">
        <f t="shared" ref="H683:I683" si="256">_xlfn.STDEV.P(H670,H673,H676)</f>
        <v>4.1748699561914827E-2</v>
      </c>
      <c r="I683" s="34">
        <f t="shared" si="256"/>
        <v>0.40232874452634565</v>
      </c>
    </row>
    <row r="684" spans="1:17" x14ac:dyDescent="0.3">
      <c r="A684" s="1" t="s">
        <v>10</v>
      </c>
      <c r="B684" s="4">
        <v>12</v>
      </c>
      <c r="C684" s="1" t="s">
        <v>3</v>
      </c>
      <c r="D684" s="3">
        <v>44067</v>
      </c>
      <c r="E684" s="2"/>
    </row>
    <row r="685" spans="1:17" s="37" customFormat="1" x14ac:dyDescent="0.3">
      <c r="A685" s="38" t="s">
        <v>10</v>
      </c>
      <c r="B685" s="39">
        <v>13</v>
      </c>
      <c r="C685" s="38" t="s">
        <v>3</v>
      </c>
      <c r="D685" s="40">
        <v>44067</v>
      </c>
      <c r="E685" s="41">
        <v>32</v>
      </c>
      <c r="G685" s="39">
        <f>1.87+16.19</f>
        <v>18.060000000000002</v>
      </c>
      <c r="H685" s="42">
        <f>G685/E685</f>
        <v>0.56437500000000007</v>
      </c>
      <c r="I685" s="14">
        <f>I650+H685</f>
        <v>9.0465624999999985</v>
      </c>
    </row>
    <row r="686" spans="1:17" x14ac:dyDescent="0.3">
      <c r="A686" s="1" t="s">
        <v>10</v>
      </c>
      <c r="B686" s="4">
        <v>14</v>
      </c>
      <c r="C686" s="1" t="s">
        <v>4</v>
      </c>
      <c r="D686" s="3">
        <v>44067</v>
      </c>
      <c r="E686" s="2">
        <v>32</v>
      </c>
      <c r="G686" s="4">
        <f>8.37+4</f>
        <v>12.37</v>
      </c>
      <c r="H686" s="14">
        <f t="shared" ref="H686:H693" si="257">G686/E686</f>
        <v>0.38656249999999998</v>
      </c>
      <c r="I686" s="14">
        <f t="shared" ref="I686:I692" si="258">I651+H686</f>
        <v>7.8305208333333338</v>
      </c>
    </row>
    <row r="687" spans="1:17" x14ac:dyDescent="0.3">
      <c r="A687" s="1" t="s">
        <v>10</v>
      </c>
      <c r="B687" s="4">
        <v>15</v>
      </c>
      <c r="C687" s="1" t="s">
        <v>5</v>
      </c>
      <c r="D687" s="3">
        <v>44067</v>
      </c>
      <c r="E687" s="2">
        <v>35</v>
      </c>
      <c r="G687" s="4">
        <f>7.87+2.74</f>
        <v>10.61</v>
      </c>
      <c r="H687" s="14">
        <f t="shared" si="257"/>
        <v>0.3031428571428571</v>
      </c>
      <c r="I687" s="14">
        <f t="shared" si="258"/>
        <v>7.7660676691729327</v>
      </c>
    </row>
    <row r="688" spans="1:17" x14ac:dyDescent="0.3">
      <c r="A688" s="1" t="s">
        <v>10</v>
      </c>
      <c r="B688" s="4">
        <v>16</v>
      </c>
      <c r="C688" s="1" t="s">
        <v>3</v>
      </c>
      <c r="D688" s="3">
        <v>44067</v>
      </c>
      <c r="E688" s="2">
        <v>40</v>
      </c>
      <c r="G688" s="4">
        <f>4.63+10.29</f>
        <v>14.919999999999998</v>
      </c>
      <c r="H688" s="14">
        <f t="shared" si="257"/>
        <v>0.37299999999999994</v>
      </c>
      <c r="I688" s="14">
        <f t="shared" si="258"/>
        <v>8.1240000000000006</v>
      </c>
    </row>
    <row r="689" spans="1:24" x14ac:dyDescent="0.3">
      <c r="A689" s="1" t="s">
        <v>10</v>
      </c>
      <c r="B689" s="4">
        <v>17</v>
      </c>
      <c r="C689" s="1" t="s">
        <v>4</v>
      </c>
      <c r="D689" s="3">
        <v>44067</v>
      </c>
      <c r="E689" s="2">
        <v>34</v>
      </c>
      <c r="G689" s="2">
        <v>12.61</v>
      </c>
      <c r="H689" s="14">
        <f t="shared" si="257"/>
        <v>0.37088235294117644</v>
      </c>
      <c r="I689" s="14">
        <f t="shared" si="258"/>
        <v>8.3831888544891644</v>
      </c>
    </row>
    <row r="690" spans="1:24" x14ac:dyDescent="0.3">
      <c r="A690" s="1" t="s">
        <v>10</v>
      </c>
      <c r="B690" s="4">
        <v>18</v>
      </c>
      <c r="C690" s="1" t="s">
        <v>5</v>
      </c>
      <c r="D690" s="3">
        <v>44067</v>
      </c>
      <c r="E690" s="2">
        <v>38</v>
      </c>
      <c r="G690" s="2">
        <v>15.25</v>
      </c>
      <c r="H690" s="14">
        <f t="shared" si="257"/>
        <v>0.40131578947368424</v>
      </c>
      <c r="I690" s="14">
        <f t="shared" si="258"/>
        <v>8.3225131578947362</v>
      </c>
    </row>
    <row r="691" spans="1:24" x14ac:dyDescent="0.3">
      <c r="A691" s="1" t="s">
        <v>10</v>
      </c>
      <c r="B691" s="4">
        <v>19</v>
      </c>
      <c r="C691" s="1" t="s">
        <v>3</v>
      </c>
      <c r="D691" s="3">
        <v>44067</v>
      </c>
      <c r="E691" s="2">
        <v>34</v>
      </c>
      <c r="G691" s="4">
        <v>14.09</v>
      </c>
      <c r="H691" s="14">
        <f t="shared" si="257"/>
        <v>0.41441176470588237</v>
      </c>
      <c r="I691" s="14">
        <f t="shared" si="258"/>
        <v>9.1577503974562795</v>
      </c>
    </row>
    <row r="692" spans="1:24" x14ac:dyDescent="0.3">
      <c r="A692" s="1" t="s">
        <v>10</v>
      </c>
      <c r="B692" s="4">
        <v>20</v>
      </c>
      <c r="C692" s="1" t="s">
        <v>4</v>
      </c>
      <c r="D692" s="3">
        <v>44067</v>
      </c>
      <c r="E692" s="2">
        <v>38</v>
      </c>
      <c r="G692" s="4">
        <f>15.96+4.91</f>
        <v>20.87</v>
      </c>
      <c r="H692" s="14">
        <f t="shared" si="257"/>
        <v>0.54921052631578948</v>
      </c>
      <c r="I692" s="14">
        <f t="shared" si="258"/>
        <v>8.0402105263157893</v>
      </c>
    </row>
    <row r="693" spans="1:24" x14ac:dyDescent="0.3">
      <c r="A693" s="1" t="s">
        <v>10</v>
      </c>
      <c r="B693" s="4">
        <v>21</v>
      </c>
      <c r="C693" s="1" t="s">
        <v>5</v>
      </c>
      <c r="D693" s="3">
        <v>44067</v>
      </c>
      <c r="E693" s="2">
        <v>32</v>
      </c>
      <c r="G693" s="4">
        <f>18.69+5.74</f>
        <v>24.43</v>
      </c>
      <c r="H693" s="14">
        <f t="shared" si="257"/>
        <v>0.76343749999999999</v>
      </c>
      <c r="I693" s="14">
        <f>I658+H693</f>
        <v>10.108611111111113</v>
      </c>
    </row>
    <row r="694" spans="1:24" s="37" customFormat="1" x14ac:dyDescent="0.3">
      <c r="A694" s="38" t="s">
        <v>10</v>
      </c>
      <c r="B694" s="39">
        <v>22</v>
      </c>
      <c r="C694" s="38" t="s">
        <v>3</v>
      </c>
      <c r="D694" s="40">
        <v>44067</v>
      </c>
      <c r="E694" s="41">
        <v>38</v>
      </c>
      <c r="G694" s="39">
        <f>23.4+9.23</f>
        <v>32.629999999999995</v>
      </c>
      <c r="H694" s="42">
        <f>G694/E694</f>
        <v>0.85868421052631572</v>
      </c>
      <c r="I694" s="14">
        <f>I659+H694</f>
        <v>9.8550000000000004</v>
      </c>
    </row>
    <row r="695" spans="1:24" x14ac:dyDescent="0.3">
      <c r="A695" s="5" t="s">
        <v>10</v>
      </c>
      <c r="B695" s="6">
        <v>23</v>
      </c>
      <c r="C695" s="5" t="s">
        <v>3</v>
      </c>
      <c r="D695" s="7">
        <v>44067</v>
      </c>
      <c r="E695" s="13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x14ac:dyDescent="0.3">
      <c r="B696" s="20" t="s">
        <v>15</v>
      </c>
      <c r="C696" s="21" t="s">
        <v>3</v>
      </c>
      <c r="D696" s="22"/>
      <c r="E696" s="23"/>
      <c r="F696" s="23"/>
      <c r="G696" s="24">
        <f t="shared" ref="G696:I696" si="259">AVERAGE(G685,G688,G691)</f>
        <v>15.690000000000003</v>
      </c>
      <c r="H696" s="24">
        <f t="shared" si="259"/>
        <v>0.45059558823529411</v>
      </c>
      <c r="I696" s="24">
        <f t="shared" si="259"/>
        <v>8.7761042991520934</v>
      </c>
    </row>
    <row r="697" spans="1:24" x14ac:dyDescent="0.3">
      <c r="B697" s="20"/>
      <c r="C697" s="21" t="s">
        <v>4</v>
      </c>
      <c r="D697" s="22"/>
      <c r="E697" s="23"/>
      <c r="F697" s="23"/>
      <c r="G697" s="24">
        <f t="shared" ref="G697:I697" si="260">AVERAGE(G686,G689,G692)</f>
        <v>15.283333333333331</v>
      </c>
      <c r="H697" s="24">
        <f t="shared" si="260"/>
        <v>0.43555179308565534</v>
      </c>
      <c r="I697" s="24">
        <f t="shared" si="260"/>
        <v>8.0846400713794289</v>
      </c>
    </row>
    <row r="698" spans="1:24" x14ac:dyDescent="0.3">
      <c r="B698" s="20"/>
      <c r="C698" s="21" t="s">
        <v>5</v>
      </c>
      <c r="D698" s="22"/>
      <c r="E698" s="23"/>
      <c r="F698" s="23"/>
      <c r="G698" s="24">
        <f t="shared" ref="G698:I698" si="261">AVERAGE(G687,G690,G693)</f>
        <v>16.763333333333332</v>
      </c>
      <c r="H698" s="24">
        <f t="shared" si="261"/>
        <v>0.48929871553884707</v>
      </c>
      <c r="I698" s="24">
        <f t="shared" si="261"/>
        <v>8.7323973127262615</v>
      </c>
    </row>
    <row r="699" spans="1:24" x14ac:dyDescent="0.3">
      <c r="B699" s="25" t="s">
        <v>16</v>
      </c>
      <c r="C699" s="26" t="s">
        <v>3</v>
      </c>
      <c r="D699" s="27"/>
      <c r="E699" s="28"/>
      <c r="F699" s="28"/>
      <c r="G699" s="29">
        <f>_xlfn.STDEV.P(G685,G688,G691)</f>
        <v>1.7097563179197719</v>
      </c>
      <c r="H699" s="29">
        <f t="shared" ref="H699:I699" si="262">_xlfn.STDEV.P(H685,H688,H691)</f>
        <v>8.2211310941807073E-2</v>
      </c>
      <c r="I699" s="29">
        <f t="shared" si="262"/>
        <v>0.46333623490554404</v>
      </c>
    </row>
    <row r="700" spans="1:24" x14ac:dyDescent="0.3">
      <c r="B700" s="25"/>
      <c r="C700" s="26" t="s">
        <v>4</v>
      </c>
      <c r="D700" s="27"/>
      <c r="E700" s="28"/>
      <c r="F700" s="28"/>
      <c r="G700" s="29">
        <f>_xlfn.STDEV.P(G686,G689,G692)</f>
        <v>3.9515847735082565</v>
      </c>
      <c r="H700" s="29">
        <f t="shared" ref="H700:I700" si="263">_xlfn.STDEV.P(H686,H689,H692)</f>
        <v>8.0623393968730431E-2</v>
      </c>
      <c r="I700" s="29">
        <f t="shared" si="263"/>
        <v>0.2278025076800764</v>
      </c>
    </row>
    <row r="701" spans="1:24" ht="15" thickBot="1" x14ac:dyDescent="0.35">
      <c r="A701" s="19"/>
      <c r="B701" s="30"/>
      <c r="C701" s="31" t="s">
        <v>5</v>
      </c>
      <c r="D701" s="32"/>
      <c r="E701" s="33"/>
      <c r="F701" s="33"/>
      <c r="G701" s="34">
        <f>_xlfn.STDEV.P(G687,G690,G693)</f>
        <v>5.7425739486362319</v>
      </c>
      <c r="H701" s="34">
        <f t="shared" ref="H701:I701" si="264">_xlfn.STDEV.P(H687,H690,H693)</f>
        <v>0.19794533929006289</v>
      </c>
      <c r="I701" s="34">
        <f t="shared" si="264"/>
        <v>0.99929348696245068</v>
      </c>
    </row>
    <row r="702" spans="1:24" ht="15" thickBot="1" x14ac:dyDescent="0.35">
      <c r="A702" s="1" t="s">
        <v>9</v>
      </c>
      <c r="B702" s="4">
        <v>1</v>
      </c>
      <c r="C702" s="1" t="s">
        <v>11</v>
      </c>
      <c r="D702" s="3">
        <v>44074</v>
      </c>
      <c r="E702" s="2"/>
      <c r="N702" s="36" t="s">
        <v>13</v>
      </c>
      <c r="P702" s="36" t="s">
        <v>14</v>
      </c>
    </row>
    <row r="703" spans="1:24" s="37" customFormat="1" ht="15" thickTop="1" x14ac:dyDescent="0.3">
      <c r="A703" s="38" t="s">
        <v>9</v>
      </c>
      <c r="B703" s="39">
        <v>2</v>
      </c>
      <c r="C703" s="38" t="s">
        <v>3</v>
      </c>
      <c r="D703" s="40">
        <v>44074</v>
      </c>
      <c r="E703" s="41">
        <v>36</v>
      </c>
      <c r="G703" s="39">
        <v>13.05</v>
      </c>
      <c r="H703" s="42">
        <f>G703/E703</f>
        <v>0.36250000000000004</v>
      </c>
      <c r="I703" s="14">
        <f>I668+H703</f>
        <v>12.333931623931624</v>
      </c>
      <c r="K703" s="84">
        <v>44074</v>
      </c>
      <c r="L703" s="85" t="s">
        <v>3</v>
      </c>
      <c r="M703" s="37" t="s">
        <v>17</v>
      </c>
      <c r="N703" s="43">
        <f>H713</f>
        <v>0.44995302445302449</v>
      </c>
      <c r="O703" s="43">
        <f>H716</f>
        <v>6.3461227932707309E-2</v>
      </c>
      <c r="P703" s="43">
        <f>I713</f>
        <v>12.400095612095612</v>
      </c>
      <c r="Q703" s="43">
        <f>I716</f>
        <v>0.15923983608823911</v>
      </c>
    </row>
    <row r="704" spans="1:24" x14ac:dyDescent="0.3">
      <c r="A704" s="1" t="s">
        <v>9</v>
      </c>
      <c r="B704" s="4">
        <v>3</v>
      </c>
      <c r="C704" s="1" t="s">
        <v>4</v>
      </c>
      <c r="D704" s="3">
        <v>44074</v>
      </c>
      <c r="E704" s="2">
        <v>34</v>
      </c>
      <c r="G704" s="4">
        <v>13.27</v>
      </c>
      <c r="H704" s="14">
        <f t="shared" ref="H704:H711" si="265">G704/E704</f>
        <v>0.39029411764705879</v>
      </c>
      <c r="I704" s="14">
        <f t="shared" ref="I704:I710" si="266">I669+H704</f>
        <v>12.387074721780605</v>
      </c>
      <c r="K704" s="84"/>
      <c r="L704" s="85"/>
      <c r="M704" t="s">
        <v>18</v>
      </c>
      <c r="N704" s="35">
        <f>H731</f>
        <v>0.30836887254901962</v>
      </c>
      <c r="O704" s="35">
        <f>H734</f>
        <v>4.4684070192999269E-2</v>
      </c>
      <c r="P704" s="35">
        <f>I731</f>
        <v>9.0844731717011129</v>
      </c>
      <c r="Q704" s="35">
        <f>I734</f>
        <v>0.43651844522621924</v>
      </c>
    </row>
    <row r="705" spans="1:17" x14ac:dyDescent="0.3">
      <c r="A705" s="1" t="s">
        <v>9</v>
      </c>
      <c r="B705" s="4">
        <v>4</v>
      </c>
      <c r="C705" s="1" t="s">
        <v>5</v>
      </c>
      <c r="D705" s="3">
        <v>44074</v>
      </c>
      <c r="E705" s="2">
        <v>37</v>
      </c>
      <c r="G705" s="4">
        <f>14.88+2.4</f>
        <v>17.28</v>
      </c>
      <c r="H705" s="14">
        <f t="shared" si="265"/>
        <v>0.46702702702702703</v>
      </c>
      <c r="I705" s="14">
        <f t="shared" si="266"/>
        <v>11.621891891891893</v>
      </c>
      <c r="K705" s="84"/>
      <c r="L705" s="85" t="s">
        <v>4</v>
      </c>
      <c r="M705" t="s">
        <v>17</v>
      </c>
      <c r="N705" s="35">
        <f>H714</f>
        <v>0.43149693811458517</v>
      </c>
      <c r="O705" s="35">
        <f>H717</f>
        <v>3.4742291802482894E-2</v>
      </c>
      <c r="P705" s="35">
        <f>I714</f>
        <v>11.674525407760703</v>
      </c>
      <c r="Q705" s="35">
        <f>I717</f>
        <v>0.54105713981540937</v>
      </c>
    </row>
    <row r="706" spans="1:17" x14ac:dyDescent="0.3">
      <c r="A706" s="1" t="s">
        <v>9</v>
      </c>
      <c r="B706" s="4">
        <v>5</v>
      </c>
      <c r="C706" s="1" t="s">
        <v>3</v>
      </c>
      <c r="D706" s="3">
        <v>44074</v>
      </c>
      <c r="E706" s="2">
        <v>35</v>
      </c>
      <c r="G706" s="4">
        <v>17.89</v>
      </c>
      <c r="H706" s="14">
        <f t="shared" si="265"/>
        <v>0.51114285714285712</v>
      </c>
      <c r="I706" s="14">
        <f t="shared" si="266"/>
        <v>12.619598455598455</v>
      </c>
      <c r="K706" s="84"/>
      <c r="L706" s="85"/>
      <c r="M706" t="s">
        <v>18</v>
      </c>
      <c r="N706" s="35">
        <f>H732</f>
        <v>0.3649561403508772</v>
      </c>
      <c r="O706" s="35">
        <f>H735</f>
        <v>3.7801471079293832E-2</v>
      </c>
      <c r="P706" s="35">
        <f>I732</f>
        <v>8.4495962117303076</v>
      </c>
      <c r="Q706" s="35">
        <f>I735</f>
        <v>0.26505915284312803</v>
      </c>
    </row>
    <row r="707" spans="1:17" x14ac:dyDescent="0.3">
      <c r="A707" s="1" t="s">
        <v>9</v>
      </c>
      <c r="B707" s="4">
        <v>6</v>
      </c>
      <c r="C707" s="1" t="s">
        <v>4</v>
      </c>
      <c r="D707" s="3">
        <v>44074</v>
      </c>
      <c r="E707" s="2">
        <v>37</v>
      </c>
      <c r="G707" s="2">
        <v>15.87</v>
      </c>
      <c r="H707" s="14">
        <f t="shared" si="265"/>
        <v>0.42891891891891892</v>
      </c>
      <c r="I707" s="14">
        <f t="shared" si="266"/>
        <v>11.076756756756756</v>
      </c>
      <c r="K707" s="84"/>
      <c r="L707" s="85" t="s">
        <v>5</v>
      </c>
      <c r="M707" t="s">
        <v>17</v>
      </c>
      <c r="N707" s="35">
        <f>H715</f>
        <v>0.50422204159046269</v>
      </c>
      <c r="O707" s="35">
        <f>H718</f>
        <v>4.1054910011191485E-2</v>
      </c>
      <c r="P707" s="35">
        <f>I715</f>
        <v>11.358414211203685</v>
      </c>
      <c r="Q707" s="35">
        <f>I718</f>
        <v>0.41701973192787051</v>
      </c>
    </row>
    <row r="708" spans="1:17" x14ac:dyDescent="0.3">
      <c r="A708" s="1" t="s">
        <v>9</v>
      </c>
      <c r="B708" s="4">
        <v>7</v>
      </c>
      <c r="C708" s="1" t="s">
        <v>5</v>
      </c>
      <c r="D708" s="3">
        <v>44074</v>
      </c>
      <c r="E708" s="2">
        <v>35</v>
      </c>
      <c r="G708" s="2">
        <f>11.01+8.64</f>
        <v>19.649999999999999</v>
      </c>
      <c r="H708" s="14">
        <f t="shared" si="265"/>
        <v>0.56142857142857139</v>
      </c>
      <c r="I708" s="14">
        <f t="shared" si="266"/>
        <v>11.683613899613899</v>
      </c>
      <c r="K708" s="84"/>
      <c r="L708" s="85"/>
      <c r="M708" t="s">
        <v>18</v>
      </c>
      <c r="N708" s="35">
        <f>H733</f>
        <v>0.29415742481203005</v>
      </c>
      <c r="O708" s="35">
        <f>H736</f>
        <v>9.6643849197449019E-2</v>
      </c>
      <c r="P708" s="35">
        <f>I733</f>
        <v>9.0265547375382909</v>
      </c>
      <c r="Q708" s="35">
        <f>I736</f>
        <v>1.0917790766137576</v>
      </c>
    </row>
    <row r="709" spans="1:17" x14ac:dyDescent="0.3">
      <c r="A709" s="1" t="s">
        <v>9</v>
      </c>
      <c r="B709" s="4">
        <v>8</v>
      </c>
      <c r="C709" s="1" t="s">
        <v>3</v>
      </c>
      <c r="D709" s="3">
        <v>44074</v>
      </c>
      <c r="E709" s="2">
        <v>37</v>
      </c>
      <c r="G709" s="4">
        <v>17.62</v>
      </c>
      <c r="H709" s="14">
        <f t="shared" si="265"/>
        <v>0.47621621621621624</v>
      </c>
      <c r="I709" s="14">
        <f t="shared" si="266"/>
        <v>12.246756756756758</v>
      </c>
    </row>
    <row r="710" spans="1:17" x14ac:dyDescent="0.3">
      <c r="A710" s="1" t="s">
        <v>9</v>
      </c>
      <c r="B710" s="4">
        <v>9</v>
      </c>
      <c r="C710" s="1" t="s">
        <v>4</v>
      </c>
      <c r="D710" s="3">
        <v>44074</v>
      </c>
      <c r="E710" s="2">
        <v>36</v>
      </c>
      <c r="G710" s="4">
        <v>17.11</v>
      </c>
      <c r="H710" s="14">
        <f t="shared" si="265"/>
        <v>0.47527777777777774</v>
      </c>
      <c r="I710" s="14">
        <f t="shared" si="266"/>
        <v>11.559744744744744</v>
      </c>
    </row>
    <row r="711" spans="1:17" s="37" customFormat="1" x14ac:dyDescent="0.3">
      <c r="A711" s="38" t="s">
        <v>9</v>
      </c>
      <c r="B711" s="39">
        <v>10</v>
      </c>
      <c r="C711" s="38" t="s">
        <v>5</v>
      </c>
      <c r="D711" s="40">
        <v>44074</v>
      </c>
      <c r="E711" s="41">
        <v>38</v>
      </c>
      <c r="G711" s="39">
        <f>10.6+7.8</f>
        <v>18.399999999999999</v>
      </c>
      <c r="H711" s="42">
        <f t="shared" si="265"/>
        <v>0.48421052631578942</v>
      </c>
      <c r="I711" s="14">
        <f>I676+H711</f>
        <v>10.769736842105262</v>
      </c>
    </row>
    <row r="712" spans="1:17" ht="15" thickBot="1" x14ac:dyDescent="0.35">
      <c r="A712" s="9" t="s">
        <v>9</v>
      </c>
      <c r="B712" s="15">
        <v>11</v>
      </c>
      <c r="C712" s="9" t="s">
        <v>3</v>
      </c>
      <c r="D712" s="16">
        <v>44074</v>
      </c>
      <c r="E712" s="17"/>
      <c r="F712" s="18"/>
      <c r="G712" s="18"/>
      <c r="H712" s="18"/>
      <c r="I712" s="18"/>
    </row>
    <row r="713" spans="1:17" ht="15" thickTop="1" x14ac:dyDescent="0.3">
      <c r="B713" s="20" t="s">
        <v>15</v>
      </c>
      <c r="C713" s="21" t="s">
        <v>3</v>
      </c>
      <c r="D713" s="22"/>
      <c r="E713" s="23"/>
      <c r="F713" s="23"/>
      <c r="G713" s="24">
        <f t="shared" ref="G713:I713" si="267">AVERAGE(G703,G706,G709)</f>
        <v>16.186666666666667</v>
      </c>
      <c r="H713" s="24">
        <f t="shared" si="267"/>
        <v>0.44995302445302449</v>
      </c>
      <c r="I713" s="24">
        <f t="shared" si="267"/>
        <v>12.400095612095612</v>
      </c>
    </row>
    <row r="714" spans="1:17" x14ac:dyDescent="0.3">
      <c r="B714" s="20"/>
      <c r="C714" s="21" t="s">
        <v>4</v>
      </c>
      <c r="D714" s="22"/>
      <c r="E714" s="23"/>
      <c r="F714" s="23"/>
      <c r="G714" s="24">
        <f t="shared" ref="G714:I714" si="268">AVERAGE(G704,G707,G710)</f>
        <v>15.416666666666666</v>
      </c>
      <c r="H714" s="24">
        <f t="shared" si="268"/>
        <v>0.43149693811458517</v>
      </c>
      <c r="I714" s="24">
        <f t="shared" si="268"/>
        <v>11.674525407760703</v>
      </c>
    </row>
    <row r="715" spans="1:17" x14ac:dyDescent="0.3">
      <c r="B715" s="20"/>
      <c r="C715" s="21" t="s">
        <v>5</v>
      </c>
      <c r="D715" s="22"/>
      <c r="E715" s="23"/>
      <c r="F715" s="23"/>
      <c r="G715" s="24">
        <f t="shared" ref="G715:I715" si="269">AVERAGE(G705,G708,G711)</f>
        <v>18.443333333333332</v>
      </c>
      <c r="H715" s="24">
        <f t="shared" si="269"/>
        <v>0.50422204159046269</v>
      </c>
      <c r="I715" s="24">
        <f t="shared" si="269"/>
        <v>11.358414211203685</v>
      </c>
    </row>
    <row r="716" spans="1:17" x14ac:dyDescent="0.3">
      <c r="B716" s="25" t="s">
        <v>16</v>
      </c>
      <c r="C716" s="26" t="s">
        <v>3</v>
      </c>
      <c r="D716" s="27"/>
      <c r="E716" s="28"/>
      <c r="F716" s="28"/>
      <c r="G716" s="29">
        <f>_xlfn.STDEV.P(G703,G706,G709)</f>
        <v>2.2206955867225155</v>
      </c>
      <c r="H716" s="29">
        <f t="shared" ref="H716:I716" si="270">_xlfn.STDEV.P(H703,H706,H709)</f>
        <v>6.3461227932707309E-2</v>
      </c>
      <c r="I716" s="29">
        <f t="shared" si="270"/>
        <v>0.15923983608823911</v>
      </c>
    </row>
    <row r="717" spans="1:17" x14ac:dyDescent="0.3">
      <c r="B717" s="25"/>
      <c r="C717" s="26" t="s">
        <v>4</v>
      </c>
      <c r="D717" s="27"/>
      <c r="E717" s="28"/>
      <c r="F717" s="28"/>
      <c r="G717" s="29">
        <f>_xlfn.STDEV.P(G704,G707,G710)</f>
        <v>1.6001111072533567</v>
      </c>
      <c r="H717" s="29">
        <f t="shared" ref="H717:I717" si="271">_xlfn.STDEV.P(H704,H707,H710)</f>
        <v>3.4742291802482894E-2</v>
      </c>
      <c r="I717" s="29">
        <f t="shared" si="271"/>
        <v>0.54105713981540937</v>
      </c>
    </row>
    <row r="718" spans="1:17" ht="15" thickBot="1" x14ac:dyDescent="0.35">
      <c r="A718" s="19"/>
      <c r="B718" s="30"/>
      <c r="C718" s="31" t="s">
        <v>5</v>
      </c>
      <c r="D718" s="32"/>
      <c r="E718" s="33"/>
      <c r="F718" s="33"/>
      <c r="G718" s="34">
        <f>_xlfn.STDEV.P(G705,G708,G711)</f>
        <v>0.96803351640781876</v>
      </c>
      <c r="H718" s="34">
        <f t="shared" ref="H718:I718" si="272">_xlfn.STDEV.P(H705,H708,H711)</f>
        <v>4.1054910011191485E-2</v>
      </c>
      <c r="I718" s="34">
        <f t="shared" si="272"/>
        <v>0.41701973192787051</v>
      </c>
    </row>
    <row r="719" spans="1:17" x14ac:dyDescent="0.3">
      <c r="A719" s="1" t="s">
        <v>10</v>
      </c>
      <c r="B719" s="4">
        <v>12</v>
      </c>
      <c r="C719" s="1" t="s">
        <v>3</v>
      </c>
      <c r="D719" s="3">
        <v>44074</v>
      </c>
      <c r="E719" s="2"/>
    </row>
    <row r="720" spans="1:17" s="37" customFormat="1" x14ac:dyDescent="0.3">
      <c r="A720" s="38" t="s">
        <v>10</v>
      </c>
      <c r="B720" s="39">
        <v>13</v>
      </c>
      <c r="C720" s="38" t="s">
        <v>3</v>
      </c>
      <c r="D720" s="40">
        <v>44074</v>
      </c>
      <c r="E720" s="41">
        <v>32</v>
      </c>
      <c r="G720" s="39">
        <v>10.77</v>
      </c>
      <c r="H720" s="42">
        <f>G720/E720</f>
        <v>0.33656249999999999</v>
      </c>
      <c r="I720" s="14">
        <f>I685+H720</f>
        <v>9.3831249999999979</v>
      </c>
    </row>
    <row r="721" spans="1:24" x14ac:dyDescent="0.3">
      <c r="A721" s="1" t="s">
        <v>10</v>
      </c>
      <c r="B721" s="4">
        <v>14</v>
      </c>
      <c r="C721" s="1" t="s">
        <v>4</v>
      </c>
      <c r="D721" s="3">
        <v>44074</v>
      </c>
      <c r="E721" s="2">
        <v>32</v>
      </c>
      <c r="G721" s="4">
        <v>10.16</v>
      </c>
      <c r="H721" s="14">
        <f t="shared" ref="H721:H728" si="273">G721/E721</f>
        <v>0.3175</v>
      </c>
      <c r="I721" s="14">
        <f t="shared" ref="I721:I727" si="274">I686+H721</f>
        <v>8.1480208333333337</v>
      </c>
    </row>
    <row r="722" spans="1:24" x14ac:dyDescent="0.3">
      <c r="A722" s="1" t="s">
        <v>10</v>
      </c>
      <c r="B722" s="4">
        <v>15</v>
      </c>
      <c r="C722" s="1" t="s">
        <v>5</v>
      </c>
      <c r="D722" s="3">
        <v>44074</v>
      </c>
      <c r="E722" s="2">
        <v>35</v>
      </c>
      <c r="G722" s="4">
        <v>6.12</v>
      </c>
      <c r="H722" s="14">
        <f t="shared" si="273"/>
        <v>0.17485714285714285</v>
      </c>
      <c r="I722" s="14">
        <f t="shared" si="274"/>
        <v>7.9409248120300759</v>
      </c>
    </row>
    <row r="723" spans="1:24" x14ac:dyDescent="0.3">
      <c r="A723" s="1" t="s">
        <v>10</v>
      </c>
      <c r="B723" s="4">
        <v>16</v>
      </c>
      <c r="C723" s="1" t="s">
        <v>3</v>
      </c>
      <c r="D723" s="3">
        <v>44074</v>
      </c>
      <c r="E723" s="2">
        <v>40</v>
      </c>
      <c r="G723" s="4">
        <v>13.73</v>
      </c>
      <c r="H723" s="14">
        <f t="shared" si="273"/>
        <v>0.34325</v>
      </c>
      <c r="I723" s="14">
        <f t="shared" si="274"/>
        <v>8.4672499999999999</v>
      </c>
    </row>
    <row r="724" spans="1:24" x14ac:dyDescent="0.3">
      <c r="A724" s="1" t="s">
        <v>10</v>
      </c>
      <c r="B724" s="4">
        <v>17</v>
      </c>
      <c r="C724" s="1" t="s">
        <v>4</v>
      </c>
      <c r="D724" s="3">
        <v>44074</v>
      </c>
      <c r="E724" s="2">
        <v>34</v>
      </c>
      <c r="G724" s="2">
        <v>13.94</v>
      </c>
      <c r="H724" s="14">
        <f t="shared" si="273"/>
        <v>0.41</v>
      </c>
      <c r="I724" s="14">
        <f t="shared" si="274"/>
        <v>8.7931888544891645</v>
      </c>
    </row>
    <row r="725" spans="1:24" x14ac:dyDescent="0.3">
      <c r="A725" s="1" t="s">
        <v>10</v>
      </c>
      <c r="B725" s="4">
        <v>18</v>
      </c>
      <c r="C725" s="1" t="s">
        <v>5</v>
      </c>
      <c r="D725" s="3">
        <v>44074</v>
      </c>
      <c r="E725" s="2">
        <v>38</v>
      </c>
      <c r="G725" s="2">
        <v>11.25</v>
      </c>
      <c r="H725" s="14">
        <f t="shared" si="273"/>
        <v>0.29605263157894735</v>
      </c>
      <c r="I725" s="14">
        <f t="shared" si="274"/>
        <v>8.6185657894736831</v>
      </c>
    </row>
    <row r="726" spans="1:24" x14ac:dyDescent="0.3">
      <c r="A726" s="1" t="s">
        <v>10</v>
      </c>
      <c r="B726" s="4">
        <v>19</v>
      </c>
      <c r="C726" s="1" t="s">
        <v>3</v>
      </c>
      <c r="D726" s="3">
        <v>44074</v>
      </c>
      <c r="E726" s="2">
        <v>34</v>
      </c>
      <c r="G726" s="4">
        <v>8.34</v>
      </c>
      <c r="H726" s="14">
        <f t="shared" si="273"/>
        <v>0.24529411764705883</v>
      </c>
      <c r="I726" s="14">
        <f t="shared" si="274"/>
        <v>9.4030445151033391</v>
      </c>
    </row>
    <row r="727" spans="1:24" x14ac:dyDescent="0.3">
      <c r="A727" s="1" t="s">
        <v>10</v>
      </c>
      <c r="B727" s="4">
        <v>20</v>
      </c>
      <c r="C727" s="1" t="s">
        <v>4</v>
      </c>
      <c r="D727" s="3">
        <v>44074</v>
      </c>
      <c r="E727" s="2">
        <v>38</v>
      </c>
      <c r="G727" s="4">
        <v>13.96</v>
      </c>
      <c r="H727" s="14">
        <f t="shared" si="273"/>
        <v>0.36736842105263162</v>
      </c>
      <c r="I727" s="14">
        <f t="shared" si="274"/>
        <v>8.407578947368421</v>
      </c>
    </row>
    <row r="728" spans="1:24" x14ac:dyDescent="0.3">
      <c r="A728" s="1" t="s">
        <v>10</v>
      </c>
      <c r="B728" s="4">
        <v>21</v>
      </c>
      <c r="C728" s="1" t="s">
        <v>5</v>
      </c>
      <c r="D728" s="3">
        <v>44074</v>
      </c>
      <c r="E728" s="2">
        <v>32</v>
      </c>
      <c r="G728" s="4">
        <v>13.17</v>
      </c>
      <c r="H728" s="14">
        <f t="shared" si="273"/>
        <v>0.4115625</v>
      </c>
      <c r="I728" s="14">
        <f>I693+H728</f>
        <v>10.520173611111113</v>
      </c>
    </row>
    <row r="729" spans="1:24" s="37" customFormat="1" x14ac:dyDescent="0.3">
      <c r="A729" s="38" t="s">
        <v>10</v>
      </c>
      <c r="B729" s="39">
        <v>22</v>
      </c>
      <c r="C729" s="38" t="s">
        <v>3</v>
      </c>
      <c r="D729" s="40">
        <v>44074</v>
      </c>
      <c r="E729" s="41">
        <v>38</v>
      </c>
      <c r="G729" s="39">
        <v>14.48</v>
      </c>
      <c r="H729" s="42">
        <f>G729/E729</f>
        <v>0.38105263157894737</v>
      </c>
      <c r="I729" s="14">
        <f>I694+H729</f>
        <v>10.236052631578948</v>
      </c>
    </row>
    <row r="730" spans="1:24" x14ac:dyDescent="0.3">
      <c r="A730" s="5" t="s">
        <v>10</v>
      </c>
      <c r="B730" s="6">
        <v>23</v>
      </c>
      <c r="C730" s="5" t="s">
        <v>3</v>
      </c>
      <c r="D730" s="7">
        <v>44074</v>
      </c>
      <c r="E730" s="13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x14ac:dyDescent="0.3">
      <c r="B731" s="20" t="s">
        <v>15</v>
      </c>
      <c r="C731" s="21" t="s">
        <v>3</v>
      </c>
      <c r="D731" s="22"/>
      <c r="E731" s="23"/>
      <c r="F731" s="23"/>
      <c r="G731" s="24">
        <f t="shared" ref="G731:I731" si="275">AVERAGE(G720,G723,G726)</f>
        <v>10.946666666666667</v>
      </c>
      <c r="H731" s="24">
        <f t="shared" si="275"/>
        <v>0.30836887254901962</v>
      </c>
      <c r="I731" s="24">
        <f t="shared" si="275"/>
        <v>9.0844731717011129</v>
      </c>
    </row>
    <row r="732" spans="1:24" x14ac:dyDescent="0.3">
      <c r="B732" s="20"/>
      <c r="C732" s="21" t="s">
        <v>4</v>
      </c>
      <c r="D732" s="22"/>
      <c r="E732" s="23"/>
      <c r="F732" s="23"/>
      <c r="G732" s="24">
        <f t="shared" ref="G732:I732" si="276">AVERAGE(G721,G724,G727)</f>
        <v>12.686666666666667</v>
      </c>
      <c r="H732" s="24">
        <f t="shared" si="276"/>
        <v>0.3649561403508772</v>
      </c>
      <c r="I732" s="24">
        <f t="shared" si="276"/>
        <v>8.4495962117303076</v>
      </c>
    </row>
    <row r="733" spans="1:24" x14ac:dyDescent="0.3">
      <c r="B733" s="20"/>
      <c r="C733" s="21" t="s">
        <v>5</v>
      </c>
      <c r="D733" s="22"/>
      <c r="E733" s="23"/>
      <c r="F733" s="23"/>
      <c r="G733" s="24">
        <f t="shared" ref="G733:I733" si="277">AVERAGE(G722,G725,G728)</f>
        <v>10.18</v>
      </c>
      <c r="H733" s="24">
        <f t="shared" si="277"/>
        <v>0.29415742481203005</v>
      </c>
      <c r="I733" s="24">
        <f t="shared" si="277"/>
        <v>9.0265547375382909</v>
      </c>
    </row>
    <row r="734" spans="1:24" x14ac:dyDescent="0.3">
      <c r="B734" s="25" t="s">
        <v>16</v>
      </c>
      <c r="C734" s="26" t="s">
        <v>3</v>
      </c>
      <c r="D734" s="27"/>
      <c r="E734" s="28"/>
      <c r="F734" s="28"/>
      <c r="G734" s="29">
        <f>_xlfn.STDEV.P(G720,G723,G726)</f>
        <v>2.2040014115744606</v>
      </c>
      <c r="H734" s="29">
        <f t="shared" ref="H734:I734" si="278">_xlfn.STDEV.P(H720,H723,H726)</f>
        <v>4.4684070192999269E-2</v>
      </c>
      <c r="I734" s="29">
        <f t="shared" si="278"/>
        <v>0.43651844522621924</v>
      </c>
    </row>
    <row r="735" spans="1:24" x14ac:dyDescent="0.3">
      <c r="B735" s="25"/>
      <c r="C735" s="26" t="s">
        <v>4</v>
      </c>
      <c r="D735" s="27"/>
      <c r="E735" s="28"/>
      <c r="F735" s="28"/>
      <c r="G735" s="29">
        <f>_xlfn.STDEV.P(G721,G724,G727)</f>
        <v>1.7866417908715917</v>
      </c>
      <c r="H735" s="29">
        <f t="shared" ref="H735:I735" si="279">_xlfn.STDEV.P(H721,H724,H727)</f>
        <v>3.7801471079293832E-2</v>
      </c>
      <c r="I735" s="29">
        <f t="shared" si="279"/>
        <v>0.26505915284312803</v>
      </c>
    </row>
    <row r="736" spans="1:24" ht="15" thickBot="1" x14ac:dyDescent="0.35">
      <c r="A736" s="19"/>
      <c r="B736" s="30"/>
      <c r="C736" s="31" t="s">
        <v>5</v>
      </c>
      <c r="D736" s="32"/>
      <c r="E736" s="33"/>
      <c r="F736" s="33"/>
      <c r="G736" s="34">
        <f>_xlfn.STDEV.P(G722,G725,G728)</f>
        <v>2.9759368272864948</v>
      </c>
      <c r="H736" s="34">
        <f t="shared" ref="H736:I736" si="280">_xlfn.STDEV.P(H722,H725,H728)</f>
        <v>9.6643849197449019E-2</v>
      </c>
      <c r="I736" s="34">
        <f t="shared" si="280"/>
        <v>1.0917790766137576</v>
      </c>
    </row>
    <row r="737" spans="1:17" ht="15" thickBot="1" x14ac:dyDescent="0.35">
      <c r="A737" s="1" t="s">
        <v>9</v>
      </c>
      <c r="B737" s="4">
        <v>1</v>
      </c>
      <c r="C737" s="1" t="s">
        <v>11</v>
      </c>
      <c r="D737" s="3">
        <v>44081</v>
      </c>
      <c r="E737" s="2"/>
      <c r="N737" s="36" t="s">
        <v>13</v>
      </c>
      <c r="P737" s="36" t="s">
        <v>14</v>
      </c>
    </row>
    <row r="738" spans="1:17" s="37" customFormat="1" ht="15" thickTop="1" x14ac:dyDescent="0.3">
      <c r="A738" s="38" t="s">
        <v>9</v>
      </c>
      <c r="B738" s="39">
        <v>2</v>
      </c>
      <c r="C738" s="38" t="s">
        <v>3</v>
      </c>
      <c r="D738" s="40">
        <v>44081</v>
      </c>
      <c r="E738" s="41">
        <v>36</v>
      </c>
      <c r="G738" s="39">
        <f>9.11+2.95</f>
        <v>12.059999999999999</v>
      </c>
      <c r="H738" s="42">
        <f>G738/E738</f>
        <v>0.33499999999999996</v>
      </c>
      <c r="I738" s="14">
        <f>I703+H738</f>
        <v>12.668931623931623</v>
      </c>
      <c r="K738" s="84">
        <v>44081</v>
      </c>
      <c r="L738" s="85" t="s">
        <v>3</v>
      </c>
      <c r="M738" s="37" t="s">
        <v>17</v>
      </c>
      <c r="N738" s="43">
        <f>H748</f>
        <v>0.30475032175032174</v>
      </c>
      <c r="O738" s="43">
        <f>H751</f>
        <v>2.7680073239037876E-2</v>
      </c>
      <c r="P738" s="43">
        <f>I748</f>
        <v>12.704845933845933</v>
      </c>
      <c r="Q738" s="43">
        <f>I751</f>
        <v>0.17166961139943218</v>
      </c>
    </row>
    <row r="739" spans="1:17" x14ac:dyDescent="0.3">
      <c r="A739" s="1" t="s">
        <v>9</v>
      </c>
      <c r="B739" s="4">
        <v>3</v>
      </c>
      <c r="C739" s="1" t="s">
        <v>4</v>
      </c>
      <c r="D739" s="3">
        <v>44081</v>
      </c>
      <c r="E739" s="2">
        <v>34</v>
      </c>
      <c r="G739" s="4">
        <v>8.67</v>
      </c>
      <c r="H739" s="14">
        <f t="shared" ref="H739:H746" si="281">G739/E739</f>
        <v>0.255</v>
      </c>
      <c r="I739" s="14">
        <f t="shared" ref="I739:I745" si="282">I704+H739</f>
        <v>12.642074721780606</v>
      </c>
      <c r="K739" s="84"/>
      <c r="L739" s="85"/>
      <c r="M739" t="s">
        <v>18</v>
      </c>
      <c r="N739" s="35">
        <f>H766</f>
        <v>0.23985049019607843</v>
      </c>
      <c r="O739" s="35">
        <f>H769</f>
        <v>5.6898026263108997E-2</v>
      </c>
      <c r="P739" s="35">
        <f>I766</f>
        <v>9.324323661897191</v>
      </c>
      <c r="Q739" s="35">
        <f>I769</f>
        <v>0.45189718949602575</v>
      </c>
    </row>
    <row r="740" spans="1:17" x14ac:dyDescent="0.3">
      <c r="A740" s="1" t="s">
        <v>9</v>
      </c>
      <c r="B740" s="4">
        <v>4</v>
      </c>
      <c r="C740" s="1" t="s">
        <v>5</v>
      </c>
      <c r="D740" s="3">
        <v>44081</v>
      </c>
      <c r="E740" s="2">
        <v>37</v>
      </c>
      <c r="G740" s="4">
        <v>12.09</v>
      </c>
      <c r="H740" s="14">
        <f t="shared" si="281"/>
        <v>0.32675675675675675</v>
      </c>
      <c r="I740" s="14">
        <f t="shared" si="282"/>
        <v>11.94864864864865</v>
      </c>
      <c r="K740" s="84"/>
      <c r="L740" s="85" t="s">
        <v>4</v>
      </c>
      <c r="M740" t="s">
        <v>17</v>
      </c>
      <c r="N740" s="35">
        <f>H749</f>
        <v>0.2570970970970971</v>
      </c>
      <c r="O740" s="35">
        <f>H752</f>
        <v>2.0166644003581861E-2</v>
      </c>
      <c r="P740" s="35">
        <f>I749</f>
        <v>11.931622504857799</v>
      </c>
      <c r="Q740" s="35">
        <f>I752</f>
        <v>0.54734503402320622</v>
      </c>
    </row>
    <row r="741" spans="1:17" x14ac:dyDescent="0.3">
      <c r="A741" s="1" t="s">
        <v>9</v>
      </c>
      <c r="B741" s="4">
        <v>5</v>
      </c>
      <c r="C741" s="1" t="s">
        <v>3</v>
      </c>
      <c r="D741" s="3">
        <v>44081</v>
      </c>
      <c r="E741" s="2">
        <v>35</v>
      </c>
      <c r="G741" s="4">
        <v>10.89</v>
      </c>
      <c r="H741" s="14">
        <f t="shared" si="281"/>
        <v>0.31114285714285717</v>
      </c>
      <c r="I741" s="14">
        <f t="shared" si="282"/>
        <v>12.930741312741311</v>
      </c>
      <c r="K741" s="84"/>
      <c r="L741" s="85"/>
      <c r="M741" t="s">
        <v>18</v>
      </c>
      <c r="N741" s="35">
        <f>H767</f>
        <v>0.26316079721362229</v>
      </c>
      <c r="O741" s="35">
        <f>H770</f>
        <v>3.4263348071741855E-2</v>
      </c>
      <c r="P741" s="35">
        <f>I767</f>
        <v>8.7127570089439299</v>
      </c>
      <c r="Q741" s="35">
        <f>I770</f>
        <v>0.29679831310987664</v>
      </c>
    </row>
    <row r="742" spans="1:17" x14ac:dyDescent="0.3">
      <c r="A742" s="1" t="s">
        <v>9</v>
      </c>
      <c r="B742" s="4">
        <v>6</v>
      </c>
      <c r="C742" s="1" t="s">
        <v>4</v>
      </c>
      <c r="D742" s="3">
        <v>44081</v>
      </c>
      <c r="E742" s="2">
        <v>37</v>
      </c>
      <c r="G742" s="2">
        <v>8.64</v>
      </c>
      <c r="H742" s="14">
        <f t="shared" si="281"/>
        <v>0.23351351351351352</v>
      </c>
      <c r="I742" s="14">
        <f t="shared" si="282"/>
        <v>11.310270270270269</v>
      </c>
      <c r="K742" s="84"/>
      <c r="L742" s="85" t="s">
        <v>5</v>
      </c>
      <c r="M742" t="s">
        <v>17</v>
      </c>
      <c r="N742" s="35">
        <f>H750</f>
        <v>0.29389886879360566</v>
      </c>
      <c r="O742" s="35">
        <f>H753</f>
        <v>4.3402039627315182E-2</v>
      </c>
      <c r="P742" s="35">
        <f>I750</f>
        <v>11.65231307999729</v>
      </c>
      <c r="Q742" s="35">
        <f>I753</f>
        <v>0.3963483865909288</v>
      </c>
    </row>
    <row r="743" spans="1:17" x14ac:dyDescent="0.3">
      <c r="A743" s="1" t="s">
        <v>9</v>
      </c>
      <c r="B743" s="4">
        <v>7</v>
      </c>
      <c r="C743" s="1" t="s">
        <v>5</v>
      </c>
      <c r="D743" s="3">
        <v>44081</v>
      </c>
      <c r="E743" s="2">
        <v>35</v>
      </c>
      <c r="G743" s="2">
        <v>8.14</v>
      </c>
      <c r="H743" s="14">
        <f t="shared" si="281"/>
        <v>0.2325714285714286</v>
      </c>
      <c r="I743" s="14">
        <f t="shared" si="282"/>
        <v>11.916185328185328</v>
      </c>
      <c r="K743" s="84"/>
      <c r="L743" s="85"/>
      <c r="M743" t="s">
        <v>18</v>
      </c>
      <c r="N743" s="35">
        <f>H768</f>
        <v>0.24701425438596489</v>
      </c>
      <c r="O743" s="35">
        <f>H771</f>
        <v>1.7654095078527967E-2</v>
      </c>
      <c r="P743" s="35">
        <f>I768</f>
        <v>9.2735689919242557</v>
      </c>
      <c r="Q743" s="35">
        <f>I771</f>
        <v>1.0977164145544342</v>
      </c>
    </row>
    <row r="744" spans="1:17" x14ac:dyDescent="0.3">
      <c r="A744" s="1" t="s">
        <v>9</v>
      </c>
      <c r="B744" s="4">
        <v>8</v>
      </c>
      <c r="C744" s="1" t="s">
        <v>3</v>
      </c>
      <c r="D744" s="3">
        <v>44081</v>
      </c>
      <c r="E744" s="2">
        <v>37</v>
      </c>
      <c r="G744" s="4">
        <v>9.92</v>
      </c>
      <c r="H744" s="14">
        <f t="shared" si="281"/>
        <v>0.26810810810810809</v>
      </c>
      <c r="I744" s="14">
        <f t="shared" si="282"/>
        <v>12.514864864864867</v>
      </c>
    </row>
    <row r="745" spans="1:17" x14ac:dyDescent="0.3">
      <c r="A745" s="1" t="s">
        <v>9</v>
      </c>
      <c r="B745" s="4">
        <v>9</v>
      </c>
      <c r="C745" s="1" t="s">
        <v>4</v>
      </c>
      <c r="D745" s="3">
        <v>44081</v>
      </c>
      <c r="E745" s="2">
        <v>36</v>
      </c>
      <c r="G745" s="4">
        <v>10.18</v>
      </c>
      <c r="H745" s="14">
        <f t="shared" si="281"/>
        <v>0.28277777777777779</v>
      </c>
      <c r="I745" s="14">
        <f t="shared" si="282"/>
        <v>11.842522522522522</v>
      </c>
    </row>
    <row r="746" spans="1:17" s="37" customFormat="1" x14ac:dyDescent="0.3">
      <c r="A746" s="38" t="s">
        <v>9</v>
      </c>
      <c r="B746" s="39">
        <v>10</v>
      </c>
      <c r="C746" s="38" t="s">
        <v>5</v>
      </c>
      <c r="D746" s="40">
        <v>44081</v>
      </c>
      <c r="E746" s="41">
        <v>38</v>
      </c>
      <c r="G746" s="39">
        <v>12.25</v>
      </c>
      <c r="H746" s="42">
        <f t="shared" si="281"/>
        <v>0.32236842105263158</v>
      </c>
      <c r="I746" s="14">
        <f>I711+H746</f>
        <v>11.092105263157894</v>
      </c>
    </row>
    <row r="747" spans="1:17" ht="15" thickBot="1" x14ac:dyDescent="0.35">
      <c r="A747" s="9" t="s">
        <v>9</v>
      </c>
      <c r="B747" s="15">
        <v>11</v>
      </c>
      <c r="C747" s="9" t="s">
        <v>3</v>
      </c>
      <c r="D747" s="16">
        <v>44081</v>
      </c>
      <c r="E747" s="17"/>
      <c r="F747" s="18"/>
      <c r="G747" s="18"/>
      <c r="H747" s="18"/>
      <c r="I747" s="18"/>
    </row>
    <row r="748" spans="1:17" ht="15" thickTop="1" x14ac:dyDescent="0.3">
      <c r="B748" s="20" t="s">
        <v>15</v>
      </c>
      <c r="C748" s="21" t="s">
        <v>3</v>
      </c>
      <c r="D748" s="22"/>
      <c r="E748" s="23"/>
      <c r="F748" s="23"/>
      <c r="G748" s="24">
        <f t="shared" ref="G748:I748" si="283">AVERAGE(G738,G741,G744)</f>
        <v>10.956666666666665</v>
      </c>
      <c r="H748" s="24">
        <f t="shared" si="283"/>
        <v>0.30475032175032174</v>
      </c>
      <c r="I748" s="24">
        <f t="shared" si="283"/>
        <v>12.704845933845933</v>
      </c>
    </row>
    <row r="749" spans="1:17" x14ac:dyDescent="0.3">
      <c r="B749" s="20"/>
      <c r="C749" s="21" t="s">
        <v>4</v>
      </c>
      <c r="D749" s="22"/>
      <c r="E749" s="23"/>
      <c r="F749" s="23"/>
      <c r="G749" s="24">
        <f t="shared" ref="G749:I749" si="284">AVERAGE(G739,G742,G745)</f>
        <v>9.163333333333334</v>
      </c>
      <c r="H749" s="24">
        <f t="shared" si="284"/>
        <v>0.2570970970970971</v>
      </c>
      <c r="I749" s="24">
        <f t="shared" si="284"/>
        <v>11.931622504857799</v>
      </c>
    </row>
    <row r="750" spans="1:17" x14ac:dyDescent="0.3">
      <c r="B750" s="20"/>
      <c r="C750" s="21" t="s">
        <v>5</v>
      </c>
      <c r="D750" s="22"/>
      <c r="E750" s="23"/>
      <c r="F750" s="23"/>
      <c r="G750" s="24">
        <f t="shared" ref="G750:I750" si="285">AVERAGE(G740,G743,G746)</f>
        <v>10.826666666666668</v>
      </c>
      <c r="H750" s="24">
        <f t="shared" si="285"/>
        <v>0.29389886879360566</v>
      </c>
      <c r="I750" s="24">
        <f t="shared" si="285"/>
        <v>11.65231307999729</v>
      </c>
    </row>
    <row r="751" spans="1:17" x14ac:dyDescent="0.3">
      <c r="B751" s="25" t="s">
        <v>16</v>
      </c>
      <c r="C751" s="26" t="s">
        <v>3</v>
      </c>
      <c r="D751" s="27"/>
      <c r="E751" s="28"/>
      <c r="F751" s="28"/>
      <c r="G751" s="29">
        <f>_xlfn.STDEV.P(G738,G741,G744)</f>
        <v>0.87492221876512422</v>
      </c>
      <c r="H751" s="29">
        <f t="shared" ref="H751:I751" si="286">_xlfn.STDEV.P(H738,H741,H744)</f>
        <v>2.7680073239037876E-2</v>
      </c>
      <c r="I751" s="29">
        <f t="shared" si="286"/>
        <v>0.17166961139943218</v>
      </c>
    </row>
    <row r="752" spans="1:17" x14ac:dyDescent="0.3">
      <c r="B752" s="25"/>
      <c r="C752" s="26" t="s">
        <v>4</v>
      </c>
      <c r="D752" s="27"/>
      <c r="E752" s="28"/>
      <c r="F752" s="28"/>
      <c r="G752" s="29">
        <f>_xlfn.STDEV.P(G739,G742,G745)</f>
        <v>0.71899621386732993</v>
      </c>
      <c r="H752" s="29">
        <f t="shared" ref="H752:I752" si="287">_xlfn.STDEV.P(H739,H742,H745)</f>
        <v>2.0166644003581861E-2</v>
      </c>
      <c r="I752" s="29">
        <f t="shared" si="287"/>
        <v>0.54734503402320622</v>
      </c>
    </row>
    <row r="753" spans="1:24" ht="15" thickBot="1" x14ac:dyDescent="0.35">
      <c r="A753" s="19"/>
      <c r="B753" s="30"/>
      <c r="C753" s="31" t="s">
        <v>5</v>
      </c>
      <c r="D753" s="32"/>
      <c r="E753" s="33"/>
      <c r="F753" s="33"/>
      <c r="G753" s="34">
        <f>_xlfn.STDEV.P(G740,G743,G746)</f>
        <v>1.9008828358306433</v>
      </c>
      <c r="H753" s="34">
        <f t="shared" ref="H753:I753" si="288">_xlfn.STDEV.P(H740,H743,H746)</f>
        <v>4.3402039627315182E-2</v>
      </c>
      <c r="I753" s="34">
        <f t="shared" si="288"/>
        <v>0.3963483865909288</v>
      </c>
    </row>
    <row r="754" spans="1:24" x14ac:dyDescent="0.3">
      <c r="A754" s="1" t="s">
        <v>10</v>
      </c>
      <c r="B754" s="4">
        <v>12</v>
      </c>
      <c r="C754" s="1" t="s">
        <v>3</v>
      </c>
      <c r="D754" s="3">
        <v>44081</v>
      </c>
      <c r="E754" s="2"/>
    </row>
    <row r="755" spans="1:24" s="37" customFormat="1" x14ac:dyDescent="0.3">
      <c r="A755" s="38" t="s">
        <v>10</v>
      </c>
      <c r="B755" s="39">
        <v>13</v>
      </c>
      <c r="C755" s="38" t="s">
        <v>3</v>
      </c>
      <c r="D755" s="40">
        <v>44081</v>
      </c>
      <c r="E755" s="41">
        <v>32</v>
      </c>
      <c r="G755" s="39">
        <v>10.14</v>
      </c>
      <c r="H755" s="42">
        <f>G755/E755</f>
        <v>0.31687500000000002</v>
      </c>
      <c r="I755" s="14">
        <f>I720+H755</f>
        <v>9.6999999999999975</v>
      </c>
    </row>
    <row r="756" spans="1:24" x14ac:dyDescent="0.3">
      <c r="A756" s="1" t="s">
        <v>10</v>
      </c>
      <c r="B756" s="4">
        <v>14</v>
      </c>
      <c r="C756" s="1" t="s">
        <v>4</v>
      </c>
      <c r="D756" s="3">
        <v>44081</v>
      </c>
      <c r="E756" s="2">
        <v>32</v>
      </c>
      <c r="G756" s="4">
        <v>6.91</v>
      </c>
      <c r="H756" s="14">
        <f t="shared" ref="H756:H763" si="289">G756/E756</f>
        <v>0.2159375</v>
      </c>
      <c r="I756" s="14">
        <f t="shared" ref="I756:I762" si="290">I721+H756</f>
        <v>8.3639583333333345</v>
      </c>
    </row>
    <row r="757" spans="1:24" x14ac:dyDescent="0.3">
      <c r="A757" s="1" t="s">
        <v>10</v>
      </c>
      <c r="B757" s="4">
        <v>15</v>
      </c>
      <c r="C757" s="1" t="s">
        <v>5</v>
      </c>
      <c r="D757" s="3">
        <v>44081</v>
      </c>
      <c r="E757" s="2">
        <v>35</v>
      </c>
      <c r="G757" s="4">
        <v>9.0299999999999994</v>
      </c>
      <c r="H757" s="14">
        <f t="shared" si="289"/>
        <v>0.25800000000000001</v>
      </c>
      <c r="I757" s="14">
        <f t="shared" si="290"/>
        <v>8.1989248120300751</v>
      </c>
    </row>
    <row r="758" spans="1:24" x14ac:dyDescent="0.3">
      <c r="A758" s="1" t="s">
        <v>10</v>
      </c>
      <c r="B758" s="4">
        <v>16</v>
      </c>
      <c r="C758" s="1" t="s">
        <v>3</v>
      </c>
      <c r="D758" s="3">
        <v>44081</v>
      </c>
      <c r="E758" s="2">
        <v>40</v>
      </c>
      <c r="G758" s="4">
        <v>8.86</v>
      </c>
      <c r="H758" s="14">
        <f t="shared" si="289"/>
        <v>0.22149999999999997</v>
      </c>
      <c r="I758" s="14">
        <f t="shared" si="290"/>
        <v>8.6887500000000006</v>
      </c>
    </row>
    <row r="759" spans="1:24" x14ac:dyDescent="0.3">
      <c r="A759" s="1" t="s">
        <v>10</v>
      </c>
      <c r="B759" s="4">
        <v>17</v>
      </c>
      <c r="C759" s="1" t="s">
        <v>4</v>
      </c>
      <c r="D759" s="3">
        <v>44081</v>
      </c>
      <c r="E759" s="2">
        <v>34</v>
      </c>
      <c r="G759" s="2">
        <v>10.07</v>
      </c>
      <c r="H759" s="14">
        <f t="shared" si="289"/>
        <v>0.29617647058823532</v>
      </c>
      <c r="I759" s="14">
        <f t="shared" si="290"/>
        <v>9.0893653250774005</v>
      </c>
    </row>
    <row r="760" spans="1:24" x14ac:dyDescent="0.3">
      <c r="A760" s="1" t="s">
        <v>10</v>
      </c>
      <c r="B760" s="4">
        <v>18</v>
      </c>
      <c r="C760" s="1" t="s">
        <v>5</v>
      </c>
      <c r="D760" s="3">
        <v>44081</v>
      </c>
      <c r="E760" s="2">
        <v>38</v>
      </c>
      <c r="G760" s="2">
        <v>8.44</v>
      </c>
      <c r="H760" s="14">
        <f t="shared" si="289"/>
        <v>0.22210526315789472</v>
      </c>
      <c r="I760" s="14">
        <f t="shared" si="290"/>
        <v>8.8406710526315777</v>
      </c>
    </row>
    <row r="761" spans="1:24" x14ac:dyDescent="0.3">
      <c r="A761" s="1" t="s">
        <v>10</v>
      </c>
      <c r="B761" s="4">
        <v>19</v>
      </c>
      <c r="C761" s="1" t="s">
        <v>3</v>
      </c>
      <c r="D761" s="3">
        <v>44081</v>
      </c>
      <c r="E761" s="2">
        <v>34</v>
      </c>
      <c r="G761" s="4">
        <v>6.16</v>
      </c>
      <c r="H761" s="14">
        <f t="shared" si="289"/>
        <v>0.1811764705882353</v>
      </c>
      <c r="I761" s="14">
        <f t="shared" si="290"/>
        <v>9.5842209856915748</v>
      </c>
    </row>
    <row r="762" spans="1:24" x14ac:dyDescent="0.3">
      <c r="A762" s="1" t="s">
        <v>10</v>
      </c>
      <c r="B762" s="4">
        <v>20</v>
      </c>
      <c r="C762" s="1" t="s">
        <v>4</v>
      </c>
      <c r="D762" s="3">
        <v>44081</v>
      </c>
      <c r="E762" s="2">
        <v>38</v>
      </c>
      <c r="G762" s="4">
        <v>10.54</v>
      </c>
      <c r="H762" s="14">
        <f t="shared" si="289"/>
        <v>0.27736842105263154</v>
      </c>
      <c r="I762" s="14">
        <f t="shared" si="290"/>
        <v>8.684947368421053</v>
      </c>
    </row>
    <row r="763" spans="1:24" x14ac:dyDescent="0.3">
      <c r="A763" s="1" t="s">
        <v>10</v>
      </c>
      <c r="B763" s="4">
        <v>21</v>
      </c>
      <c r="C763" s="1" t="s">
        <v>5</v>
      </c>
      <c r="D763" s="3">
        <v>44081</v>
      </c>
      <c r="E763" s="2">
        <v>32</v>
      </c>
      <c r="G763" s="4">
        <v>8.35</v>
      </c>
      <c r="H763" s="14">
        <f t="shared" si="289"/>
        <v>0.26093749999999999</v>
      </c>
      <c r="I763" s="14">
        <f>I728+H763</f>
        <v>10.781111111111114</v>
      </c>
    </row>
    <row r="764" spans="1:24" s="37" customFormat="1" x14ac:dyDescent="0.3">
      <c r="A764" s="38" t="s">
        <v>10</v>
      </c>
      <c r="B764" s="39">
        <v>22</v>
      </c>
      <c r="C764" s="38" t="s">
        <v>3</v>
      </c>
      <c r="D764" s="40">
        <v>44081</v>
      </c>
      <c r="E764" s="41">
        <v>38</v>
      </c>
      <c r="G764" s="39">
        <v>8.15</v>
      </c>
      <c r="H764" s="42">
        <f>G764/E764</f>
        <v>0.21447368421052632</v>
      </c>
      <c r="I764" s="14">
        <f>I729+H764</f>
        <v>10.450526315789475</v>
      </c>
    </row>
    <row r="765" spans="1:24" x14ac:dyDescent="0.3">
      <c r="A765" s="5" t="s">
        <v>10</v>
      </c>
      <c r="B765" s="6">
        <v>23</v>
      </c>
      <c r="C765" s="5" t="s">
        <v>3</v>
      </c>
      <c r="D765" s="7">
        <v>44081</v>
      </c>
      <c r="E765" s="13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x14ac:dyDescent="0.3">
      <c r="B766" s="20" t="s">
        <v>15</v>
      </c>
      <c r="C766" s="21" t="s">
        <v>3</v>
      </c>
      <c r="D766" s="22"/>
      <c r="E766" s="23"/>
      <c r="F766" s="23"/>
      <c r="G766" s="24">
        <f t="shared" ref="G766:I766" si="291">AVERAGE(G755,G758,G761)</f>
        <v>8.3866666666666667</v>
      </c>
      <c r="H766" s="24">
        <f t="shared" si="291"/>
        <v>0.23985049019607843</v>
      </c>
      <c r="I766" s="24">
        <f t="shared" si="291"/>
        <v>9.324323661897191</v>
      </c>
    </row>
    <row r="767" spans="1:24" x14ac:dyDescent="0.3">
      <c r="B767" s="20"/>
      <c r="C767" s="21" t="s">
        <v>4</v>
      </c>
      <c r="D767" s="22"/>
      <c r="E767" s="23"/>
      <c r="F767" s="23"/>
      <c r="G767" s="24">
        <f t="shared" ref="G767:I767" si="292">AVERAGE(G756,G759,G762)</f>
        <v>9.1733333333333338</v>
      </c>
      <c r="H767" s="24">
        <f t="shared" si="292"/>
        <v>0.26316079721362229</v>
      </c>
      <c r="I767" s="24">
        <f t="shared" si="292"/>
        <v>8.7127570089439299</v>
      </c>
    </row>
    <row r="768" spans="1:24" x14ac:dyDescent="0.3">
      <c r="B768" s="20"/>
      <c r="C768" s="21" t="s">
        <v>5</v>
      </c>
      <c r="D768" s="22"/>
      <c r="E768" s="23"/>
      <c r="F768" s="23"/>
      <c r="G768" s="24">
        <f t="shared" ref="G768:I768" si="293">AVERAGE(G757,G760,G763)</f>
        <v>8.6066666666666674</v>
      </c>
      <c r="H768" s="24">
        <f t="shared" si="293"/>
        <v>0.24701425438596489</v>
      </c>
      <c r="I768" s="24">
        <f t="shared" si="293"/>
        <v>9.2735689919242557</v>
      </c>
    </row>
    <row r="769" spans="1:17" x14ac:dyDescent="0.3">
      <c r="B769" s="25" t="s">
        <v>16</v>
      </c>
      <c r="C769" s="26" t="s">
        <v>3</v>
      </c>
      <c r="D769" s="27"/>
      <c r="E769" s="28"/>
      <c r="F769" s="28"/>
      <c r="G769" s="29">
        <f>_xlfn.STDEV.P(G755,G758,G761)</f>
        <v>1.6589420993177799</v>
      </c>
      <c r="H769" s="29">
        <f t="shared" ref="H769:I769" si="294">_xlfn.STDEV.P(H755,H758,H761)</f>
        <v>5.6898026263108997E-2</v>
      </c>
      <c r="I769" s="29">
        <f t="shared" si="294"/>
        <v>0.45189718949602575</v>
      </c>
    </row>
    <row r="770" spans="1:17" x14ac:dyDescent="0.3">
      <c r="B770" s="25"/>
      <c r="C770" s="26" t="s">
        <v>4</v>
      </c>
      <c r="D770" s="27"/>
      <c r="E770" s="28"/>
      <c r="F770" s="28"/>
      <c r="G770" s="29">
        <f>_xlfn.STDEV.P(G756,G759,G762)</f>
        <v>1.6118795102474506</v>
      </c>
      <c r="H770" s="29">
        <f t="shared" ref="H770:I770" si="295">_xlfn.STDEV.P(H756,H759,H762)</f>
        <v>3.4263348071741855E-2</v>
      </c>
      <c r="I770" s="29">
        <f t="shared" si="295"/>
        <v>0.29679831310987664</v>
      </c>
    </row>
    <row r="771" spans="1:17" ht="15" thickBot="1" x14ac:dyDescent="0.35">
      <c r="A771" s="19"/>
      <c r="B771" s="30"/>
      <c r="C771" s="31" t="s">
        <v>5</v>
      </c>
      <c r="D771" s="32"/>
      <c r="E771" s="33"/>
      <c r="F771" s="33"/>
      <c r="G771" s="34">
        <f>_xlfn.STDEV.P(G757,G760,G763)</f>
        <v>0.30158838763380047</v>
      </c>
      <c r="H771" s="34">
        <f t="shared" ref="H771:I771" si="296">_xlfn.STDEV.P(H757,H760,H763)</f>
        <v>1.7654095078527967E-2</v>
      </c>
      <c r="I771" s="34">
        <f t="shared" si="296"/>
        <v>1.0977164145544342</v>
      </c>
    </row>
    <row r="772" spans="1:17" ht="15" thickBot="1" x14ac:dyDescent="0.35">
      <c r="A772" s="1" t="s">
        <v>9</v>
      </c>
      <c r="B772" s="4">
        <v>1</v>
      </c>
      <c r="C772" s="1" t="s">
        <v>11</v>
      </c>
      <c r="D772" s="3">
        <v>44089</v>
      </c>
      <c r="E772" s="2"/>
      <c r="N772" s="36" t="s">
        <v>13</v>
      </c>
      <c r="P772" s="36" t="s">
        <v>14</v>
      </c>
    </row>
    <row r="773" spans="1:17" s="37" customFormat="1" ht="15" thickTop="1" x14ac:dyDescent="0.3">
      <c r="A773" s="38" t="s">
        <v>9</v>
      </c>
      <c r="B773" s="39">
        <v>2</v>
      </c>
      <c r="C773" s="38" t="s">
        <v>3</v>
      </c>
      <c r="D773" s="40">
        <v>44089</v>
      </c>
      <c r="E773" s="41">
        <v>36</v>
      </c>
      <c r="G773" s="39">
        <f>13.99+3.14</f>
        <v>17.13</v>
      </c>
      <c r="H773" s="42">
        <f>G773/E773</f>
        <v>0.47583333333333333</v>
      </c>
      <c r="I773" s="14">
        <f>I738+H773</f>
        <v>13.144764957264957</v>
      </c>
      <c r="K773" s="84">
        <v>44089</v>
      </c>
      <c r="L773" s="85" t="s">
        <v>3</v>
      </c>
      <c r="M773" s="37" t="s">
        <v>17</v>
      </c>
      <c r="N773" s="43">
        <f>H783</f>
        <v>0.46432282282282283</v>
      </c>
      <c r="O773" s="43">
        <f>H786</f>
        <v>8.6081543342206839E-3</v>
      </c>
      <c r="P773" s="43">
        <f>I783</f>
        <v>13.169168756668759</v>
      </c>
      <c r="Q773" s="43">
        <f>I786</f>
        <v>0.17344396490618499</v>
      </c>
    </row>
    <row r="774" spans="1:17" x14ac:dyDescent="0.3">
      <c r="A774" s="1" t="s">
        <v>9</v>
      </c>
      <c r="B774" s="4">
        <v>3</v>
      </c>
      <c r="C774" s="1" t="s">
        <v>4</v>
      </c>
      <c r="D774" s="3">
        <v>44089</v>
      </c>
      <c r="E774" s="2">
        <v>34</v>
      </c>
      <c r="G774" s="4">
        <v>13.51</v>
      </c>
      <c r="H774" s="14">
        <f t="shared" ref="H774:H781" si="297">G774/E774</f>
        <v>0.39735294117647058</v>
      </c>
      <c r="I774" s="14">
        <f t="shared" ref="I774:I780" si="298">I739+H774</f>
        <v>13.039427662957076</v>
      </c>
      <c r="K774" s="84"/>
      <c r="L774" s="85"/>
      <c r="M774" t="s">
        <v>18</v>
      </c>
      <c r="N774" s="35">
        <f>H801</f>
        <v>0.27332965686274507</v>
      </c>
      <c r="O774" s="35">
        <f>H804</f>
        <v>8.2014453199230758E-2</v>
      </c>
      <c r="P774" s="35">
        <f>I801</f>
        <v>9.5976533187599369</v>
      </c>
      <c r="Q774" s="35">
        <f>I804</f>
        <v>0.48722548923715259</v>
      </c>
    </row>
    <row r="775" spans="1:17" x14ac:dyDescent="0.3">
      <c r="A775" s="1" t="s">
        <v>9</v>
      </c>
      <c r="B775" s="4">
        <v>4</v>
      </c>
      <c r="C775" s="1" t="s">
        <v>5</v>
      </c>
      <c r="D775" s="3">
        <v>44089</v>
      </c>
      <c r="E775" s="2">
        <v>37</v>
      </c>
      <c r="G775" s="4">
        <v>14.3</v>
      </c>
      <c r="H775" s="14">
        <f t="shared" si="297"/>
        <v>0.38648648648648648</v>
      </c>
      <c r="I775" s="14">
        <f t="shared" si="298"/>
        <v>12.335135135135136</v>
      </c>
      <c r="K775" s="84"/>
      <c r="L775" s="85" t="s">
        <v>4</v>
      </c>
      <c r="M775" t="s">
        <v>17</v>
      </c>
      <c r="N775" s="35">
        <f>H784</f>
        <v>0.34902505446623094</v>
      </c>
      <c r="O775" s="35">
        <f>H787</f>
        <v>5.0260705430331433E-2</v>
      </c>
      <c r="P775" s="35">
        <f>I784</f>
        <v>12.280647559324029</v>
      </c>
      <c r="Q775" s="35">
        <f>I787</f>
        <v>0.56606583437722713</v>
      </c>
    </row>
    <row r="776" spans="1:17" x14ac:dyDescent="0.3">
      <c r="A776" s="1" t="s">
        <v>9</v>
      </c>
      <c r="B776" s="4">
        <v>5</v>
      </c>
      <c r="C776" s="1" t="s">
        <v>3</v>
      </c>
      <c r="D776" s="3">
        <v>44089</v>
      </c>
      <c r="E776" s="2">
        <v>35</v>
      </c>
      <c r="G776" s="4">
        <v>16.170000000000002</v>
      </c>
      <c r="H776" s="14">
        <f t="shared" si="297"/>
        <v>0.46200000000000002</v>
      </c>
      <c r="I776" s="14">
        <f t="shared" si="298"/>
        <v>13.392741312741311</v>
      </c>
      <c r="K776" s="84"/>
      <c r="L776" s="85"/>
      <c r="M776" t="s">
        <v>18</v>
      </c>
      <c r="N776" s="35">
        <f>H802</f>
        <v>0.31138190144478844</v>
      </c>
      <c r="O776" s="35">
        <f>H805</f>
        <v>4.6545398289926002E-2</v>
      </c>
      <c r="P776" s="35">
        <f>I802</f>
        <v>9.0241389103887197</v>
      </c>
      <c r="Q776" s="35">
        <f>I805</f>
        <v>0.32621432730748623</v>
      </c>
    </row>
    <row r="777" spans="1:17" x14ac:dyDescent="0.3">
      <c r="A777" s="1" t="s">
        <v>9</v>
      </c>
      <c r="B777" s="4">
        <v>6</v>
      </c>
      <c r="C777" s="1" t="s">
        <v>4</v>
      </c>
      <c r="D777" s="3">
        <v>44089</v>
      </c>
      <c r="E777" s="2">
        <v>37</v>
      </c>
      <c r="G777" s="2">
        <v>13.69</v>
      </c>
      <c r="H777" s="14">
        <f t="shared" si="297"/>
        <v>0.37</v>
      </c>
      <c r="I777" s="14">
        <f t="shared" si="298"/>
        <v>11.680270270270269</v>
      </c>
      <c r="K777" s="84"/>
      <c r="L777" s="85" t="s">
        <v>5</v>
      </c>
      <c r="M777" t="s">
        <v>17</v>
      </c>
      <c r="N777" s="35">
        <f>H785</f>
        <v>0.51593409198672358</v>
      </c>
      <c r="O777" s="35">
        <f>H788</f>
        <v>0.10819750464143947</v>
      </c>
      <c r="P777" s="35">
        <f>I785</f>
        <v>12.168247171984016</v>
      </c>
      <c r="Q777" s="35">
        <f>I788</f>
        <v>0.30268846269903393</v>
      </c>
    </row>
    <row r="778" spans="1:17" x14ac:dyDescent="0.3">
      <c r="A778" s="1" t="s">
        <v>9</v>
      </c>
      <c r="B778" s="4">
        <v>7</v>
      </c>
      <c r="C778" s="1" t="s">
        <v>5</v>
      </c>
      <c r="D778" s="3">
        <v>44089</v>
      </c>
      <c r="E778" s="2">
        <v>35</v>
      </c>
      <c r="G778" s="2">
        <v>17.850000000000001</v>
      </c>
      <c r="H778" s="14">
        <f t="shared" si="297"/>
        <v>0.51</v>
      </c>
      <c r="I778" s="14">
        <f t="shared" si="298"/>
        <v>12.426185328185328</v>
      </c>
      <c r="K778" s="84"/>
      <c r="L778" s="85"/>
      <c r="M778" t="s">
        <v>18</v>
      </c>
      <c r="N778" s="35">
        <f>H803</f>
        <v>0.28285369674185462</v>
      </c>
      <c r="O778" s="35">
        <f>H806</f>
        <v>3.5559344689551818E-2</v>
      </c>
      <c r="P778" s="35">
        <f>I803</f>
        <v>9.5564226886661103</v>
      </c>
      <c r="Q778" s="35">
        <f>I806</f>
        <v>1.1320532494962288</v>
      </c>
    </row>
    <row r="779" spans="1:17" x14ac:dyDescent="0.3">
      <c r="A779" s="1" t="s">
        <v>9</v>
      </c>
      <c r="B779" s="4">
        <v>8</v>
      </c>
      <c r="C779" s="1" t="s">
        <v>3</v>
      </c>
      <c r="D779" s="3">
        <v>44089</v>
      </c>
      <c r="E779" s="2">
        <v>37</v>
      </c>
      <c r="G779" s="4">
        <v>16.84</v>
      </c>
      <c r="H779" s="14">
        <f t="shared" si="297"/>
        <v>0.45513513513513515</v>
      </c>
      <c r="I779" s="14">
        <f t="shared" si="298"/>
        <v>12.970000000000002</v>
      </c>
    </row>
    <row r="780" spans="1:17" x14ac:dyDescent="0.3">
      <c r="A780" s="1" t="s">
        <v>9</v>
      </c>
      <c r="B780" s="4">
        <v>9</v>
      </c>
      <c r="C780" s="1" t="s">
        <v>4</v>
      </c>
      <c r="D780" s="3">
        <v>44089</v>
      </c>
      <c r="E780" s="2">
        <v>36</v>
      </c>
      <c r="G780" s="4">
        <v>10.07</v>
      </c>
      <c r="H780" s="14">
        <f t="shared" si="297"/>
        <v>0.27972222222222221</v>
      </c>
      <c r="I780" s="14">
        <f t="shared" si="298"/>
        <v>12.122244744744744</v>
      </c>
    </row>
    <row r="781" spans="1:17" s="37" customFormat="1" x14ac:dyDescent="0.3">
      <c r="A781" s="38" t="s">
        <v>9</v>
      </c>
      <c r="B781" s="39">
        <v>10</v>
      </c>
      <c r="C781" s="38" t="s">
        <v>5</v>
      </c>
      <c r="D781" s="40">
        <v>44089</v>
      </c>
      <c r="E781" s="41">
        <v>38</v>
      </c>
      <c r="G781" s="39">
        <v>24.75</v>
      </c>
      <c r="H781" s="42">
        <f t="shared" si="297"/>
        <v>0.65131578947368418</v>
      </c>
      <c r="I781" s="14">
        <f>I746+H781</f>
        <v>11.743421052631579</v>
      </c>
    </row>
    <row r="782" spans="1:17" ht="15" thickBot="1" x14ac:dyDescent="0.35">
      <c r="A782" s="9" t="s">
        <v>9</v>
      </c>
      <c r="B782" s="15">
        <v>11</v>
      </c>
      <c r="C782" s="9" t="s">
        <v>3</v>
      </c>
      <c r="D782" s="16">
        <v>44089</v>
      </c>
      <c r="E782" s="17"/>
      <c r="F782" s="18"/>
      <c r="G782" s="18"/>
      <c r="H782" s="18"/>
      <c r="I782" s="18"/>
    </row>
    <row r="783" spans="1:17" ht="15" thickTop="1" x14ac:dyDescent="0.3">
      <c r="B783" s="20" t="s">
        <v>15</v>
      </c>
      <c r="C783" s="21" t="s">
        <v>3</v>
      </c>
      <c r="D783" s="22"/>
      <c r="E783" s="23"/>
      <c r="F783" s="23"/>
      <c r="G783" s="24">
        <f t="shared" ref="G783:I783" si="299">AVERAGE(G773,G776,G779)</f>
        <v>16.713333333333335</v>
      </c>
      <c r="H783" s="24">
        <f t="shared" si="299"/>
        <v>0.46432282282282283</v>
      </c>
      <c r="I783" s="24">
        <f t="shared" si="299"/>
        <v>13.169168756668759</v>
      </c>
    </row>
    <row r="784" spans="1:17" x14ac:dyDescent="0.3">
      <c r="B784" s="20"/>
      <c r="C784" s="21" t="s">
        <v>4</v>
      </c>
      <c r="D784" s="22"/>
      <c r="E784" s="23"/>
      <c r="F784" s="23"/>
      <c r="G784" s="24">
        <f t="shared" ref="G784:I784" si="300">AVERAGE(G774,G777,G780)</f>
        <v>12.423333333333332</v>
      </c>
      <c r="H784" s="24">
        <f t="shared" si="300"/>
        <v>0.34902505446623094</v>
      </c>
      <c r="I784" s="24">
        <f t="shared" si="300"/>
        <v>12.280647559324029</v>
      </c>
    </row>
    <row r="785" spans="1:24" x14ac:dyDescent="0.3">
      <c r="B785" s="20"/>
      <c r="C785" s="21" t="s">
        <v>5</v>
      </c>
      <c r="D785" s="22"/>
      <c r="E785" s="23"/>
      <c r="F785" s="23"/>
      <c r="G785" s="24">
        <f t="shared" ref="G785:I785" si="301">AVERAGE(G775,G778,G781)</f>
        <v>18.966666666666669</v>
      </c>
      <c r="H785" s="24">
        <f t="shared" si="301"/>
        <v>0.51593409198672358</v>
      </c>
      <c r="I785" s="24">
        <f t="shared" si="301"/>
        <v>12.168247171984016</v>
      </c>
    </row>
    <row r="786" spans="1:24" x14ac:dyDescent="0.3">
      <c r="B786" s="25" t="s">
        <v>16</v>
      </c>
      <c r="C786" s="26" t="s">
        <v>3</v>
      </c>
      <c r="D786" s="27"/>
      <c r="E786" s="28"/>
      <c r="F786" s="28"/>
      <c r="G786" s="29">
        <f>_xlfn.STDEV.P(G773,G776,G779)</f>
        <v>0.40202266381663276</v>
      </c>
      <c r="H786" s="29">
        <f t="shared" ref="H786:I786" si="302">_xlfn.STDEV.P(H773,H776,H779)</f>
        <v>8.6081543342206839E-3</v>
      </c>
      <c r="I786" s="29">
        <f t="shared" si="302"/>
        <v>0.17344396490618499</v>
      </c>
    </row>
    <row r="787" spans="1:24" x14ac:dyDescent="0.3">
      <c r="B787" s="25"/>
      <c r="C787" s="26" t="s">
        <v>4</v>
      </c>
      <c r="D787" s="27"/>
      <c r="E787" s="28"/>
      <c r="F787" s="28"/>
      <c r="G787" s="29">
        <f>_xlfn.STDEV.P(G774,G777,G780)</f>
        <v>1.665679707773648</v>
      </c>
      <c r="H787" s="29">
        <f t="shared" ref="H787:I787" si="303">_xlfn.STDEV.P(H774,H777,H780)</f>
        <v>5.0260705430331433E-2</v>
      </c>
      <c r="I787" s="29">
        <f t="shared" si="303"/>
        <v>0.56606583437722713</v>
      </c>
    </row>
    <row r="788" spans="1:24" ht="15" thickBot="1" x14ac:dyDescent="0.35">
      <c r="A788" s="19"/>
      <c r="B788" s="30"/>
      <c r="C788" s="31" t="s">
        <v>5</v>
      </c>
      <c r="D788" s="32"/>
      <c r="E788" s="33"/>
      <c r="F788" s="33"/>
      <c r="G788" s="34">
        <f>_xlfn.STDEV.P(G775,G778,G781)</f>
        <v>4.3386505838669338</v>
      </c>
      <c r="H788" s="34">
        <f t="shared" ref="H788:I788" si="304">_xlfn.STDEV.P(H775,H778,H781)</f>
        <v>0.10819750464143947</v>
      </c>
      <c r="I788" s="34">
        <f t="shared" si="304"/>
        <v>0.30268846269903393</v>
      </c>
    </row>
    <row r="789" spans="1:24" x14ac:dyDescent="0.3">
      <c r="A789" s="1" t="s">
        <v>10</v>
      </c>
      <c r="B789" s="4">
        <v>12</v>
      </c>
      <c r="C789" s="1" t="s">
        <v>3</v>
      </c>
      <c r="D789" s="3">
        <v>44089</v>
      </c>
      <c r="E789" s="2"/>
    </row>
    <row r="790" spans="1:24" s="37" customFormat="1" x14ac:dyDescent="0.3">
      <c r="A790" s="38" t="s">
        <v>10</v>
      </c>
      <c r="B790" s="39">
        <v>13</v>
      </c>
      <c r="C790" s="38" t="s">
        <v>3</v>
      </c>
      <c r="D790" s="40">
        <v>44089</v>
      </c>
      <c r="E790" s="41">
        <v>32</v>
      </c>
      <c r="G790" s="39">
        <v>12.33</v>
      </c>
      <c r="H790" s="42">
        <f>G790/E790</f>
        <v>0.3853125</v>
      </c>
      <c r="I790" s="14">
        <f>I755+H790</f>
        <v>10.085312499999997</v>
      </c>
    </row>
    <row r="791" spans="1:24" x14ac:dyDescent="0.3">
      <c r="A791" s="1" t="s">
        <v>10</v>
      </c>
      <c r="B791" s="4">
        <v>14</v>
      </c>
      <c r="C791" s="1" t="s">
        <v>4</v>
      </c>
      <c r="D791" s="3">
        <v>44089</v>
      </c>
      <c r="E791" s="2">
        <v>32</v>
      </c>
      <c r="G791" s="4">
        <v>7.99</v>
      </c>
      <c r="H791" s="14">
        <f t="shared" ref="H791:H798" si="305">G791/E791</f>
        <v>0.24968750000000001</v>
      </c>
      <c r="I791" s="14">
        <f t="shared" ref="I791:I797" si="306">I756+H791</f>
        <v>8.6136458333333348</v>
      </c>
    </row>
    <row r="792" spans="1:24" x14ac:dyDescent="0.3">
      <c r="A792" s="1" t="s">
        <v>10</v>
      </c>
      <c r="B792" s="4">
        <v>15</v>
      </c>
      <c r="C792" s="1" t="s">
        <v>5</v>
      </c>
      <c r="D792" s="3">
        <v>44089</v>
      </c>
      <c r="E792" s="2">
        <v>35</v>
      </c>
      <c r="G792" s="4">
        <v>9.06</v>
      </c>
      <c r="H792" s="14">
        <f t="shared" si="305"/>
        <v>0.2588571428571429</v>
      </c>
      <c r="I792" s="14">
        <f t="shared" si="306"/>
        <v>8.4577819548872171</v>
      </c>
    </row>
    <row r="793" spans="1:24" x14ac:dyDescent="0.3">
      <c r="A793" s="1" t="s">
        <v>10</v>
      </c>
      <c r="B793" s="4">
        <v>16</v>
      </c>
      <c r="C793" s="1" t="s">
        <v>3</v>
      </c>
      <c r="D793" s="3">
        <v>44089</v>
      </c>
      <c r="E793" s="2">
        <v>40</v>
      </c>
      <c r="G793" s="4">
        <v>9.74</v>
      </c>
      <c r="H793" s="14">
        <f t="shared" si="305"/>
        <v>0.24349999999999999</v>
      </c>
      <c r="I793" s="14">
        <f t="shared" si="306"/>
        <v>8.9322499999999998</v>
      </c>
    </row>
    <row r="794" spans="1:24" x14ac:dyDescent="0.3">
      <c r="A794" s="1" t="s">
        <v>10</v>
      </c>
      <c r="B794" s="4">
        <v>17</v>
      </c>
      <c r="C794" s="1" t="s">
        <v>4</v>
      </c>
      <c r="D794" s="3">
        <v>44089</v>
      </c>
      <c r="E794" s="2">
        <v>34</v>
      </c>
      <c r="G794" s="2">
        <v>10.96</v>
      </c>
      <c r="H794" s="14">
        <f t="shared" si="305"/>
        <v>0.32235294117647062</v>
      </c>
      <c r="I794" s="14">
        <f t="shared" si="306"/>
        <v>9.411718266253871</v>
      </c>
    </row>
    <row r="795" spans="1:24" x14ac:dyDescent="0.3">
      <c r="A795" s="1" t="s">
        <v>10</v>
      </c>
      <c r="B795" s="4">
        <v>18</v>
      </c>
      <c r="C795" s="1" t="s">
        <v>5</v>
      </c>
      <c r="D795" s="3">
        <v>44089</v>
      </c>
      <c r="E795" s="2">
        <v>38</v>
      </c>
      <c r="G795" s="2">
        <v>9.75</v>
      </c>
      <c r="H795" s="14">
        <f t="shared" si="305"/>
        <v>0.25657894736842107</v>
      </c>
      <c r="I795" s="14">
        <f t="shared" si="306"/>
        <v>9.0972499999999989</v>
      </c>
    </row>
    <row r="796" spans="1:24" x14ac:dyDescent="0.3">
      <c r="A796" s="1" t="s">
        <v>10</v>
      </c>
      <c r="B796" s="4">
        <v>19</v>
      </c>
      <c r="C796" s="1" t="s">
        <v>3</v>
      </c>
      <c r="D796" s="3">
        <v>44089</v>
      </c>
      <c r="E796" s="2">
        <v>34</v>
      </c>
      <c r="G796" s="4">
        <v>6.5</v>
      </c>
      <c r="H796" s="14">
        <f t="shared" si="305"/>
        <v>0.19117647058823528</v>
      </c>
      <c r="I796" s="14">
        <f t="shared" si="306"/>
        <v>9.7753974562798103</v>
      </c>
    </row>
    <row r="797" spans="1:24" x14ac:dyDescent="0.3">
      <c r="A797" s="1" t="s">
        <v>10</v>
      </c>
      <c r="B797" s="4">
        <v>20</v>
      </c>
      <c r="C797" s="1" t="s">
        <v>4</v>
      </c>
      <c r="D797" s="3">
        <v>44089</v>
      </c>
      <c r="E797" s="2">
        <v>38</v>
      </c>
      <c r="G797" s="4">
        <v>13.76</v>
      </c>
      <c r="H797" s="14">
        <f t="shared" si="305"/>
        <v>0.36210526315789471</v>
      </c>
      <c r="I797" s="14">
        <f t="shared" si="306"/>
        <v>9.0470526315789481</v>
      </c>
    </row>
    <row r="798" spans="1:24" x14ac:dyDescent="0.3">
      <c r="A798" s="1" t="s">
        <v>10</v>
      </c>
      <c r="B798" s="4">
        <v>21</v>
      </c>
      <c r="C798" s="1" t="s">
        <v>5</v>
      </c>
      <c r="D798" s="3">
        <v>44089</v>
      </c>
      <c r="E798" s="2">
        <v>32</v>
      </c>
      <c r="G798" s="4">
        <v>10.66</v>
      </c>
      <c r="H798" s="14">
        <f t="shared" si="305"/>
        <v>0.333125</v>
      </c>
      <c r="I798" s="14">
        <f>I763+H798</f>
        <v>11.114236111111115</v>
      </c>
    </row>
    <row r="799" spans="1:24" s="37" customFormat="1" x14ac:dyDescent="0.3">
      <c r="A799" s="38" t="s">
        <v>10</v>
      </c>
      <c r="B799" s="39">
        <v>22</v>
      </c>
      <c r="C799" s="38" t="s">
        <v>3</v>
      </c>
      <c r="D799" s="40">
        <v>44089</v>
      </c>
      <c r="E799" s="41">
        <v>38</v>
      </c>
      <c r="G799" s="39">
        <v>15.62</v>
      </c>
      <c r="H799" s="42">
        <f>G799/E799</f>
        <v>0.41105263157894734</v>
      </c>
      <c r="I799" s="14">
        <f>I764+H799</f>
        <v>10.861578947368422</v>
      </c>
    </row>
    <row r="800" spans="1:24" x14ac:dyDescent="0.3">
      <c r="A800" s="5" t="s">
        <v>10</v>
      </c>
      <c r="B800" s="6">
        <v>23</v>
      </c>
      <c r="C800" s="5" t="s">
        <v>3</v>
      </c>
      <c r="D800" s="7">
        <v>44089</v>
      </c>
      <c r="E800" s="13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17" x14ac:dyDescent="0.3">
      <c r="B801" s="20" t="s">
        <v>15</v>
      </c>
      <c r="C801" s="21" t="s">
        <v>3</v>
      </c>
      <c r="D801" s="22"/>
      <c r="E801" s="23"/>
      <c r="F801" s="23"/>
      <c r="G801" s="24">
        <f t="shared" ref="G801:I801" si="307">AVERAGE(G790,G793,G796)</f>
        <v>9.5233333333333334</v>
      </c>
      <c r="H801" s="24">
        <f t="shared" si="307"/>
        <v>0.27332965686274507</v>
      </c>
      <c r="I801" s="24">
        <f t="shared" si="307"/>
        <v>9.5976533187599369</v>
      </c>
    </row>
    <row r="802" spans="1:17" x14ac:dyDescent="0.3">
      <c r="B802" s="20"/>
      <c r="C802" s="21" t="s">
        <v>4</v>
      </c>
      <c r="D802" s="22"/>
      <c r="E802" s="23"/>
      <c r="F802" s="23"/>
      <c r="G802" s="24">
        <f t="shared" ref="G802:I802" si="308">AVERAGE(G791,G794,G797)</f>
        <v>10.903333333333334</v>
      </c>
      <c r="H802" s="24">
        <f t="shared" si="308"/>
        <v>0.31138190144478844</v>
      </c>
      <c r="I802" s="24">
        <f t="shared" si="308"/>
        <v>9.0241389103887197</v>
      </c>
    </row>
    <row r="803" spans="1:17" x14ac:dyDescent="0.3">
      <c r="B803" s="20"/>
      <c r="C803" s="21" t="s">
        <v>5</v>
      </c>
      <c r="D803" s="22"/>
      <c r="E803" s="23"/>
      <c r="F803" s="23"/>
      <c r="G803" s="24">
        <f t="shared" ref="G803:I803" si="309">AVERAGE(G792,G795,G798)</f>
        <v>9.8233333333333341</v>
      </c>
      <c r="H803" s="24">
        <f t="shared" si="309"/>
        <v>0.28285369674185462</v>
      </c>
      <c r="I803" s="24">
        <f t="shared" si="309"/>
        <v>9.5564226886661103</v>
      </c>
    </row>
    <row r="804" spans="1:17" x14ac:dyDescent="0.3">
      <c r="B804" s="25" t="s">
        <v>16</v>
      </c>
      <c r="C804" s="26" t="s">
        <v>3</v>
      </c>
      <c r="D804" s="27"/>
      <c r="E804" s="28"/>
      <c r="F804" s="28"/>
      <c r="G804" s="29">
        <f>_xlfn.STDEV.P(G790,G793,G796)</f>
        <v>2.3850133938594307</v>
      </c>
      <c r="H804" s="29">
        <f t="shared" ref="H804:I804" si="310">_xlfn.STDEV.P(H790,H793,H796)</f>
        <v>8.2014453199230758E-2</v>
      </c>
      <c r="I804" s="29">
        <f t="shared" si="310"/>
        <v>0.48722548923715259</v>
      </c>
    </row>
    <row r="805" spans="1:17" x14ac:dyDescent="0.3">
      <c r="B805" s="25"/>
      <c r="C805" s="26" t="s">
        <v>4</v>
      </c>
      <c r="D805" s="27"/>
      <c r="E805" s="28"/>
      <c r="F805" s="28"/>
      <c r="G805" s="29">
        <f>_xlfn.STDEV.P(G791,G794,G797)</f>
        <v>2.3559334078496779</v>
      </c>
      <c r="H805" s="29">
        <f t="shared" ref="H805:I805" si="311">_xlfn.STDEV.P(H791,H794,H797)</f>
        <v>4.6545398289926002E-2</v>
      </c>
      <c r="I805" s="29">
        <f t="shared" si="311"/>
        <v>0.32621432730748623</v>
      </c>
    </row>
    <row r="806" spans="1:17" ht="15" thickBot="1" x14ac:dyDescent="0.35">
      <c r="A806" s="19"/>
      <c r="B806" s="30"/>
      <c r="C806" s="31" t="s">
        <v>5</v>
      </c>
      <c r="D806" s="32"/>
      <c r="E806" s="33"/>
      <c r="F806" s="33"/>
      <c r="G806" s="34">
        <f>_xlfn.STDEV.P(G792,G795,G798)</f>
        <v>0.65525228389953394</v>
      </c>
      <c r="H806" s="34">
        <f t="shared" ref="H806:I806" si="312">_xlfn.STDEV.P(H792,H795,H798)</f>
        <v>3.5559344689551818E-2</v>
      </c>
      <c r="I806" s="34">
        <f t="shared" si="312"/>
        <v>1.1320532494962288</v>
      </c>
    </row>
    <row r="807" spans="1:17" ht="15" thickBot="1" x14ac:dyDescent="0.35">
      <c r="A807" s="1" t="s">
        <v>9</v>
      </c>
      <c r="B807" s="4">
        <v>1</v>
      </c>
      <c r="C807" s="1" t="s">
        <v>11</v>
      </c>
      <c r="D807" s="3">
        <v>44095</v>
      </c>
      <c r="E807" s="2"/>
      <c r="N807" s="36" t="s">
        <v>13</v>
      </c>
      <c r="P807" s="36" t="s">
        <v>14</v>
      </c>
    </row>
    <row r="808" spans="1:17" s="37" customFormat="1" ht="15" thickTop="1" x14ac:dyDescent="0.3">
      <c r="A808" s="38" t="s">
        <v>9</v>
      </c>
      <c r="B808" s="39">
        <v>2</v>
      </c>
      <c r="C808" s="38" t="s">
        <v>3</v>
      </c>
      <c r="D808" s="40">
        <v>44095</v>
      </c>
      <c r="E808" s="41">
        <v>36</v>
      </c>
      <c r="G808" s="39">
        <f>14.11+6.77</f>
        <v>20.88</v>
      </c>
      <c r="H808" s="42">
        <f>G808/E808</f>
        <v>0.57999999999999996</v>
      </c>
      <c r="I808" s="14">
        <f>I773+H808</f>
        <v>13.724764957264957</v>
      </c>
      <c r="K808" s="84">
        <v>44095</v>
      </c>
      <c r="L808" s="85" t="s">
        <v>3</v>
      </c>
      <c r="M808" s="37" t="s">
        <v>17</v>
      </c>
      <c r="N808" s="43">
        <f>H818</f>
        <v>0.46416731016731011</v>
      </c>
      <c r="O808" s="43">
        <f>H821</f>
        <v>9.1529176173056045E-2</v>
      </c>
      <c r="P808" s="43">
        <f>I818</f>
        <v>13.633336066836067</v>
      </c>
      <c r="Q808" s="43">
        <f>I821</f>
        <v>0.22301303023060751</v>
      </c>
    </row>
    <row r="809" spans="1:17" x14ac:dyDescent="0.3">
      <c r="A809" s="1" t="s">
        <v>9</v>
      </c>
      <c r="B809" s="4">
        <v>3</v>
      </c>
      <c r="C809" s="1" t="s">
        <v>4</v>
      </c>
      <c r="D809" s="3">
        <v>44095</v>
      </c>
      <c r="E809" s="2">
        <v>34</v>
      </c>
      <c r="G809" s="4">
        <v>15.92</v>
      </c>
      <c r="H809" s="14">
        <f t="shared" ref="H809:H816" si="313">G809/E809</f>
        <v>0.46823529411764708</v>
      </c>
      <c r="I809" s="14">
        <f t="shared" ref="I809:I815" si="314">I774+H809</f>
        <v>13.507662957074723</v>
      </c>
      <c r="K809" s="84"/>
      <c r="L809" s="85"/>
      <c r="M809" t="s">
        <v>18</v>
      </c>
      <c r="N809" s="35">
        <f>H836</f>
        <v>0.2318125</v>
      </c>
      <c r="O809" s="35">
        <f>H839</f>
        <v>6.1388512599399793E-2</v>
      </c>
      <c r="P809" s="35">
        <f>I836</f>
        <v>9.8294658187599353</v>
      </c>
      <c r="Q809" s="35">
        <f>I839</f>
        <v>0.47568826243422119</v>
      </c>
    </row>
    <row r="810" spans="1:17" x14ac:dyDescent="0.3">
      <c r="A810" s="1" t="s">
        <v>9</v>
      </c>
      <c r="B810" s="4">
        <v>4</v>
      </c>
      <c r="C810" s="1" t="s">
        <v>5</v>
      </c>
      <c r="D810" s="3">
        <v>44095</v>
      </c>
      <c r="E810" s="2">
        <v>37</v>
      </c>
      <c r="G810" s="4">
        <v>15.4</v>
      </c>
      <c r="H810" s="14">
        <f t="shared" si="313"/>
        <v>0.41621621621621624</v>
      </c>
      <c r="I810" s="14">
        <f t="shared" si="314"/>
        <v>12.751351351351353</v>
      </c>
      <c r="K810" s="84"/>
      <c r="L810" s="85" t="s">
        <v>4</v>
      </c>
      <c r="M810" t="s">
        <v>17</v>
      </c>
      <c r="N810" s="35">
        <f>H819</f>
        <v>0.42439925219336988</v>
      </c>
      <c r="O810" s="35">
        <f>H822</f>
        <v>5.87540701728754E-2</v>
      </c>
      <c r="P810" s="35">
        <f>I819</f>
        <v>12.705046811517398</v>
      </c>
      <c r="Q810" s="35">
        <f>I822</f>
        <v>0.61250010917138897</v>
      </c>
    </row>
    <row r="811" spans="1:17" x14ac:dyDescent="0.3">
      <c r="A811" s="1" t="s">
        <v>9</v>
      </c>
      <c r="B811" s="4">
        <v>5</v>
      </c>
      <c r="C811" s="1" t="s">
        <v>3</v>
      </c>
      <c r="D811" s="3">
        <v>44095</v>
      </c>
      <c r="E811" s="2">
        <v>35</v>
      </c>
      <c r="G811" s="4">
        <v>15.97</v>
      </c>
      <c r="H811" s="14">
        <f t="shared" si="313"/>
        <v>0.45628571428571429</v>
      </c>
      <c r="I811" s="14">
        <f t="shared" si="314"/>
        <v>13.849027027027025</v>
      </c>
      <c r="K811" s="84"/>
      <c r="L811" s="85"/>
      <c r="M811" t="s">
        <v>18</v>
      </c>
      <c r="N811" s="35">
        <f>H837</f>
        <v>0.2846510577915376</v>
      </c>
      <c r="O811" s="35">
        <f>H840</f>
        <v>1.2304654080540709E-2</v>
      </c>
      <c r="P811" s="35">
        <f>I837</f>
        <v>9.3087899681802568</v>
      </c>
      <c r="Q811" s="35">
        <f>I840</f>
        <v>0.32017096841252302</v>
      </c>
    </row>
    <row r="812" spans="1:17" x14ac:dyDescent="0.3">
      <c r="A812" s="1" t="s">
        <v>9</v>
      </c>
      <c r="B812" s="4">
        <v>6</v>
      </c>
      <c r="C812" s="1" t="s">
        <v>4</v>
      </c>
      <c r="D812" s="3">
        <v>44095</v>
      </c>
      <c r="E812" s="2">
        <v>37</v>
      </c>
      <c r="G812" s="2">
        <v>12.63</v>
      </c>
      <c r="H812" s="14">
        <f t="shared" si="313"/>
        <v>0.34135135135135136</v>
      </c>
      <c r="I812" s="14">
        <f t="shared" si="314"/>
        <v>12.02162162162162</v>
      </c>
      <c r="K812" s="84"/>
      <c r="L812" s="85" t="s">
        <v>5</v>
      </c>
      <c r="M812" t="s">
        <v>17</v>
      </c>
      <c r="N812" s="35">
        <f>H820</f>
        <v>0.44645051818736031</v>
      </c>
      <c r="O812" s="35">
        <f>H823</f>
        <v>8.5866937695234014E-2</v>
      </c>
      <c r="P812" s="35">
        <f>I820</f>
        <v>12.614697690171376</v>
      </c>
      <c r="Q812" s="35">
        <f>I823</f>
        <v>0.21814321210413024</v>
      </c>
    </row>
    <row r="813" spans="1:17" x14ac:dyDescent="0.3">
      <c r="A813" s="1" t="s">
        <v>9</v>
      </c>
      <c r="B813" s="4">
        <v>7</v>
      </c>
      <c r="C813" s="1" t="s">
        <v>5</v>
      </c>
      <c r="D813" s="3">
        <v>44095</v>
      </c>
      <c r="E813" s="2">
        <v>35</v>
      </c>
      <c r="G813" s="2">
        <v>12.59</v>
      </c>
      <c r="H813" s="14">
        <f t="shared" si="313"/>
        <v>0.35971428571428571</v>
      </c>
      <c r="I813" s="14">
        <f t="shared" si="314"/>
        <v>12.785899613899614</v>
      </c>
      <c r="K813" s="84"/>
      <c r="L813" s="85"/>
      <c r="M813" t="s">
        <v>18</v>
      </c>
      <c r="N813" s="35">
        <f>H838</f>
        <v>0.31621632205513783</v>
      </c>
      <c r="O813" s="35">
        <f>H841</f>
        <v>0.14482380049377447</v>
      </c>
      <c r="P813" s="35">
        <f>I838</f>
        <v>9.8726390107212492</v>
      </c>
      <c r="Q813" s="35">
        <f>I841</f>
        <v>1.276823629748788</v>
      </c>
    </row>
    <row r="814" spans="1:17" x14ac:dyDescent="0.3">
      <c r="A814" s="1" t="s">
        <v>9</v>
      </c>
      <c r="B814" s="4">
        <v>8</v>
      </c>
      <c r="C814" s="1" t="s">
        <v>3</v>
      </c>
      <c r="D814" s="3">
        <v>44095</v>
      </c>
      <c r="E814" s="2">
        <v>37</v>
      </c>
      <c r="G814" s="4">
        <v>13.18</v>
      </c>
      <c r="H814" s="14">
        <f t="shared" si="313"/>
        <v>0.35621621621621619</v>
      </c>
      <c r="I814" s="14">
        <f t="shared" si="314"/>
        <v>13.326216216216219</v>
      </c>
    </row>
    <row r="815" spans="1:17" x14ac:dyDescent="0.3">
      <c r="A815" s="1" t="s">
        <v>9</v>
      </c>
      <c r="B815" s="4">
        <v>9</v>
      </c>
      <c r="C815" s="1" t="s">
        <v>4</v>
      </c>
      <c r="D815" s="3">
        <v>44095</v>
      </c>
      <c r="E815" s="2">
        <v>36</v>
      </c>
      <c r="G815" s="4">
        <v>16.690000000000001</v>
      </c>
      <c r="H815" s="14">
        <f t="shared" si="313"/>
        <v>0.46361111111111114</v>
      </c>
      <c r="I815" s="14">
        <f t="shared" si="314"/>
        <v>12.585855855855856</v>
      </c>
    </row>
    <row r="816" spans="1:17" s="37" customFormat="1" x14ac:dyDescent="0.3">
      <c r="A816" s="38" t="s">
        <v>9</v>
      </c>
      <c r="B816" s="39">
        <v>10</v>
      </c>
      <c r="C816" s="38" t="s">
        <v>5</v>
      </c>
      <c r="D816" s="40">
        <v>44095</v>
      </c>
      <c r="E816" s="41">
        <v>38</v>
      </c>
      <c r="G816" s="39">
        <v>21.41</v>
      </c>
      <c r="H816" s="42">
        <f t="shared" si="313"/>
        <v>0.56342105263157893</v>
      </c>
      <c r="I816" s="14">
        <f>I781+H816</f>
        <v>12.306842105263158</v>
      </c>
    </row>
    <row r="817" spans="1:9" ht="15" thickBot="1" x14ac:dyDescent="0.35">
      <c r="A817" s="9" t="s">
        <v>9</v>
      </c>
      <c r="B817" s="15">
        <v>11</v>
      </c>
      <c r="C817" s="9" t="s">
        <v>3</v>
      </c>
      <c r="D817" s="16">
        <v>44095</v>
      </c>
      <c r="E817" s="17"/>
      <c r="F817" s="18"/>
      <c r="G817" s="18"/>
      <c r="H817" s="18"/>
      <c r="I817" s="18"/>
    </row>
    <row r="818" spans="1:9" ht="15" thickTop="1" x14ac:dyDescent="0.3">
      <c r="B818" s="20" t="s">
        <v>15</v>
      </c>
      <c r="C818" s="21" t="s">
        <v>3</v>
      </c>
      <c r="D818" s="22"/>
      <c r="E818" s="23"/>
      <c r="F818" s="23"/>
      <c r="G818" s="24">
        <f t="shared" ref="G818:I818" si="315">AVERAGE(G808,G811,G814)</f>
        <v>16.676666666666666</v>
      </c>
      <c r="H818" s="24">
        <f t="shared" si="315"/>
        <v>0.46416731016731011</v>
      </c>
      <c r="I818" s="24">
        <f t="shared" si="315"/>
        <v>13.633336066836067</v>
      </c>
    </row>
    <row r="819" spans="1:9" x14ac:dyDescent="0.3">
      <c r="B819" s="20"/>
      <c r="C819" s="21" t="s">
        <v>4</v>
      </c>
      <c r="D819" s="22"/>
      <c r="E819" s="23"/>
      <c r="F819" s="23"/>
      <c r="G819" s="24">
        <f t="shared" ref="G819:I819" si="316">AVERAGE(G809,G812,G815)</f>
        <v>15.08</v>
      </c>
      <c r="H819" s="24">
        <f t="shared" si="316"/>
        <v>0.42439925219336988</v>
      </c>
      <c r="I819" s="24">
        <f t="shared" si="316"/>
        <v>12.705046811517398</v>
      </c>
    </row>
    <row r="820" spans="1:9" x14ac:dyDescent="0.3">
      <c r="B820" s="20"/>
      <c r="C820" s="21" t="s">
        <v>5</v>
      </c>
      <c r="D820" s="22"/>
      <c r="E820" s="23"/>
      <c r="F820" s="23"/>
      <c r="G820" s="24">
        <f t="shared" ref="G820:I820" si="317">AVERAGE(G810,G813,G816)</f>
        <v>16.466666666666669</v>
      </c>
      <c r="H820" s="24">
        <f t="shared" si="317"/>
        <v>0.44645051818736031</v>
      </c>
      <c r="I820" s="24">
        <f t="shared" si="317"/>
        <v>12.614697690171376</v>
      </c>
    </row>
    <row r="821" spans="1:9" x14ac:dyDescent="0.3">
      <c r="B821" s="25" t="s">
        <v>16</v>
      </c>
      <c r="C821" s="26" t="s">
        <v>3</v>
      </c>
      <c r="D821" s="27"/>
      <c r="E821" s="28"/>
      <c r="F821" s="28"/>
      <c r="G821" s="29">
        <f>_xlfn.STDEV.P(G808,G811,G814)</f>
        <v>3.1829790378756151</v>
      </c>
      <c r="H821" s="29">
        <f t="shared" ref="H821:I821" si="318">_xlfn.STDEV.P(H808,H811,H814)</f>
        <v>9.1529176173056045E-2</v>
      </c>
      <c r="I821" s="29">
        <f t="shared" si="318"/>
        <v>0.22301303023060751</v>
      </c>
    </row>
    <row r="822" spans="1:9" x14ac:dyDescent="0.3">
      <c r="B822" s="25"/>
      <c r="C822" s="26" t="s">
        <v>4</v>
      </c>
      <c r="D822" s="27"/>
      <c r="E822" s="28"/>
      <c r="F822" s="28"/>
      <c r="G822" s="29">
        <f>_xlfn.STDEV.P(G809,G812,G815)</f>
        <v>1.7607006181252491</v>
      </c>
      <c r="H822" s="29">
        <f t="shared" ref="H822:I822" si="319">_xlfn.STDEV.P(H809,H812,H815)</f>
        <v>5.87540701728754E-2</v>
      </c>
      <c r="I822" s="29">
        <f t="shared" si="319"/>
        <v>0.61250010917138897</v>
      </c>
    </row>
    <row r="823" spans="1:9" ht="15" thickBot="1" x14ac:dyDescent="0.35">
      <c r="A823" s="19"/>
      <c r="B823" s="30"/>
      <c r="C823" s="31" t="s">
        <v>5</v>
      </c>
      <c r="D823" s="32"/>
      <c r="E823" s="33"/>
      <c r="F823" s="33"/>
      <c r="G823" s="34">
        <f>_xlfn.STDEV.P(G810,G813,G816)</f>
        <v>3.6788977817940007</v>
      </c>
      <c r="H823" s="34">
        <f t="shared" ref="H823:I823" si="320">_xlfn.STDEV.P(H810,H813,H816)</f>
        <v>8.5866937695234014E-2</v>
      </c>
      <c r="I823" s="34">
        <f t="shared" si="320"/>
        <v>0.21814321210413024</v>
      </c>
    </row>
    <row r="824" spans="1:9" x14ac:dyDescent="0.3">
      <c r="A824" s="1" t="s">
        <v>10</v>
      </c>
      <c r="B824" s="4">
        <v>12</v>
      </c>
      <c r="C824" s="1" t="s">
        <v>3</v>
      </c>
      <c r="D824" s="3">
        <v>44095</v>
      </c>
      <c r="E824" s="2"/>
    </row>
    <row r="825" spans="1:9" s="37" customFormat="1" x14ac:dyDescent="0.3">
      <c r="A825" s="38" t="s">
        <v>10</v>
      </c>
      <c r="B825" s="39">
        <v>13</v>
      </c>
      <c r="C825" s="38" t="s">
        <v>3</v>
      </c>
      <c r="D825" s="40">
        <v>44095</v>
      </c>
      <c r="E825" s="41">
        <v>32</v>
      </c>
      <c r="G825" s="39">
        <v>8.83</v>
      </c>
      <c r="H825" s="42">
        <f>G825/E825</f>
        <v>0.2759375</v>
      </c>
      <c r="I825" s="14">
        <f>I790+H825</f>
        <v>10.361249999999997</v>
      </c>
    </row>
    <row r="826" spans="1:9" x14ac:dyDescent="0.3">
      <c r="A826" s="1" t="s">
        <v>10</v>
      </c>
      <c r="B826" s="4">
        <v>14</v>
      </c>
      <c r="C826" s="1" t="s">
        <v>4</v>
      </c>
      <c r="D826" s="3">
        <v>44095</v>
      </c>
      <c r="E826" s="2">
        <v>32</v>
      </c>
      <c r="G826" s="4">
        <v>9.14</v>
      </c>
      <c r="H826" s="14">
        <f t="shared" ref="H826:H833" si="321">G826/E826</f>
        <v>0.28562500000000002</v>
      </c>
      <c r="I826" s="14">
        <f t="shared" ref="I826:I832" si="322">I791+H826</f>
        <v>8.8992708333333344</v>
      </c>
    </row>
    <row r="827" spans="1:9" x14ac:dyDescent="0.3">
      <c r="A827" s="1" t="s">
        <v>10</v>
      </c>
      <c r="B827" s="4">
        <v>15</v>
      </c>
      <c r="C827" s="1" t="s">
        <v>5</v>
      </c>
      <c r="D827" s="3">
        <v>44095</v>
      </c>
      <c r="E827" s="2">
        <v>35</v>
      </c>
      <c r="G827" s="4">
        <v>6</v>
      </c>
      <c r="H827" s="14">
        <f t="shared" si="321"/>
        <v>0.17142857142857143</v>
      </c>
      <c r="I827" s="14">
        <f t="shared" si="322"/>
        <v>8.6292105263157879</v>
      </c>
    </row>
    <row r="828" spans="1:9" x14ac:dyDescent="0.3">
      <c r="A828" s="1" t="s">
        <v>10</v>
      </c>
      <c r="B828" s="4">
        <v>16</v>
      </c>
      <c r="C828" s="1" t="s">
        <v>3</v>
      </c>
      <c r="D828" s="3">
        <v>44095</v>
      </c>
      <c r="E828" s="2">
        <v>40</v>
      </c>
      <c r="G828" s="4">
        <v>10.98</v>
      </c>
      <c r="H828" s="14">
        <f t="shared" si="321"/>
        <v>0.27450000000000002</v>
      </c>
      <c r="I828" s="14">
        <f t="shared" si="322"/>
        <v>9.2067499999999995</v>
      </c>
    </row>
    <row r="829" spans="1:9" x14ac:dyDescent="0.3">
      <c r="A829" s="1" t="s">
        <v>10</v>
      </c>
      <c r="B829" s="4">
        <v>17</v>
      </c>
      <c r="C829" s="1" t="s">
        <v>4</v>
      </c>
      <c r="D829" s="3">
        <v>44095</v>
      </c>
      <c r="E829" s="2">
        <v>34</v>
      </c>
      <c r="G829" s="2">
        <v>9.15</v>
      </c>
      <c r="H829" s="14">
        <f t="shared" si="321"/>
        <v>0.26911764705882352</v>
      </c>
      <c r="I829" s="14">
        <f t="shared" si="322"/>
        <v>9.6808359133126949</v>
      </c>
    </row>
    <row r="830" spans="1:9" x14ac:dyDescent="0.3">
      <c r="A830" s="1" t="s">
        <v>10</v>
      </c>
      <c r="B830" s="4">
        <v>18</v>
      </c>
      <c r="C830" s="1" t="s">
        <v>5</v>
      </c>
      <c r="D830" s="3">
        <v>44095</v>
      </c>
      <c r="E830" s="2">
        <v>38</v>
      </c>
      <c r="G830" s="2">
        <v>10</v>
      </c>
      <c r="H830" s="14">
        <f t="shared" si="321"/>
        <v>0.26315789473684209</v>
      </c>
      <c r="I830" s="14">
        <f t="shared" si="322"/>
        <v>9.3604078947368414</v>
      </c>
    </row>
    <row r="831" spans="1:9" x14ac:dyDescent="0.3">
      <c r="A831" s="1" t="s">
        <v>10</v>
      </c>
      <c r="B831" s="4">
        <v>19</v>
      </c>
      <c r="C831" s="1" t="s">
        <v>3</v>
      </c>
      <c r="D831" s="3">
        <v>44095</v>
      </c>
      <c r="E831" s="2">
        <v>34</v>
      </c>
      <c r="G831" s="4">
        <v>4.93</v>
      </c>
      <c r="H831" s="14">
        <f t="shared" si="321"/>
        <v>0.14499999999999999</v>
      </c>
      <c r="I831" s="14">
        <f t="shared" si="322"/>
        <v>9.9203974562798098</v>
      </c>
    </row>
    <row r="832" spans="1:9" x14ac:dyDescent="0.3">
      <c r="A832" s="1" t="s">
        <v>10</v>
      </c>
      <c r="B832" s="4">
        <v>20</v>
      </c>
      <c r="C832" s="1" t="s">
        <v>4</v>
      </c>
      <c r="D832" s="3">
        <v>44095</v>
      </c>
      <c r="E832" s="2">
        <v>38</v>
      </c>
      <c r="G832" s="4">
        <v>11.37</v>
      </c>
      <c r="H832" s="14">
        <f t="shared" si="321"/>
        <v>0.29921052631578943</v>
      </c>
      <c r="I832" s="14">
        <f t="shared" si="322"/>
        <v>9.3462631578947377</v>
      </c>
    </row>
    <row r="833" spans="1:24" x14ac:dyDescent="0.3">
      <c r="A833" s="1" t="s">
        <v>10</v>
      </c>
      <c r="B833" s="4">
        <v>21</v>
      </c>
      <c r="C833" s="1" t="s">
        <v>5</v>
      </c>
      <c r="D833" s="3">
        <v>44095</v>
      </c>
      <c r="E833" s="2">
        <v>32</v>
      </c>
      <c r="G833" s="4">
        <v>16.45</v>
      </c>
      <c r="H833" s="14">
        <f t="shared" si="321"/>
        <v>0.51406249999999998</v>
      </c>
      <c r="I833" s="14">
        <f>I798+H833</f>
        <v>11.628298611111115</v>
      </c>
    </row>
    <row r="834" spans="1:24" s="37" customFormat="1" x14ac:dyDescent="0.3">
      <c r="A834" s="38" t="s">
        <v>10</v>
      </c>
      <c r="B834" s="39">
        <v>22</v>
      </c>
      <c r="C834" s="38" t="s">
        <v>3</v>
      </c>
      <c r="D834" s="40">
        <v>44095</v>
      </c>
      <c r="E834" s="41">
        <v>38</v>
      </c>
      <c r="G834" s="39">
        <v>13.91</v>
      </c>
      <c r="H834" s="42">
        <f>G834/E834</f>
        <v>0.36605263157894735</v>
      </c>
      <c r="I834" s="14">
        <f>I799+H834</f>
        <v>11.227631578947369</v>
      </c>
    </row>
    <row r="835" spans="1:24" x14ac:dyDescent="0.3">
      <c r="A835" s="5" t="s">
        <v>10</v>
      </c>
      <c r="B835" s="6">
        <v>23</v>
      </c>
      <c r="C835" s="5" t="s">
        <v>3</v>
      </c>
      <c r="D835" s="7">
        <v>44095</v>
      </c>
      <c r="E835" s="13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x14ac:dyDescent="0.3">
      <c r="B836" s="20" t="s">
        <v>15</v>
      </c>
      <c r="C836" s="21" t="s">
        <v>3</v>
      </c>
      <c r="D836" s="22"/>
      <c r="E836" s="23"/>
      <c r="F836" s="23"/>
      <c r="G836" s="24">
        <f t="shared" ref="G836:I836" si="323">AVERAGE(G825,G828,G831)</f>
        <v>8.2466666666666679</v>
      </c>
      <c r="H836" s="24">
        <f t="shared" si="323"/>
        <v>0.2318125</v>
      </c>
      <c r="I836" s="24">
        <f t="shared" si="323"/>
        <v>9.8294658187599353</v>
      </c>
    </row>
    <row r="837" spans="1:24" x14ac:dyDescent="0.3">
      <c r="B837" s="20"/>
      <c r="C837" s="21" t="s">
        <v>4</v>
      </c>
      <c r="D837" s="22"/>
      <c r="E837" s="23"/>
      <c r="F837" s="23"/>
      <c r="G837" s="24">
        <f t="shared" ref="G837:I837" si="324">AVERAGE(G826,G829,G832)</f>
        <v>9.8866666666666649</v>
      </c>
      <c r="H837" s="24">
        <f t="shared" si="324"/>
        <v>0.2846510577915376</v>
      </c>
      <c r="I837" s="24">
        <f t="shared" si="324"/>
        <v>9.3087899681802568</v>
      </c>
    </row>
    <row r="838" spans="1:24" x14ac:dyDescent="0.3">
      <c r="B838" s="20"/>
      <c r="C838" s="21" t="s">
        <v>5</v>
      </c>
      <c r="D838" s="22"/>
      <c r="E838" s="23"/>
      <c r="F838" s="23"/>
      <c r="G838" s="24">
        <f t="shared" ref="G838:I838" si="325">AVERAGE(G827,G830,G833)</f>
        <v>10.816666666666668</v>
      </c>
      <c r="H838" s="24">
        <f t="shared" si="325"/>
        <v>0.31621632205513783</v>
      </c>
      <c r="I838" s="24">
        <f t="shared" si="325"/>
        <v>9.8726390107212492</v>
      </c>
    </row>
    <row r="839" spans="1:24" x14ac:dyDescent="0.3">
      <c r="B839" s="25" t="s">
        <v>16</v>
      </c>
      <c r="C839" s="26" t="s">
        <v>3</v>
      </c>
      <c r="D839" s="27"/>
      <c r="E839" s="28"/>
      <c r="F839" s="28"/>
      <c r="G839" s="29">
        <f>_xlfn.STDEV.P(G825,G828,G831)</f>
        <v>2.5041077364114273</v>
      </c>
      <c r="H839" s="29">
        <f t="shared" ref="H839:I839" si="326">_xlfn.STDEV.P(H825,H828,H831)</f>
        <v>6.1388512599399793E-2</v>
      </c>
      <c r="I839" s="29">
        <f t="shared" si="326"/>
        <v>0.47568826243422119</v>
      </c>
    </row>
    <row r="840" spans="1:24" x14ac:dyDescent="0.3">
      <c r="B840" s="25"/>
      <c r="C840" s="26" t="s">
        <v>4</v>
      </c>
      <c r="D840" s="27"/>
      <c r="E840" s="28"/>
      <c r="F840" s="28"/>
      <c r="G840" s="29">
        <f>_xlfn.STDEV.P(G826,G829,G832)</f>
        <v>1.0488830037499783</v>
      </c>
      <c r="H840" s="29">
        <f t="shared" ref="H840:I840" si="327">_xlfn.STDEV.P(H826,H829,H832)</f>
        <v>1.2304654080540709E-2</v>
      </c>
      <c r="I840" s="29">
        <f t="shared" si="327"/>
        <v>0.32017096841252302</v>
      </c>
    </row>
    <row r="841" spans="1:24" ht="15" thickBot="1" x14ac:dyDescent="0.35">
      <c r="A841" s="19"/>
      <c r="B841" s="30"/>
      <c r="C841" s="31" t="s">
        <v>5</v>
      </c>
      <c r="D841" s="32"/>
      <c r="E841" s="33"/>
      <c r="F841" s="33"/>
      <c r="G841" s="34">
        <f>_xlfn.STDEV.P(G827,G830,G833)</f>
        <v>4.3051003343579399</v>
      </c>
      <c r="H841" s="34">
        <f t="shared" ref="H841:I841" si="328">_xlfn.STDEV.P(H827,H830,H833)</f>
        <v>0.14482380049377447</v>
      </c>
      <c r="I841" s="34">
        <f t="shared" si="328"/>
        <v>1.276823629748788</v>
      </c>
    </row>
    <row r="842" spans="1:24" ht="15" thickBot="1" x14ac:dyDescent="0.35">
      <c r="A842" s="1" t="s">
        <v>9</v>
      </c>
      <c r="B842" s="4">
        <v>1</v>
      </c>
      <c r="C842" s="1" t="s">
        <v>11</v>
      </c>
      <c r="D842" s="3">
        <v>44102</v>
      </c>
      <c r="E842" s="2"/>
      <c r="N842" s="36" t="s">
        <v>13</v>
      </c>
      <c r="P842" s="36" t="s">
        <v>14</v>
      </c>
    </row>
    <row r="843" spans="1:24" s="37" customFormat="1" ht="15" thickTop="1" x14ac:dyDescent="0.3">
      <c r="A843" s="38" t="s">
        <v>9</v>
      </c>
      <c r="B843" s="39">
        <v>2</v>
      </c>
      <c r="C843" s="38" t="s">
        <v>3</v>
      </c>
      <c r="D843" s="40">
        <v>44102</v>
      </c>
      <c r="E843" s="41">
        <v>36</v>
      </c>
      <c r="G843" s="39">
        <v>15.01</v>
      </c>
      <c r="H843" s="42">
        <f>G843/E843</f>
        <v>0.41694444444444445</v>
      </c>
      <c r="I843" s="14">
        <f>I808+H843</f>
        <v>14.141709401709402</v>
      </c>
      <c r="K843" s="84">
        <v>44102</v>
      </c>
      <c r="L843" s="85" t="s">
        <v>3</v>
      </c>
      <c r="M843" s="37" t="s">
        <v>17</v>
      </c>
      <c r="N843" s="43">
        <f>H853</f>
        <v>0.39970735020735021</v>
      </c>
      <c r="O843" s="43">
        <f>H856</f>
        <v>2.0906244155802643E-2</v>
      </c>
      <c r="P843" s="43">
        <f>I853</f>
        <v>14.033043417043416</v>
      </c>
      <c r="Q843" s="43">
        <f>I856</f>
        <v>0.21094343147231231</v>
      </c>
    </row>
    <row r="844" spans="1:24" x14ac:dyDescent="0.3">
      <c r="A844" s="1" t="s">
        <v>9</v>
      </c>
      <c r="B844" s="4">
        <v>3</v>
      </c>
      <c r="C844" s="1" t="s">
        <v>4</v>
      </c>
      <c r="D844" s="3">
        <v>44102</v>
      </c>
      <c r="E844" s="2">
        <v>34</v>
      </c>
      <c r="G844" s="4">
        <v>12.71</v>
      </c>
      <c r="H844" s="14">
        <f t="shared" ref="H844:H851" si="329">G844/E844</f>
        <v>0.37382352941176472</v>
      </c>
      <c r="I844" s="14">
        <f t="shared" ref="I844:I850" si="330">I809+H844</f>
        <v>13.881486486486487</v>
      </c>
      <c r="K844" s="84"/>
      <c r="L844" s="85"/>
      <c r="M844" t="s">
        <v>18</v>
      </c>
      <c r="N844" s="35">
        <f>H871</f>
        <v>0.25009191176470585</v>
      </c>
      <c r="O844" s="35">
        <f>H874</f>
        <v>6.7553095373673294E-2</v>
      </c>
      <c r="P844" s="35">
        <f>I871</f>
        <v>10.079557730524641</v>
      </c>
      <c r="Q844" s="35">
        <f>I874</f>
        <v>0.50285485873261571</v>
      </c>
    </row>
    <row r="845" spans="1:24" x14ac:dyDescent="0.3">
      <c r="A845" s="1" t="s">
        <v>9</v>
      </c>
      <c r="B845" s="4">
        <v>4</v>
      </c>
      <c r="C845" s="1" t="s">
        <v>5</v>
      </c>
      <c r="D845" s="3">
        <v>44102</v>
      </c>
      <c r="E845" s="2">
        <v>37</v>
      </c>
      <c r="G845" s="4">
        <v>13.86</v>
      </c>
      <c r="H845" s="14">
        <f t="shared" si="329"/>
        <v>0.3745945945945946</v>
      </c>
      <c r="I845" s="14">
        <f t="shared" si="330"/>
        <v>13.125945945945947</v>
      </c>
      <c r="K845" s="84"/>
      <c r="L845" s="85" t="s">
        <v>4</v>
      </c>
      <c r="M845" t="s">
        <v>17</v>
      </c>
      <c r="N845" s="35">
        <f>H854</f>
        <v>0.39943016545957716</v>
      </c>
      <c r="O845" s="35">
        <f>H857</f>
        <v>7.0181334993008423E-2</v>
      </c>
      <c r="P845" s="35">
        <f>I854</f>
        <v>13.104476976976978</v>
      </c>
      <c r="Q845" s="35">
        <f>I857</f>
        <v>0.62511369087824442</v>
      </c>
    </row>
    <row r="846" spans="1:24" x14ac:dyDescent="0.3">
      <c r="A846" s="1" t="s">
        <v>9</v>
      </c>
      <c r="B846" s="4">
        <v>5</v>
      </c>
      <c r="C846" s="1" t="s">
        <v>3</v>
      </c>
      <c r="D846" s="3">
        <v>44102</v>
      </c>
      <c r="E846" s="2">
        <v>35</v>
      </c>
      <c r="G846" s="4">
        <v>12.96</v>
      </c>
      <c r="H846" s="14">
        <f t="shared" si="329"/>
        <v>0.37028571428571433</v>
      </c>
      <c r="I846" s="14">
        <f t="shared" si="330"/>
        <v>14.21931274131274</v>
      </c>
      <c r="K846" s="84"/>
      <c r="L846" s="85"/>
      <c r="M846" t="s">
        <v>18</v>
      </c>
      <c r="N846" s="35">
        <f>H872</f>
        <v>0.30061403508771928</v>
      </c>
      <c r="O846" s="35">
        <f>H875</f>
        <v>7.5428395883177903E-3</v>
      </c>
      <c r="P846" s="35">
        <f>I872</f>
        <v>9.6094040032679757</v>
      </c>
      <c r="Q846" s="35">
        <f>I875</f>
        <v>0.31447083123655573</v>
      </c>
    </row>
    <row r="847" spans="1:24" x14ac:dyDescent="0.3">
      <c r="A847" s="1" t="s">
        <v>9</v>
      </c>
      <c r="B847" s="4">
        <v>6</v>
      </c>
      <c r="C847" s="1" t="s">
        <v>4</v>
      </c>
      <c r="D847" s="3">
        <v>44102</v>
      </c>
      <c r="E847" s="2">
        <v>37</v>
      </c>
      <c r="G847" s="2">
        <v>12.18</v>
      </c>
      <c r="H847" s="14">
        <f t="shared" si="329"/>
        <v>0.32918918918918916</v>
      </c>
      <c r="I847" s="14">
        <f t="shared" si="330"/>
        <v>12.35081081081081</v>
      </c>
      <c r="K847" s="84"/>
      <c r="L847" s="85" t="s">
        <v>5</v>
      </c>
      <c r="M847" t="s">
        <v>17</v>
      </c>
      <c r="N847" s="35">
        <f>H855</f>
        <v>0.44813052902526579</v>
      </c>
      <c r="O847" s="35">
        <f>H858</f>
        <v>5.5155867185154514E-2</v>
      </c>
      <c r="P847" s="35">
        <f>I855</f>
        <v>13.062828219196641</v>
      </c>
      <c r="Q847" s="35">
        <f>I858</f>
        <v>0.21857525888452917</v>
      </c>
    </row>
    <row r="848" spans="1:24" x14ac:dyDescent="0.3">
      <c r="A848" s="1" t="s">
        <v>9</v>
      </c>
      <c r="B848" s="4">
        <v>7</v>
      </c>
      <c r="C848" s="1" t="s">
        <v>5</v>
      </c>
      <c r="D848" s="3">
        <v>44102</v>
      </c>
      <c r="E848" s="2">
        <v>35</v>
      </c>
      <c r="G848" s="2">
        <f>8.34+9.42</f>
        <v>17.759999999999998</v>
      </c>
      <c r="H848" s="14">
        <f t="shared" si="329"/>
        <v>0.50742857142857134</v>
      </c>
      <c r="I848" s="14">
        <f t="shared" si="330"/>
        <v>13.293328185328185</v>
      </c>
      <c r="K848" s="84"/>
      <c r="L848" s="85"/>
      <c r="M848" t="s">
        <v>18</v>
      </c>
      <c r="N848" s="35">
        <f>H873</f>
        <v>0.27997916666666667</v>
      </c>
      <c r="O848" s="35">
        <f>H876</f>
        <v>0.12532707555853823</v>
      </c>
      <c r="P848" s="35">
        <f>I873</f>
        <v>10.152618177387914</v>
      </c>
      <c r="Q848" s="35">
        <f>I876</f>
        <v>1.4020957262197244</v>
      </c>
    </row>
    <row r="849" spans="1:9" x14ac:dyDescent="0.3">
      <c r="A849" s="1" t="s">
        <v>9</v>
      </c>
      <c r="B849" s="4">
        <v>8</v>
      </c>
      <c r="C849" s="1" t="s">
        <v>3</v>
      </c>
      <c r="D849" s="3">
        <v>44102</v>
      </c>
      <c r="E849" s="2">
        <v>37</v>
      </c>
      <c r="G849" s="4">
        <v>15.24</v>
      </c>
      <c r="H849" s="14">
        <f t="shared" si="329"/>
        <v>0.4118918918918919</v>
      </c>
      <c r="I849" s="14">
        <f t="shared" si="330"/>
        <v>13.738108108108111</v>
      </c>
    </row>
    <row r="850" spans="1:9" x14ac:dyDescent="0.3">
      <c r="A850" s="1" t="s">
        <v>9</v>
      </c>
      <c r="B850" s="4">
        <v>9</v>
      </c>
      <c r="C850" s="1" t="s">
        <v>4</v>
      </c>
      <c r="D850" s="3">
        <v>44102</v>
      </c>
      <c r="E850" s="2">
        <v>36</v>
      </c>
      <c r="G850" s="4">
        <f>6.86+10.97</f>
        <v>17.830000000000002</v>
      </c>
      <c r="H850" s="14">
        <f t="shared" si="329"/>
        <v>0.49527777777777782</v>
      </c>
      <c r="I850" s="14">
        <f t="shared" si="330"/>
        <v>13.081133633633634</v>
      </c>
    </row>
    <row r="851" spans="1:9" s="37" customFormat="1" x14ac:dyDescent="0.3">
      <c r="A851" s="38" t="s">
        <v>9</v>
      </c>
      <c r="B851" s="39">
        <v>10</v>
      </c>
      <c r="C851" s="38" t="s">
        <v>5</v>
      </c>
      <c r="D851" s="40">
        <v>44102</v>
      </c>
      <c r="E851" s="41">
        <v>38</v>
      </c>
      <c r="G851" s="39">
        <f>7.18+10.39</f>
        <v>17.57</v>
      </c>
      <c r="H851" s="42">
        <f t="shared" si="329"/>
        <v>0.4623684210526316</v>
      </c>
      <c r="I851" s="14">
        <f>I816+H851</f>
        <v>12.76921052631579</v>
      </c>
    </row>
    <row r="852" spans="1:9" ht="15" thickBot="1" x14ac:dyDescent="0.35">
      <c r="A852" s="9" t="s">
        <v>9</v>
      </c>
      <c r="B852" s="15">
        <v>11</v>
      </c>
      <c r="C852" s="9" t="s">
        <v>3</v>
      </c>
      <c r="D852" s="16">
        <v>44102</v>
      </c>
      <c r="E852" s="17"/>
      <c r="F852" s="18"/>
      <c r="G852" s="18"/>
      <c r="H852" s="18"/>
      <c r="I852" s="18"/>
    </row>
    <row r="853" spans="1:9" ht="15" thickTop="1" x14ac:dyDescent="0.3">
      <c r="B853" s="20" t="s">
        <v>15</v>
      </c>
      <c r="C853" s="21" t="s">
        <v>3</v>
      </c>
      <c r="D853" s="22"/>
      <c r="E853" s="23"/>
      <c r="F853" s="23"/>
      <c r="G853" s="24">
        <f t="shared" ref="G853:I853" si="331">AVERAGE(G843,G846,G849)</f>
        <v>14.403333333333334</v>
      </c>
      <c r="H853" s="24">
        <f t="shared" si="331"/>
        <v>0.39970735020735021</v>
      </c>
      <c r="I853" s="24">
        <f t="shared" si="331"/>
        <v>14.033043417043416</v>
      </c>
    </row>
    <row r="854" spans="1:9" x14ac:dyDescent="0.3">
      <c r="B854" s="20"/>
      <c r="C854" s="21" t="s">
        <v>4</v>
      </c>
      <c r="D854" s="22"/>
      <c r="E854" s="23"/>
      <c r="F854" s="23"/>
      <c r="G854" s="24">
        <f t="shared" ref="G854:I854" si="332">AVERAGE(G844,G847,G850)</f>
        <v>14.24</v>
      </c>
      <c r="H854" s="24">
        <f t="shared" si="332"/>
        <v>0.39943016545957716</v>
      </c>
      <c r="I854" s="24">
        <f t="shared" si="332"/>
        <v>13.104476976976978</v>
      </c>
    </row>
    <row r="855" spans="1:9" x14ac:dyDescent="0.3">
      <c r="B855" s="20"/>
      <c r="C855" s="21" t="s">
        <v>5</v>
      </c>
      <c r="D855" s="22"/>
      <c r="E855" s="23"/>
      <c r="F855" s="23"/>
      <c r="G855" s="24">
        <f t="shared" ref="G855:I855" si="333">AVERAGE(G845,G848,G851)</f>
        <v>16.396666666666665</v>
      </c>
      <c r="H855" s="24">
        <f t="shared" si="333"/>
        <v>0.44813052902526579</v>
      </c>
      <c r="I855" s="24">
        <f t="shared" si="333"/>
        <v>13.062828219196641</v>
      </c>
    </row>
    <row r="856" spans="1:9" x14ac:dyDescent="0.3">
      <c r="B856" s="25" t="s">
        <v>16</v>
      </c>
      <c r="C856" s="26" t="s">
        <v>3</v>
      </c>
      <c r="D856" s="27"/>
      <c r="E856" s="28"/>
      <c r="F856" s="28"/>
      <c r="G856" s="29">
        <f>_xlfn.STDEV.P(G843,G846,G849)</f>
        <v>1.0249010792375142</v>
      </c>
      <c r="H856" s="29">
        <f t="shared" ref="H856:I856" si="334">_xlfn.STDEV.P(H843,H846,H849)</f>
        <v>2.0906244155802643E-2</v>
      </c>
      <c r="I856" s="29">
        <f t="shared" si="334"/>
        <v>0.21094343147231231</v>
      </c>
    </row>
    <row r="857" spans="1:9" x14ac:dyDescent="0.3">
      <c r="B857" s="25"/>
      <c r="C857" s="26" t="s">
        <v>4</v>
      </c>
      <c r="D857" s="27"/>
      <c r="E857" s="28"/>
      <c r="F857" s="28"/>
      <c r="G857" s="29">
        <f>_xlfn.STDEV.P(G844,G847,G850)</f>
        <v>2.5477179331053676</v>
      </c>
      <c r="H857" s="29">
        <f t="shared" ref="H857:I857" si="335">_xlfn.STDEV.P(H844,H847,H850)</f>
        <v>7.0181334993008423E-2</v>
      </c>
      <c r="I857" s="29">
        <f t="shared" si="335"/>
        <v>0.62511369087824442</v>
      </c>
    </row>
    <row r="858" spans="1:9" ht="15" thickBot="1" x14ac:dyDescent="0.35">
      <c r="A858" s="19"/>
      <c r="B858" s="30"/>
      <c r="C858" s="31" t="s">
        <v>5</v>
      </c>
      <c r="D858" s="32"/>
      <c r="E858" s="33"/>
      <c r="F858" s="33"/>
      <c r="G858" s="34">
        <f>_xlfn.STDEV.P(G845,G848,G851)</f>
        <v>1.7953705900330366</v>
      </c>
      <c r="H858" s="34">
        <f t="shared" ref="H858:I858" si="336">_xlfn.STDEV.P(H845,H848,H851)</f>
        <v>5.5155867185154514E-2</v>
      </c>
      <c r="I858" s="34">
        <f t="shared" si="336"/>
        <v>0.21857525888452917</v>
      </c>
    </row>
    <row r="859" spans="1:9" x14ac:dyDescent="0.3">
      <c r="A859" s="1" t="s">
        <v>10</v>
      </c>
      <c r="B859" s="4">
        <v>12</v>
      </c>
      <c r="C859" s="1" t="s">
        <v>3</v>
      </c>
      <c r="D859" s="3">
        <v>44102</v>
      </c>
      <c r="E859" s="2"/>
    </row>
    <row r="860" spans="1:9" s="37" customFormat="1" x14ac:dyDescent="0.3">
      <c r="A860" s="38" t="s">
        <v>10</v>
      </c>
      <c r="B860" s="39">
        <v>13</v>
      </c>
      <c r="C860" s="38" t="s">
        <v>3</v>
      </c>
      <c r="D860" s="40">
        <v>44102</v>
      </c>
      <c r="E860" s="41">
        <v>32</v>
      </c>
      <c r="G860" s="39">
        <v>10.59</v>
      </c>
      <c r="H860" s="42">
        <f>G860/E860</f>
        <v>0.3309375</v>
      </c>
      <c r="I860" s="14">
        <f>I825+H860</f>
        <v>10.692187499999996</v>
      </c>
    </row>
    <row r="861" spans="1:9" x14ac:dyDescent="0.3">
      <c r="A861" s="1" t="s">
        <v>10</v>
      </c>
      <c r="B861" s="4">
        <v>14</v>
      </c>
      <c r="C861" s="1" t="s">
        <v>4</v>
      </c>
      <c r="D861" s="3">
        <v>44102</v>
      </c>
      <c r="E861" s="2">
        <v>32</v>
      </c>
      <c r="G861" s="4">
        <v>9.76</v>
      </c>
      <c r="H861" s="14">
        <f t="shared" ref="H861:H868" si="337">G861/E861</f>
        <v>0.30499999999999999</v>
      </c>
      <c r="I861" s="14">
        <f t="shared" ref="I861:I867" si="338">I826+H861</f>
        <v>9.2042708333333341</v>
      </c>
    </row>
    <row r="862" spans="1:9" x14ac:dyDescent="0.3">
      <c r="A862" s="1" t="s">
        <v>10</v>
      </c>
      <c r="B862" s="4">
        <v>15</v>
      </c>
      <c r="C862" s="1" t="s">
        <v>5</v>
      </c>
      <c r="D862" s="3">
        <v>44102</v>
      </c>
      <c r="E862" s="2">
        <v>35</v>
      </c>
      <c r="G862" s="4">
        <v>5.39</v>
      </c>
      <c r="H862" s="14">
        <f t="shared" si="337"/>
        <v>0.154</v>
      </c>
      <c r="I862" s="14">
        <f t="shared" si="338"/>
        <v>8.7832105263157878</v>
      </c>
    </row>
    <row r="863" spans="1:9" x14ac:dyDescent="0.3">
      <c r="A863" s="1" t="s">
        <v>10</v>
      </c>
      <c r="B863" s="4">
        <v>16</v>
      </c>
      <c r="C863" s="1" t="s">
        <v>3</v>
      </c>
      <c r="D863" s="3">
        <v>44102</v>
      </c>
      <c r="E863" s="2">
        <v>40</v>
      </c>
      <c r="G863" s="4">
        <v>10.15</v>
      </c>
      <c r="H863" s="14">
        <f t="shared" si="337"/>
        <v>0.25375000000000003</v>
      </c>
      <c r="I863" s="14">
        <f t="shared" si="338"/>
        <v>9.4604999999999997</v>
      </c>
    </row>
    <row r="864" spans="1:9" x14ac:dyDescent="0.3">
      <c r="A864" s="1" t="s">
        <v>10</v>
      </c>
      <c r="B864" s="4">
        <v>17</v>
      </c>
      <c r="C864" s="1" t="s">
        <v>4</v>
      </c>
      <c r="D864" s="3">
        <v>44102</v>
      </c>
      <c r="E864" s="2">
        <v>34</v>
      </c>
      <c r="G864" s="2">
        <v>9.86</v>
      </c>
      <c r="H864" s="14">
        <f t="shared" si="337"/>
        <v>0.28999999999999998</v>
      </c>
      <c r="I864" s="14">
        <f t="shared" si="338"/>
        <v>9.970835913312694</v>
      </c>
    </row>
    <row r="865" spans="1:24" x14ac:dyDescent="0.3">
      <c r="A865" s="1" t="s">
        <v>10</v>
      </c>
      <c r="B865" s="4">
        <v>18</v>
      </c>
      <c r="C865" s="1" t="s">
        <v>5</v>
      </c>
      <c r="D865" s="3">
        <v>44102</v>
      </c>
      <c r="E865" s="2">
        <v>38</v>
      </c>
      <c r="G865" s="2">
        <v>8.93</v>
      </c>
      <c r="H865" s="14">
        <f t="shared" si="337"/>
        <v>0.23499999999999999</v>
      </c>
      <c r="I865" s="14">
        <f t="shared" si="338"/>
        <v>9.5954078947368409</v>
      </c>
    </row>
    <row r="866" spans="1:24" x14ac:dyDescent="0.3">
      <c r="A866" s="1" t="s">
        <v>10</v>
      </c>
      <c r="B866" s="4">
        <v>19</v>
      </c>
      <c r="C866" s="1" t="s">
        <v>3</v>
      </c>
      <c r="D866" s="3">
        <v>44102</v>
      </c>
      <c r="E866" s="2">
        <v>34</v>
      </c>
      <c r="G866" s="4">
        <v>5.63</v>
      </c>
      <c r="H866" s="14">
        <f t="shared" si="337"/>
        <v>0.16558823529411765</v>
      </c>
      <c r="I866" s="14">
        <f t="shared" si="338"/>
        <v>10.085985691573928</v>
      </c>
    </row>
    <row r="867" spans="1:24" x14ac:dyDescent="0.3">
      <c r="A867" s="1" t="s">
        <v>10</v>
      </c>
      <c r="B867" s="4">
        <v>20</v>
      </c>
      <c r="C867" s="1" t="s">
        <v>4</v>
      </c>
      <c r="D867" s="3">
        <v>44102</v>
      </c>
      <c r="E867" s="2">
        <v>38</v>
      </c>
      <c r="G867" s="4">
        <v>11.66</v>
      </c>
      <c r="H867" s="14">
        <f t="shared" si="337"/>
        <v>0.30684210526315792</v>
      </c>
      <c r="I867" s="14">
        <f t="shared" si="338"/>
        <v>9.6531052631578955</v>
      </c>
    </row>
    <row r="868" spans="1:24" x14ac:dyDescent="0.3">
      <c r="A868" s="1" t="s">
        <v>10</v>
      </c>
      <c r="B868" s="4">
        <v>21</v>
      </c>
      <c r="C868" s="1" t="s">
        <v>5</v>
      </c>
      <c r="D868" s="3">
        <v>44102</v>
      </c>
      <c r="E868" s="2">
        <v>32</v>
      </c>
      <c r="G868" s="4">
        <v>14.43</v>
      </c>
      <c r="H868" s="14">
        <f t="shared" si="337"/>
        <v>0.45093749999999999</v>
      </c>
      <c r="I868" s="14">
        <f>I833+H868</f>
        <v>12.079236111111115</v>
      </c>
    </row>
    <row r="869" spans="1:24" s="37" customFormat="1" x14ac:dyDescent="0.3">
      <c r="A869" s="38" t="s">
        <v>10</v>
      </c>
      <c r="B869" s="39">
        <v>22</v>
      </c>
      <c r="C869" s="38" t="s">
        <v>3</v>
      </c>
      <c r="D869" s="40">
        <v>44102</v>
      </c>
      <c r="E869" s="41">
        <v>38</v>
      </c>
      <c r="G869" s="39">
        <v>11.99</v>
      </c>
      <c r="H869" s="42">
        <f>G869/E869</f>
        <v>0.31552631578947371</v>
      </c>
      <c r="I869" s="14">
        <f>I834+H869</f>
        <v>11.543157894736842</v>
      </c>
    </row>
    <row r="870" spans="1:24" x14ac:dyDescent="0.3">
      <c r="A870" s="5" t="s">
        <v>10</v>
      </c>
      <c r="B870" s="6">
        <v>23</v>
      </c>
      <c r="C870" s="5" t="s">
        <v>3</v>
      </c>
      <c r="D870" s="7">
        <v>44102</v>
      </c>
      <c r="E870" s="13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x14ac:dyDescent="0.3">
      <c r="B871" s="20" t="s">
        <v>15</v>
      </c>
      <c r="C871" s="21" t="s">
        <v>3</v>
      </c>
      <c r="D871" s="22"/>
      <c r="E871" s="23"/>
      <c r="F871" s="23"/>
      <c r="G871" s="24">
        <f t="shared" ref="G871:I871" si="339">AVERAGE(G860,G863,G866)</f>
        <v>8.7900000000000009</v>
      </c>
      <c r="H871" s="24">
        <f t="shared" si="339"/>
        <v>0.25009191176470585</v>
      </c>
      <c r="I871" s="24">
        <f t="shared" si="339"/>
        <v>10.079557730524641</v>
      </c>
    </row>
    <row r="872" spans="1:24" x14ac:dyDescent="0.3">
      <c r="B872" s="20"/>
      <c r="C872" s="21" t="s">
        <v>4</v>
      </c>
      <c r="D872" s="22"/>
      <c r="E872" s="23"/>
      <c r="F872" s="23"/>
      <c r="G872" s="24">
        <f t="shared" ref="G872:I872" si="340">AVERAGE(G861,G864,G867)</f>
        <v>10.426666666666666</v>
      </c>
      <c r="H872" s="24">
        <f t="shared" si="340"/>
        <v>0.30061403508771928</v>
      </c>
      <c r="I872" s="24">
        <f t="shared" si="340"/>
        <v>9.6094040032679757</v>
      </c>
    </row>
    <row r="873" spans="1:24" x14ac:dyDescent="0.3">
      <c r="B873" s="20"/>
      <c r="C873" s="21" t="s">
        <v>5</v>
      </c>
      <c r="D873" s="22"/>
      <c r="E873" s="23"/>
      <c r="F873" s="23"/>
      <c r="G873" s="24">
        <f t="shared" ref="G873:I873" si="341">AVERAGE(G862,G865,G868)</f>
        <v>9.5833333333333339</v>
      </c>
      <c r="H873" s="24">
        <f t="shared" si="341"/>
        <v>0.27997916666666667</v>
      </c>
      <c r="I873" s="24">
        <f t="shared" si="341"/>
        <v>10.152618177387914</v>
      </c>
    </row>
    <row r="874" spans="1:24" x14ac:dyDescent="0.3">
      <c r="B874" s="25" t="s">
        <v>16</v>
      </c>
      <c r="C874" s="26" t="s">
        <v>3</v>
      </c>
      <c r="D874" s="27"/>
      <c r="E874" s="28"/>
      <c r="F874" s="28"/>
      <c r="G874" s="29">
        <f>_xlfn.STDEV.P(G860,G863,G866)</f>
        <v>2.2416660470878913</v>
      </c>
      <c r="H874" s="29">
        <f t="shared" ref="H874:I874" si="342">_xlfn.STDEV.P(H860,H863,H866)</f>
        <v>6.7553095373673294E-2</v>
      </c>
      <c r="I874" s="29">
        <f t="shared" si="342"/>
        <v>0.50285485873261571</v>
      </c>
    </row>
    <row r="875" spans="1:24" x14ac:dyDescent="0.3">
      <c r="B875" s="25"/>
      <c r="C875" s="26" t="s">
        <v>4</v>
      </c>
      <c r="D875" s="27"/>
      <c r="E875" s="28"/>
      <c r="F875" s="28"/>
      <c r="G875" s="29">
        <f>_xlfn.STDEV.P(G861,G864,G867)</f>
        <v>0.87305339024725326</v>
      </c>
      <c r="H875" s="29">
        <f t="shared" ref="H875:I875" si="343">_xlfn.STDEV.P(H861,H864,H867)</f>
        <v>7.5428395883177903E-3</v>
      </c>
      <c r="I875" s="29">
        <f t="shared" si="343"/>
        <v>0.31447083123655573</v>
      </c>
    </row>
    <row r="876" spans="1:24" ht="15" thickBot="1" x14ac:dyDescent="0.35">
      <c r="A876" s="19"/>
      <c r="B876" s="30"/>
      <c r="C876" s="31" t="s">
        <v>5</v>
      </c>
      <c r="D876" s="32"/>
      <c r="E876" s="33"/>
      <c r="F876" s="33"/>
      <c r="G876" s="34">
        <f>_xlfn.STDEV.P(G862,G865,G868)</f>
        <v>3.7193667322393575</v>
      </c>
      <c r="H876" s="34">
        <f t="shared" ref="H876:I876" si="344">_xlfn.STDEV.P(H862,H865,H868)</f>
        <v>0.12532707555853823</v>
      </c>
      <c r="I876" s="34">
        <f t="shared" si="344"/>
        <v>1.4020957262197244</v>
      </c>
    </row>
    <row r="877" spans="1:24" ht="15" thickBot="1" x14ac:dyDescent="0.35">
      <c r="A877" s="1" t="s">
        <v>9</v>
      </c>
      <c r="B877" s="4">
        <v>1</v>
      </c>
      <c r="C877" s="1" t="s">
        <v>11</v>
      </c>
      <c r="D877" s="3">
        <v>44110</v>
      </c>
      <c r="E877" s="2"/>
      <c r="N877" s="36" t="s">
        <v>13</v>
      </c>
      <c r="P877" s="36" t="s">
        <v>14</v>
      </c>
    </row>
    <row r="878" spans="1:24" s="37" customFormat="1" ht="15" thickTop="1" x14ac:dyDescent="0.3">
      <c r="A878" s="38" t="s">
        <v>9</v>
      </c>
      <c r="B878" s="39">
        <v>2</v>
      </c>
      <c r="C878" s="38" t="s">
        <v>3</v>
      </c>
      <c r="D878" s="40">
        <v>44110</v>
      </c>
      <c r="E878" s="41">
        <v>36</v>
      </c>
      <c r="G878" s="39">
        <v>19.77</v>
      </c>
      <c r="H878" s="42">
        <f>G878/E878</f>
        <v>0.54916666666666669</v>
      </c>
      <c r="I878" s="14">
        <f>I843+H878</f>
        <v>14.690876068376069</v>
      </c>
      <c r="K878" s="84">
        <v>44110</v>
      </c>
      <c r="L878" s="85" t="s">
        <v>3</v>
      </c>
      <c r="M878" s="37" t="s">
        <v>17</v>
      </c>
      <c r="N878" s="43">
        <f>H888</f>
        <v>0.42715079365079367</v>
      </c>
      <c r="O878" s="43">
        <f>H891</f>
        <v>9.118556564617096E-2</v>
      </c>
      <c r="P878" s="43">
        <f>I888</f>
        <v>14.460194210694212</v>
      </c>
      <c r="Q878" s="43">
        <f>I891</f>
        <v>0.27868558243883557</v>
      </c>
    </row>
    <row r="879" spans="1:24" x14ac:dyDescent="0.3">
      <c r="A879" s="1" t="s">
        <v>9</v>
      </c>
      <c r="B879" s="4">
        <v>3</v>
      </c>
      <c r="C879" s="1" t="s">
        <v>4</v>
      </c>
      <c r="D879" s="3">
        <v>44110</v>
      </c>
      <c r="E879" s="2">
        <v>34</v>
      </c>
      <c r="G879" s="4">
        <f>4.45+11.09</f>
        <v>15.54</v>
      </c>
      <c r="H879" s="14">
        <f t="shared" ref="H879:H886" si="345">G879/E879</f>
        <v>0.45705882352941174</v>
      </c>
      <c r="I879" s="14">
        <f t="shared" ref="I879:I885" si="346">I844+H879</f>
        <v>14.338545310015899</v>
      </c>
      <c r="K879" s="84"/>
      <c r="L879" s="85"/>
      <c r="M879" t="s">
        <v>18</v>
      </c>
      <c r="N879" s="35">
        <f>H906</f>
        <v>0.33155637254901965</v>
      </c>
      <c r="O879" s="35">
        <f>H909</f>
        <v>0.12107263248199696</v>
      </c>
      <c r="P879" s="35">
        <f>I906</f>
        <v>10.411114103073661</v>
      </c>
      <c r="Q879" s="35">
        <f>I909</f>
        <v>0.59388858018433099</v>
      </c>
    </row>
    <row r="880" spans="1:24" x14ac:dyDescent="0.3">
      <c r="A880" s="1" t="s">
        <v>9</v>
      </c>
      <c r="B880" s="4">
        <v>4</v>
      </c>
      <c r="C880" s="1" t="s">
        <v>5</v>
      </c>
      <c r="D880" s="3">
        <v>44110</v>
      </c>
      <c r="E880" s="2">
        <v>37</v>
      </c>
      <c r="G880" s="4">
        <v>13.44</v>
      </c>
      <c r="H880" s="14">
        <f t="shared" si="345"/>
        <v>0.36324324324324325</v>
      </c>
      <c r="I880" s="14">
        <f t="shared" si="346"/>
        <v>13.48918918918919</v>
      </c>
      <c r="K880" s="84"/>
      <c r="L880" s="85" t="s">
        <v>4</v>
      </c>
      <c r="M880" t="s">
        <v>17</v>
      </c>
      <c r="N880" s="35">
        <f>H889</f>
        <v>0.44784343166696111</v>
      </c>
      <c r="O880" s="35">
        <f>H892</f>
        <v>3.0273896035319613E-2</v>
      </c>
      <c r="P880" s="35">
        <f>I889</f>
        <v>13.552320408643938</v>
      </c>
      <c r="Q880" s="35">
        <f>I892</f>
        <v>0.6453475394329542</v>
      </c>
    </row>
    <row r="881" spans="1:17" x14ac:dyDescent="0.3">
      <c r="A881" s="1" t="s">
        <v>9</v>
      </c>
      <c r="B881" s="4">
        <v>5</v>
      </c>
      <c r="C881" s="1" t="s">
        <v>3</v>
      </c>
      <c r="D881" s="3">
        <v>44110</v>
      </c>
      <c r="E881" s="2">
        <v>35</v>
      </c>
      <c r="G881" s="4">
        <v>14.08</v>
      </c>
      <c r="H881" s="14">
        <f t="shared" si="345"/>
        <v>0.4022857142857143</v>
      </c>
      <c r="I881" s="14">
        <f t="shared" si="346"/>
        <v>14.621598455598454</v>
      </c>
      <c r="K881" s="84"/>
      <c r="L881" s="85"/>
      <c r="M881" t="s">
        <v>18</v>
      </c>
      <c r="N881" s="35">
        <f>H907</f>
        <v>0.32059597523219813</v>
      </c>
      <c r="O881" s="35">
        <f>H910</f>
        <v>2.3419346509060506E-2</v>
      </c>
      <c r="P881" s="35">
        <f>I907</f>
        <v>9.929999978500172</v>
      </c>
      <c r="Q881" s="35">
        <f>I910</f>
        <v>0.3362734201656698</v>
      </c>
    </row>
    <row r="882" spans="1:17" x14ac:dyDescent="0.3">
      <c r="A882" s="1" t="s">
        <v>9</v>
      </c>
      <c r="B882" s="4">
        <v>6</v>
      </c>
      <c r="C882" s="1" t="s">
        <v>4</v>
      </c>
      <c r="D882" s="3">
        <v>44110</v>
      </c>
      <c r="E882" s="2">
        <v>37</v>
      </c>
      <c r="G882" s="2">
        <v>15.06</v>
      </c>
      <c r="H882" s="14">
        <f t="shared" si="345"/>
        <v>0.40702702702702703</v>
      </c>
      <c r="I882" s="14">
        <f t="shared" si="346"/>
        <v>12.757837837837837</v>
      </c>
      <c r="K882" s="84"/>
      <c r="L882" s="85" t="s">
        <v>5</v>
      </c>
      <c r="M882" t="s">
        <v>17</v>
      </c>
      <c r="N882" s="35">
        <f>H890</f>
        <v>0.42230915125651974</v>
      </c>
      <c r="O882" s="35">
        <f>H893</f>
        <v>4.4319260360470347E-2</v>
      </c>
      <c r="P882" s="35">
        <f>I890</f>
        <v>13.48513737045316</v>
      </c>
      <c r="Q882" s="35">
        <f>I893</f>
        <v>0.2288139352862964</v>
      </c>
    </row>
    <row r="883" spans="1:17" x14ac:dyDescent="0.3">
      <c r="A883" s="1" t="s">
        <v>9</v>
      </c>
      <c r="B883" s="4">
        <v>7</v>
      </c>
      <c r="C883" s="1" t="s">
        <v>5</v>
      </c>
      <c r="D883" s="3">
        <v>44110</v>
      </c>
      <c r="E883" s="2">
        <v>35</v>
      </c>
      <c r="G883" s="2">
        <v>16.45</v>
      </c>
      <c r="H883" s="14">
        <f t="shared" si="345"/>
        <v>0.47</v>
      </c>
      <c r="I883" s="14">
        <f t="shared" si="346"/>
        <v>13.763328185328186</v>
      </c>
      <c r="K883" s="84"/>
      <c r="L883" s="85"/>
      <c r="M883" t="s">
        <v>18</v>
      </c>
      <c r="N883" s="35">
        <f>H908</f>
        <v>0.30987985588972428</v>
      </c>
      <c r="O883" s="35">
        <f>H911</f>
        <v>6.0482383807359472E-3</v>
      </c>
      <c r="P883" s="35">
        <f>I908</f>
        <v>10.46249803327764</v>
      </c>
      <c r="Q883" s="35">
        <f>I911</f>
        <v>1.4080811074961714</v>
      </c>
    </row>
    <row r="884" spans="1:17" x14ac:dyDescent="0.3">
      <c r="A884" s="1" t="s">
        <v>9</v>
      </c>
      <c r="B884" s="4">
        <v>8</v>
      </c>
      <c r="C884" s="1" t="s">
        <v>3</v>
      </c>
      <c r="D884" s="3">
        <v>44110</v>
      </c>
      <c r="E884" s="2">
        <v>37</v>
      </c>
      <c r="G884" s="4">
        <v>12.21</v>
      </c>
      <c r="H884" s="14">
        <f t="shared" si="345"/>
        <v>0.33</v>
      </c>
      <c r="I884" s="14">
        <f t="shared" si="346"/>
        <v>14.068108108108111</v>
      </c>
    </row>
    <row r="885" spans="1:17" x14ac:dyDescent="0.3">
      <c r="A885" s="1" t="s">
        <v>9</v>
      </c>
      <c r="B885" s="4">
        <v>9</v>
      </c>
      <c r="C885" s="1" t="s">
        <v>4</v>
      </c>
      <c r="D885" s="3">
        <v>44110</v>
      </c>
      <c r="E885" s="2">
        <v>36</v>
      </c>
      <c r="G885" s="4">
        <v>17.260000000000002</v>
      </c>
      <c r="H885" s="14">
        <f t="shared" si="345"/>
        <v>0.47944444444444451</v>
      </c>
      <c r="I885" s="14">
        <f t="shared" si="346"/>
        <v>13.560578078078079</v>
      </c>
    </row>
    <row r="886" spans="1:17" s="37" customFormat="1" x14ac:dyDescent="0.3">
      <c r="A886" s="38" t="s">
        <v>9</v>
      </c>
      <c r="B886" s="39">
        <v>10</v>
      </c>
      <c r="C886" s="38" t="s">
        <v>5</v>
      </c>
      <c r="D886" s="40">
        <v>44110</v>
      </c>
      <c r="E886" s="41">
        <v>38</v>
      </c>
      <c r="G886" s="39">
        <v>16.48</v>
      </c>
      <c r="H886" s="42">
        <f t="shared" si="345"/>
        <v>0.43368421052631578</v>
      </c>
      <c r="I886" s="14">
        <f>I851+H886</f>
        <v>13.202894736842106</v>
      </c>
    </row>
    <row r="887" spans="1:17" ht="15" thickBot="1" x14ac:dyDescent="0.35">
      <c r="A887" s="9" t="s">
        <v>9</v>
      </c>
      <c r="B887" s="15">
        <v>11</v>
      </c>
      <c r="C887" s="9" t="s">
        <v>3</v>
      </c>
      <c r="D887" s="16">
        <v>44110</v>
      </c>
      <c r="E887" s="17"/>
      <c r="F887" s="18"/>
      <c r="G887" s="18"/>
      <c r="H887" s="18"/>
      <c r="I887" s="18"/>
    </row>
    <row r="888" spans="1:17" ht="15" thickTop="1" x14ac:dyDescent="0.3">
      <c r="B888" s="20" t="s">
        <v>15</v>
      </c>
      <c r="C888" s="21" t="s">
        <v>3</v>
      </c>
      <c r="D888" s="22"/>
      <c r="E888" s="23"/>
      <c r="F888" s="23"/>
      <c r="G888" s="24">
        <f t="shared" ref="G888:I888" si="347">AVERAGE(G878,G881,G884)</f>
        <v>15.353333333333333</v>
      </c>
      <c r="H888" s="24">
        <f t="shared" si="347"/>
        <v>0.42715079365079367</v>
      </c>
      <c r="I888" s="24">
        <f t="shared" si="347"/>
        <v>14.460194210694212</v>
      </c>
    </row>
    <row r="889" spans="1:17" x14ac:dyDescent="0.3">
      <c r="B889" s="20"/>
      <c r="C889" s="21" t="s">
        <v>4</v>
      </c>
      <c r="D889" s="22"/>
      <c r="E889" s="23"/>
      <c r="F889" s="23"/>
      <c r="G889" s="24">
        <f t="shared" ref="G889:I889" si="348">AVERAGE(G879,G882,G885)</f>
        <v>15.953333333333333</v>
      </c>
      <c r="H889" s="24">
        <f t="shared" si="348"/>
        <v>0.44784343166696111</v>
      </c>
      <c r="I889" s="24">
        <f t="shared" si="348"/>
        <v>13.552320408643938</v>
      </c>
    </row>
    <row r="890" spans="1:17" x14ac:dyDescent="0.3">
      <c r="B890" s="20"/>
      <c r="C890" s="21" t="s">
        <v>5</v>
      </c>
      <c r="D890" s="22"/>
      <c r="E890" s="23"/>
      <c r="F890" s="23"/>
      <c r="G890" s="24">
        <f t="shared" ref="G890:I890" si="349">AVERAGE(G880,G883,G886)</f>
        <v>15.456666666666669</v>
      </c>
      <c r="H890" s="24">
        <f t="shared" si="349"/>
        <v>0.42230915125651974</v>
      </c>
      <c r="I890" s="24">
        <f t="shared" si="349"/>
        <v>13.48513737045316</v>
      </c>
    </row>
    <row r="891" spans="1:17" x14ac:dyDescent="0.3">
      <c r="B891" s="25" t="s">
        <v>16</v>
      </c>
      <c r="C891" s="26" t="s">
        <v>3</v>
      </c>
      <c r="D891" s="27"/>
      <c r="E891" s="28"/>
      <c r="F891" s="28"/>
      <c r="G891" s="29">
        <f>_xlfn.STDEV.P(G878,G881,G884)</f>
        <v>3.2150099360482396</v>
      </c>
      <c r="H891" s="29">
        <f t="shared" ref="H891:I891" si="350">_xlfn.STDEV.P(H878,H881,H884)</f>
        <v>9.118556564617096E-2</v>
      </c>
      <c r="I891" s="29">
        <f t="shared" si="350"/>
        <v>0.27868558243883557</v>
      </c>
    </row>
    <row r="892" spans="1:17" x14ac:dyDescent="0.3">
      <c r="B892" s="25"/>
      <c r="C892" s="26" t="s">
        <v>4</v>
      </c>
      <c r="D892" s="27"/>
      <c r="E892" s="28"/>
      <c r="F892" s="28"/>
      <c r="G892" s="29">
        <f>_xlfn.STDEV.P(G879,G882,G885)</f>
        <v>0.94450457324932535</v>
      </c>
      <c r="H892" s="29">
        <f t="shared" ref="H892:I892" si="351">_xlfn.STDEV.P(H879,H882,H885)</f>
        <v>3.0273896035319613E-2</v>
      </c>
      <c r="I892" s="29">
        <f t="shared" si="351"/>
        <v>0.6453475394329542</v>
      </c>
    </row>
    <row r="893" spans="1:17" ht="15" thickBot="1" x14ac:dyDescent="0.35">
      <c r="A893" s="19"/>
      <c r="B893" s="30"/>
      <c r="C893" s="31" t="s">
        <v>5</v>
      </c>
      <c r="D893" s="32"/>
      <c r="E893" s="33"/>
      <c r="F893" s="33"/>
      <c r="G893" s="34">
        <f>_xlfn.STDEV.P(G880,G883,G886)</f>
        <v>1.4260512691422502</v>
      </c>
      <c r="H893" s="34">
        <f t="shared" ref="H893:I893" si="352">_xlfn.STDEV.P(H880,H883,H886)</f>
        <v>4.4319260360470347E-2</v>
      </c>
      <c r="I893" s="34">
        <f t="shared" si="352"/>
        <v>0.2288139352862964</v>
      </c>
    </row>
    <row r="894" spans="1:17" x14ac:dyDescent="0.3">
      <c r="A894" s="1" t="s">
        <v>10</v>
      </c>
      <c r="B894" s="4">
        <v>12</v>
      </c>
      <c r="C894" s="1" t="s">
        <v>3</v>
      </c>
      <c r="D894" s="3">
        <v>44110</v>
      </c>
      <c r="E894" s="2"/>
    </row>
    <row r="895" spans="1:17" s="37" customFormat="1" x14ac:dyDescent="0.3">
      <c r="A895" s="38" t="s">
        <v>10</v>
      </c>
      <c r="B895" s="39">
        <v>13</v>
      </c>
      <c r="C895" s="38" t="s">
        <v>3</v>
      </c>
      <c r="D895" s="40">
        <v>44110</v>
      </c>
      <c r="E895" s="41">
        <v>32</v>
      </c>
      <c r="G895" s="39">
        <v>15.9</v>
      </c>
      <c r="H895" s="42">
        <f>G895/E895</f>
        <v>0.49687500000000001</v>
      </c>
      <c r="I895" s="14">
        <f>I860+H895</f>
        <v>11.189062499999995</v>
      </c>
    </row>
    <row r="896" spans="1:17" x14ac:dyDescent="0.3">
      <c r="A896" s="1" t="s">
        <v>10</v>
      </c>
      <c r="B896" s="4">
        <v>14</v>
      </c>
      <c r="C896" s="1" t="s">
        <v>4</v>
      </c>
      <c r="D896" s="3">
        <v>44110</v>
      </c>
      <c r="E896" s="2">
        <v>32</v>
      </c>
      <c r="G896" s="4">
        <v>9.1999999999999993</v>
      </c>
      <c r="H896" s="14">
        <f t="shared" ref="H896:H903" si="353">G896/E896</f>
        <v>0.28749999999999998</v>
      </c>
      <c r="I896" s="14">
        <f t="shared" ref="I896:I902" si="354">I861+H896</f>
        <v>9.4917708333333337</v>
      </c>
    </row>
    <row r="897" spans="1:24" x14ac:dyDescent="0.3">
      <c r="A897" s="1" t="s">
        <v>10</v>
      </c>
      <c r="B897" s="4">
        <v>15</v>
      </c>
      <c r="C897" s="1" t="s">
        <v>5</v>
      </c>
      <c r="D897" s="3">
        <v>44110</v>
      </c>
      <c r="E897" s="2">
        <v>35</v>
      </c>
      <c r="G897" s="4">
        <v>10.61</v>
      </c>
      <c r="H897" s="14">
        <f t="shared" si="353"/>
        <v>0.3031428571428571</v>
      </c>
      <c r="I897" s="14">
        <f t="shared" si="354"/>
        <v>9.0863533834586452</v>
      </c>
    </row>
    <row r="898" spans="1:24" x14ac:dyDescent="0.3">
      <c r="A898" s="1" t="s">
        <v>10</v>
      </c>
      <c r="B898" s="4">
        <v>16</v>
      </c>
      <c r="C898" s="1" t="s">
        <v>3</v>
      </c>
      <c r="D898" s="3">
        <v>44110</v>
      </c>
      <c r="E898" s="2">
        <v>40</v>
      </c>
      <c r="G898" s="4">
        <v>11.5</v>
      </c>
      <c r="H898" s="14">
        <f t="shared" si="353"/>
        <v>0.28749999999999998</v>
      </c>
      <c r="I898" s="14">
        <f t="shared" si="354"/>
        <v>9.7479999999999993</v>
      </c>
    </row>
    <row r="899" spans="1:24" x14ac:dyDescent="0.3">
      <c r="A899" s="1" t="s">
        <v>10</v>
      </c>
      <c r="B899" s="4">
        <v>17</v>
      </c>
      <c r="C899" s="1" t="s">
        <v>4</v>
      </c>
      <c r="D899" s="3">
        <v>44110</v>
      </c>
      <c r="E899" s="2">
        <v>34</v>
      </c>
      <c r="G899" s="2">
        <v>11.5</v>
      </c>
      <c r="H899" s="14">
        <f t="shared" si="353"/>
        <v>0.33823529411764708</v>
      </c>
      <c r="I899" s="14">
        <f t="shared" si="354"/>
        <v>10.309071207430341</v>
      </c>
    </row>
    <row r="900" spans="1:24" x14ac:dyDescent="0.3">
      <c r="A900" s="1" t="s">
        <v>10</v>
      </c>
      <c r="B900" s="4">
        <v>18</v>
      </c>
      <c r="C900" s="1" t="s">
        <v>5</v>
      </c>
      <c r="D900" s="3">
        <v>44110</v>
      </c>
      <c r="E900" s="2">
        <v>38</v>
      </c>
      <c r="G900" s="2">
        <v>11.73</v>
      </c>
      <c r="H900" s="14">
        <f t="shared" si="353"/>
        <v>0.30868421052631578</v>
      </c>
      <c r="I900" s="14">
        <f t="shared" si="354"/>
        <v>9.9040921052631568</v>
      </c>
    </row>
    <row r="901" spans="1:24" x14ac:dyDescent="0.3">
      <c r="A901" s="1" t="s">
        <v>10</v>
      </c>
      <c r="B901" s="4">
        <v>19</v>
      </c>
      <c r="C901" s="1" t="s">
        <v>3</v>
      </c>
      <c r="D901" s="3">
        <v>44110</v>
      </c>
      <c r="E901" s="2">
        <v>34</v>
      </c>
      <c r="G901" s="4">
        <v>7.15</v>
      </c>
      <c r="H901" s="14">
        <f t="shared" si="353"/>
        <v>0.21029411764705883</v>
      </c>
      <c r="I901" s="14">
        <f t="shared" si="354"/>
        <v>10.296279809220987</v>
      </c>
    </row>
    <row r="902" spans="1:24" x14ac:dyDescent="0.3">
      <c r="A902" s="1" t="s">
        <v>10</v>
      </c>
      <c r="B902" s="4">
        <v>20</v>
      </c>
      <c r="C902" s="1" t="s">
        <v>4</v>
      </c>
      <c r="D902" s="3">
        <v>44110</v>
      </c>
      <c r="E902" s="2">
        <v>38</v>
      </c>
      <c r="G902" s="4">
        <v>12.77</v>
      </c>
      <c r="H902" s="14">
        <f t="shared" si="353"/>
        <v>0.33605263157894738</v>
      </c>
      <c r="I902" s="14">
        <f t="shared" si="354"/>
        <v>9.9891578947368433</v>
      </c>
    </row>
    <row r="903" spans="1:24" x14ac:dyDescent="0.3">
      <c r="A903" s="1" t="s">
        <v>10</v>
      </c>
      <c r="B903" s="4">
        <v>21</v>
      </c>
      <c r="C903" s="1" t="s">
        <v>5</v>
      </c>
      <c r="D903" s="3">
        <v>44110</v>
      </c>
      <c r="E903" s="2">
        <v>32</v>
      </c>
      <c r="G903" s="4">
        <v>10.17</v>
      </c>
      <c r="H903" s="14">
        <f t="shared" si="353"/>
        <v>0.3178125</v>
      </c>
      <c r="I903" s="14">
        <f>I868+H903</f>
        <v>12.397048611111115</v>
      </c>
    </row>
    <row r="904" spans="1:24" s="37" customFormat="1" x14ac:dyDescent="0.3">
      <c r="A904" s="38" t="s">
        <v>10</v>
      </c>
      <c r="B904" s="39">
        <v>22</v>
      </c>
      <c r="C904" s="38" t="s">
        <v>3</v>
      </c>
      <c r="D904" s="40">
        <v>44110</v>
      </c>
      <c r="E904" s="41">
        <v>38</v>
      </c>
      <c r="G904" s="39">
        <v>18.62</v>
      </c>
      <c r="H904" s="42">
        <f>G904/E904</f>
        <v>0.49000000000000005</v>
      </c>
      <c r="I904" s="14">
        <f>I869+H904</f>
        <v>12.033157894736842</v>
      </c>
    </row>
    <row r="905" spans="1:24" x14ac:dyDescent="0.3">
      <c r="A905" s="5" t="s">
        <v>10</v>
      </c>
      <c r="B905" s="6">
        <v>23</v>
      </c>
      <c r="C905" s="5" t="s">
        <v>3</v>
      </c>
      <c r="D905" s="7">
        <v>44110</v>
      </c>
      <c r="E905" s="13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x14ac:dyDescent="0.3">
      <c r="B906" s="20" t="s">
        <v>15</v>
      </c>
      <c r="C906" s="21" t="s">
        <v>3</v>
      </c>
      <c r="D906" s="22"/>
      <c r="E906" s="23"/>
      <c r="F906" s="23"/>
      <c r="G906" s="24">
        <f t="shared" ref="G906:H906" si="355">AVERAGE(G895,G898,G901)</f>
        <v>11.516666666666666</v>
      </c>
      <c r="H906" s="24">
        <f t="shared" si="355"/>
        <v>0.33155637254901965</v>
      </c>
      <c r="I906" s="24">
        <f>AVERAGE(I895,I898,I901)</f>
        <v>10.411114103073661</v>
      </c>
    </row>
    <row r="907" spans="1:24" x14ac:dyDescent="0.3">
      <c r="B907" s="20"/>
      <c r="C907" s="21" t="s">
        <v>4</v>
      </c>
      <c r="D907" s="22"/>
      <c r="E907" s="23"/>
      <c r="F907" s="23"/>
      <c r="G907" s="24">
        <f t="shared" ref="G907:I907" si="356">AVERAGE(G896,G899,G902)</f>
        <v>11.156666666666666</v>
      </c>
      <c r="H907" s="24">
        <f t="shared" si="356"/>
        <v>0.32059597523219813</v>
      </c>
      <c r="I907" s="24">
        <f t="shared" si="356"/>
        <v>9.929999978500172</v>
      </c>
    </row>
    <row r="908" spans="1:24" x14ac:dyDescent="0.3">
      <c r="B908" s="20"/>
      <c r="C908" s="21" t="s">
        <v>5</v>
      </c>
      <c r="D908" s="22"/>
      <c r="E908" s="23"/>
      <c r="F908" s="23"/>
      <c r="G908" s="24">
        <f t="shared" ref="G908:I908" si="357">AVERAGE(G897,G900,G903)</f>
        <v>10.836666666666666</v>
      </c>
      <c r="H908" s="24">
        <f t="shared" si="357"/>
        <v>0.30987985588972428</v>
      </c>
      <c r="I908" s="24">
        <f t="shared" si="357"/>
        <v>10.46249803327764</v>
      </c>
    </row>
    <row r="909" spans="1:24" x14ac:dyDescent="0.3">
      <c r="B909" s="25" t="s">
        <v>16</v>
      </c>
      <c r="C909" s="26" t="s">
        <v>3</v>
      </c>
      <c r="D909" s="27"/>
      <c r="E909" s="28"/>
      <c r="F909" s="28"/>
      <c r="G909" s="29">
        <f>_xlfn.STDEV.P(G895,G898,G901)</f>
        <v>3.5721919819006906</v>
      </c>
      <c r="H909" s="29">
        <f t="shared" ref="H909:I909" si="358">_xlfn.STDEV.P(H895,H898,H901)</f>
        <v>0.12107263248199696</v>
      </c>
      <c r="I909" s="29">
        <f t="shared" si="358"/>
        <v>0.59388858018433099</v>
      </c>
    </row>
    <row r="910" spans="1:24" x14ac:dyDescent="0.3">
      <c r="B910" s="25"/>
      <c r="C910" s="26" t="s">
        <v>4</v>
      </c>
      <c r="D910" s="27"/>
      <c r="E910" s="28"/>
      <c r="F910" s="28"/>
      <c r="G910" s="29">
        <f>_xlfn.STDEV.P(G896,G899,G902)</f>
        <v>1.4775279655183804</v>
      </c>
      <c r="H910" s="29">
        <f t="shared" ref="H910:I910" si="359">_xlfn.STDEV.P(H896,H899,H902)</f>
        <v>2.3419346509060506E-2</v>
      </c>
      <c r="I910" s="29">
        <f t="shared" si="359"/>
        <v>0.3362734201656698</v>
      </c>
    </row>
    <row r="911" spans="1:24" ht="15" thickBot="1" x14ac:dyDescent="0.35">
      <c r="A911" s="19"/>
      <c r="B911" s="30"/>
      <c r="C911" s="31" t="s">
        <v>5</v>
      </c>
      <c r="D911" s="32"/>
      <c r="E911" s="33"/>
      <c r="F911" s="33"/>
      <c r="G911" s="34">
        <f>_xlfn.STDEV.P(G897,G900,G903)</f>
        <v>0.65672588565465373</v>
      </c>
      <c r="H911" s="34">
        <f t="shared" ref="H911:I911" si="360">_xlfn.STDEV.P(H897,H900,H903)</f>
        <v>6.0482383807359472E-3</v>
      </c>
      <c r="I911" s="34">
        <f t="shared" si="360"/>
        <v>1.4080811074961714</v>
      </c>
    </row>
    <row r="912" spans="1:24" ht="15" thickBot="1" x14ac:dyDescent="0.35">
      <c r="A912" s="1" t="s">
        <v>9</v>
      </c>
      <c r="B912" s="4">
        <v>1</v>
      </c>
      <c r="C912" s="1" t="s">
        <v>11</v>
      </c>
      <c r="D912" s="3">
        <v>44116</v>
      </c>
      <c r="E912" s="2"/>
      <c r="N912" s="36" t="s">
        <v>13</v>
      </c>
      <c r="P912" s="36" t="s">
        <v>14</v>
      </c>
    </row>
    <row r="913" spans="1:17" s="37" customFormat="1" ht="15" thickTop="1" x14ac:dyDescent="0.3">
      <c r="A913" s="38" t="s">
        <v>9</v>
      </c>
      <c r="B913" s="39">
        <v>2</v>
      </c>
      <c r="C913" s="38" t="s">
        <v>3</v>
      </c>
      <c r="D913" s="40">
        <v>44116</v>
      </c>
      <c r="E913" s="41">
        <v>36</v>
      </c>
      <c r="G913" s="39">
        <v>14.66</v>
      </c>
      <c r="H913" s="42">
        <f>G913/E913</f>
        <v>0.40722222222222221</v>
      </c>
      <c r="I913" s="14">
        <f>I878+H913</f>
        <v>15.098098290598291</v>
      </c>
      <c r="K913" s="84">
        <v>44116</v>
      </c>
      <c r="L913" s="85" t="s">
        <v>3</v>
      </c>
      <c r="M913" s="37" t="s">
        <v>17</v>
      </c>
      <c r="N913" s="43">
        <f>H923</f>
        <v>0.39074717574717571</v>
      </c>
      <c r="O913" s="43">
        <f>H926</f>
        <v>2.0291060933449127E-2</v>
      </c>
      <c r="P913" s="43">
        <f>I923</f>
        <v>14.850941386441386</v>
      </c>
      <c r="Q913" s="43">
        <f>I926</f>
        <v>0.29897486239035037</v>
      </c>
    </row>
    <row r="914" spans="1:17" x14ac:dyDescent="0.3">
      <c r="A914" s="1" t="s">
        <v>9</v>
      </c>
      <c r="B914" s="4">
        <v>3</v>
      </c>
      <c r="C914" s="1" t="s">
        <v>4</v>
      </c>
      <c r="D914" s="3">
        <v>44116</v>
      </c>
      <c r="E914" s="2">
        <v>34</v>
      </c>
      <c r="G914" s="4">
        <v>15.11</v>
      </c>
      <c r="H914" s="14">
        <f t="shared" ref="H914:H921" si="361">G914/E914</f>
        <v>0.44441176470588234</v>
      </c>
      <c r="I914" s="14">
        <f t="shared" ref="I914:I920" si="362">I879+H914</f>
        <v>14.782957074721782</v>
      </c>
      <c r="K914" s="84"/>
      <c r="L914" s="85"/>
      <c r="M914" t="s">
        <v>18</v>
      </c>
      <c r="N914" s="35">
        <f>H941</f>
        <v>0.2495208333333333</v>
      </c>
      <c r="O914" s="35">
        <f>H944</f>
        <v>3.8564621542577719E-2</v>
      </c>
      <c r="P914" s="35">
        <f>I941</f>
        <v>10.660634936406995</v>
      </c>
      <c r="Q914" s="35">
        <f>I944</f>
        <v>0.62089670508418571</v>
      </c>
    </row>
    <row r="915" spans="1:17" x14ac:dyDescent="0.3">
      <c r="A915" s="1" t="s">
        <v>9</v>
      </c>
      <c r="B915" s="4">
        <v>4</v>
      </c>
      <c r="C915" s="1" t="s">
        <v>5</v>
      </c>
      <c r="D915" s="3">
        <v>44116</v>
      </c>
      <c r="E915" s="2">
        <v>37</v>
      </c>
      <c r="G915" s="4">
        <f>6.11+10.6</f>
        <v>16.71</v>
      </c>
      <c r="H915" s="14">
        <f t="shared" si="361"/>
        <v>0.45162162162162167</v>
      </c>
      <c r="I915" s="14">
        <f t="shared" si="362"/>
        <v>13.940810810810811</v>
      </c>
      <c r="K915" s="84"/>
      <c r="L915" s="85" t="s">
        <v>4</v>
      </c>
      <c r="M915" t="s">
        <v>17</v>
      </c>
      <c r="N915" s="35">
        <f>H924</f>
        <v>0.41412073838544422</v>
      </c>
      <c r="O915" s="35">
        <f>H927</f>
        <v>2.969588555739304E-2</v>
      </c>
      <c r="P915" s="35">
        <f>I924</f>
        <v>13.966441147029384</v>
      </c>
      <c r="Q915" s="35">
        <f>I927</f>
        <v>0.67427910192213103</v>
      </c>
    </row>
    <row r="916" spans="1:17" x14ac:dyDescent="0.3">
      <c r="A916" s="1" t="s">
        <v>9</v>
      </c>
      <c r="B916" s="4">
        <v>5</v>
      </c>
      <c r="C916" s="1" t="s">
        <v>3</v>
      </c>
      <c r="D916" s="3">
        <v>44116</v>
      </c>
      <c r="E916" s="2">
        <v>35</v>
      </c>
      <c r="G916" s="4">
        <v>14.1</v>
      </c>
      <c r="H916" s="14">
        <f t="shared" si="361"/>
        <v>0.40285714285714286</v>
      </c>
      <c r="I916" s="14">
        <f t="shared" si="362"/>
        <v>15.024455598455596</v>
      </c>
      <c r="K916" s="84"/>
      <c r="L916" s="85"/>
      <c r="M916" t="s">
        <v>18</v>
      </c>
      <c r="N916" s="35">
        <f>H942</f>
        <v>0.3119865841073271</v>
      </c>
      <c r="O916" s="35">
        <f>H945</f>
        <v>9.8465181837982408E-3</v>
      </c>
      <c r="P916" s="35">
        <f>I942</f>
        <v>10.241986562607501</v>
      </c>
      <c r="Q916" s="35">
        <f>I945</f>
        <v>0.34603276427346902</v>
      </c>
    </row>
    <row r="917" spans="1:17" x14ac:dyDescent="0.3">
      <c r="A917" s="1" t="s">
        <v>9</v>
      </c>
      <c r="B917" s="4">
        <v>6</v>
      </c>
      <c r="C917" s="1" t="s">
        <v>4</v>
      </c>
      <c r="D917" s="3">
        <v>44116</v>
      </c>
      <c r="E917" s="2">
        <v>37</v>
      </c>
      <c r="G917" s="2">
        <v>13.83</v>
      </c>
      <c r="H917" s="14">
        <f t="shared" si="361"/>
        <v>0.3737837837837838</v>
      </c>
      <c r="I917" s="14">
        <f t="shared" si="362"/>
        <v>13.131621621621621</v>
      </c>
      <c r="K917" s="84"/>
      <c r="L917" s="85" t="s">
        <v>5</v>
      </c>
      <c r="M917" t="s">
        <v>17</v>
      </c>
      <c r="N917" s="35">
        <f>H925</f>
        <v>0.4323951771320193</v>
      </c>
      <c r="O917" s="35">
        <f>H928</f>
        <v>1.4353665017555119E-2</v>
      </c>
      <c r="P917" s="35">
        <f>I925</f>
        <v>13.91753254758518</v>
      </c>
      <c r="Q917" s="35">
        <f>I928</f>
        <v>0.22479513803720513</v>
      </c>
    </row>
    <row r="918" spans="1:17" x14ac:dyDescent="0.3">
      <c r="A918" s="1" t="s">
        <v>9</v>
      </c>
      <c r="B918" s="4">
        <v>7</v>
      </c>
      <c r="C918" s="1" t="s">
        <v>5</v>
      </c>
      <c r="D918" s="3">
        <v>44116</v>
      </c>
      <c r="E918" s="2">
        <v>35</v>
      </c>
      <c r="G918" s="2">
        <v>14.6</v>
      </c>
      <c r="H918" s="14">
        <f t="shared" si="361"/>
        <v>0.41714285714285715</v>
      </c>
      <c r="I918" s="14">
        <f t="shared" si="362"/>
        <v>14.180471042471043</v>
      </c>
      <c r="K918" s="84"/>
      <c r="L918" s="85"/>
      <c r="M918" t="s">
        <v>18</v>
      </c>
      <c r="N918" s="35">
        <f>H943</f>
        <v>0.26960776942355891</v>
      </c>
      <c r="O918" s="35">
        <f>H946</f>
        <v>5.3091229190596965E-2</v>
      </c>
      <c r="P918" s="35">
        <f>I943</f>
        <v>10.732105802701199</v>
      </c>
      <c r="Q918" s="35">
        <f>I946</f>
        <v>1.4497291639565373</v>
      </c>
    </row>
    <row r="919" spans="1:17" x14ac:dyDescent="0.3">
      <c r="A919" s="1" t="s">
        <v>9</v>
      </c>
      <c r="B919" s="4">
        <v>8</v>
      </c>
      <c r="C919" s="1" t="s">
        <v>3</v>
      </c>
      <c r="D919" s="3">
        <v>44116</v>
      </c>
      <c r="E919" s="2">
        <v>37</v>
      </c>
      <c r="G919" s="4">
        <v>13.4</v>
      </c>
      <c r="H919" s="14">
        <f t="shared" si="361"/>
        <v>0.36216216216216218</v>
      </c>
      <c r="I919" s="14">
        <f t="shared" si="362"/>
        <v>14.430270270270274</v>
      </c>
    </row>
    <row r="920" spans="1:17" x14ac:dyDescent="0.3">
      <c r="A920" s="1" t="s">
        <v>9</v>
      </c>
      <c r="B920" s="4">
        <v>9</v>
      </c>
      <c r="C920" s="1" t="s">
        <v>4</v>
      </c>
      <c r="D920" s="3">
        <v>44116</v>
      </c>
      <c r="E920" s="2">
        <v>36</v>
      </c>
      <c r="G920" s="4">
        <v>15.27</v>
      </c>
      <c r="H920" s="14">
        <f t="shared" si="361"/>
        <v>0.42416666666666664</v>
      </c>
      <c r="I920" s="14">
        <f t="shared" si="362"/>
        <v>13.984744744744745</v>
      </c>
    </row>
    <row r="921" spans="1:17" s="37" customFormat="1" x14ac:dyDescent="0.3">
      <c r="A921" s="38" t="s">
        <v>9</v>
      </c>
      <c r="B921" s="39">
        <v>10</v>
      </c>
      <c r="C921" s="38" t="s">
        <v>5</v>
      </c>
      <c r="D921" s="40">
        <v>44116</v>
      </c>
      <c r="E921" s="41">
        <v>38</v>
      </c>
      <c r="G921" s="39">
        <v>16.28</v>
      </c>
      <c r="H921" s="42">
        <f t="shared" si="361"/>
        <v>0.42842105263157898</v>
      </c>
      <c r="I921" s="14">
        <f>I886+H921</f>
        <v>13.631315789473685</v>
      </c>
    </row>
    <row r="922" spans="1:17" ht="15" thickBot="1" x14ac:dyDescent="0.35">
      <c r="A922" s="9" t="s">
        <v>9</v>
      </c>
      <c r="B922" s="15">
        <v>11</v>
      </c>
      <c r="C922" s="9" t="s">
        <v>3</v>
      </c>
      <c r="D922" s="16">
        <v>44116</v>
      </c>
      <c r="E922" s="17"/>
      <c r="F922" s="18"/>
      <c r="G922" s="18"/>
      <c r="H922" s="18"/>
      <c r="I922" s="18"/>
    </row>
    <row r="923" spans="1:17" ht="15" thickTop="1" x14ac:dyDescent="0.3">
      <c r="B923" s="20" t="s">
        <v>15</v>
      </c>
      <c r="C923" s="21" t="s">
        <v>3</v>
      </c>
      <c r="D923" s="22"/>
      <c r="E923" s="23"/>
      <c r="F923" s="23"/>
      <c r="G923" s="24">
        <f t="shared" ref="G923:H923" si="363">AVERAGE(G913,G916,G919)</f>
        <v>14.053333333333333</v>
      </c>
      <c r="H923" s="24">
        <f t="shared" si="363"/>
        <v>0.39074717574717571</v>
      </c>
      <c r="I923" s="24">
        <f>AVERAGE(I913,I916,I919)</f>
        <v>14.850941386441386</v>
      </c>
    </row>
    <row r="924" spans="1:17" x14ac:dyDescent="0.3">
      <c r="B924" s="20"/>
      <c r="C924" s="21" t="s">
        <v>4</v>
      </c>
      <c r="D924" s="22"/>
      <c r="E924" s="23"/>
      <c r="F924" s="23"/>
      <c r="G924" s="24">
        <f t="shared" ref="G924:I924" si="364">AVERAGE(G914,G917,G920)</f>
        <v>14.736666666666665</v>
      </c>
      <c r="H924" s="24">
        <f t="shared" si="364"/>
        <v>0.41412073838544422</v>
      </c>
      <c r="I924" s="24">
        <f t="shared" si="364"/>
        <v>13.966441147029384</v>
      </c>
    </row>
    <row r="925" spans="1:17" x14ac:dyDescent="0.3">
      <c r="B925" s="20"/>
      <c r="C925" s="21" t="s">
        <v>5</v>
      </c>
      <c r="D925" s="22"/>
      <c r="E925" s="23"/>
      <c r="F925" s="23"/>
      <c r="G925" s="24">
        <f t="shared" ref="G925:I925" si="365">AVERAGE(G915,G918,G921)</f>
        <v>15.863333333333335</v>
      </c>
      <c r="H925" s="24">
        <f t="shared" si="365"/>
        <v>0.4323951771320193</v>
      </c>
      <c r="I925" s="24">
        <f t="shared" si="365"/>
        <v>13.91753254758518</v>
      </c>
    </row>
    <row r="926" spans="1:17" x14ac:dyDescent="0.3">
      <c r="B926" s="25" t="s">
        <v>16</v>
      </c>
      <c r="C926" s="26" t="s">
        <v>3</v>
      </c>
      <c r="D926" s="27"/>
      <c r="E926" s="28"/>
      <c r="F926" s="28"/>
      <c r="G926" s="29">
        <f>_xlfn.STDEV.P(G913,G916,G919)</f>
        <v>0.51545018080207206</v>
      </c>
      <c r="H926" s="29">
        <f t="shared" ref="H926:I926" si="366">_xlfn.STDEV.P(H913,H916,H919)</f>
        <v>2.0291060933449127E-2</v>
      </c>
      <c r="I926" s="29">
        <f t="shared" si="366"/>
        <v>0.29897486239035037</v>
      </c>
    </row>
    <row r="927" spans="1:17" x14ac:dyDescent="0.3">
      <c r="B927" s="25"/>
      <c r="C927" s="26" t="s">
        <v>4</v>
      </c>
      <c r="D927" s="27"/>
      <c r="E927" s="28"/>
      <c r="F927" s="28"/>
      <c r="G927" s="29">
        <f>_xlfn.STDEV.P(G914,G917,G920)</f>
        <v>0.64442911859171026</v>
      </c>
      <c r="H927" s="29">
        <f t="shared" ref="H927:I927" si="367">_xlfn.STDEV.P(H914,H917,H920)</f>
        <v>2.969588555739304E-2</v>
      </c>
      <c r="I927" s="29">
        <f t="shared" si="367"/>
        <v>0.67427910192213103</v>
      </c>
    </row>
    <row r="928" spans="1:17" ht="15" thickBot="1" x14ac:dyDescent="0.35">
      <c r="A928" s="19"/>
      <c r="B928" s="30"/>
      <c r="C928" s="31" t="s">
        <v>5</v>
      </c>
      <c r="D928" s="32"/>
      <c r="E928" s="33"/>
      <c r="F928" s="33"/>
      <c r="G928" s="34">
        <f>_xlfn.STDEV.P(G915,G918,G921)</f>
        <v>0.91039673891233996</v>
      </c>
      <c r="H928" s="34">
        <f t="shared" ref="H928:I928" si="368">_xlfn.STDEV.P(H915,H918,H921)</f>
        <v>1.4353665017555119E-2</v>
      </c>
      <c r="I928" s="34">
        <f t="shared" si="368"/>
        <v>0.22479513803720513</v>
      </c>
    </row>
    <row r="929" spans="1:24" x14ac:dyDescent="0.3">
      <c r="A929" s="1" t="s">
        <v>10</v>
      </c>
      <c r="B929" s="4">
        <v>12</v>
      </c>
      <c r="C929" s="1" t="s">
        <v>3</v>
      </c>
      <c r="D929" s="3">
        <v>44116</v>
      </c>
      <c r="E929" s="2"/>
    </row>
    <row r="930" spans="1:24" s="37" customFormat="1" x14ac:dyDescent="0.3">
      <c r="A930" s="38" t="s">
        <v>10</v>
      </c>
      <c r="B930" s="39">
        <v>13</v>
      </c>
      <c r="C930" s="38" t="s">
        <v>3</v>
      </c>
      <c r="D930" s="40">
        <v>44116</v>
      </c>
      <c r="E930" s="41">
        <v>32</v>
      </c>
      <c r="G930" s="39">
        <v>9.57</v>
      </c>
      <c r="H930" s="42">
        <f>G930/E930</f>
        <v>0.29906250000000001</v>
      </c>
      <c r="I930" s="14">
        <f>I895+H930</f>
        <v>11.488124999999995</v>
      </c>
    </row>
    <row r="931" spans="1:24" x14ac:dyDescent="0.3">
      <c r="A931" s="1" t="s">
        <v>10</v>
      </c>
      <c r="B931" s="4">
        <v>14</v>
      </c>
      <c r="C931" s="1" t="s">
        <v>4</v>
      </c>
      <c r="D931" s="3">
        <v>44116</v>
      </c>
      <c r="E931" s="2">
        <v>32</v>
      </c>
      <c r="G931" s="4">
        <v>9.6</v>
      </c>
      <c r="H931" s="14">
        <f t="shared" ref="H931:H938" si="369">G931/E931</f>
        <v>0.3</v>
      </c>
      <c r="I931" s="14">
        <f t="shared" ref="I931:I937" si="370">I896+H931</f>
        <v>9.7917708333333344</v>
      </c>
    </row>
    <row r="932" spans="1:24" x14ac:dyDescent="0.3">
      <c r="A932" s="1" t="s">
        <v>10</v>
      </c>
      <c r="B932" s="4">
        <v>15</v>
      </c>
      <c r="C932" s="1" t="s">
        <v>5</v>
      </c>
      <c r="D932" s="3">
        <v>44116</v>
      </c>
      <c r="E932" s="2">
        <v>35</v>
      </c>
      <c r="G932" s="4">
        <v>9.2200000000000006</v>
      </c>
      <c r="H932" s="14">
        <f t="shared" si="369"/>
        <v>0.26342857142857146</v>
      </c>
      <c r="I932" s="14">
        <f t="shared" si="370"/>
        <v>9.3497819548872165</v>
      </c>
    </row>
    <row r="933" spans="1:24" x14ac:dyDescent="0.3">
      <c r="A933" s="1" t="s">
        <v>10</v>
      </c>
      <c r="B933" s="4">
        <v>16</v>
      </c>
      <c r="C933" s="1" t="s">
        <v>3</v>
      </c>
      <c r="D933" s="3">
        <v>44116</v>
      </c>
      <c r="E933" s="2">
        <v>40</v>
      </c>
      <c r="G933" s="4">
        <v>9.7799999999999994</v>
      </c>
      <c r="H933" s="14">
        <f t="shared" si="369"/>
        <v>0.2445</v>
      </c>
      <c r="I933" s="14">
        <f t="shared" si="370"/>
        <v>9.9924999999999997</v>
      </c>
    </row>
    <row r="934" spans="1:24" x14ac:dyDescent="0.3">
      <c r="A934" s="1" t="s">
        <v>10</v>
      </c>
      <c r="B934" s="4">
        <v>17</v>
      </c>
      <c r="C934" s="1" t="s">
        <v>4</v>
      </c>
      <c r="D934" s="3">
        <v>44116</v>
      </c>
      <c r="E934" s="2">
        <v>34</v>
      </c>
      <c r="G934" s="2">
        <v>11.02</v>
      </c>
      <c r="H934" s="14">
        <f t="shared" si="369"/>
        <v>0.32411764705882351</v>
      </c>
      <c r="I934" s="14">
        <f t="shared" si="370"/>
        <v>10.633188854489164</v>
      </c>
    </row>
    <row r="935" spans="1:24" x14ac:dyDescent="0.3">
      <c r="A935" s="1" t="s">
        <v>10</v>
      </c>
      <c r="B935" s="4">
        <v>18</v>
      </c>
      <c r="C935" s="1" t="s">
        <v>5</v>
      </c>
      <c r="D935" s="3">
        <v>44116</v>
      </c>
      <c r="E935" s="2">
        <v>38</v>
      </c>
      <c r="G935" s="2">
        <v>7.9</v>
      </c>
      <c r="H935" s="14">
        <f t="shared" si="369"/>
        <v>0.20789473684210527</v>
      </c>
      <c r="I935" s="14">
        <f t="shared" si="370"/>
        <v>10.111986842105262</v>
      </c>
    </row>
    <row r="936" spans="1:24" x14ac:dyDescent="0.3">
      <c r="A936" s="1" t="s">
        <v>10</v>
      </c>
      <c r="B936" s="4">
        <v>19</v>
      </c>
      <c r="C936" s="1" t="s">
        <v>3</v>
      </c>
      <c r="D936" s="3">
        <v>44116</v>
      </c>
      <c r="E936" s="2">
        <v>34</v>
      </c>
      <c r="G936" s="4">
        <v>6.97</v>
      </c>
      <c r="H936" s="14">
        <f t="shared" si="369"/>
        <v>0.20499999999999999</v>
      </c>
      <c r="I936" s="14">
        <f t="shared" si="370"/>
        <v>10.501279809220987</v>
      </c>
    </row>
    <row r="937" spans="1:24" x14ac:dyDescent="0.3">
      <c r="A937" s="1" t="s">
        <v>10</v>
      </c>
      <c r="B937" s="4">
        <v>20</v>
      </c>
      <c r="C937" s="1" t="s">
        <v>4</v>
      </c>
      <c r="D937" s="3">
        <v>44116</v>
      </c>
      <c r="E937" s="2">
        <v>38</v>
      </c>
      <c r="G937" s="4">
        <v>11.85</v>
      </c>
      <c r="H937" s="14">
        <f t="shared" si="369"/>
        <v>0.31184210526315786</v>
      </c>
      <c r="I937" s="14">
        <f t="shared" si="370"/>
        <v>10.301000000000002</v>
      </c>
    </row>
    <row r="938" spans="1:24" x14ac:dyDescent="0.3">
      <c r="A938" s="1" t="s">
        <v>10</v>
      </c>
      <c r="B938" s="4">
        <v>21</v>
      </c>
      <c r="C938" s="1" t="s">
        <v>5</v>
      </c>
      <c r="D938" s="3">
        <v>44116</v>
      </c>
      <c r="E938" s="2">
        <v>32</v>
      </c>
      <c r="G938" s="4">
        <v>10.8</v>
      </c>
      <c r="H938" s="14">
        <f t="shared" si="369"/>
        <v>0.33750000000000002</v>
      </c>
      <c r="I938" s="14">
        <f>I903+H938</f>
        <v>12.734548611111116</v>
      </c>
    </row>
    <row r="939" spans="1:24" s="37" customFormat="1" x14ac:dyDescent="0.3">
      <c r="A939" s="38" t="s">
        <v>10</v>
      </c>
      <c r="B939" s="39">
        <v>22</v>
      </c>
      <c r="C939" s="38" t="s">
        <v>3</v>
      </c>
      <c r="D939" s="40">
        <v>44116</v>
      </c>
      <c r="E939" s="41">
        <v>38</v>
      </c>
      <c r="G939" s="39">
        <v>13.97</v>
      </c>
      <c r="H939" s="42">
        <f>G939/E939</f>
        <v>0.36763157894736842</v>
      </c>
      <c r="I939" s="14">
        <f>I904+H939</f>
        <v>12.40078947368421</v>
      </c>
    </row>
    <row r="940" spans="1:24" x14ac:dyDescent="0.3">
      <c r="A940" s="5" t="s">
        <v>10</v>
      </c>
      <c r="B940" s="6">
        <v>23</v>
      </c>
      <c r="C940" s="5" t="s">
        <v>3</v>
      </c>
      <c r="D940" s="7">
        <v>44116</v>
      </c>
      <c r="E940" s="13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x14ac:dyDescent="0.3">
      <c r="B941" s="20" t="s">
        <v>15</v>
      </c>
      <c r="C941" s="21" t="s">
        <v>3</v>
      </c>
      <c r="D941" s="22"/>
      <c r="E941" s="23"/>
      <c r="F941" s="23"/>
      <c r="G941" s="24">
        <f t="shared" ref="G941:I941" si="371">AVERAGE(G930,G933,G936)</f>
        <v>8.7733333333333334</v>
      </c>
      <c r="H941" s="24">
        <f t="shared" si="371"/>
        <v>0.2495208333333333</v>
      </c>
      <c r="I941" s="24">
        <f t="shared" si="371"/>
        <v>10.660634936406995</v>
      </c>
    </row>
    <row r="942" spans="1:24" x14ac:dyDescent="0.3">
      <c r="B942" s="20"/>
      <c r="C942" s="21" t="s">
        <v>4</v>
      </c>
      <c r="D942" s="22"/>
      <c r="E942" s="23"/>
      <c r="F942" s="23"/>
      <c r="G942" s="24">
        <f t="shared" ref="G942:I942" si="372">AVERAGE(G931,G934,G937)</f>
        <v>10.823333333333332</v>
      </c>
      <c r="H942" s="24">
        <f t="shared" si="372"/>
        <v>0.3119865841073271</v>
      </c>
      <c r="I942" s="24">
        <f t="shared" si="372"/>
        <v>10.241986562607501</v>
      </c>
    </row>
    <row r="943" spans="1:24" x14ac:dyDescent="0.3">
      <c r="B943" s="20"/>
      <c r="C943" s="21" t="s">
        <v>5</v>
      </c>
      <c r="D943" s="22"/>
      <c r="E943" s="23"/>
      <c r="F943" s="23"/>
      <c r="G943" s="24">
        <f t="shared" ref="G943:I943" si="373">AVERAGE(G932,G935,G938)</f>
        <v>9.3066666666666666</v>
      </c>
      <c r="H943" s="24">
        <f t="shared" si="373"/>
        <v>0.26960776942355891</v>
      </c>
      <c r="I943" s="24">
        <f t="shared" si="373"/>
        <v>10.732105802701199</v>
      </c>
    </row>
    <row r="944" spans="1:24" x14ac:dyDescent="0.3">
      <c r="B944" s="25" t="s">
        <v>16</v>
      </c>
      <c r="C944" s="26" t="s">
        <v>3</v>
      </c>
      <c r="D944" s="27"/>
      <c r="E944" s="28"/>
      <c r="F944" s="28"/>
      <c r="G944" s="29">
        <f>_xlfn.STDEV.P(G930,G933,G936)</f>
        <v>1.2780279948246605</v>
      </c>
      <c r="H944" s="29">
        <f t="shared" ref="H944:I944" si="374">_xlfn.STDEV.P(H930,H933,H936)</f>
        <v>3.8564621542577719E-2</v>
      </c>
      <c r="I944" s="29">
        <f t="shared" si="374"/>
        <v>0.62089670508418571</v>
      </c>
    </row>
    <row r="945" spans="1:17" x14ac:dyDescent="0.3">
      <c r="B945" s="25"/>
      <c r="C945" s="26" t="s">
        <v>4</v>
      </c>
      <c r="D945" s="27"/>
      <c r="E945" s="28"/>
      <c r="F945" s="28"/>
      <c r="G945" s="29">
        <f>_xlfn.STDEV.P(G931,G934,G937)</f>
        <v>0.92902577407135956</v>
      </c>
      <c r="H945" s="29">
        <f t="shared" ref="H945:I945" si="375">_xlfn.STDEV.P(H931,H934,H937)</f>
        <v>9.8465181837982408E-3</v>
      </c>
      <c r="I945" s="29">
        <f t="shared" si="375"/>
        <v>0.34603276427346902</v>
      </c>
    </row>
    <row r="946" spans="1:17" ht="15" thickBot="1" x14ac:dyDescent="0.35">
      <c r="A946" s="19"/>
      <c r="B946" s="30"/>
      <c r="C946" s="31" t="s">
        <v>5</v>
      </c>
      <c r="D946" s="32"/>
      <c r="E946" s="33"/>
      <c r="F946" s="33"/>
      <c r="G946" s="34">
        <f>_xlfn.STDEV.P(G932,G935,G938)</f>
        <v>1.1855050494292361</v>
      </c>
      <c r="H946" s="34">
        <f t="shared" ref="H946:I946" si="376">_xlfn.STDEV.P(H932,H935,H938)</f>
        <v>5.3091229190596965E-2</v>
      </c>
      <c r="I946" s="34">
        <f t="shared" si="376"/>
        <v>1.4497291639565373</v>
      </c>
    </row>
    <row r="947" spans="1:17" ht="15" thickBot="1" x14ac:dyDescent="0.35">
      <c r="A947" s="1" t="s">
        <v>9</v>
      </c>
      <c r="B947" s="4">
        <v>1</v>
      </c>
      <c r="C947" s="1" t="s">
        <v>11</v>
      </c>
      <c r="D947" s="3">
        <v>44123</v>
      </c>
      <c r="E947" s="2"/>
      <c r="N947" s="36" t="s">
        <v>13</v>
      </c>
      <c r="P947" s="36" t="s">
        <v>14</v>
      </c>
    </row>
    <row r="948" spans="1:17" s="37" customFormat="1" ht="15" thickTop="1" x14ac:dyDescent="0.3">
      <c r="A948" s="38" t="s">
        <v>9</v>
      </c>
      <c r="B948" s="39">
        <v>2</v>
      </c>
      <c r="C948" s="38" t="s">
        <v>3</v>
      </c>
      <c r="D948" s="40">
        <v>44123</v>
      </c>
      <c r="E948" s="41">
        <v>36</v>
      </c>
      <c r="G948" s="39">
        <v>9.1</v>
      </c>
      <c r="H948" s="42">
        <f>G948/E948</f>
        <v>0.25277777777777777</v>
      </c>
      <c r="I948" s="14">
        <f>I913+H948</f>
        <v>15.350876068376069</v>
      </c>
      <c r="K948" s="84">
        <v>44123</v>
      </c>
      <c r="L948" s="85" t="s">
        <v>3</v>
      </c>
      <c r="M948" s="37" t="s">
        <v>17</v>
      </c>
      <c r="N948" s="43">
        <f>H958</f>
        <v>0.27796324896324892</v>
      </c>
      <c r="O948" s="43">
        <f>H961</f>
        <v>1.9596599840314859E-2</v>
      </c>
      <c r="P948" s="43">
        <f>I958</f>
        <v>15.128904635404636</v>
      </c>
      <c r="Q948" s="43">
        <f>I961</f>
        <v>0.29582526132531123</v>
      </c>
    </row>
    <row r="949" spans="1:17" x14ac:dyDescent="0.3">
      <c r="A949" s="1" t="s">
        <v>9</v>
      </c>
      <c r="B949" s="4">
        <v>3</v>
      </c>
      <c r="C949" s="1" t="s">
        <v>4</v>
      </c>
      <c r="D949" s="3">
        <v>44123</v>
      </c>
      <c r="E949" s="2">
        <v>34</v>
      </c>
      <c r="G949" s="4">
        <v>10.84</v>
      </c>
      <c r="H949" s="14">
        <f t="shared" ref="H949:H956" si="377">G949/E949</f>
        <v>0.31882352941176473</v>
      </c>
      <c r="I949" s="14">
        <f t="shared" ref="I949:I955" si="378">I914+H949</f>
        <v>15.101780604133547</v>
      </c>
      <c r="K949" s="84"/>
      <c r="L949" s="85"/>
      <c r="M949" t="s">
        <v>18</v>
      </c>
      <c r="N949" s="35">
        <f>H976</f>
        <v>0.33540931372549015</v>
      </c>
      <c r="O949" s="35">
        <f>H979</f>
        <v>0.121891563336872</v>
      </c>
      <c r="P949" s="35">
        <f>I976</f>
        <v>10.996044250132485</v>
      </c>
      <c r="Q949" s="35">
        <f>I979</f>
        <v>0.72140330381599505</v>
      </c>
    </row>
    <row r="950" spans="1:17" x14ac:dyDescent="0.3">
      <c r="A950" s="1" t="s">
        <v>9</v>
      </c>
      <c r="B950" s="4">
        <v>4</v>
      </c>
      <c r="C950" s="1" t="s">
        <v>5</v>
      </c>
      <c r="D950" s="3">
        <v>44123</v>
      </c>
      <c r="E950" s="2">
        <v>37</v>
      </c>
      <c r="G950" s="4">
        <v>8.93</v>
      </c>
      <c r="H950" s="14">
        <f t="shared" si="377"/>
        <v>0.24135135135135136</v>
      </c>
      <c r="I950" s="14">
        <f t="shared" si="378"/>
        <v>14.182162162162163</v>
      </c>
      <c r="K950" s="84"/>
      <c r="L950" s="85" t="s">
        <v>4</v>
      </c>
      <c r="M950" t="s">
        <v>17</v>
      </c>
      <c r="N950" s="35">
        <f>H959</f>
        <v>0.32716039568980748</v>
      </c>
      <c r="O950" s="35">
        <f>H962</f>
        <v>4.6915818500143168E-2</v>
      </c>
      <c r="P950" s="35">
        <f>I959</f>
        <v>14.293601542719189</v>
      </c>
      <c r="Q950" s="35">
        <f>I962</f>
        <v>0.69459877470477138</v>
      </c>
    </row>
    <row r="951" spans="1:17" x14ac:dyDescent="0.3">
      <c r="A951" s="1" t="s">
        <v>9</v>
      </c>
      <c r="B951" s="4">
        <v>5</v>
      </c>
      <c r="C951" s="1" t="s">
        <v>3</v>
      </c>
      <c r="D951" s="3">
        <v>44123</v>
      </c>
      <c r="E951" s="2">
        <v>35</v>
      </c>
      <c r="G951" s="4">
        <v>10.52</v>
      </c>
      <c r="H951" s="14">
        <f t="shared" si="377"/>
        <v>0.30057142857142854</v>
      </c>
      <c r="I951" s="14">
        <f t="shared" si="378"/>
        <v>15.325027027027025</v>
      </c>
      <c r="K951" s="84"/>
      <c r="L951" s="85"/>
      <c r="M951" t="s">
        <v>18</v>
      </c>
      <c r="N951" s="35">
        <f>H977</f>
        <v>0.27541956914344684</v>
      </c>
      <c r="O951" s="35">
        <f>H980</f>
        <v>4.2259043916474816E-2</v>
      </c>
      <c r="P951" s="35">
        <f>I977</f>
        <v>10.517406131750947</v>
      </c>
      <c r="Q951" s="35">
        <f>I980</f>
        <v>0.38771055145290584</v>
      </c>
    </row>
    <row r="952" spans="1:17" x14ac:dyDescent="0.3">
      <c r="A952" s="1" t="s">
        <v>9</v>
      </c>
      <c r="B952" s="4">
        <v>6</v>
      </c>
      <c r="C952" s="1" t="s">
        <v>4</v>
      </c>
      <c r="D952" s="3">
        <v>44123</v>
      </c>
      <c r="E952" s="2">
        <v>37</v>
      </c>
      <c r="G952" s="2">
        <v>10.15</v>
      </c>
      <c r="H952" s="14">
        <f t="shared" si="377"/>
        <v>0.27432432432432435</v>
      </c>
      <c r="I952" s="14">
        <f t="shared" si="378"/>
        <v>13.405945945945945</v>
      </c>
      <c r="K952" s="84"/>
      <c r="L952" s="85" t="s">
        <v>5</v>
      </c>
      <c r="M952" t="s">
        <v>17</v>
      </c>
      <c r="N952" s="35">
        <f>H960</f>
        <v>0.30072112714217974</v>
      </c>
      <c r="O952" s="35">
        <f>H963</f>
        <v>4.8554945750479979E-2</v>
      </c>
      <c r="P952" s="35">
        <f>I960</f>
        <v>14.218253674727359</v>
      </c>
      <c r="Q952" s="35">
        <f>I963</f>
        <v>0.24989492613273162</v>
      </c>
    </row>
    <row r="953" spans="1:17" x14ac:dyDescent="0.3">
      <c r="A953" s="1" t="s">
        <v>9</v>
      </c>
      <c r="B953" s="4">
        <v>7</v>
      </c>
      <c r="C953" s="1" t="s">
        <v>5</v>
      </c>
      <c r="D953" s="3">
        <v>44123</v>
      </c>
      <c r="E953" s="2">
        <v>35</v>
      </c>
      <c r="G953" s="2">
        <v>12.61</v>
      </c>
      <c r="H953" s="14">
        <f t="shared" si="377"/>
        <v>0.36028571428571426</v>
      </c>
      <c r="I953" s="14">
        <f t="shared" si="378"/>
        <v>14.540756756756757</v>
      </c>
      <c r="K953" s="84"/>
      <c r="L953" s="85"/>
      <c r="M953" t="s">
        <v>18</v>
      </c>
      <c r="N953" s="35">
        <f>H978</f>
        <v>0.31236983082706771</v>
      </c>
      <c r="O953" s="35">
        <f>H981</f>
        <v>5.9392333693507861E-2</v>
      </c>
      <c r="P953" s="35">
        <f>I978</f>
        <v>11.044475633528265</v>
      </c>
      <c r="Q953" s="35">
        <f>I981</f>
        <v>1.5090256253695262</v>
      </c>
    </row>
    <row r="954" spans="1:17" x14ac:dyDescent="0.3">
      <c r="A954" s="1" t="s">
        <v>9</v>
      </c>
      <c r="B954" s="4">
        <v>8</v>
      </c>
      <c r="C954" s="1" t="s">
        <v>3</v>
      </c>
      <c r="D954" s="3">
        <v>44123</v>
      </c>
      <c r="E954" s="2">
        <v>37</v>
      </c>
      <c r="G954" s="4">
        <v>10.38</v>
      </c>
      <c r="H954" s="14">
        <f t="shared" si="377"/>
        <v>0.28054054054054056</v>
      </c>
      <c r="I954" s="14">
        <f t="shared" si="378"/>
        <v>14.710810810810814</v>
      </c>
    </row>
    <row r="955" spans="1:17" x14ac:dyDescent="0.3">
      <c r="A955" s="1" t="s">
        <v>9</v>
      </c>
      <c r="B955" s="4">
        <v>9</v>
      </c>
      <c r="C955" s="1" t="s">
        <v>4</v>
      </c>
      <c r="D955" s="3">
        <v>44123</v>
      </c>
      <c r="E955" s="2">
        <v>36</v>
      </c>
      <c r="G955" s="4">
        <v>13.98</v>
      </c>
      <c r="H955" s="14">
        <f t="shared" si="377"/>
        <v>0.38833333333333336</v>
      </c>
      <c r="I955" s="14">
        <f t="shared" si="378"/>
        <v>14.373078078078079</v>
      </c>
    </row>
    <row r="956" spans="1:17" s="37" customFormat="1" x14ac:dyDescent="0.3">
      <c r="A956" s="38" t="s">
        <v>9</v>
      </c>
      <c r="B956" s="39">
        <v>10</v>
      </c>
      <c r="C956" s="38" t="s">
        <v>5</v>
      </c>
      <c r="D956" s="40">
        <v>44123</v>
      </c>
      <c r="E956" s="41">
        <v>38</v>
      </c>
      <c r="G956" s="39">
        <v>11.42</v>
      </c>
      <c r="H956" s="42">
        <f t="shared" si="377"/>
        <v>0.3005263157894737</v>
      </c>
      <c r="I956" s="14">
        <f>I921+H956</f>
        <v>13.93184210526316</v>
      </c>
    </row>
    <row r="957" spans="1:17" ht="15" thickBot="1" x14ac:dyDescent="0.35">
      <c r="A957" s="9" t="s">
        <v>9</v>
      </c>
      <c r="B957" s="15">
        <v>11</v>
      </c>
      <c r="C957" s="9" t="s">
        <v>3</v>
      </c>
      <c r="D957" s="16">
        <v>44123</v>
      </c>
      <c r="E957" s="17"/>
      <c r="F957" s="18"/>
      <c r="G957" s="18"/>
      <c r="H957" s="18"/>
      <c r="I957" s="18"/>
    </row>
    <row r="958" spans="1:17" ht="15" thickTop="1" x14ac:dyDescent="0.3">
      <c r="B958" s="20" t="s">
        <v>15</v>
      </c>
      <c r="C958" s="21" t="s">
        <v>3</v>
      </c>
      <c r="D958" s="22"/>
      <c r="E958" s="23"/>
      <c r="F958" s="23"/>
      <c r="G958" s="24">
        <f t="shared" ref="G958:H958" si="379">AVERAGE(G948,G951,G954)</f>
        <v>10</v>
      </c>
      <c r="H958" s="24">
        <f t="shared" si="379"/>
        <v>0.27796324896324892</v>
      </c>
      <c r="I958" s="24">
        <f>AVERAGE(I948,I951,I954)</f>
        <v>15.128904635404636</v>
      </c>
    </row>
    <row r="959" spans="1:17" x14ac:dyDescent="0.3">
      <c r="B959" s="20"/>
      <c r="C959" s="21" t="s">
        <v>4</v>
      </c>
      <c r="D959" s="22"/>
      <c r="E959" s="23"/>
      <c r="F959" s="23"/>
      <c r="G959" s="24">
        <f t="shared" ref="G959:I959" si="380">AVERAGE(G949,G952,G955)</f>
        <v>11.656666666666666</v>
      </c>
      <c r="H959" s="24">
        <f t="shared" si="380"/>
        <v>0.32716039568980748</v>
      </c>
      <c r="I959" s="24">
        <f t="shared" si="380"/>
        <v>14.293601542719189</v>
      </c>
    </row>
    <row r="960" spans="1:17" x14ac:dyDescent="0.3">
      <c r="B960" s="20"/>
      <c r="C960" s="21" t="s">
        <v>5</v>
      </c>
      <c r="D960" s="22"/>
      <c r="E960" s="23"/>
      <c r="F960" s="23"/>
      <c r="G960" s="24">
        <f t="shared" ref="G960:I960" si="381">AVERAGE(G950,G953,G956)</f>
        <v>10.986666666666666</v>
      </c>
      <c r="H960" s="24">
        <f t="shared" si="381"/>
        <v>0.30072112714217974</v>
      </c>
      <c r="I960" s="24">
        <f t="shared" si="381"/>
        <v>14.218253674727359</v>
      </c>
    </row>
    <row r="961" spans="1:24" x14ac:dyDescent="0.3">
      <c r="B961" s="25" t="s">
        <v>16</v>
      </c>
      <c r="C961" s="26" t="s">
        <v>3</v>
      </c>
      <c r="D961" s="27"/>
      <c r="E961" s="28"/>
      <c r="F961" s="28"/>
      <c r="G961" s="29">
        <f>_xlfn.STDEV.P(G948,G951,G954)</f>
        <v>0.63895748424027932</v>
      </c>
      <c r="H961" s="29">
        <f t="shared" ref="H961:I961" si="382">_xlfn.STDEV.P(H948,H951,H954)</f>
        <v>1.9596599840314859E-2</v>
      </c>
      <c r="I961" s="29">
        <f t="shared" si="382"/>
        <v>0.29582526132531123</v>
      </c>
    </row>
    <row r="962" spans="1:24" x14ac:dyDescent="0.3">
      <c r="B962" s="25"/>
      <c r="C962" s="26" t="s">
        <v>4</v>
      </c>
      <c r="D962" s="27"/>
      <c r="E962" s="28"/>
      <c r="F962" s="28"/>
      <c r="G962" s="29">
        <f>_xlfn.STDEV.P(G949,G952,G955)</f>
        <v>1.6668199929473224</v>
      </c>
      <c r="H962" s="29">
        <f t="shared" ref="H962:I962" si="383">_xlfn.STDEV.P(H949,H952,H955)</f>
        <v>4.6915818500143168E-2</v>
      </c>
      <c r="I962" s="29">
        <f t="shared" si="383"/>
        <v>0.69459877470477138</v>
      </c>
    </row>
    <row r="963" spans="1:24" ht="15" thickBot="1" x14ac:dyDescent="0.35">
      <c r="A963" s="19"/>
      <c r="B963" s="30"/>
      <c r="C963" s="31" t="s">
        <v>5</v>
      </c>
      <c r="D963" s="32"/>
      <c r="E963" s="33"/>
      <c r="F963" s="33"/>
      <c r="G963" s="34">
        <f>_xlfn.STDEV.P(G950,G953,G956)</f>
        <v>1.5332826078566055</v>
      </c>
      <c r="H963" s="34">
        <f t="shared" ref="H963:I963" si="384">_xlfn.STDEV.P(H950,H953,H956)</f>
        <v>4.8554945750479979E-2</v>
      </c>
      <c r="I963" s="34">
        <f t="shared" si="384"/>
        <v>0.24989492613273162</v>
      </c>
    </row>
    <row r="964" spans="1:24" x14ac:dyDescent="0.3">
      <c r="A964" s="1" t="s">
        <v>10</v>
      </c>
      <c r="B964" s="4">
        <v>12</v>
      </c>
      <c r="C964" s="1" t="s">
        <v>3</v>
      </c>
      <c r="D964" s="3">
        <v>44123</v>
      </c>
      <c r="E964" s="2"/>
    </row>
    <row r="965" spans="1:24" s="37" customFormat="1" x14ac:dyDescent="0.3">
      <c r="A965" s="38" t="s">
        <v>10</v>
      </c>
      <c r="B965" s="39">
        <v>13</v>
      </c>
      <c r="C965" s="38" t="s">
        <v>3</v>
      </c>
      <c r="D965" s="40">
        <v>44123</v>
      </c>
      <c r="E965" s="41">
        <v>32</v>
      </c>
      <c r="G965" s="39">
        <v>15.98</v>
      </c>
      <c r="H965" s="42">
        <f>G965/E965</f>
        <v>0.49937500000000001</v>
      </c>
      <c r="I965" s="14">
        <f>I930+H965</f>
        <v>11.987499999999995</v>
      </c>
    </row>
    <row r="966" spans="1:24" x14ac:dyDescent="0.3">
      <c r="A966" s="1" t="s">
        <v>10</v>
      </c>
      <c r="B966" s="4">
        <v>14</v>
      </c>
      <c r="C966" s="1" t="s">
        <v>4</v>
      </c>
      <c r="D966" s="3">
        <v>44123</v>
      </c>
      <c r="E966" s="2">
        <v>32</v>
      </c>
      <c r="G966" s="4">
        <v>6.95</v>
      </c>
      <c r="H966" s="14">
        <f t="shared" ref="H966:H973" si="385">G966/E966</f>
        <v>0.21718750000000001</v>
      </c>
      <c r="I966" s="14">
        <f t="shared" ref="I966:I972" si="386">I931+H966</f>
        <v>10.008958333333334</v>
      </c>
    </row>
    <row r="967" spans="1:24" x14ac:dyDescent="0.3">
      <c r="A967" s="1" t="s">
        <v>10</v>
      </c>
      <c r="B967" s="4">
        <v>15</v>
      </c>
      <c r="C967" s="1" t="s">
        <v>5</v>
      </c>
      <c r="D967" s="3">
        <v>44123</v>
      </c>
      <c r="E967" s="2">
        <v>35</v>
      </c>
      <c r="G967" s="4">
        <v>9.08</v>
      </c>
      <c r="H967" s="14">
        <f t="shared" si="385"/>
        <v>0.25942857142857145</v>
      </c>
      <c r="I967" s="14">
        <f t="shared" si="386"/>
        <v>9.6092105263157883</v>
      </c>
    </row>
    <row r="968" spans="1:24" x14ac:dyDescent="0.3">
      <c r="A968" s="1" t="s">
        <v>10</v>
      </c>
      <c r="B968" s="4">
        <v>16</v>
      </c>
      <c r="C968" s="1" t="s">
        <v>3</v>
      </c>
      <c r="D968" s="3">
        <v>44123</v>
      </c>
      <c r="E968" s="2">
        <v>40</v>
      </c>
      <c r="G968" s="4">
        <v>11.98</v>
      </c>
      <c r="H968" s="14">
        <f t="shared" si="385"/>
        <v>0.29949999999999999</v>
      </c>
      <c r="I968" s="14">
        <f t="shared" si="386"/>
        <v>10.292</v>
      </c>
    </row>
    <row r="969" spans="1:24" x14ac:dyDescent="0.3">
      <c r="A969" s="1" t="s">
        <v>10</v>
      </c>
      <c r="B969" s="4">
        <v>17</v>
      </c>
      <c r="C969" s="1" t="s">
        <v>4</v>
      </c>
      <c r="D969" s="3">
        <v>44123</v>
      </c>
      <c r="E969" s="2">
        <v>34</v>
      </c>
      <c r="G969" s="2">
        <v>10.75</v>
      </c>
      <c r="H969" s="14">
        <f t="shared" si="385"/>
        <v>0.31617647058823528</v>
      </c>
      <c r="I969" s="14">
        <f t="shared" si="386"/>
        <v>10.9493653250774</v>
      </c>
    </row>
    <row r="970" spans="1:24" x14ac:dyDescent="0.3">
      <c r="A970" s="1" t="s">
        <v>10</v>
      </c>
      <c r="B970" s="4">
        <v>18</v>
      </c>
      <c r="C970" s="1" t="s">
        <v>5</v>
      </c>
      <c r="D970" s="3">
        <v>44123</v>
      </c>
      <c r="E970" s="2">
        <v>38</v>
      </c>
      <c r="G970" s="2">
        <v>10.73</v>
      </c>
      <c r="H970" s="14">
        <f t="shared" si="385"/>
        <v>0.2823684210526316</v>
      </c>
      <c r="I970" s="14">
        <f t="shared" si="386"/>
        <v>10.394355263157893</v>
      </c>
    </row>
    <row r="971" spans="1:24" x14ac:dyDescent="0.3">
      <c r="A971" s="1" t="s">
        <v>10</v>
      </c>
      <c r="B971" s="4">
        <v>19</v>
      </c>
      <c r="C971" s="1" t="s">
        <v>3</v>
      </c>
      <c r="D971" s="3">
        <v>44123</v>
      </c>
      <c r="E971" s="2">
        <v>34</v>
      </c>
      <c r="G971" s="4">
        <v>7.05</v>
      </c>
      <c r="H971" s="14">
        <f t="shared" si="385"/>
        <v>0.20735294117647057</v>
      </c>
      <c r="I971" s="14">
        <f t="shared" si="386"/>
        <v>10.708632750397458</v>
      </c>
    </row>
    <row r="972" spans="1:24" x14ac:dyDescent="0.3">
      <c r="A972" s="1" t="s">
        <v>10</v>
      </c>
      <c r="B972" s="4">
        <v>20</v>
      </c>
      <c r="C972" s="1" t="s">
        <v>4</v>
      </c>
      <c r="D972" s="3">
        <v>44123</v>
      </c>
      <c r="E972" s="2">
        <v>38</v>
      </c>
      <c r="G972" s="4">
        <v>11.13</v>
      </c>
      <c r="H972" s="14">
        <f t="shared" si="385"/>
        <v>0.29289473684210526</v>
      </c>
      <c r="I972" s="14">
        <f t="shared" si="386"/>
        <v>10.593894736842108</v>
      </c>
    </row>
    <row r="973" spans="1:24" x14ac:dyDescent="0.3">
      <c r="A973" s="1" t="s">
        <v>10</v>
      </c>
      <c r="B973" s="4">
        <v>21</v>
      </c>
      <c r="C973" s="1" t="s">
        <v>5</v>
      </c>
      <c r="D973" s="3">
        <v>44123</v>
      </c>
      <c r="E973" s="2">
        <v>32</v>
      </c>
      <c r="G973" s="4">
        <v>12.65</v>
      </c>
      <c r="H973" s="14">
        <f t="shared" si="385"/>
        <v>0.39531250000000001</v>
      </c>
      <c r="I973" s="14">
        <f>I938+H973</f>
        <v>13.129861111111115</v>
      </c>
    </row>
    <row r="974" spans="1:24" s="37" customFormat="1" x14ac:dyDescent="0.3">
      <c r="A974" s="38" t="s">
        <v>10</v>
      </c>
      <c r="B974" s="39">
        <v>22</v>
      </c>
      <c r="C974" s="38" t="s">
        <v>3</v>
      </c>
      <c r="D974" s="40">
        <v>44123</v>
      </c>
      <c r="E974" s="41">
        <v>38</v>
      </c>
      <c r="G974" s="39">
        <v>13.36</v>
      </c>
      <c r="H974" s="42">
        <f>G974/E974</f>
        <v>0.35157894736842105</v>
      </c>
      <c r="I974" s="14">
        <f>I939+H974</f>
        <v>12.752368421052632</v>
      </c>
    </row>
    <row r="975" spans="1:24" x14ac:dyDescent="0.3">
      <c r="A975" s="5" t="s">
        <v>10</v>
      </c>
      <c r="B975" s="6">
        <v>23</v>
      </c>
      <c r="C975" s="5" t="s">
        <v>3</v>
      </c>
      <c r="D975" s="7">
        <v>44123</v>
      </c>
      <c r="E975" s="13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x14ac:dyDescent="0.3">
      <c r="B976" s="20" t="s">
        <v>15</v>
      </c>
      <c r="C976" s="21" t="s">
        <v>3</v>
      </c>
      <c r="D976" s="22"/>
      <c r="E976" s="23"/>
      <c r="F976" s="23"/>
      <c r="G976" s="24">
        <f t="shared" ref="G976:I976" si="387">AVERAGE(G965,G968,G971)</f>
        <v>11.67</v>
      </c>
      <c r="H976" s="24">
        <f t="shared" si="387"/>
        <v>0.33540931372549015</v>
      </c>
      <c r="I976" s="24">
        <f t="shared" si="387"/>
        <v>10.996044250132485</v>
      </c>
    </row>
    <row r="977" spans="1:17" x14ac:dyDescent="0.3">
      <c r="B977" s="20"/>
      <c r="C977" s="21" t="s">
        <v>4</v>
      </c>
      <c r="D977" s="22"/>
      <c r="E977" s="23"/>
      <c r="F977" s="23"/>
      <c r="G977" s="24">
        <f t="shared" ref="G977:I977" si="388">AVERAGE(G966,G969,G972)</f>
        <v>9.61</v>
      </c>
      <c r="H977" s="24">
        <f t="shared" si="388"/>
        <v>0.27541956914344684</v>
      </c>
      <c r="I977" s="24">
        <f t="shared" si="388"/>
        <v>10.517406131750947</v>
      </c>
    </row>
    <row r="978" spans="1:17" x14ac:dyDescent="0.3">
      <c r="B978" s="20"/>
      <c r="C978" s="21" t="s">
        <v>5</v>
      </c>
      <c r="D978" s="22"/>
      <c r="E978" s="23"/>
      <c r="F978" s="23"/>
      <c r="G978" s="24">
        <f t="shared" ref="G978:I978" si="389">AVERAGE(G967,G970,G973)</f>
        <v>10.82</v>
      </c>
      <c r="H978" s="24">
        <f t="shared" si="389"/>
        <v>0.31236983082706771</v>
      </c>
      <c r="I978" s="24">
        <f t="shared" si="389"/>
        <v>11.044475633528265</v>
      </c>
    </row>
    <row r="979" spans="1:17" x14ac:dyDescent="0.3">
      <c r="B979" s="25" t="s">
        <v>16</v>
      </c>
      <c r="C979" s="26" t="s">
        <v>3</v>
      </c>
      <c r="D979" s="27"/>
      <c r="E979" s="28"/>
      <c r="F979" s="28"/>
      <c r="G979" s="29">
        <f>_xlfn.STDEV.P(G965,G968,G971)</f>
        <v>3.6522413209790359</v>
      </c>
      <c r="H979" s="29">
        <f t="shared" ref="H979:I979" si="390">_xlfn.STDEV.P(H965,H968,H971)</f>
        <v>0.121891563336872</v>
      </c>
      <c r="I979" s="29">
        <f t="shared" si="390"/>
        <v>0.72140330381599505</v>
      </c>
    </row>
    <row r="980" spans="1:17" x14ac:dyDescent="0.3">
      <c r="B980" s="25"/>
      <c r="C980" s="26" t="s">
        <v>4</v>
      </c>
      <c r="D980" s="27"/>
      <c r="E980" s="28"/>
      <c r="F980" s="28"/>
      <c r="G980" s="29">
        <f>_xlfn.STDEV.P(G966,G969,G972)</f>
        <v>1.8872908272618449</v>
      </c>
      <c r="H980" s="29">
        <f t="shared" ref="H980:I980" si="391">_xlfn.STDEV.P(H966,H969,H972)</f>
        <v>4.2259043916474816E-2</v>
      </c>
      <c r="I980" s="29">
        <f t="shared" si="391"/>
        <v>0.38771055145290584</v>
      </c>
    </row>
    <row r="981" spans="1:17" ht="15" thickBot="1" x14ac:dyDescent="0.35">
      <c r="A981" s="19"/>
      <c r="B981" s="30"/>
      <c r="C981" s="31" t="s">
        <v>5</v>
      </c>
      <c r="D981" s="32"/>
      <c r="E981" s="33"/>
      <c r="F981" s="33"/>
      <c r="G981" s="34">
        <f>_xlfn.STDEV.P(G967,G970,G973)</f>
        <v>1.4588351517563611</v>
      </c>
      <c r="H981" s="34">
        <f t="shared" ref="H981:I981" si="392">_xlfn.STDEV.P(H967,H970,H973)</f>
        <v>5.9392333693507861E-2</v>
      </c>
      <c r="I981" s="34">
        <f t="shared" si="392"/>
        <v>1.5090256253695262</v>
      </c>
    </row>
    <row r="982" spans="1:17" ht="15" thickBot="1" x14ac:dyDescent="0.35">
      <c r="A982" s="1" t="s">
        <v>9</v>
      </c>
      <c r="B982" s="4">
        <v>1</v>
      </c>
      <c r="C982" s="1" t="s">
        <v>11</v>
      </c>
      <c r="D982" s="3">
        <v>44130</v>
      </c>
      <c r="E982" s="2"/>
      <c r="N982" s="36" t="s">
        <v>13</v>
      </c>
      <c r="P982" s="36" t="s">
        <v>14</v>
      </c>
    </row>
    <row r="983" spans="1:17" s="37" customFormat="1" ht="15" thickTop="1" x14ac:dyDescent="0.3">
      <c r="A983" s="38" t="s">
        <v>9</v>
      </c>
      <c r="B983" s="39">
        <v>2</v>
      </c>
      <c r="C983" s="38" t="s">
        <v>3</v>
      </c>
      <c r="D983" s="40">
        <v>44130</v>
      </c>
      <c r="E983" s="41">
        <v>36</v>
      </c>
      <c r="G983" s="39">
        <v>12.87</v>
      </c>
      <c r="H983" s="42">
        <f t="shared" ref="H983:H991" si="393">G983/E983</f>
        <v>0.35749999999999998</v>
      </c>
      <c r="I983" s="14">
        <f>I948+H983</f>
        <v>15.708376068376069</v>
      </c>
      <c r="K983" s="84">
        <v>44130</v>
      </c>
      <c r="L983" s="85" t="s">
        <v>3</v>
      </c>
      <c r="M983" s="37" t="s">
        <v>17</v>
      </c>
      <c r="N983" s="43">
        <f>H993</f>
        <v>0.3209169884169884</v>
      </c>
      <c r="O983" s="43">
        <f>H996</f>
        <v>4.4613407448749913E-2</v>
      </c>
      <c r="P983" s="43">
        <f>I993</f>
        <v>15.449821623821625</v>
      </c>
      <c r="Q983" s="43">
        <f>I996</f>
        <v>0.34037066131963145</v>
      </c>
    </row>
    <row r="984" spans="1:17" x14ac:dyDescent="0.3">
      <c r="A984" s="1" t="s">
        <v>9</v>
      </c>
      <c r="B984" s="4">
        <v>3</v>
      </c>
      <c r="C984" s="1" t="s">
        <v>4</v>
      </c>
      <c r="D984" s="3">
        <v>44130</v>
      </c>
      <c r="E984" s="2">
        <v>34</v>
      </c>
      <c r="G984" s="4">
        <v>15.76</v>
      </c>
      <c r="H984" s="14">
        <f t="shared" si="393"/>
        <v>0.46352941176470586</v>
      </c>
      <c r="I984" s="14">
        <f t="shared" ref="I984:I990" si="394">I949+H984</f>
        <v>15.565310015898252</v>
      </c>
      <c r="K984" s="84"/>
      <c r="L984" s="85"/>
      <c r="M984" t="s">
        <v>18</v>
      </c>
      <c r="N984" s="35">
        <f>H1011</f>
        <v>0.23350857843137254</v>
      </c>
      <c r="O984" s="35">
        <f>H1014</f>
        <v>3.9972035569521898E-2</v>
      </c>
      <c r="P984" s="35">
        <f>I1011</f>
        <v>11.229552828563856</v>
      </c>
      <c r="Q984" s="35">
        <f>I1014</f>
        <v>0.75176239053513372</v>
      </c>
    </row>
    <row r="985" spans="1:17" x14ac:dyDescent="0.3">
      <c r="A985" s="1" t="s">
        <v>9</v>
      </c>
      <c r="B985" s="4">
        <v>4</v>
      </c>
      <c r="C985" s="1" t="s">
        <v>5</v>
      </c>
      <c r="D985" s="3">
        <v>44130</v>
      </c>
      <c r="E985" s="2">
        <v>37</v>
      </c>
      <c r="G985" s="4">
        <v>14.36</v>
      </c>
      <c r="H985" s="14">
        <f t="shared" si="393"/>
        <v>0.38810810810810809</v>
      </c>
      <c r="I985" s="14">
        <f t="shared" si="394"/>
        <v>14.570270270270271</v>
      </c>
      <c r="K985" s="84"/>
      <c r="L985" s="85" t="s">
        <v>4</v>
      </c>
      <c r="M985" t="s">
        <v>17</v>
      </c>
      <c r="N985" s="35">
        <f>H994</f>
        <v>0.36529308720485193</v>
      </c>
      <c r="O985" s="35">
        <f>H997</f>
        <v>8.0892215157020567E-2</v>
      </c>
      <c r="P985" s="35">
        <f>I994</f>
        <v>14.658894629924042</v>
      </c>
      <c r="Q985" s="35">
        <f>I997</f>
        <v>0.77533053466298041</v>
      </c>
    </row>
    <row r="986" spans="1:17" x14ac:dyDescent="0.3">
      <c r="A986" s="1" t="s">
        <v>9</v>
      </c>
      <c r="B986" s="4">
        <v>5</v>
      </c>
      <c r="C986" s="1" t="s">
        <v>3</v>
      </c>
      <c r="D986" s="3">
        <v>44130</v>
      </c>
      <c r="E986" s="2">
        <v>35</v>
      </c>
      <c r="G986" s="4">
        <v>12.15</v>
      </c>
      <c r="H986" s="14">
        <f t="shared" si="393"/>
        <v>0.34714285714285714</v>
      </c>
      <c r="I986" s="14">
        <f t="shared" si="394"/>
        <v>15.672169884169882</v>
      </c>
      <c r="K986" s="84"/>
      <c r="L986" s="85"/>
      <c r="M986" t="s">
        <v>18</v>
      </c>
      <c r="N986" s="35">
        <f>H1012</f>
        <v>0.2366608617131063</v>
      </c>
      <c r="O986" s="35">
        <f>H1015</f>
        <v>6.1117492869161689E-2</v>
      </c>
      <c r="P986" s="35">
        <f>I1012</f>
        <v>10.754066993464052</v>
      </c>
      <c r="Q986" s="35">
        <f>I1015</f>
        <v>0.44842256510226214</v>
      </c>
    </row>
    <row r="987" spans="1:17" x14ac:dyDescent="0.3">
      <c r="A987" s="1" t="s">
        <v>9</v>
      </c>
      <c r="B987" s="4">
        <v>6</v>
      </c>
      <c r="C987" s="1" t="s">
        <v>4</v>
      </c>
      <c r="D987" s="3">
        <v>44130</v>
      </c>
      <c r="E987" s="2">
        <v>37</v>
      </c>
      <c r="G987" s="2">
        <v>9.82</v>
      </c>
      <c r="H987" s="14">
        <f t="shared" si="393"/>
        <v>0.26540540540540541</v>
      </c>
      <c r="I987" s="14">
        <f t="shared" si="394"/>
        <v>13.671351351351349</v>
      </c>
      <c r="K987" s="84"/>
      <c r="L987" s="85" t="s">
        <v>5</v>
      </c>
      <c r="M987" t="s">
        <v>17</v>
      </c>
      <c r="N987" s="35">
        <f>H995</f>
        <v>0.31690821648716389</v>
      </c>
      <c r="O987" s="35">
        <f>H998</f>
        <v>5.6659858339612387E-2</v>
      </c>
      <c r="P987" s="35">
        <f>I995</f>
        <v>14.535161891214523</v>
      </c>
      <c r="Q987" s="35">
        <f>I998</f>
        <v>0.27570116543072909</v>
      </c>
    </row>
    <row r="988" spans="1:17" x14ac:dyDescent="0.3">
      <c r="A988" s="1" t="s">
        <v>9</v>
      </c>
      <c r="B988" s="4">
        <v>7</v>
      </c>
      <c r="C988" s="1" t="s">
        <v>5</v>
      </c>
      <c r="D988" s="3">
        <v>44130</v>
      </c>
      <c r="E988" s="2">
        <v>35</v>
      </c>
      <c r="G988" s="2">
        <v>10.96</v>
      </c>
      <c r="H988" s="14">
        <f t="shared" si="393"/>
        <v>0.31314285714285717</v>
      </c>
      <c r="I988" s="14">
        <f t="shared" si="394"/>
        <v>14.853899613899614</v>
      </c>
      <c r="K988" s="84"/>
      <c r="L988" s="85"/>
      <c r="M988" t="s">
        <v>18</v>
      </c>
      <c r="N988" s="35">
        <f>H1013</f>
        <v>0.29095802005012533</v>
      </c>
      <c r="O988" s="35">
        <f>H1016</f>
        <v>4.0457592709408817E-2</v>
      </c>
      <c r="P988" s="35">
        <f>I1013</f>
        <v>11.335433653578391</v>
      </c>
      <c r="Q988" s="35">
        <f>I1016</f>
        <v>1.5494415308923037</v>
      </c>
    </row>
    <row r="989" spans="1:17" x14ac:dyDescent="0.3">
      <c r="A989" s="1" t="s">
        <v>9</v>
      </c>
      <c r="B989" s="4">
        <v>8</v>
      </c>
      <c r="C989" s="1" t="s">
        <v>3</v>
      </c>
      <c r="D989" s="3">
        <v>44130</v>
      </c>
      <c r="E989" s="2">
        <v>37</v>
      </c>
      <c r="G989" s="4">
        <v>9.5500000000000007</v>
      </c>
      <c r="H989" s="14">
        <f t="shared" si="393"/>
        <v>0.25810810810810814</v>
      </c>
      <c r="I989" s="14">
        <f t="shared" si="394"/>
        <v>14.968918918918922</v>
      </c>
    </row>
    <row r="990" spans="1:17" x14ac:dyDescent="0.3">
      <c r="A990" s="1" t="s">
        <v>9</v>
      </c>
      <c r="B990" s="4">
        <v>9</v>
      </c>
      <c r="C990" s="1" t="s">
        <v>4</v>
      </c>
      <c r="D990" s="3">
        <v>44130</v>
      </c>
      <c r="E990" s="2">
        <v>36</v>
      </c>
      <c r="G990" s="4">
        <v>13.21</v>
      </c>
      <c r="H990" s="14">
        <f t="shared" si="393"/>
        <v>0.36694444444444446</v>
      </c>
      <c r="I990" s="14">
        <f t="shared" si="394"/>
        <v>14.740022522522523</v>
      </c>
    </row>
    <row r="991" spans="1:17" s="37" customFormat="1" x14ac:dyDescent="0.3">
      <c r="A991" s="38" t="s">
        <v>9</v>
      </c>
      <c r="B991" s="39">
        <v>10</v>
      </c>
      <c r="C991" s="38" t="s">
        <v>5</v>
      </c>
      <c r="D991" s="40">
        <v>44130</v>
      </c>
      <c r="E991" s="41">
        <v>38</v>
      </c>
      <c r="G991" s="39">
        <v>9.48</v>
      </c>
      <c r="H991" s="42">
        <f t="shared" si="393"/>
        <v>0.24947368421052632</v>
      </c>
      <c r="I991" s="14">
        <f>I956+H991</f>
        <v>14.181315789473686</v>
      </c>
    </row>
    <row r="992" spans="1:17" ht="15" thickBot="1" x14ac:dyDescent="0.35">
      <c r="A992" s="9" t="s">
        <v>9</v>
      </c>
      <c r="B992" s="15">
        <v>11</v>
      </c>
      <c r="C992" s="9" t="s">
        <v>3</v>
      </c>
      <c r="D992" s="16">
        <v>44130</v>
      </c>
      <c r="E992" s="17"/>
      <c r="F992" s="18"/>
      <c r="G992" s="18"/>
      <c r="H992" s="18"/>
      <c r="I992" s="18"/>
    </row>
    <row r="993" spans="1:9" ht="15" thickTop="1" x14ac:dyDescent="0.3">
      <c r="B993" s="20" t="s">
        <v>15</v>
      </c>
      <c r="C993" s="21" t="s">
        <v>3</v>
      </c>
      <c r="D993" s="22"/>
      <c r="E993" s="23"/>
      <c r="F993" s="23"/>
      <c r="G993" s="24">
        <f>AVERAGE(G983,G986,G989)</f>
        <v>11.523333333333333</v>
      </c>
      <c r="H993" s="24">
        <f t="shared" ref="H993" si="395">AVERAGE(H983,H986,H989)</f>
        <v>0.3209169884169884</v>
      </c>
      <c r="I993" s="24">
        <f>AVERAGE(I983,I986,I989)</f>
        <v>15.449821623821625</v>
      </c>
    </row>
    <row r="994" spans="1:9" x14ac:dyDescent="0.3">
      <c r="B994" s="20"/>
      <c r="C994" s="21" t="s">
        <v>4</v>
      </c>
      <c r="D994" s="22"/>
      <c r="E994" s="23"/>
      <c r="F994" s="23"/>
      <c r="G994" s="24">
        <f>AVERAGE(G984,G987,G990)</f>
        <v>12.93</v>
      </c>
      <c r="H994" s="24">
        <f t="shared" ref="H994:I994" si="396">AVERAGE(H984,H987,H990)</f>
        <v>0.36529308720485193</v>
      </c>
      <c r="I994" s="24">
        <f t="shared" si="396"/>
        <v>14.658894629924042</v>
      </c>
    </row>
    <row r="995" spans="1:9" x14ac:dyDescent="0.3">
      <c r="B995" s="20"/>
      <c r="C995" s="21" t="s">
        <v>5</v>
      </c>
      <c r="D995" s="22"/>
      <c r="E995" s="23"/>
      <c r="F995" s="23"/>
      <c r="G995" s="24">
        <f>AVERAGE(G985,G988,G991)</f>
        <v>11.6</v>
      </c>
      <c r="H995" s="24">
        <f t="shared" ref="H995:I995" si="397">AVERAGE(H985,H988,H991)</f>
        <v>0.31690821648716389</v>
      </c>
      <c r="I995" s="24">
        <f t="shared" si="397"/>
        <v>14.535161891214523</v>
      </c>
    </row>
    <row r="996" spans="1:9" x14ac:dyDescent="0.3">
      <c r="B996" s="25" t="s">
        <v>16</v>
      </c>
      <c r="C996" s="26" t="s">
        <v>3</v>
      </c>
      <c r="D996" s="27"/>
      <c r="E996" s="28"/>
      <c r="F996" s="28"/>
      <c r="G996" s="29">
        <f>_xlfn.STDEV.P(G983,G986,G989)</f>
        <v>1.4259811437120127</v>
      </c>
      <c r="H996" s="29">
        <f t="shared" ref="H996:I996" si="398">_xlfn.STDEV.P(H983,H986,H989)</f>
        <v>4.4613407448749913E-2</v>
      </c>
      <c r="I996" s="29">
        <f t="shared" si="398"/>
        <v>0.34037066131963145</v>
      </c>
    </row>
    <row r="997" spans="1:9" x14ac:dyDescent="0.3">
      <c r="B997" s="25"/>
      <c r="C997" s="26" t="s">
        <v>4</v>
      </c>
      <c r="D997" s="27"/>
      <c r="E997" s="28"/>
      <c r="F997" s="28"/>
      <c r="G997" s="29">
        <f>_xlfn.STDEV.P(G984,G987,G990)</f>
        <v>2.4330639120253337</v>
      </c>
      <c r="H997" s="29">
        <f t="shared" ref="H997:I997" si="399">_xlfn.STDEV.P(H984,H987,H990)</f>
        <v>8.0892215157020567E-2</v>
      </c>
      <c r="I997" s="29">
        <f t="shared" si="399"/>
        <v>0.77533053466298041</v>
      </c>
    </row>
    <row r="998" spans="1:9" ht="15" thickBot="1" x14ac:dyDescent="0.35">
      <c r="A998" s="19"/>
      <c r="B998" s="30"/>
      <c r="C998" s="31" t="s">
        <v>5</v>
      </c>
      <c r="D998" s="32"/>
      <c r="E998" s="33"/>
      <c r="F998" s="33"/>
      <c r="G998" s="34">
        <f>_xlfn.STDEV.P(G985,G988,G991)</f>
        <v>2.0430043237024007</v>
      </c>
      <c r="H998" s="34">
        <f t="shared" ref="H998:I998" si="400">_xlfn.STDEV.P(H985,H988,H991)</f>
        <v>5.6659858339612387E-2</v>
      </c>
      <c r="I998" s="34">
        <f t="shared" si="400"/>
        <v>0.27570116543072909</v>
      </c>
    </row>
    <row r="999" spans="1:9" x14ac:dyDescent="0.3">
      <c r="A999" s="1" t="s">
        <v>10</v>
      </c>
      <c r="B999" s="4">
        <v>12</v>
      </c>
      <c r="C999" s="1" t="s">
        <v>3</v>
      </c>
      <c r="D999" s="3">
        <v>44130</v>
      </c>
      <c r="E999" s="2"/>
    </row>
    <row r="1000" spans="1:9" s="37" customFormat="1" x14ac:dyDescent="0.3">
      <c r="A1000" s="38" t="s">
        <v>10</v>
      </c>
      <c r="B1000" s="39">
        <v>13</v>
      </c>
      <c r="C1000" s="38" t="s">
        <v>3</v>
      </c>
      <c r="D1000" s="40">
        <v>44130</v>
      </c>
      <c r="E1000" s="41">
        <v>32</v>
      </c>
      <c r="G1000" s="39">
        <v>9.07</v>
      </c>
      <c r="H1000" s="42">
        <f>G1000/E1000</f>
        <v>0.28343750000000001</v>
      </c>
      <c r="I1000" s="14">
        <f>I965+H1000</f>
        <v>12.270937499999995</v>
      </c>
    </row>
    <row r="1001" spans="1:9" x14ac:dyDescent="0.3">
      <c r="A1001" s="1" t="s">
        <v>10</v>
      </c>
      <c r="B1001" s="4">
        <v>14</v>
      </c>
      <c r="C1001" s="1" t="s">
        <v>4</v>
      </c>
      <c r="D1001" s="3">
        <v>44130</v>
      </c>
      <c r="E1001" s="2">
        <v>32</v>
      </c>
      <c r="G1001" s="4">
        <v>4.9000000000000004</v>
      </c>
      <c r="H1001" s="14">
        <f t="shared" ref="H1001:H1008" si="401">G1001/E1001</f>
        <v>0.15312500000000001</v>
      </c>
      <c r="I1001" s="14">
        <f t="shared" ref="I1001:I1007" si="402">I966+H1001</f>
        <v>10.162083333333333</v>
      </c>
    </row>
    <row r="1002" spans="1:9" x14ac:dyDescent="0.3">
      <c r="A1002" s="1" t="s">
        <v>10</v>
      </c>
      <c r="B1002" s="4">
        <v>15</v>
      </c>
      <c r="C1002" s="1" t="s">
        <v>5</v>
      </c>
      <c r="D1002" s="3">
        <v>44130</v>
      </c>
      <c r="E1002" s="2">
        <v>35</v>
      </c>
      <c r="G1002" s="4">
        <v>8.77</v>
      </c>
      <c r="H1002" s="14">
        <f t="shared" si="401"/>
        <v>0.25057142857142856</v>
      </c>
      <c r="I1002" s="14">
        <f t="shared" si="402"/>
        <v>9.8597819548872163</v>
      </c>
    </row>
    <row r="1003" spans="1:9" x14ac:dyDescent="0.3">
      <c r="A1003" s="1" t="s">
        <v>10</v>
      </c>
      <c r="B1003" s="4">
        <v>16</v>
      </c>
      <c r="C1003" s="1" t="s">
        <v>3</v>
      </c>
      <c r="D1003" s="3">
        <v>44130</v>
      </c>
      <c r="E1003" s="2">
        <v>40</v>
      </c>
      <c r="G1003" s="4">
        <v>9.26</v>
      </c>
      <c r="H1003" s="14">
        <f t="shared" si="401"/>
        <v>0.23149999999999998</v>
      </c>
      <c r="I1003" s="14">
        <f t="shared" si="402"/>
        <v>10.5235</v>
      </c>
    </row>
    <row r="1004" spans="1:9" x14ac:dyDescent="0.3">
      <c r="A1004" s="1" t="s">
        <v>10</v>
      </c>
      <c r="B1004" s="4">
        <v>17</v>
      </c>
      <c r="C1004" s="1" t="s">
        <v>4</v>
      </c>
      <c r="D1004" s="3">
        <v>44130</v>
      </c>
      <c r="E1004" s="2">
        <v>34</v>
      </c>
      <c r="G1004" s="2">
        <v>10.119999999999999</v>
      </c>
      <c r="H1004" s="14">
        <f t="shared" si="401"/>
        <v>0.29764705882352938</v>
      </c>
      <c r="I1004" s="14">
        <f t="shared" si="402"/>
        <v>11.247012383900929</v>
      </c>
    </row>
    <row r="1005" spans="1:9" x14ac:dyDescent="0.3">
      <c r="A1005" s="1" t="s">
        <v>10</v>
      </c>
      <c r="B1005" s="4">
        <v>18</v>
      </c>
      <c r="C1005" s="1" t="s">
        <v>5</v>
      </c>
      <c r="D1005" s="3">
        <v>44130</v>
      </c>
      <c r="E1005" s="2">
        <v>38</v>
      </c>
      <c r="G1005" s="2">
        <v>10.49</v>
      </c>
      <c r="H1005" s="14">
        <f t="shared" si="401"/>
        <v>0.27605263157894738</v>
      </c>
      <c r="I1005" s="14">
        <f t="shared" si="402"/>
        <v>10.67040789473684</v>
      </c>
    </row>
    <row r="1006" spans="1:9" x14ac:dyDescent="0.3">
      <c r="A1006" s="1" t="s">
        <v>10</v>
      </c>
      <c r="B1006" s="4">
        <v>19</v>
      </c>
      <c r="C1006" s="1" t="s">
        <v>3</v>
      </c>
      <c r="D1006" s="3">
        <v>44130</v>
      </c>
      <c r="E1006" s="2">
        <v>34</v>
      </c>
      <c r="G1006" s="4">
        <v>6.31</v>
      </c>
      <c r="H1006" s="14">
        <f t="shared" si="401"/>
        <v>0.18558823529411764</v>
      </c>
      <c r="I1006" s="14">
        <f t="shared" si="402"/>
        <v>10.894220985691575</v>
      </c>
    </row>
    <row r="1007" spans="1:9" x14ac:dyDescent="0.3">
      <c r="A1007" s="1" t="s">
        <v>10</v>
      </c>
      <c r="B1007" s="4">
        <v>20</v>
      </c>
      <c r="C1007" s="1" t="s">
        <v>4</v>
      </c>
      <c r="D1007" s="3">
        <v>44130</v>
      </c>
      <c r="E1007" s="2">
        <v>38</v>
      </c>
      <c r="G1007" s="4">
        <v>9.85</v>
      </c>
      <c r="H1007" s="14">
        <f t="shared" si="401"/>
        <v>0.25921052631578945</v>
      </c>
      <c r="I1007" s="14">
        <f t="shared" si="402"/>
        <v>10.853105263157897</v>
      </c>
    </row>
    <row r="1008" spans="1:9" x14ac:dyDescent="0.3">
      <c r="A1008" s="1" t="s">
        <v>10</v>
      </c>
      <c r="B1008" s="4">
        <v>21</v>
      </c>
      <c r="C1008" s="1" t="s">
        <v>5</v>
      </c>
      <c r="D1008" s="3">
        <v>44130</v>
      </c>
      <c r="E1008" s="2">
        <v>32</v>
      </c>
      <c r="G1008" s="4">
        <v>11.08</v>
      </c>
      <c r="H1008" s="14">
        <f t="shared" si="401"/>
        <v>0.34625</v>
      </c>
      <c r="I1008" s="14">
        <f>I973+H1008</f>
        <v>13.476111111111114</v>
      </c>
    </row>
    <row r="1009" spans="1:24" s="37" customFormat="1" x14ac:dyDescent="0.3">
      <c r="A1009" s="38" t="s">
        <v>10</v>
      </c>
      <c r="B1009" s="39">
        <v>22</v>
      </c>
      <c r="C1009" s="38" t="s">
        <v>3</v>
      </c>
      <c r="D1009" s="40">
        <v>44130</v>
      </c>
      <c r="E1009" s="41">
        <v>38</v>
      </c>
      <c r="G1009" s="39">
        <v>12.92</v>
      </c>
      <c r="H1009" s="42">
        <f>G1009/E1009</f>
        <v>0.34</v>
      </c>
      <c r="I1009" s="14">
        <f>I974+H1009</f>
        <v>13.092368421052631</v>
      </c>
    </row>
    <row r="1010" spans="1:24" x14ac:dyDescent="0.3">
      <c r="A1010" s="5" t="s">
        <v>10</v>
      </c>
      <c r="B1010" s="6">
        <v>23</v>
      </c>
      <c r="C1010" s="5" t="s">
        <v>3</v>
      </c>
      <c r="D1010" s="7">
        <v>44130</v>
      </c>
      <c r="E1010" s="13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</row>
    <row r="1011" spans="1:24" x14ac:dyDescent="0.3">
      <c r="B1011" s="20" t="s">
        <v>15</v>
      </c>
      <c r="C1011" s="21" t="s">
        <v>3</v>
      </c>
      <c r="D1011" s="22"/>
      <c r="E1011" s="23"/>
      <c r="F1011" s="23"/>
      <c r="G1011" s="24">
        <f t="shared" ref="G1011:I1011" si="403">AVERAGE(G1000,G1003,G1006)</f>
        <v>8.2133333333333329</v>
      </c>
      <c r="H1011" s="24">
        <f t="shared" si="403"/>
        <v>0.23350857843137254</v>
      </c>
      <c r="I1011" s="24">
        <f t="shared" si="403"/>
        <v>11.229552828563856</v>
      </c>
    </row>
    <row r="1012" spans="1:24" x14ac:dyDescent="0.3">
      <c r="B1012" s="20"/>
      <c r="C1012" s="21" t="s">
        <v>4</v>
      </c>
      <c r="D1012" s="22"/>
      <c r="E1012" s="23"/>
      <c r="F1012" s="23"/>
      <c r="G1012" s="24">
        <f t="shared" ref="G1012:I1012" si="404">AVERAGE(G1001,G1004,G1007)</f>
        <v>8.2899999999999991</v>
      </c>
      <c r="H1012" s="24">
        <f t="shared" si="404"/>
        <v>0.2366608617131063</v>
      </c>
      <c r="I1012" s="24">
        <f t="shared" si="404"/>
        <v>10.754066993464052</v>
      </c>
    </row>
    <row r="1013" spans="1:24" x14ac:dyDescent="0.3">
      <c r="B1013" s="20"/>
      <c r="C1013" s="21" t="s">
        <v>5</v>
      </c>
      <c r="D1013" s="22"/>
      <c r="E1013" s="23"/>
      <c r="F1013" s="23"/>
      <c r="G1013" s="24">
        <f t="shared" ref="G1013:I1013" si="405">AVERAGE(G1002,G1005,G1008)</f>
        <v>10.113333333333332</v>
      </c>
      <c r="H1013" s="24">
        <f t="shared" si="405"/>
        <v>0.29095802005012533</v>
      </c>
      <c r="I1013" s="24">
        <f t="shared" si="405"/>
        <v>11.335433653578391</v>
      </c>
    </row>
    <row r="1014" spans="1:24" x14ac:dyDescent="0.3">
      <c r="B1014" s="25" t="s">
        <v>16</v>
      </c>
      <c r="C1014" s="26" t="s">
        <v>3</v>
      </c>
      <c r="D1014" s="27"/>
      <c r="E1014" s="28"/>
      <c r="F1014" s="28"/>
      <c r="G1014" s="29">
        <f>_xlfn.STDEV.P(G1000,G1003,G1006)</f>
        <v>1.3480933037277361</v>
      </c>
      <c r="H1014" s="29">
        <f t="shared" ref="H1014:I1014" si="406">_xlfn.STDEV.P(H1000,H1003,H1006)</f>
        <v>3.9972035569521898E-2</v>
      </c>
      <c r="I1014" s="29">
        <f t="shared" si="406"/>
        <v>0.75176239053513372</v>
      </c>
    </row>
    <row r="1015" spans="1:24" x14ac:dyDescent="0.3">
      <c r="B1015" s="25"/>
      <c r="C1015" s="26" t="s">
        <v>4</v>
      </c>
      <c r="D1015" s="27"/>
      <c r="E1015" s="28"/>
      <c r="F1015" s="28"/>
      <c r="G1015" s="29">
        <f>_xlfn.STDEV.P(G1001,G1004,G1007)</f>
        <v>2.3996249706985493</v>
      </c>
      <c r="H1015" s="29">
        <f t="shared" ref="H1015:I1015" si="407">_xlfn.STDEV.P(H1001,H1004,H1007)</f>
        <v>6.1117492869161689E-2</v>
      </c>
      <c r="I1015" s="29">
        <f t="shared" si="407"/>
        <v>0.44842256510226214</v>
      </c>
    </row>
    <row r="1016" spans="1:24" ht="15" thickBot="1" x14ac:dyDescent="0.35">
      <c r="A1016" s="19"/>
      <c r="B1016" s="30"/>
      <c r="C1016" s="31" t="s">
        <v>5</v>
      </c>
      <c r="D1016" s="32"/>
      <c r="E1016" s="33"/>
      <c r="F1016" s="33"/>
      <c r="G1016" s="34">
        <f>_xlfn.STDEV.P(G1002,G1005,G1008)</f>
        <v>0.9799433090178683</v>
      </c>
      <c r="H1016" s="34">
        <f t="shared" ref="H1016:I1016" si="408">_xlfn.STDEV.P(H1002,H1005,H1008)</f>
        <v>4.0457592709408817E-2</v>
      </c>
      <c r="I1016" s="34">
        <f t="shared" si="408"/>
        <v>1.5494415308923037</v>
      </c>
    </row>
  </sheetData>
  <mergeCells count="112">
    <mergeCell ref="K913:K918"/>
    <mergeCell ref="L913:L914"/>
    <mergeCell ref="L915:L916"/>
    <mergeCell ref="L917:L918"/>
    <mergeCell ref="K738:K743"/>
    <mergeCell ref="L738:L739"/>
    <mergeCell ref="L740:L741"/>
    <mergeCell ref="L742:L743"/>
    <mergeCell ref="K878:K883"/>
    <mergeCell ref="L878:L879"/>
    <mergeCell ref="L880:L881"/>
    <mergeCell ref="L882:L883"/>
    <mergeCell ref="K773:K778"/>
    <mergeCell ref="L773:L774"/>
    <mergeCell ref="L775:L776"/>
    <mergeCell ref="L777:L778"/>
    <mergeCell ref="K843:K848"/>
    <mergeCell ref="L843:L844"/>
    <mergeCell ref="L845:L846"/>
    <mergeCell ref="L847:L848"/>
    <mergeCell ref="K808:K813"/>
    <mergeCell ref="L808:L809"/>
    <mergeCell ref="L810:L811"/>
    <mergeCell ref="L812:L813"/>
    <mergeCell ref="K668:K673"/>
    <mergeCell ref="L668:L669"/>
    <mergeCell ref="L670:L671"/>
    <mergeCell ref="L672:L673"/>
    <mergeCell ref="K703:K708"/>
    <mergeCell ref="L703:L704"/>
    <mergeCell ref="L705:L706"/>
    <mergeCell ref="L707:L708"/>
    <mergeCell ref="L602:L603"/>
    <mergeCell ref="K598:K603"/>
    <mergeCell ref="L600:L601"/>
    <mergeCell ref="L598:L599"/>
    <mergeCell ref="K633:K638"/>
    <mergeCell ref="L633:L634"/>
    <mergeCell ref="L635:L636"/>
    <mergeCell ref="L637:L638"/>
    <mergeCell ref="K563:K568"/>
    <mergeCell ref="L563:L564"/>
    <mergeCell ref="L565:L566"/>
    <mergeCell ref="L567:L568"/>
    <mergeCell ref="K388:K393"/>
    <mergeCell ref="L388:L389"/>
    <mergeCell ref="L390:L391"/>
    <mergeCell ref="L392:L393"/>
    <mergeCell ref="K423:K428"/>
    <mergeCell ref="L423:L424"/>
    <mergeCell ref="L425:L426"/>
    <mergeCell ref="L427:L428"/>
    <mergeCell ref="K353:K358"/>
    <mergeCell ref="L353:L354"/>
    <mergeCell ref="L355:L356"/>
    <mergeCell ref="L357:L358"/>
    <mergeCell ref="K318:K323"/>
    <mergeCell ref="L318:L319"/>
    <mergeCell ref="L320:L321"/>
    <mergeCell ref="L322:L323"/>
    <mergeCell ref="K528:K533"/>
    <mergeCell ref="L528:L529"/>
    <mergeCell ref="L530:L531"/>
    <mergeCell ref="L532:L533"/>
    <mergeCell ref="K213:K218"/>
    <mergeCell ref="L213:L214"/>
    <mergeCell ref="L215:L216"/>
    <mergeCell ref="L217:L218"/>
    <mergeCell ref="K178:K183"/>
    <mergeCell ref="L178:L179"/>
    <mergeCell ref="L180:L181"/>
    <mergeCell ref="L182:L183"/>
    <mergeCell ref="L38:L39"/>
    <mergeCell ref="L40:L41"/>
    <mergeCell ref="L42:L43"/>
    <mergeCell ref="K38:K43"/>
    <mergeCell ref="K73:K78"/>
    <mergeCell ref="L73:L74"/>
    <mergeCell ref="L75:L76"/>
    <mergeCell ref="L77:L78"/>
    <mergeCell ref="K108:K113"/>
    <mergeCell ref="L108:L109"/>
    <mergeCell ref="L110:L111"/>
    <mergeCell ref="L112:L113"/>
    <mergeCell ref="K143:K148"/>
    <mergeCell ref="L143:L144"/>
    <mergeCell ref="L145:L146"/>
    <mergeCell ref="L147:L148"/>
    <mergeCell ref="K948:K953"/>
    <mergeCell ref="L948:L949"/>
    <mergeCell ref="L950:L951"/>
    <mergeCell ref="L952:L953"/>
    <mergeCell ref="K983:K988"/>
    <mergeCell ref="L983:L984"/>
    <mergeCell ref="L985:L986"/>
    <mergeCell ref="L987:L988"/>
    <mergeCell ref="K248:K253"/>
    <mergeCell ref="L248:L249"/>
    <mergeCell ref="L250:L251"/>
    <mergeCell ref="L252:L253"/>
    <mergeCell ref="K493:K498"/>
    <mergeCell ref="L493:L494"/>
    <mergeCell ref="L495:L496"/>
    <mergeCell ref="L497:L498"/>
    <mergeCell ref="K458:K463"/>
    <mergeCell ref="L458:L459"/>
    <mergeCell ref="L460:L461"/>
    <mergeCell ref="L462:L463"/>
    <mergeCell ref="K283:K288"/>
    <mergeCell ref="L283:L284"/>
    <mergeCell ref="L285:L286"/>
    <mergeCell ref="L287:L288"/>
  </mergeCells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C000"/>
  </sheetPr>
  <dimension ref="A1:P552"/>
  <sheetViews>
    <sheetView tabSelected="1" zoomScaleNormal="100" workbookViewId="0">
      <selection activeCell="H74" sqref="H74"/>
    </sheetView>
  </sheetViews>
  <sheetFormatPr baseColWidth="10" defaultColWidth="21.77734375" defaultRowHeight="14.4" x14ac:dyDescent="0.3"/>
  <cols>
    <col min="1" max="1" width="15.77734375" style="1" bestFit="1" customWidth="1"/>
    <col min="2" max="2" width="9.109375" style="4" bestFit="1" customWidth="1"/>
    <col min="3" max="3" width="14.44140625" bestFit="1" customWidth="1"/>
    <col min="4" max="4" width="6.109375" customWidth="1"/>
    <col min="5" max="5" width="13.109375" bestFit="1" customWidth="1"/>
    <col min="6" max="6" width="14.44140625" bestFit="1" customWidth="1"/>
    <col min="7" max="7" width="16.109375" bestFit="1" customWidth="1"/>
    <col min="8" max="8" width="19.109375" bestFit="1" customWidth="1"/>
    <col min="9" max="9" width="27.44140625" bestFit="1" customWidth="1"/>
    <col min="10" max="10" width="6.109375" bestFit="1" customWidth="1"/>
    <col min="11" max="11" width="46.5546875" bestFit="1" customWidth="1"/>
    <col min="12" max="12" width="13.109375" bestFit="1" customWidth="1"/>
    <col min="13" max="13" width="7.77734375" bestFit="1" customWidth="1"/>
    <col min="14" max="14" width="6.109375" bestFit="1" customWidth="1"/>
    <col min="15" max="16" width="9.44140625" bestFit="1" customWidth="1"/>
  </cols>
  <sheetData>
    <row r="1" spans="1:16" ht="15" thickBot="1" x14ac:dyDescent="0.35">
      <c r="A1" s="9" t="s">
        <v>42</v>
      </c>
      <c r="B1" s="10" t="s">
        <v>43</v>
      </c>
      <c r="C1" s="9" t="s">
        <v>44</v>
      </c>
      <c r="D1" s="59" t="s">
        <v>38</v>
      </c>
      <c r="E1" s="11" t="s">
        <v>6</v>
      </c>
      <c r="F1" s="11" t="s">
        <v>39</v>
      </c>
      <c r="G1" s="11" t="s">
        <v>88</v>
      </c>
      <c r="H1" s="11" t="s">
        <v>40</v>
      </c>
      <c r="I1" s="11" t="s">
        <v>41</v>
      </c>
      <c r="J1" s="74" t="s">
        <v>38</v>
      </c>
      <c r="M1" s="87" t="s">
        <v>40</v>
      </c>
      <c r="N1" s="87"/>
      <c r="O1" s="87" t="s">
        <v>41</v>
      </c>
      <c r="P1" s="87"/>
    </row>
    <row r="2" spans="1:16" ht="15" hidden="1" thickTop="1" x14ac:dyDescent="0.3">
      <c r="A2" s="1" t="s">
        <v>9</v>
      </c>
      <c r="B2" s="4">
        <v>2</v>
      </c>
      <c r="C2" s="1" t="s">
        <v>3</v>
      </c>
      <c r="D2" s="1">
        <v>16</v>
      </c>
      <c r="E2" s="3">
        <v>43935</v>
      </c>
      <c r="F2" s="2">
        <v>40</v>
      </c>
      <c r="G2" s="2">
        <v>5.07</v>
      </c>
      <c r="H2" s="14">
        <f t="shared" ref="H2:H10" si="0">G2/F2</f>
        <v>0.12675</v>
      </c>
      <c r="J2" s="86">
        <v>16</v>
      </c>
      <c r="K2" t="s">
        <v>45</v>
      </c>
      <c r="L2" t="s">
        <v>9</v>
      </c>
      <c r="M2" s="52">
        <f>AVERAGE(H2,H2,H5,H8)</f>
        <v>0.11562499999999999</v>
      </c>
      <c r="N2" s="55">
        <f>STDEV(H2,H2,H5,H8)</f>
        <v>2.2083647796503295E-2</v>
      </c>
      <c r="O2" s="52" t="e">
        <f>AVERAGE(I2,I2,I5,I8)</f>
        <v>#DIV/0!</v>
      </c>
      <c r="P2" s="55" t="e">
        <f>STDEV(I2,I2,I5,I8)</f>
        <v>#DIV/0!</v>
      </c>
    </row>
    <row r="3" spans="1:16" ht="15" hidden="1" thickTop="1" x14ac:dyDescent="0.3">
      <c r="A3" s="1" t="s">
        <v>9</v>
      </c>
      <c r="B3" s="4">
        <v>3</v>
      </c>
      <c r="C3" s="1" t="s">
        <v>4</v>
      </c>
      <c r="D3" s="1">
        <v>16</v>
      </c>
      <c r="E3" s="3">
        <v>43935</v>
      </c>
      <c r="F3" s="2">
        <v>40</v>
      </c>
      <c r="G3" s="2">
        <v>4.38</v>
      </c>
      <c r="H3" s="14">
        <f t="shared" si="0"/>
        <v>0.1095</v>
      </c>
      <c r="J3" s="86"/>
      <c r="K3" t="s">
        <v>46</v>
      </c>
      <c r="L3" t="s">
        <v>9</v>
      </c>
      <c r="M3" s="52">
        <f>AVERAGE(H3,H3,H6,H9)</f>
        <v>0.12937500000000002</v>
      </c>
      <c r="N3" s="55">
        <f>STDEV(H3,H3,H6,H9)</f>
        <v>2.2994111565065152E-2</v>
      </c>
      <c r="O3" s="52" t="e">
        <f>AVERAGE(I3,I3,I6,I9)</f>
        <v>#DIV/0!</v>
      </c>
      <c r="P3" s="55" t="e">
        <f>STDEV(I3,I3,I6,I9)</f>
        <v>#DIV/0!</v>
      </c>
    </row>
    <row r="4" spans="1:16" ht="15" hidden="1" thickTop="1" x14ac:dyDescent="0.3">
      <c r="A4" s="1" t="s">
        <v>9</v>
      </c>
      <c r="B4" s="4">
        <v>4</v>
      </c>
      <c r="C4" s="1" t="s">
        <v>5</v>
      </c>
      <c r="D4" s="1">
        <v>16</v>
      </c>
      <c r="E4" s="3">
        <v>43935</v>
      </c>
      <c r="F4" s="2">
        <v>40</v>
      </c>
      <c r="G4" s="2">
        <v>3.26</v>
      </c>
      <c r="H4" s="14">
        <f t="shared" si="0"/>
        <v>8.1499999999999989E-2</v>
      </c>
      <c r="J4" s="86"/>
      <c r="K4" t="s">
        <v>47</v>
      </c>
      <c r="L4" t="s">
        <v>9</v>
      </c>
      <c r="M4" s="52">
        <f>AVERAGE(H4,H4,H7,H10)</f>
        <v>0.10956249999999999</v>
      </c>
      <c r="N4" s="55">
        <f>STDEV(H4,H4,H7,H10)</f>
        <v>3.3882379270057182E-2</v>
      </c>
      <c r="O4" s="52" t="e">
        <f>AVERAGE(I4,I4,I7,I10)</f>
        <v>#DIV/0!</v>
      </c>
      <c r="P4" s="55" t="e">
        <f>STDEV(I4,I4,I7,I10)</f>
        <v>#DIV/0!</v>
      </c>
    </row>
    <row r="5" spans="1:16" ht="15" hidden="1" thickTop="1" x14ac:dyDescent="0.3">
      <c r="A5" s="1" t="s">
        <v>9</v>
      </c>
      <c r="B5" s="4">
        <v>5</v>
      </c>
      <c r="C5" s="1" t="s">
        <v>3</v>
      </c>
      <c r="D5" s="1">
        <v>16</v>
      </c>
      <c r="E5" s="3">
        <v>43935</v>
      </c>
      <c r="F5" s="2">
        <v>40</v>
      </c>
      <c r="G5" s="2">
        <v>3.3</v>
      </c>
      <c r="H5" s="14">
        <f t="shared" si="0"/>
        <v>8.249999999999999E-2</v>
      </c>
      <c r="J5" s="86"/>
      <c r="K5" t="s">
        <v>45</v>
      </c>
      <c r="L5" s="60" t="s">
        <v>10</v>
      </c>
      <c r="M5" s="52">
        <f>AVERAGE(H11,H11,H14,H17)</f>
        <v>0</v>
      </c>
      <c r="N5" s="55">
        <f>STDEV(H11,H11,H14,H17)</f>
        <v>0</v>
      </c>
      <c r="O5" s="52" t="e">
        <f>AVERAGE(I11,I11,I14,I17)</f>
        <v>#DIV/0!</v>
      </c>
      <c r="P5" s="55" t="e">
        <f>STDEV(I11,I11,I14,I17)</f>
        <v>#DIV/0!</v>
      </c>
    </row>
    <row r="6" spans="1:16" ht="15" hidden="1" thickTop="1" x14ac:dyDescent="0.3">
      <c r="A6" s="1" t="s">
        <v>9</v>
      </c>
      <c r="B6" s="4">
        <v>6</v>
      </c>
      <c r="C6" s="1" t="s">
        <v>4</v>
      </c>
      <c r="D6" s="1">
        <v>16</v>
      </c>
      <c r="E6" s="3">
        <v>43935</v>
      </c>
      <c r="F6" s="2">
        <v>40</v>
      </c>
      <c r="G6" s="2">
        <v>5.9</v>
      </c>
      <c r="H6" s="14">
        <f t="shared" si="0"/>
        <v>0.14750000000000002</v>
      </c>
      <c r="J6" s="86"/>
      <c r="K6" t="s">
        <v>46</v>
      </c>
      <c r="L6" s="60" t="s">
        <v>10</v>
      </c>
      <c r="M6" s="52">
        <f>AVERAGE(H12,H12,H15,H18)</f>
        <v>0</v>
      </c>
      <c r="N6" s="55">
        <f>STDEV(H12,H12,H15,H18)</f>
        <v>0</v>
      </c>
      <c r="O6" s="52" t="e">
        <f>AVERAGE(I12,I12,I15,I18)</f>
        <v>#DIV/0!</v>
      </c>
      <c r="P6" s="55" t="e">
        <f>STDEV(I12,I12,I15,I18)</f>
        <v>#DIV/0!</v>
      </c>
    </row>
    <row r="7" spans="1:16" ht="15" hidden="1" thickTop="1" x14ac:dyDescent="0.3">
      <c r="A7" s="1" t="s">
        <v>9</v>
      </c>
      <c r="B7" s="4">
        <v>7</v>
      </c>
      <c r="C7" s="1" t="s">
        <v>5</v>
      </c>
      <c r="D7" s="1">
        <v>16</v>
      </c>
      <c r="E7" s="3">
        <v>43935</v>
      </c>
      <c r="F7" s="2">
        <v>40</v>
      </c>
      <c r="G7" s="2">
        <v>5.0199999999999996</v>
      </c>
      <c r="H7" s="14">
        <f t="shared" si="0"/>
        <v>0.1255</v>
      </c>
      <c r="J7" s="86"/>
      <c r="K7" t="s">
        <v>47</v>
      </c>
      <c r="L7" s="60" t="s">
        <v>10</v>
      </c>
      <c r="M7" s="52">
        <f>AVERAGE(H13,H13,H16,H19)</f>
        <v>0</v>
      </c>
      <c r="N7" s="55">
        <f>STDEV(H13,H13,H16,H19)</f>
        <v>0</v>
      </c>
      <c r="O7" s="52" t="e">
        <f>AVERAGE(I13,I13,I16,I19)</f>
        <v>#DIV/0!</v>
      </c>
      <c r="P7" s="55" t="e">
        <f>STDEV(I13,I13,I16,I19)</f>
        <v>#DIV/0!</v>
      </c>
    </row>
    <row r="8" spans="1:16" ht="15" hidden="1" thickTop="1" x14ac:dyDescent="0.3">
      <c r="A8" s="1" t="s">
        <v>9</v>
      </c>
      <c r="B8" s="4">
        <v>8</v>
      </c>
      <c r="C8" s="1" t="s">
        <v>3</v>
      </c>
      <c r="D8" s="1">
        <v>16</v>
      </c>
      <c r="E8" s="3">
        <v>43935</v>
      </c>
      <c r="F8" s="2">
        <v>40</v>
      </c>
      <c r="G8" s="2">
        <v>5.0599999999999996</v>
      </c>
      <c r="H8" s="14">
        <f t="shared" si="0"/>
        <v>0.1265</v>
      </c>
    </row>
    <row r="9" spans="1:16" ht="15" hidden="1" thickTop="1" x14ac:dyDescent="0.3">
      <c r="A9" s="1" t="s">
        <v>9</v>
      </c>
      <c r="B9" s="4">
        <v>9</v>
      </c>
      <c r="C9" s="1" t="s">
        <v>4</v>
      </c>
      <c r="D9" s="1">
        <v>16</v>
      </c>
      <c r="E9" s="3">
        <v>43935</v>
      </c>
      <c r="F9" s="2">
        <v>40</v>
      </c>
      <c r="G9" s="2">
        <v>6.04</v>
      </c>
      <c r="H9" s="14">
        <f t="shared" si="0"/>
        <v>0.151</v>
      </c>
    </row>
    <row r="10" spans="1:16" ht="15" hidden="1" thickTop="1" x14ac:dyDescent="0.3">
      <c r="A10" s="1" t="s">
        <v>9</v>
      </c>
      <c r="B10" s="4">
        <v>10</v>
      </c>
      <c r="C10" s="1" t="s">
        <v>5</v>
      </c>
      <c r="D10" s="1">
        <v>16</v>
      </c>
      <c r="E10" s="3">
        <v>43935</v>
      </c>
      <c r="F10" s="2">
        <v>40</v>
      </c>
      <c r="G10" s="2">
        <v>5.99</v>
      </c>
      <c r="H10" s="14">
        <f t="shared" si="0"/>
        <v>0.14974999999999999</v>
      </c>
    </row>
    <row r="11" spans="1:16" s="65" customFormat="1" ht="15" thickTop="1" x14ac:dyDescent="0.3">
      <c r="A11" s="60" t="s">
        <v>10</v>
      </c>
      <c r="B11" s="61">
        <v>13</v>
      </c>
      <c r="C11" s="60" t="s">
        <v>3</v>
      </c>
      <c r="D11" s="60">
        <v>16</v>
      </c>
      <c r="E11" s="62">
        <v>43935</v>
      </c>
      <c r="F11" s="63">
        <v>40</v>
      </c>
      <c r="G11" s="63"/>
      <c r="H11" s="64">
        <f t="shared" ref="H11:H20" si="1">G11/F11</f>
        <v>0</v>
      </c>
    </row>
    <row r="12" spans="1:16" s="65" customFormat="1" hidden="1" x14ac:dyDescent="0.3">
      <c r="A12" s="60" t="s">
        <v>10</v>
      </c>
      <c r="B12" s="61">
        <v>14</v>
      </c>
      <c r="C12" s="60" t="s">
        <v>4</v>
      </c>
      <c r="D12" s="60">
        <v>16</v>
      </c>
      <c r="E12" s="62">
        <v>43935</v>
      </c>
      <c r="F12" s="63">
        <v>40</v>
      </c>
      <c r="G12" s="63"/>
      <c r="H12" s="64">
        <f t="shared" si="1"/>
        <v>0</v>
      </c>
    </row>
    <row r="13" spans="1:16" s="65" customFormat="1" hidden="1" x14ac:dyDescent="0.3">
      <c r="A13" s="60" t="s">
        <v>10</v>
      </c>
      <c r="B13" s="61">
        <v>15</v>
      </c>
      <c r="C13" s="60" t="s">
        <v>5</v>
      </c>
      <c r="D13" s="60">
        <v>16</v>
      </c>
      <c r="E13" s="62">
        <v>43935</v>
      </c>
      <c r="F13" s="63">
        <v>40</v>
      </c>
      <c r="G13" s="63"/>
      <c r="H13" s="64">
        <f t="shared" si="1"/>
        <v>0</v>
      </c>
    </row>
    <row r="14" spans="1:16" s="65" customFormat="1" x14ac:dyDescent="0.3">
      <c r="A14" s="60" t="s">
        <v>10</v>
      </c>
      <c r="B14" s="61">
        <v>16</v>
      </c>
      <c r="C14" s="60" t="s">
        <v>3</v>
      </c>
      <c r="D14" s="60">
        <v>16</v>
      </c>
      <c r="E14" s="62">
        <v>43935</v>
      </c>
      <c r="F14" s="63">
        <v>40</v>
      </c>
      <c r="G14" s="63"/>
      <c r="H14" s="64">
        <f t="shared" si="1"/>
        <v>0</v>
      </c>
    </row>
    <row r="15" spans="1:16" s="65" customFormat="1" hidden="1" x14ac:dyDescent="0.3">
      <c r="A15" s="60" t="s">
        <v>10</v>
      </c>
      <c r="B15" s="61">
        <v>17</v>
      </c>
      <c r="C15" s="60" t="s">
        <v>4</v>
      </c>
      <c r="D15" s="60">
        <v>16</v>
      </c>
      <c r="E15" s="62">
        <v>43935</v>
      </c>
      <c r="F15" s="63">
        <v>40</v>
      </c>
      <c r="G15" s="63"/>
      <c r="H15" s="64">
        <f t="shared" si="1"/>
        <v>0</v>
      </c>
    </row>
    <row r="16" spans="1:16" s="65" customFormat="1" hidden="1" x14ac:dyDescent="0.3">
      <c r="A16" s="60" t="s">
        <v>10</v>
      </c>
      <c r="B16" s="61">
        <v>18</v>
      </c>
      <c r="C16" s="60" t="s">
        <v>5</v>
      </c>
      <c r="D16" s="60">
        <v>16</v>
      </c>
      <c r="E16" s="62">
        <v>43935</v>
      </c>
      <c r="F16" s="63">
        <v>40</v>
      </c>
      <c r="G16" s="63"/>
      <c r="H16" s="64">
        <f t="shared" si="1"/>
        <v>0</v>
      </c>
    </row>
    <row r="17" spans="1:16" s="65" customFormat="1" x14ac:dyDescent="0.3">
      <c r="A17" s="60" t="s">
        <v>10</v>
      </c>
      <c r="B17" s="61">
        <v>19</v>
      </c>
      <c r="C17" s="60" t="s">
        <v>3</v>
      </c>
      <c r="D17" s="60">
        <v>16</v>
      </c>
      <c r="E17" s="62">
        <v>43935</v>
      </c>
      <c r="F17" s="63">
        <v>40</v>
      </c>
      <c r="H17" s="64">
        <f t="shared" si="1"/>
        <v>0</v>
      </c>
    </row>
    <row r="18" spans="1:16" s="65" customFormat="1" hidden="1" x14ac:dyDescent="0.3">
      <c r="A18" s="60" t="s">
        <v>10</v>
      </c>
      <c r="B18" s="61">
        <v>20</v>
      </c>
      <c r="C18" s="60" t="s">
        <v>4</v>
      </c>
      <c r="D18" s="60">
        <v>16</v>
      </c>
      <c r="E18" s="62">
        <v>43935</v>
      </c>
      <c r="F18" s="63">
        <v>40</v>
      </c>
      <c r="H18" s="64">
        <f t="shared" si="1"/>
        <v>0</v>
      </c>
    </row>
    <row r="19" spans="1:16" s="65" customFormat="1" hidden="1" x14ac:dyDescent="0.3">
      <c r="A19" s="60" t="s">
        <v>10</v>
      </c>
      <c r="B19" s="61">
        <v>21</v>
      </c>
      <c r="C19" s="60" t="s">
        <v>5</v>
      </c>
      <c r="D19" s="60">
        <v>16</v>
      </c>
      <c r="E19" s="62">
        <v>43935</v>
      </c>
      <c r="F19" s="63">
        <v>40</v>
      </c>
      <c r="H19" s="64">
        <f t="shared" si="1"/>
        <v>0</v>
      </c>
    </row>
    <row r="20" spans="1:16" s="65" customFormat="1" x14ac:dyDescent="0.3">
      <c r="A20" s="60" t="s">
        <v>10</v>
      </c>
      <c r="B20" s="61">
        <v>22</v>
      </c>
      <c r="C20" s="60" t="s">
        <v>3</v>
      </c>
      <c r="D20" s="60">
        <v>16</v>
      </c>
      <c r="E20" s="62">
        <v>43935</v>
      </c>
      <c r="F20" s="63">
        <v>40</v>
      </c>
      <c r="H20" s="64">
        <f t="shared" si="1"/>
        <v>0</v>
      </c>
    </row>
    <row r="21" spans="1:16" hidden="1" x14ac:dyDescent="0.3">
      <c r="A21" s="1" t="s">
        <v>9</v>
      </c>
      <c r="B21" s="4">
        <v>2</v>
      </c>
      <c r="C21" s="1" t="s">
        <v>3</v>
      </c>
      <c r="D21" s="1">
        <v>17</v>
      </c>
      <c r="E21" s="3">
        <v>43942</v>
      </c>
      <c r="F21" s="2">
        <v>39</v>
      </c>
      <c r="G21" s="2">
        <v>23.81</v>
      </c>
      <c r="H21" s="14">
        <f t="shared" ref="H21:H29" si="2">G21/F21</f>
        <v>0.61051282051282052</v>
      </c>
      <c r="I21" s="14">
        <f>H21</f>
        <v>0.61051282051282052</v>
      </c>
      <c r="J21" s="86">
        <f>D21</f>
        <v>17</v>
      </c>
      <c r="K21" t="s">
        <v>45</v>
      </c>
      <c r="L21" t="s">
        <v>9</v>
      </c>
      <c r="M21" s="52">
        <f>AVERAGE(H21,H21,H24,H27)</f>
        <v>0.57275641025641022</v>
      </c>
      <c r="N21" s="55">
        <f>STDEV(H21,H21,H24,H27)</f>
        <v>4.9115732496048239E-2</v>
      </c>
      <c r="O21" s="52">
        <f>AVERAGE(I21,I21,I24,I27)</f>
        <v>0.57275641025641022</v>
      </c>
      <c r="P21" s="55">
        <f>STDEV(I21,I21,I24,I27)</f>
        <v>4.9115732496048239E-2</v>
      </c>
    </row>
    <row r="22" spans="1:16" hidden="1" x14ac:dyDescent="0.3">
      <c r="A22" s="1" t="s">
        <v>9</v>
      </c>
      <c r="B22" s="4">
        <v>3</v>
      </c>
      <c r="C22" s="1" t="s">
        <v>4</v>
      </c>
      <c r="D22" s="1">
        <v>17</v>
      </c>
      <c r="E22" s="3">
        <v>43942</v>
      </c>
      <c r="F22" s="2">
        <v>37</v>
      </c>
      <c r="G22" s="2">
        <v>25.46</v>
      </c>
      <c r="H22" s="14">
        <f t="shared" si="2"/>
        <v>0.68810810810810819</v>
      </c>
      <c r="I22" s="14">
        <f t="shared" ref="I22:I29" si="3">H22</f>
        <v>0.68810810810810819</v>
      </c>
      <c r="J22" s="86"/>
      <c r="K22" t="s">
        <v>46</v>
      </c>
      <c r="L22" t="s">
        <v>9</v>
      </c>
      <c r="M22" s="52">
        <f>AVERAGE(H22,H22,H25,H28)</f>
        <v>0.60844594594594603</v>
      </c>
      <c r="N22" s="55">
        <f>STDEV(H22,H22,H25,H28)</f>
        <v>9.6322791213367995E-2</v>
      </c>
      <c r="O22" s="52">
        <f>AVERAGE(I22,I22,I25,I28)</f>
        <v>0.60844594594594603</v>
      </c>
      <c r="P22" s="55">
        <f>STDEV(I22,I22,I25,I28)</f>
        <v>9.6322791213367995E-2</v>
      </c>
    </row>
    <row r="23" spans="1:16" hidden="1" x14ac:dyDescent="0.3">
      <c r="A23" s="1" t="s">
        <v>9</v>
      </c>
      <c r="B23" s="4">
        <v>4</v>
      </c>
      <c r="C23" s="1" t="s">
        <v>5</v>
      </c>
      <c r="D23" s="1">
        <v>17</v>
      </c>
      <c r="E23" s="3">
        <v>43942</v>
      </c>
      <c r="F23" s="2">
        <v>37</v>
      </c>
      <c r="G23" s="2">
        <v>25.83</v>
      </c>
      <c r="H23" s="14">
        <f t="shared" si="2"/>
        <v>0.69810810810810808</v>
      </c>
      <c r="I23" s="14">
        <f t="shared" si="3"/>
        <v>0.69810810810810808</v>
      </c>
      <c r="J23" s="86"/>
      <c r="K23" t="s">
        <v>47</v>
      </c>
      <c r="L23" t="s">
        <v>9</v>
      </c>
      <c r="M23" s="52">
        <f>AVERAGE(H23,H23,H26,H29)</f>
        <v>0.63808677098150779</v>
      </c>
      <c r="N23" s="55">
        <f>STDEV(H23,H23,H26,H29)</f>
        <v>7.8408370686513948E-2</v>
      </c>
      <c r="O23" s="52">
        <f>AVERAGE(I23,I23,I26,I29)</f>
        <v>0.63808677098150779</v>
      </c>
      <c r="P23" s="55">
        <f>STDEV(I23,I23,I26,I29)</f>
        <v>7.8408370686513948E-2</v>
      </c>
    </row>
    <row r="24" spans="1:16" hidden="1" x14ac:dyDescent="0.3">
      <c r="A24" s="1" t="s">
        <v>9</v>
      </c>
      <c r="B24" s="4">
        <v>5</v>
      </c>
      <c r="C24" s="1" t="s">
        <v>3</v>
      </c>
      <c r="D24" s="1">
        <v>17</v>
      </c>
      <c r="E24" s="3">
        <v>43942</v>
      </c>
      <c r="F24" s="2">
        <v>37</v>
      </c>
      <c r="G24" s="2">
        <v>18.77</v>
      </c>
      <c r="H24" s="14">
        <f t="shared" si="2"/>
        <v>0.50729729729729733</v>
      </c>
      <c r="I24" s="14">
        <f t="shared" si="3"/>
        <v>0.50729729729729733</v>
      </c>
      <c r="J24" s="86"/>
      <c r="K24" t="s">
        <v>45</v>
      </c>
      <c r="L24" s="60" t="s">
        <v>10</v>
      </c>
      <c r="M24" s="52">
        <f>AVERAGE(H30,H30,H33,H36)</f>
        <v>0.37228716216216218</v>
      </c>
      <c r="N24" s="55">
        <f>STDEV(H30,H30,H33,H36)</f>
        <v>7.962610335132532E-2</v>
      </c>
      <c r="O24" s="52">
        <f>AVERAGE(I30,I30,I33,I36)</f>
        <v>0.37228716216216218</v>
      </c>
      <c r="P24" s="55">
        <f>STDEV(I30,I30,I33,I36)</f>
        <v>7.962610335132532E-2</v>
      </c>
    </row>
    <row r="25" spans="1:16" hidden="1" x14ac:dyDescent="0.3">
      <c r="A25" s="1" t="s">
        <v>9</v>
      </c>
      <c r="B25" s="4">
        <v>6</v>
      </c>
      <c r="C25" s="1" t="s">
        <v>4</v>
      </c>
      <c r="D25" s="1">
        <v>17</v>
      </c>
      <c r="E25" s="3">
        <v>43942</v>
      </c>
      <c r="F25" s="2">
        <v>37</v>
      </c>
      <c r="G25" s="2">
        <v>20.86</v>
      </c>
      <c r="H25" s="14">
        <f t="shared" si="2"/>
        <v>0.5637837837837838</v>
      </c>
      <c r="I25" s="14">
        <f t="shared" si="3"/>
        <v>0.5637837837837838</v>
      </c>
      <c r="J25" s="86"/>
      <c r="K25" t="s">
        <v>46</v>
      </c>
      <c r="L25" s="60" t="s">
        <v>10</v>
      </c>
      <c r="M25" s="52">
        <f>AVERAGE(H31,H31,H34,H37)</f>
        <v>0.40204356060606061</v>
      </c>
      <c r="N25" s="55">
        <f>STDEV(H31,H31,H34,H37)</f>
        <v>1.9829620826074942E-3</v>
      </c>
      <c r="O25" s="52">
        <f>AVERAGE(I31,I31,I34,I37)</f>
        <v>0.40204356060606061</v>
      </c>
      <c r="P25" s="55">
        <f>STDEV(I31,I31,I34,I37)</f>
        <v>1.9829620826074942E-3</v>
      </c>
    </row>
    <row r="26" spans="1:16" hidden="1" x14ac:dyDescent="0.3">
      <c r="A26" s="1" t="s">
        <v>9</v>
      </c>
      <c r="B26" s="4">
        <v>7</v>
      </c>
      <c r="C26" s="1" t="s">
        <v>5</v>
      </c>
      <c r="D26" s="1">
        <v>17</v>
      </c>
      <c r="E26" s="3">
        <v>43942</v>
      </c>
      <c r="F26" s="2">
        <v>37</v>
      </c>
      <c r="G26" s="2">
        <v>23.05</v>
      </c>
      <c r="H26" s="14">
        <f t="shared" si="2"/>
        <v>0.62297297297297294</v>
      </c>
      <c r="I26" s="14">
        <f t="shared" si="3"/>
        <v>0.62297297297297294</v>
      </c>
      <c r="J26" s="86"/>
      <c r="K26" t="s">
        <v>47</v>
      </c>
      <c r="L26" s="60" t="s">
        <v>10</v>
      </c>
      <c r="M26" s="52">
        <f>AVERAGE(H32,H32,H35,H38)</f>
        <v>0.40779934210526314</v>
      </c>
      <c r="N26" s="55">
        <f>STDEV(H32,H32,H35,H38)</f>
        <v>0.15133419238779053</v>
      </c>
      <c r="O26" s="52">
        <f>AVERAGE(I32,I32,I35,I38)</f>
        <v>0.40779934210526314</v>
      </c>
      <c r="P26" s="55">
        <f>STDEV(I32,I32,I35,I38)</f>
        <v>0.15133419238779053</v>
      </c>
    </row>
    <row r="27" spans="1:16" hidden="1" x14ac:dyDescent="0.3">
      <c r="A27" s="1" t="s">
        <v>9</v>
      </c>
      <c r="B27" s="4">
        <v>8</v>
      </c>
      <c r="C27" s="1" t="s">
        <v>3</v>
      </c>
      <c r="D27" s="1">
        <v>17</v>
      </c>
      <c r="E27" s="3">
        <v>43942</v>
      </c>
      <c r="F27" s="2">
        <v>37</v>
      </c>
      <c r="G27" s="2">
        <v>20.82</v>
      </c>
      <c r="H27" s="14">
        <f t="shared" si="2"/>
        <v>0.56270270270270273</v>
      </c>
      <c r="I27" s="14">
        <f t="shared" si="3"/>
        <v>0.56270270270270273</v>
      </c>
      <c r="J27" s="14"/>
    </row>
    <row r="28" spans="1:16" hidden="1" x14ac:dyDescent="0.3">
      <c r="A28" s="1" t="s">
        <v>9</v>
      </c>
      <c r="B28" s="4">
        <v>9</v>
      </c>
      <c r="C28" s="1" t="s">
        <v>4</v>
      </c>
      <c r="D28" s="1">
        <v>17</v>
      </c>
      <c r="E28" s="3">
        <v>43942</v>
      </c>
      <c r="F28" s="2">
        <v>37</v>
      </c>
      <c r="G28" s="2">
        <v>18.27</v>
      </c>
      <c r="H28" s="14">
        <f t="shared" si="2"/>
        <v>0.49378378378378379</v>
      </c>
      <c r="I28" s="14">
        <f t="shared" si="3"/>
        <v>0.49378378378378379</v>
      </c>
      <c r="J28" s="14"/>
    </row>
    <row r="29" spans="1:16" hidden="1" x14ac:dyDescent="0.3">
      <c r="A29" s="1" t="s">
        <v>9</v>
      </c>
      <c r="B29" s="4">
        <v>10</v>
      </c>
      <c r="C29" s="1" t="s">
        <v>5</v>
      </c>
      <c r="D29" s="1">
        <v>17</v>
      </c>
      <c r="E29" s="3">
        <v>43942</v>
      </c>
      <c r="F29" s="2">
        <v>38</v>
      </c>
      <c r="G29" s="2">
        <v>20.260000000000002</v>
      </c>
      <c r="H29" s="14">
        <f t="shared" si="2"/>
        <v>0.53315789473684216</v>
      </c>
      <c r="I29" s="14">
        <f t="shared" si="3"/>
        <v>0.53315789473684216</v>
      </c>
      <c r="J29" s="14"/>
    </row>
    <row r="30" spans="1:16" s="65" customFormat="1" x14ac:dyDescent="0.3">
      <c r="A30" s="60" t="s">
        <v>10</v>
      </c>
      <c r="B30" s="61">
        <v>13</v>
      </c>
      <c r="C30" s="60" t="s">
        <v>3</v>
      </c>
      <c r="D30" s="60">
        <v>17</v>
      </c>
      <c r="E30" s="62">
        <v>43942</v>
      </c>
      <c r="F30" s="63">
        <v>32</v>
      </c>
      <c r="G30" s="61">
        <v>13.68</v>
      </c>
      <c r="H30" s="64">
        <f t="shared" ref="H30:H39" si="4">G30/F30</f>
        <v>0.42749999999999999</v>
      </c>
      <c r="I30" s="64">
        <f>H30</f>
        <v>0.42749999999999999</v>
      </c>
      <c r="J30" s="64"/>
    </row>
    <row r="31" spans="1:16" s="65" customFormat="1" hidden="1" x14ac:dyDescent="0.3">
      <c r="A31" s="60" t="s">
        <v>10</v>
      </c>
      <c r="B31" s="61">
        <v>14</v>
      </c>
      <c r="C31" s="60" t="s">
        <v>4</v>
      </c>
      <c r="D31" s="60">
        <v>17</v>
      </c>
      <c r="E31" s="62">
        <v>43942</v>
      </c>
      <c r="F31" s="63">
        <v>33</v>
      </c>
      <c r="G31" s="61">
        <v>13.24</v>
      </c>
      <c r="H31" s="64">
        <f t="shared" si="4"/>
        <v>0.40121212121212124</v>
      </c>
      <c r="I31" s="64">
        <f t="shared" ref="I31:I38" si="5">H31</f>
        <v>0.40121212121212124</v>
      </c>
      <c r="J31" s="64"/>
    </row>
    <row r="32" spans="1:16" s="65" customFormat="1" hidden="1" x14ac:dyDescent="0.3">
      <c r="A32" s="60" t="s">
        <v>10</v>
      </c>
      <c r="B32" s="61">
        <v>15</v>
      </c>
      <c r="C32" s="60" t="s">
        <v>5</v>
      </c>
      <c r="D32" s="60">
        <v>17</v>
      </c>
      <c r="E32" s="62">
        <v>43942</v>
      </c>
      <c r="F32" s="63">
        <v>38</v>
      </c>
      <c r="G32" s="61">
        <v>20.12</v>
      </c>
      <c r="H32" s="64">
        <f t="shared" si="4"/>
        <v>0.52947368421052632</v>
      </c>
      <c r="I32" s="64">
        <f t="shared" si="5"/>
        <v>0.52947368421052632</v>
      </c>
      <c r="J32" s="64"/>
    </row>
    <row r="33" spans="1:16" s="65" customFormat="1" x14ac:dyDescent="0.3">
      <c r="A33" s="60" t="s">
        <v>10</v>
      </c>
      <c r="B33" s="61">
        <v>16</v>
      </c>
      <c r="C33" s="60" t="s">
        <v>3</v>
      </c>
      <c r="D33" s="60">
        <v>17</v>
      </c>
      <c r="E33" s="62">
        <v>43942</v>
      </c>
      <c r="F33" s="63">
        <v>40</v>
      </c>
      <c r="G33" s="61">
        <v>15.02</v>
      </c>
      <c r="H33" s="64">
        <f t="shared" si="4"/>
        <v>0.3755</v>
      </c>
      <c r="I33" s="64">
        <f t="shared" si="5"/>
        <v>0.3755</v>
      </c>
      <c r="J33" s="64"/>
    </row>
    <row r="34" spans="1:16" s="65" customFormat="1" hidden="1" x14ac:dyDescent="0.3">
      <c r="A34" s="60" t="s">
        <v>10</v>
      </c>
      <c r="B34" s="61">
        <v>17</v>
      </c>
      <c r="C34" s="60" t="s">
        <v>4</v>
      </c>
      <c r="D34" s="60">
        <v>17</v>
      </c>
      <c r="E34" s="62">
        <v>43942</v>
      </c>
      <c r="F34" s="63">
        <v>38</v>
      </c>
      <c r="G34" s="63">
        <v>15.39</v>
      </c>
      <c r="H34" s="64">
        <f t="shared" si="4"/>
        <v>0.40500000000000003</v>
      </c>
      <c r="I34" s="64">
        <f t="shared" si="5"/>
        <v>0.40500000000000003</v>
      </c>
      <c r="J34" s="64"/>
    </row>
    <row r="35" spans="1:16" s="65" customFormat="1" hidden="1" x14ac:dyDescent="0.3">
      <c r="A35" s="60" t="s">
        <v>10</v>
      </c>
      <c r="B35" s="61">
        <v>18</v>
      </c>
      <c r="C35" s="60" t="s">
        <v>5</v>
      </c>
      <c r="D35" s="60">
        <v>17</v>
      </c>
      <c r="E35" s="62">
        <v>43942</v>
      </c>
      <c r="F35" s="63">
        <v>40</v>
      </c>
      <c r="G35" s="63">
        <v>8.69</v>
      </c>
      <c r="H35" s="64">
        <f t="shared" si="4"/>
        <v>0.21725</v>
      </c>
      <c r="I35" s="64">
        <f t="shared" si="5"/>
        <v>0.21725</v>
      </c>
      <c r="J35" s="64"/>
    </row>
    <row r="36" spans="1:16" s="65" customFormat="1" x14ac:dyDescent="0.3">
      <c r="A36" s="60" t="s">
        <v>10</v>
      </c>
      <c r="B36" s="61">
        <v>19</v>
      </c>
      <c r="C36" s="60" t="s">
        <v>3</v>
      </c>
      <c r="D36" s="60">
        <v>17</v>
      </c>
      <c r="E36" s="62">
        <v>43942</v>
      </c>
      <c r="F36" s="63">
        <v>37</v>
      </c>
      <c r="G36" s="61">
        <v>9.57</v>
      </c>
      <c r="H36" s="64">
        <f t="shared" si="4"/>
        <v>0.25864864864864867</v>
      </c>
      <c r="I36" s="64">
        <f t="shared" si="5"/>
        <v>0.25864864864864867</v>
      </c>
      <c r="J36" s="64"/>
    </row>
    <row r="37" spans="1:16" s="65" customFormat="1" hidden="1" x14ac:dyDescent="0.3">
      <c r="A37" s="60" t="s">
        <v>10</v>
      </c>
      <c r="B37" s="61">
        <v>20</v>
      </c>
      <c r="C37" s="60" t="s">
        <v>4</v>
      </c>
      <c r="D37" s="60">
        <v>17</v>
      </c>
      <c r="E37" s="62">
        <v>43942</v>
      </c>
      <c r="F37" s="63">
        <v>40</v>
      </c>
      <c r="G37" s="61">
        <v>16.03</v>
      </c>
      <c r="H37" s="64">
        <f t="shared" si="4"/>
        <v>0.40075000000000005</v>
      </c>
      <c r="I37" s="64">
        <f t="shared" si="5"/>
        <v>0.40075000000000005</v>
      </c>
      <c r="J37" s="64"/>
    </row>
    <row r="38" spans="1:16" s="65" customFormat="1" hidden="1" x14ac:dyDescent="0.3">
      <c r="A38" s="60" t="s">
        <v>10</v>
      </c>
      <c r="B38" s="61">
        <v>21</v>
      </c>
      <c r="C38" s="60" t="s">
        <v>5</v>
      </c>
      <c r="D38" s="60">
        <v>17</v>
      </c>
      <c r="E38" s="62">
        <v>43942</v>
      </c>
      <c r="F38" s="63">
        <v>36</v>
      </c>
      <c r="G38" s="61">
        <v>12.78</v>
      </c>
      <c r="H38" s="64">
        <f t="shared" si="4"/>
        <v>0.35499999999999998</v>
      </c>
      <c r="I38" s="64">
        <f t="shared" si="5"/>
        <v>0.35499999999999998</v>
      </c>
      <c r="J38" s="64"/>
    </row>
    <row r="39" spans="1:16" s="65" customFormat="1" x14ac:dyDescent="0.3">
      <c r="A39" s="60" t="s">
        <v>10</v>
      </c>
      <c r="B39" s="61">
        <v>22</v>
      </c>
      <c r="C39" s="60" t="s">
        <v>3</v>
      </c>
      <c r="D39" s="60">
        <v>17</v>
      </c>
      <c r="E39" s="62">
        <v>43942</v>
      </c>
      <c r="F39" s="63">
        <v>38</v>
      </c>
      <c r="G39" s="61">
        <v>12.92</v>
      </c>
      <c r="H39" s="64">
        <f t="shared" si="4"/>
        <v>0.34</v>
      </c>
      <c r="I39" s="64">
        <f>H39</f>
        <v>0.34</v>
      </c>
      <c r="J39" s="64"/>
    </row>
    <row r="40" spans="1:16" hidden="1" x14ac:dyDescent="0.3">
      <c r="A40" s="1" t="s">
        <v>9</v>
      </c>
      <c r="B40" s="4">
        <v>2</v>
      </c>
      <c r="C40" s="1" t="s">
        <v>3</v>
      </c>
      <c r="D40" s="1">
        <v>18</v>
      </c>
      <c r="E40" s="3">
        <v>43949</v>
      </c>
      <c r="F40" s="2">
        <v>39</v>
      </c>
      <c r="G40" s="75">
        <v>30.35</v>
      </c>
      <c r="H40" s="14">
        <f t="shared" ref="H40:H48" si="6">G40/F40</f>
        <v>0.77820512820512822</v>
      </c>
      <c r="I40" s="14">
        <f t="shared" ref="I40:I103" si="7">I21+H40</f>
        <v>1.3887179487179488</v>
      </c>
      <c r="J40" s="86">
        <f>D40</f>
        <v>18</v>
      </c>
      <c r="K40" t="s">
        <v>45</v>
      </c>
      <c r="L40" t="s">
        <v>9</v>
      </c>
      <c r="M40" s="52">
        <f>AVERAGE(H40,H40,H43,H46)</f>
        <v>0.86254851004851019</v>
      </c>
      <c r="N40" s="55">
        <f>STDEV(H40,H40,H43,H46)</f>
        <v>0.11070270708934006</v>
      </c>
      <c r="O40" s="52">
        <f>AVERAGE(I40,I40,I43,I46)</f>
        <v>1.4353049203049206</v>
      </c>
      <c r="P40" s="55">
        <f>STDEV(I40,I40,I43,I46)</f>
        <v>6.159951845356141E-2</v>
      </c>
    </row>
    <row r="41" spans="1:16" hidden="1" x14ac:dyDescent="0.3">
      <c r="A41" s="1" t="s">
        <v>9</v>
      </c>
      <c r="B41" s="4">
        <v>3</v>
      </c>
      <c r="C41" s="1" t="s">
        <v>4</v>
      </c>
      <c r="D41" s="1">
        <v>18</v>
      </c>
      <c r="E41" s="3">
        <v>43949</v>
      </c>
      <c r="F41" s="2">
        <v>37</v>
      </c>
      <c r="G41" s="75">
        <v>27.79</v>
      </c>
      <c r="H41" s="14">
        <f t="shared" si="6"/>
        <v>0.75108108108108107</v>
      </c>
      <c r="I41" s="14">
        <f t="shared" si="7"/>
        <v>1.4391891891891893</v>
      </c>
      <c r="J41" s="86"/>
      <c r="K41" t="s">
        <v>46</v>
      </c>
      <c r="L41" t="s">
        <v>9</v>
      </c>
      <c r="M41" s="52">
        <f>AVERAGE(H41,H41,H44,H47)</f>
        <v>0.83310810810810809</v>
      </c>
      <c r="N41" s="55">
        <f>STDEV(H41,H41,H44,H47)</f>
        <v>9.4840991837135319E-2</v>
      </c>
      <c r="O41" s="52">
        <f>AVERAGE(I41,I41,I44,I47)</f>
        <v>1.4415540540540541</v>
      </c>
      <c r="P41" s="55">
        <f>STDEV(I41,I41,I44,I47)</f>
        <v>3.3543560346376164E-2</v>
      </c>
    </row>
    <row r="42" spans="1:16" hidden="1" x14ac:dyDescent="0.3">
      <c r="A42" s="1" t="s">
        <v>9</v>
      </c>
      <c r="B42" s="4">
        <v>4</v>
      </c>
      <c r="C42" s="1" t="s">
        <v>5</v>
      </c>
      <c r="D42" s="1">
        <v>18</v>
      </c>
      <c r="E42" s="3">
        <v>43949</v>
      </c>
      <c r="F42" s="2">
        <v>37</v>
      </c>
      <c r="G42" s="75">
        <v>32.01</v>
      </c>
      <c r="H42" s="14">
        <f t="shared" si="6"/>
        <v>0.86513513513513507</v>
      </c>
      <c r="I42" s="14">
        <f t="shared" si="7"/>
        <v>1.5632432432432433</v>
      </c>
      <c r="J42" s="86"/>
      <c r="K42" t="s">
        <v>47</v>
      </c>
      <c r="L42" t="s">
        <v>9</v>
      </c>
      <c r="M42" s="52">
        <f>AVERAGE(H42,H42,H45,H48)</f>
        <v>0.75596372688477942</v>
      </c>
      <c r="N42" s="55">
        <f>STDEV(H42,H42,H45,H48)</f>
        <v>0.19326963510800707</v>
      </c>
      <c r="O42" s="52">
        <f>AVERAGE(I42,I42,I45,I48)</f>
        <v>1.3940504978662873</v>
      </c>
      <c r="P42" s="55">
        <f>STDEV(I42,I42,I45,I48)</f>
        <v>0.26780212056442609</v>
      </c>
    </row>
    <row r="43" spans="1:16" hidden="1" x14ac:dyDescent="0.3">
      <c r="A43" s="1" t="s">
        <v>9</v>
      </c>
      <c r="B43" s="4">
        <v>5</v>
      </c>
      <c r="C43" s="1" t="s">
        <v>3</v>
      </c>
      <c r="D43" s="1">
        <v>18</v>
      </c>
      <c r="E43" s="3">
        <v>43949</v>
      </c>
      <c r="F43" s="2">
        <v>37</v>
      </c>
      <c r="G43" s="75">
        <v>37.42</v>
      </c>
      <c r="H43" s="14">
        <f t="shared" si="6"/>
        <v>1.0113513513513515</v>
      </c>
      <c r="I43" s="14">
        <f t="shared" si="7"/>
        <v>1.5186486486486488</v>
      </c>
      <c r="J43" s="86"/>
      <c r="K43" t="s">
        <v>45</v>
      </c>
      <c r="L43" s="60" t="s">
        <v>10</v>
      </c>
      <c r="M43" s="52">
        <f>AVERAGE(H49,H49,H52,H55)</f>
        <v>0.74512331081081085</v>
      </c>
      <c r="N43" s="55">
        <f>STDEV(H49,H49,H52,H55)</f>
        <v>4.4358449332446342E-2</v>
      </c>
      <c r="O43" s="52">
        <f>AVERAGE(I49,I49,I52,I55)</f>
        <v>1.1174104729729728</v>
      </c>
      <c r="P43" s="55">
        <f>STDEV(I49,I49,I52,I55)</f>
        <v>7.8992795454887424E-2</v>
      </c>
    </row>
    <row r="44" spans="1:16" hidden="1" x14ac:dyDescent="0.3">
      <c r="A44" s="1" t="s">
        <v>9</v>
      </c>
      <c r="B44" s="4">
        <v>6</v>
      </c>
      <c r="C44" s="1" t="s">
        <v>4</v>
      </c>
      <c r="D44" s="1">
        <v>18</v>
      </c>
      <c r="E44" s="3">
        <v>43949</v>
      </c>
      <c r="F44" s="2">
        <v>37</v>
      </c>
      <c r="G44" s="75">
        <v>34.08</v>
      </c>
      <c r="H44" s="14">
        <f t="shared" si="6"/>
        <v>0.921081081081081</v>
      </c>
      <c r="I44" s="14">
        <f t="shared" si="7"/>
        <v>1.4848648648648648</v>
      </c>
      <c r="J44" s="86"/>
      <c r="K44" t="s">
        <v>46</v>
      </c>
      <c r="L44" s="60" t="s">
        <v>10</v>
      </c>
      <c r="M44" s="52">
        <f>AVERAGE(H50,H50,H53,H56)</f>
        <v>0.60860446570972893</v>
      </c>
      <c r="N44" s="55">
        <f>STDEV(H50,H50,H53,H56)</f>
        <v>7.7397737184760479E-2</v>
      </c>
      <c r="O44" s="52">
        <f>AVERAGE(I50,I50,I53,I56)</f>
        <v>1.0106480263157895</v>
      </c>
      <c r="P44" s="55">
        <f>STDEV(I50,I50,I53,I56)</f>
        <v>7.927475493476896E-2</v>
      </c>
    </row>
    <row r="45" spans="1:16" hidden="1" x14ac:dyDescent="0.3">
      <c r="A45" s="1" t="s">
        <v>9</v>
      </c>
      <c r="B45" s="4">
        <v>7</v>
      </c>
      <c r="C45" s="1" t="s">
        <v>5</v>
      </c>
      <c r="D45" s="1">
        <v>18</v>
      </c>
      <c r="E45" s="3">
        <v>43949</v>
      </c>
      <c r="F45" s="2">
        <v>37</v>
      </c>
      <c r="G45" s="75">
        <v>30.57</v>
      </c>
      <c r="H45" s="14">
        <f t="shared" si="6"/>
        <v>0.82621621621621621</v>
      </c>
      <c r="I45" s="14">
        <f t="shared" si="7"/>
        <v>1.4491891891891893</v>
      </c>
      <c r="J45" s="86"/>
      <c r="K45" t="s">
        <v>47</v>
      </c>
      <c r="L45" s="60" t="s">
        <v>10</v>
      </c>
      <c r="M45" s="52">
        <f>AVERAGE(H51,H51,H54,H57)</f>
        <v>0.69031030701754392</v>
      </c>
      <c r="N45" s="55">
        <f>STDEV(H51,H51,H54,H57)</f>
        <v>5.2896326503199552E-2</v>
      </c>
      <c r="O45" s="52">
        <f>AVERAGE(I51,I51,I54,I57)</f>
        <v>1.0981096491228071</v>
      </c>
      <c r="P45" s="55">
        <f>STDEV(I51,I51,I54,I57)</f>
        <v>0.11524923178175638</v>
      </c>
    </row>
    <row r="46" spans="1:16" hidden="1" x14ac:dyDescent="0.3">
      <c r="A46" s="1" t="s">
        <v>9</v>
      </c>
      <c r="B46" s="4">
        <v>8</v>
      </c>
      <c r="C46" s="1" t="s">
        <v>3</v>
      </c>
      <c r="D46" s="1">
        <v>18</v>
      </c>
      <c r="E46" s="3">
        <v>43949</v>
      </c>
      <c r="F46" s="2">
        <v>37</v>
      </c>
      <c r="G46" s="75">
        <v>32.65</v>
      </c>
      <c r="H46" s="14">
        <f t="shared" si="6"/>
        <v>0.88243243243243241</v>
      </c>
      <c r="I46" s="14">
        <f t="shared" si="7"/>
        <v>1.4451351351351351</v>
      </c>
      <c r="J46" s="14"/>
    </row>
    <row r="47" spans="1:16" hidden="1" x14ac:dyDescent="0.3">
      <c r="A47" s="1" t="s">
        <v>9</v>
      </c>
      <c r="B47" s="4">
        <v>9</v>
      </c>
      <c r="C47" s="1" t="s">
        <v>4</v>
      </c>
      <c r="D47" s="1">
        <v>18</v>
      </c>
      <c r="E47" s="3">
        <v>43949</v>
      </c>
      <c r="F47" s="2">
        <v>37</v>
      </c>
      <c r="G47" s="75">
        <v>33.64</v>
      </c>
      <c r="H47" s="14">
        <f t="shared" si="6"/>
        <v>0.90918918918918923</v>
      </c>
      <c r="I47" s="14">
        <f t="shared" si="7"/>
        <v>1.402972972972973</v>
      </c>
      <c r="J47" s="14"/>
    </row>
    <row r="48" spans="1:16" hidden="1" x14ac:dyDescent="0.3">
      <c r="A48" s="1" t="s">
        <v>9</v>
      </c>
      <c r="B48" s="4">
        <v>10</v>
      </c>
      <c r="C48" s="1" t="s">
        <v>5</v>
      </c>
      <c r="D48" s="1">
        <v>18</v>
      </c>
      <c r="E48" s="3">
        <v>43949</v>
      </c>
      <c r="F48" s="2">
        <v>38</v>
      </c>
      <c r="G48" s="75">
        <v>17.760000000000002</v>
      </c>
      <c r="H48" s="14">
        <f t="shared" si="6"/>
        <v>0.4673684210526316</v>
      </c>
      <c r="I48" s="14">
        <f t="shared" si="7"/>
        <v>1.0005263157894737</v>
      </c>
      <c r="J48" s="14"/>
    </row>
    <row r="49" spans="1:16" s="65" customFormat="1" x14ac:dyDescent="0.3">
      <c r="A49" s="60" t="s">
        <v>10</v>
      </c>
      <c r="B49" s="61">
        <v>13</v>
      </c>
      <c r="C49" s="60" t="s">
        <v>3</v>
      </c>
      <c r="D49" s="60">
        <v>18</v>
      </c>
      <c r="E49" s="62">
        <v>43949</v>
      </c>
      <c r="F49" s="63">
        <v>32</v>
      </c>
      <c r="G49" s="76">
        <v>24.26</v>
      </c>
      <c r="H49" s="64">
        <f t="shared" ref="H49:H58" si="8">G49/F49</f>
        <v>0.75812500000000005</v>
      </c>
      <c r="I49" s="64">
        <f t="shared" si="7"/>
        <v>1.1856249999999999</v>
      </c>
      <c r="J49" s="64"/>
    </row>
    <row r="50" spans="1:16" s="65" customFormat="1" hidden="1" x14ac:dyDescent="0.3">
      <c r="A50" s="60" t="s">
        <v>10</v>
      </c>
      <c r="B50" s="61">
        <v>14</v>
      </c>
      <c r="C50" s="60" t="s">
        <v>4</v>
      </c>
      <c r="D50" s="60">
        <v>18</v>
      </c>
      <c r="E50" s="62">
        <v>43949</v>
      </c>
      <c r="F50" s="63">
        <v>33</v>
      </c>
      <c r="G50" s="76">
        <v>18.440000000000001</v>
      </c>
      <c r="H50" s="64">
        <f t="shared" si="8"/>
        <v>0.55878787878787883</v>
      </c>
      <c r="I50" s="64">
        <f t="shared" si="7"/>
        <v>0.96000000000000008</v>
      </c>
      <c r="J50" s="64"/>
    </row>
    <row r="51" spans="1:16" s="65" customFormat="1" hidden="1" x14ac:dyDescent="0.3">
      <c r="A51" s="60" t="s">
        <v>10</v>
      </c>
      <c r="B51" s="61">
        <v>15</v>
      </c>
      <c r="C51" s="60" t="s">
        <v>5</v>
      </c>
      <c r="D51" s="60">
        <v>18</v>
      </c>
      <c r="E51" s="62">
        <v>43949</v>
      </c>
      <c r="F51" s="63">
        <v>38</v>
      </c>
      <c r="G51" s="76">
        <v>24.57</v>
      </c>
      <c r="H51" s="64">
        <f t="shared" si="8"/>
        <v>0.64657894736842103</v>
      </c>
      <c r="I51" s="64">
        <f t="shared" si="7"/>
        <v>1.1760526315789472</v>
      </c>
      <c r="J51" s="64"/>
    </row>
    <row r="52" spans="1:16" s="65" customFormat="1" x14ac:dyDescent="0.3">
      <c r="A52" s="60" t="s">
        <v>10</v>
      </c>
      <c r="B52" s="61">
        <v>16</v>
      </c>
      <c r="C52" s="60" t="s">
        <v>3</v>
      </c>
      <c r="D52" s="60">
        <v>18</v>
      </c>
      <c r="E52" s="62">
        <v>43949</v>
      </c>
      <c r="F52" s="63">
        <v>40</v>
      </c>
      <c r="G52" s="76">
        <v>27.24</v>
      </c>
      <c r="H52" s="64">
        <f t="shared" si="8"/>
        <v>0.68099999999999994</v>
      </c>
      <c r="I52" s="64">
        <f t="shared" si="7"/>
        <v>1.0565</v>
      </c>
      <c r="J52" s="64"/>
    </row>
    <row r="53" spans="1:16" s="65" customFormat="1" hidden="1" x14ac:dyDescent="0.3">
      <c r="A53" s="60" t="s">
        <v>10</v>
      </c>
      <c r="B53" s="61">
        <v>17</v>
      </c>
      <c r="C53" s="60" t="s">
        <v>4</v>
      </c>
      <c r="D53" s="60">
        <v>18</v>
      </c>
      <c r="E53" s="62">
        <v>43949</v>
      </c>
      <c r="F53" s="63">
        <v>38</v>
      </c>
      <c r="G53" s="77">
        <v>27.43</v>
      </c>
      <c r="H53" s="64">
        <f t="shared" si="8"/>
        <v>0.72184210526315784</v>
      </c>
      <c r="I53" s="64">
        <f t="shared" si="7"/>
        <v>1.1268421052631579</v>
      </c>
      <c r="J53" s="64"/>
    </row>
    <row r="54" spans="1:16" s="65" customFormat="1" hidden="1" x14ac:dyDescent="0.3">
      <c r="A54" s="60" t="s">
        <v>10</v>
      </c>
      <c r="B54" s="61">
        <v>18</v>
      </c>
      <c r="C54" s="60" t="s">
        <v>5</v>
      </c>
      <c r="D54" s="60">
        <v>18</v>
      </c>
      <c r="E54" s="62">
        <v>43949</v>
      </c>
      <c r="F54" s="63">
        <v>40</v>
      </c>
      <c r="G54" s="77">
        <v>28.59</v>
      </c>
      <c r="H54" s="64">
        <f t="shared" si="8"/>
        <v>0.71475</v>
      </c>
      <c r="I54" s="64">
        <f t="shared" si="7"/>
        <v>0.93199999999999994</v>
      </c>
      <c r="J54" s="64"/>
    </row>
    <row r="55" spans="1:16" s="65" customFormat="1" x14ac:dyDescent="0.3">
      <c r="A55" s="60" t="s">
        <v>10</v>
      </c>
      <c r="B55" s="61">
        <v>19</v>
      </c>
      <c r="C55" s="60" t="s">
        <v>3</v>
      </c>
      <c r="D55" s="60">
        <v>18</v>
      </c>
      <c r="E55" s="62">
        <v>43949</v>
      </c>
      <c r="F55" s="63">
        <v>37</v>
      </c>
      <c r="G55" s="76">
        <v>28.98</v>
      </c>
      <c r="H55" s="64">
        <f t="shared" si="8"/>
        <v>0.78324324324324324</v>
      </c>
      <c r="I55" s="64">
        <f t="shared" si="7"/>
        <v>1.041891891891892</v>
      </c>
      <c r="J55" s="64"/>
    </row>
    <row r="56" spans="1:16" s="65" customFormat="1" hidden="1" x14ac:dyDescent="0.3">
      <c r="A56" s="60" t="s">
        <v>10</v>
      </c>
      <c r="B56" s="61">
        <v>20</v>
      </c>
      <c r="C56" s="60" t="s">
        <v>4</v>
      </c>
      <c r="D56" s="60">
        <v>18</v>
      </c>
      <c r="E56" s="62">
        <v>43949</v>
      </c>
      <c r="F56" s="63">
        <v>40</v>
      </c>
      <c r="G56" s="76">
        <v>23.8</v>
      </c>
      <c r="H56" s="64">
        <f t="shared" si="8"/>
        <v>0.59499999999999997</v>
      </c>
      <c r="I56" s="64">
        <f t="shared" si="7"/>
        <v>0.99575000000000002</v>
      </c>
      <c r="J56" s="64"/>
    </row>
    <row r="57" spans="1:16" s="65" customFormat="1" hidden="1" x14ac:dyDescent="0.3">
      <c r="A57" s="60" t="s">
        <v>10</v>
      </c>
      <c r="B57" s="61">
        <v>21</v>
      </c>
      <c r="C57" s="60" t="s">
        <v>5</v>
      </c>
      <c r="D57" s="60">
        <v>18</v>
      </c>
      <c r="E57" s="62">
        <v>43949</v>
      </c>
      <c r="F57" s="63">
        <v>36</v>
      </c>
      <c r="G57" s="76">
        <v>27.12</v>
      </c>
      <c r="H57" s="64">
        <f t="shared" si="8"/>
        <v>0.75333333333333341</v>
      </c>
      <c r="I57" s="64">
        <f t="shared" si="7"/>
        <v>1.1083333333333334</v>
      </c>
      <c r="J57" s="64"/>
    </row>
    <row r="58" spans="1:16" s="65" customFormat="1" x14ac:dyDescent="0.3">
      <c r="A58" s="60" t="s">
        <v>10</v>
      </c>
      <c r="B58" s="61">
        <v>22</v>
      </c>
      <c r="C58" s="60" t="s">
        <v>3</v>
      </c>
      <c r="D58" s="60">
        <v>18</v>
      </c>
      <c r="E58" s="62">
        <v>43949</v>
      </c>
      <c r="F58" s="63">
        <v>38</v>
      </c>
      <c r="G58" s="76">
        <v>33.340000000000003</v>
      </c>
      <c r="H58" s="64">
        <f t="shared" si="8"/>
        <v>0.87736842105263169</v>
      </c>
      <c r="I58" s="64">
        <f t="shared" si="7"/>
        <v>1.2173684210526317</v>
      </c>
      <c r="J58" s="64"/>
    </row>
    <row r="59" spans="1:16" hidden="1" x14ac:dyDescent="0.3">
      <c r="A59" s="1" t="s">
        <v>9</v>
      </c>
      <c r="B59" s="4">
        <v>2</v>
      </c>
      <c r="C59" s="1" t="s">
        <v>3</v>
      </c>
      <c r="D59" s="1">
        <v>19</v>
      </c>
      <c r="E59" s="3">
        <v>43956</v>
      </c>
      <c r="F59" s="2">
        <v>39</v>
      </c>
      <c r="G59" s="75">
        <v>24.89</v>
      </c>
      <c r="H59" s="14">
        <f t="shared" ref="H59:H67" si="9">G59/F59</f>
        <v>0.6382051282051282</v>
      </c>
      <c r="I59" s="14">
        <f t="shared" si="7"/>
        <v>2.0269230769230768</v>
      </c>
      <c r="J59" s="86">
        <f>D59</f>
        <v>19</v>
      </c>
      <c r="K59" t="s">
        <v>45</v>
      </c>
      <c r="L59" t="s">
        <v>9</v>
      </c>
      <c r="M59" s="52">
        <f>AVERAGE(H59,H59,H62,H65)</f>
        <v>0.61335932085932088</v>
      </c>
      <c r="N59" s="55">
        <f>STDEV(H59,H59,H62,H65)</f>
        <v>3.8084339419147004E-2</v>
      </c>
      <c r="O59" s="52">
        <f>AVERAGE(I59,I59,I62,I65)</f>
        <v>2.0486642411642411</v>
      </c>
      <c r="P59" s="55">
        <f>STDEV(I59,I59,I62,I65)</f>
        <v>6.0511648404127594E-2</v>
      </c>
    </row>
    <row r="60" spans="1:16" hidden="1" x14ac:dyDescent="0.3">
      <c r="A60" s="1" t="s">
        <v>9</v>
      </c>
      <c r="B60" s="4">
        <v>3</v>
      </c>
      <c r="C60" s="1" t="s">
        <v>4</v>
      </c>
      <c r="D60" s="1">
        <v>19</v>
      </c>
      <c r="E60" s="3">
        <v>43956</v>
      </c>
      <c r="F60" s="2">
        <v>37</v>
      </c>
      <c r="G60" s="75">
        <v>19.82</v>
      </c>
      <c r="H60" s="14">
        <f t="shared" si="9"/>
        <v>0.53567567567567564</v>
      </c>
      <c r="I60" s="14">
        <f t="shared" si="7"/>
        <v>1.9748648648648648</v>
      </c>
      <c r="J60" s="86"/>
      <c r="K60" t="s">
        <v>46</v>
      </c>
      <c r="L60" t="s">
        <v>9</v>
      </c>
      <c r="M60" s="52">
        <f>AVERAGE(H60,H60,H63,H66)</f>
        <v>0.56533783783783775</v>
      </c>
      <c r="N60" s="55">
        <f>STDEV(H60,H60,H63,H66)</f>
        <v>4.8017109502417235E-2</v>
      </c>
      <c r="O60" s="52">
        <f>AVERAGE(I60,I60,I63,I66)</f>
        <v>2.0068918918918919</v>
      </c>
      <c r="P60" s="55">
        <f>STDEV(I60,I60,I63,I66)</f>
        <v>7.6603228006576138E-2</v>
      </c>
    </row>
    <row r="61" spans="1:16" hidden="1" x14ac:dyDescent="0.3">
      <c r="A61" s="1" t="s">
        <v>9</v>
      </c>
      <c r="B61" s="4">
        <v>4</v>
      </c>
      <c r="C61" s="1" t="s">
        <v>5</v>
      </c>
      <c r="D61" s="1">
        <v>19</v>
      </c>
      <c r="E61" s="3">
        <v>43956</v>
      </c>
      <c r="F61" s="2">
        <v>37</v>
      </c>
      <c r="G61" s="75">
        <v>24.3</v>
      </c>
      <c r="H61" s="14">
        <f t="shared" si="9"/>
        <v>0.65675675675675682</v>
      </c>
      <c r="I61" s="14">
        <f t="shared" si="7"/>
        <v>2.2200000000000002</v>
      </c>
      <c r="J61" s="86"/>
      <c r="K61" t="s">
        <v>47</v>
      </c>
      <c r="L61" t="s">
        <v>9</v>
      </c>
      <c r="M61" s="52">
        <f>AVERAGE(H61,H61,H64,H67)</f>
        <v>0.59961770981507834</v>
      </c>
      <c r="N61" s="55">
        <f>STDEV(H61,H61,H64,H67)</f>
        <v>6.8850393770588575E-2</v>
      </c>
      <c r="O61" s="52">
        <f>AVERAGE(I61,I61,I64,I67)</f>
        <v>1.9936682076813659</v>
      </c>
      <c r="P61" s="55">
        <f>STDEV(I61,I61,I64,I67)</f>
        <v>0.30826901102944237</v>
      </c>
    </row>
    <row r="62" spans="1:16" hidden="1" x14ac:dyDescent="0.3">
      <c r="A62" s="1" t="s">
        <v>9</v>
      </c>
      <c r="B62" s="4">
        <v>5</v>
      </c>
      <c r="C62" s="1" t="s">
        <v>3</v>
      </c>
      <c r="D62" s="1">
        <v>19</v>
      </c>
      <c r="E62" s="3">
        <v>43956</v>
      </c>
      <c r="F62" s="2">
        <v>37</v>
      </c>
      <c r="G62" s="75">
        <v>22.910000000000004</v>
      </c>
      <c r="H62" s="14">
        <f t="shared" si="9"/>
        <v>0.6191891891891893</v>
      </c>
      <c r="I62" s="14">
        <f t="shared" si="7"/>
        <v>2.137837837837838</v>
      </c>
      <c r="J62" s="86"/>
      <c r="K62" t="s">
        <v>45</v>
      </c>
      <c r="L62" s="60" t="s">
        <v>10</v>
      </c>
      <c r="M62" s="52">
        <f>AVERAGE(H68,H68,H71,H74)</f>
        <v>0.36080743243243241</v>
      </c>
      <c r="N62" s="55">
        <f>STDEV(H68,H68,H71,H74)</f>
        <v>7.9245994273222473E-2</v>
      </c>
      <c r="O62" s="52">
        <f>AVERAGE(I68,I68,I71,I74)</f>
        <v>1.4782179054054054</v>
      </c>
      <c r="P62" s="55">
        <f>STDEV(I68,I68,I71,I74)</f>
        <v>1.362708818545511E-2</v>
      </c>
    </row>
    <row r="63" spans="1:16" hidden="1" x14ac:dyDescent="0.3">
      <c r="A63" s="1" t="s">
        <v>9</v>
      </c>
      <c r="B63" s="4">
        <v>6</v>
      </c>
      <c r="C63" s="1" t="s">
        <v>4</v>
      </c>
      <c r="D63" s="1">
        <v>19</v>
      </c>
      <c r="E63" s="3">
        <v>43956</v>
      </c>
      <c r="F63" s="2">
        <v>37</v>
      </c>
      <c r="G63" s="75">
        <v>23.54</v>
      </c>
      <c r="H63" s="14">
        <f>G63/F63</f>
        <v>0.63621621621621616</v>
      </c>
      <c r="I63" s="14">
        <f t="shared" si="7"/>
        <v>2.1210810810810807</v>
      </c>
      <c r="J63" s="86"/>
      <c r="K63" t="s">
        <v>46</v>
      </c>
      <c r="L63" s="60" t="s">
        <v>10</v>
      </c>
      <c r="M63" s="52">
        <f>AVERAGE(H69,H69,H72,H75)</f>
        <v>0.38770923046251993</v>
      </c>
      <c r="N63" s="55">
        <f>STDEV(H69,H69,H72,H75)</f>
        <v>5.5923689555058657E-2</v>
      </c>
      <c r="O63" s="52">
        <f>AVERAGE(I69,I69,I72,I75)</f>
        <v>1.3983572567783096</v>
      </c>
      <c r="P63" s="55">
        <f>STDEV(I69,I69,I72,I75)</f>
        <v>2.3365654928815788E-2</v>
      </c>
    </row>
    <row r="64" spans="1:16" hidden="1" x14ac:dyDescent="0.3">
      <c r="A64" s="1" t="s">
        <v>9</v>
      </c>
      <c r="B64" s="4">
        <v>7</v>
      </c>
      <c r="C64" s="1" t="s">
        <v>5</v>
      </c>
      <c r="D64" s="1">
        <v>19</v>
      </c>
      <c r="E64" s="3">
        <v>43956</v>
      </c>
      <c r="F64" s="2">
        <v>37</v>
      </c>
      <c r="G64" s="75">
        <v>19.18</v>
      </c>
      <c r="H64" s="14">
        <f t="shared" si="9"/>
        <v>0.51837837837837841</v>
      </c>
      <c r="I64" s="14">
        <f t="shared" si="7"/>
        <v>1.9675675675675677</v>
      </c>
      <c r="J64" s="86"/>
      <c r="K64" t="s">
        <v>47</v>
      </c>
      <c r="L64" s="60" t="s">
        <v>10</v>
      </c>
      <c r="M64" s="52">
        <f>AVERAGE(H70,H70,H73,H76)</f>
        <v>0.37500986842105266</v>
      </c>
      <c r="N64" s="55">
        <f>STDEV(H70,H70,H73,H76)</f>
        <v>9.0475144512647418E-2</v>
      </c>
      <c r="O64" s="52">
        <f>AVERAGE(I70,I70,I73,I76)</f>
        <v>1.4731195175438596</v>
      </c>
      <c r="P64" s="55">
        <f>STDEV(I70,I70,I73,I76)</f>
        <v>5.5972199906704913E-2</v>
      </c>
    </row>
    <row r="65" spans="1:16" hidden="1" x14ac:dyDescent="0.3">
      <c r="A65" s="1" t="s">
        <v>9</v>
      </c>
      <c r="B65" s="4">
        <v>8</v>
      </c>
      <c r="C65" s="1" t="s">
        <v>3</v>
      </c>
      <c r="D65" s="1">
        <v>19</v>
      </c>
      <c r="E65" s="3">
        <v>43956</v>
      </c>
      <c r="F65" s="2">
        <v>37</v>
      </c>
      <c r="G65" s="75">
        <v>20.64</v>
      </c>
      <c r="H65" s="14">
        <f t="shared" si="9"/>
        <v>0.5578378378378378</v>
      </c>
      <c r="I65" s="14">
        <f t="shared" si="7"/>
        <v>2.0029729729729731</v>
      </c>
      <c r="J65" s="14"/>
    </row>
    <row r="66" spans="1:16" hidden="1" x14ac:dyDescent="0.3">
      <c r="A66" s="1" t="s">
        <v>9</v>
      </c>
      <c r="B66" s="4">
        <v>9</v>
      </c>
      <c r="C66" s="1" t="s">
        <v>4</v>
      </c>
      <c r="D66" s="1">
        <v>19</v>
      </c>
      <c r="E66" s="3">
        <v>43956</v>
      </c>
      <c r="F66" s="2">
        <v>37</v>
      </c>
      <c r="G66" s="75">
        <v>20.49</v>
      </c>
      <c r="H66" s="14">
        <f t="shared" si="9"/>
        <v>0.55378378378378379</v>
      </c>
      <c r="I66" s="14">
        <f t="shared" si="7"/>
        <v>1.9567567567567568</v>
      </c>
      <c r="J66" s="14"/>
    </row>
    <row r="67" spans="1:16" hidden="1" x14ac:dyDescent="0.3">
      <c r="A67" s="1" t="s">
        <v>9</v>
      </c>
      <c r="B67" s="4">
        <v>10</v>
      </c>
      <c r="C67" s="1" t="s">
        <v>5</v>
      </c>
      <c r="D67" s="1">
        <v>19</v>
      </c>
      <c r="E67" s="3">
        <v>43956</v>
      </c>
      <c r="F67" s="2">
        <v>38</v>
      </c>
      <c r="G67" s="75">
        <v>21.53</v>
      </c>
      <c r="H67" s="14">
        <f t="shared" si="9"/>
        <v>0.56657894736842107</v>
      </c>
      <c r="I67" s="14">
        <f t="shared" si="7"/>
        <v>1.5671052631578948</v>
      </c>
      <c r="J67" s="14"/>
    </row>
    <row r="68" spans="1:16" s="65" customFormat="1" x14ac:dyDescent="0.3">
      <c r="A68" s="60" t="s">
        <v>10</v>
      </c>
      <c r="B68" s="61">
        <v>13</v>
      </c>
      <c r="C68" s="60" t="s">
        <v>3</v>
      </c>
      <c r="D68" s="60">
        <v>19</v>
      </c>
      <c r="E68" s="62">
        <v>43956</v>
      </c>
      <c r="F68" s="63">
        <v>32</v>
      </c>
      <c r="G68" s="76">
        <v>9.36</v>
      </c>
      <c r="H68" s="64">
        <f t="shared" ref="H68:H77" si="10">G68/F68</f>
        <v>0.29249999999999998</v>
      </c>
      <c r="I68" s="64">
        <f t="shared" si="7"/>
        <v>1.4781249999999999</v>
      </c>
      <c r="J68" s="64"/>
    </row>
    <row r="69" spans="1:16" s="65" customFormat="1" hidden="1" x14ac:dyDescent="0.3">
      <c r="A69" s="60" t="s">
        <v>10</v>
      </c>
      <c r="B69" s="61">
        <v>14</v>
      </c>
      <c r="C69" s="60" t="s">
        <v>4</v>
      </c>
      <c r="D69" s="60">
        <v>19</v>
      </c>
      <c r="E69" s="62">
        <v>43956</v>
      </c>
      <c r="F69" s="63">
        <v>33</v>
      </c>
      <c r="G69" s="76">
        <v>13.96</v>
      </c>
      <c r="H69" s="64">
        <f t="shared" si="10"/>
        <v>0.42303030303030303</v>
      </c>
      <c r="I69" s="64">
        <f t="shared" si="7"/>
        <v>1.3830303030303031</v>
      </c>
      <c r="J69" s="64"/>
    </row>
    <row r="70" spans="1:16" s="65" customFormat="1" hidden="1" x14ac:dyDescent="0.3">
      <c r="A70" s="60" t="s">
        <v>10</v>
      </c>
      <c r="B70" s="61">
        <v>15</v>
      </c>
      <c r="C70" s="60" t="s">
        <v>5</v>
      </c>
      <c r="D70" s="60">
        <v>19</v>
      </c>
      <c r="E70" s="62">
        <v>43956</v>
      </c>
      <c r="F70" s="63">
        <v>38</v>
      </c>
      <c r="G70" s="76">
        <v>11.32</v>
      </c>
      <c r="H70" s="64">
        <f t="shared" si="10"/>
        <v>0.29789473684210527</v>
      </c>
      <c r="I70" s="64">
        <f t="shared" si="7"/>
        <v>1.4739473684210525</v>
      </c>
      <c r="J70" s="64"/>
    </row>
    <row r="71" spans="1:16" s="65" customFormat="1" x14ac:dyDescent="0.3">
      <c r="A71" s="60" t="s">
        <v>10</v>
      </c>
      <c r="B71" s="61">
        <v>16</v>
      </c>
      <c r="C71" s="60" t="s">
        <v>3</v>
      </c>
      <c r="D71" s="60">
        <v>19</v>
      </c>
      <c r="E71" s="62">
        <v>43956</v>
      </c>
      <c r="F71" s="63">
        <v>40</v>
      </c>
      <c r="G71" s="76">
        <v>17.54</v>
      </c>
      <c r="H71" s="64">
        <f t="shared" si="10"/>
        <v>0.4385</v>
      </c>
      <c r="I71" s="64">
        <f t="shared" si="7"/>
        <v>1.4950000000000001</v>
      </c>
      <c r="J71" s="64"/>
    </row>
    <row r="72" spans="1:16" s="65" customFormat="1" hidden="1" x14ac:dyDescent="0.3">
      <c r="A72" s="60" t="s">
        <v>10</v>
      </c>
      <c r="B72" s="61">
        <v>17</v>
      </c>
      <c r="C72" s="60" t="s">
        <v>4</v>
      </c>
      <c r="D72" s="60">
        <v>19</v>
      </c>
      <c r="E72" s="62">
        <v>43956</v>
      </c>
      <c r="F72" s="63">
        <v>38</v>
      </c>
      <c r="G72" s="77">
        <v>11.61</v>
      </c>
      <c r="H72" s="64">
        <f t="shared" si="10"/>
        <v>0.30552631578947365</v>
      </c>
      <c r="I72" s="64">
        <f t="shared" si="7"/>
        <v>1.4323684210526315</v>
      </c>
      <c r="J72" s="64"/>
    </row>
    <row r="73" spans="1:16" s="65" customFormat="1" hidden="1" x14ac:dyDescent="0.3">
      <c r="A73" s="60" t="s">
        <v>10</v>
      </c>
      <c r="B73" s="61">
        <v>18</v>
      </c>
      <c r="C73" s="60" t="s">
        <v>5</v>
      </c>
      <c r="D73" s="60">
        <v>19</v>
      </c>
      <c r="E73" s="62">
        <v>43956</v>
      </c>
      <c r="F73" s="63">
        <v>40</v>
      </c>
      <c r="G73" s="77">
        <v>18.869999999999997</v>
      </c>
      <c r="H73" s="64">
        <f t="shared" si="10"/>
        <v>0.47174999999999995</v>
      </c>
      <c r="I73" s="64">
        <f t="shared" si="7"/>
        <v>1.4037499999999998</v>
      </c>
      <c r="J73" s="64"/>
    </row>
    <row r="74" spans="1:16" s="65" customFormat="1" x14ac:dyDescent="0.3">
      <c r="A74" s="60" t="s">
        <v>10</v>
      </c>
      <c r="B74" s="61">
        <v>19</v>
      </c>
      <c r="C74" s="60" t="s">
        <v>3</v>
      </c>
      <c r="D74" s="60">
        <v>19</v>
      </c>
      <c r="E74" s="62">
        <v>43956</v>
      </c>
      <c r="F74" s="63">
        <v>37</v>
      </c>
      <c r="G74" s="76">
        <v>15.53</v>
      </c>
      <c r="H74" s="64">
        <f t="shared" si="10"/>
        <v>0.41972972972972972</v>
      </c>
      <c r="I74" s="64">
        <f t="shared" si="7"/>
        <v>1.4616216216216218</v>
      </c>
      <c r="J74" s="64"/>
    </row>
    <row r="75" spans="1:16" s="65" customFormat="1" hidden="1" x14ac:dyDescent="0.3">
      <c r="A75" s="60" t="s">
        <v>10</v>
      </c>
      <c r="B75" s="61">
        <v>20</v>
      </c>
      <c r="C75" s="60" t="s">
        <v>4</v>
      </c>
      <c r="D75" s="60">
        <v>19</v>
      </c>
      <c r="E75" s="62">
        <v>43956</v>
      </c>
      <c r="F75" s="63">
        <v>40</v>
      </c>
      <c r="G75" s="76">
        <v>15.97</v>
      </c>
      <c r="H75" s="64">
        <f t="shared" si="10"/>
        <v>0.39924999999999999</v>
      </c>
      <c r="I75" s="64">
        <f t="shared" si="7"/>
        <v>1.395</v>
      </c>
      <c r="J75" s="64"/>
    </row>
    <row r="76" spans="1:16" s="65" customFormat="1" hidden="1" x14ac:dyDescent="0.3">
      <c r="A76" s="60" t="s">
        <v>10</v>
      </c>
      <c r="B76" s="61">
        <v>21</v>
      </c>
      <c r="C76" s="60" t="s">
        <v>5</v>
      </c>
      <c r="D76" s="60">
        <v>19</v>
      </c>
      <c r="E76" s="62">
        <v>43956</v>
      </c>
      <c r="F76" s="63">
        <v>36</v>
      </c>
      <c r="G76" s="76">
        <v>15.57</v>
      </c>
      <c r="H76" s="64">
        <f t="shared" si="10"/>
        <v>0.4325</v>
      </c>
      <c r="I76" s="64">
        <f t="shared" si="7"/>
        <v>1.5408333333333335</v>
      </c>
      <c r="J76" s="64"/>
    </row>
    <row r="77" spans="1:16" s="65" customFormat="1" x14ac:dyDescent="0.3">
      <c r="A77" s="60" t="s">
        <v>10</v>
      </c>
      <c r="B77" s="61">
        <v>22</v>
      </c>
      <c r="C77" s="60" t="s">
        <v>3</v>
      </c>
      <c r="D77" s="60">
        <v>19</v>
      </c>
      <c r="E77" s="62">
        <v>43956</v>
      </c>
      <c r="F77" s="63">
        <v>38</v>
      </c>
      <c r="G77" s="76">
        <v>15.93</v>
      </c>
      <c r="H77" s="64">
        <f t="shared" si="10"/>
        <v>0.41921052631578948</v>
      </c>
      <c r="I77" s="64">
        <f t="shared" si="7"/>
        <v>1.6365789473684211</v>
      </c>
      <c r="J77" s="64"/>
    </row>
    <row r="78" spans="1:16" hidden="1" x14ac:dyDescent="0.3">
      <c r="A78" s="1" t="s">
        <v>9</v>
      </c>
      <c r="B78" s="4">
        <v>2</v>
      </c>
      <c r="C78" s="1" t="s">
        <v>3</v>
      </c>
      <c r="D78" s="1">
        <v>20</v>
      </c>
      <c r="E78" s="3">
        <v>43963</v>
      </c>
      <c r="F78" s="2">
        <v>39</v>
      </c>
      <c r="G78" s="2">
        <v>18.43</v>
      </c>
      <c r="H78" s="14">
        <f t="shared" ref="H78:H86" si="11">G78/F78</f>
        <v>0.47256410256410258</v>
      </c>
      <c r="I78" s="14">
        <f t="shared" si="7"/>
        <v>2.4994871794871796</v>
      </c>
      <c r="J78" s="86">
        <f>D78</f>
        <v>20</v>
      </c>
      <c r="K78" t="s">
        <v>45</v>
      </c>
      <c r="L78" t="s">
        <v>9</v>
      </c>
      <c r="M78" s="52">
        <f>AVERAGE(H78,H78,H81,H84)</f>
        <v>0.4918901593901594</v>
      </c>
      <c r="N78" s="55">
        <f>STDEV(H78,H78,H81,H84)</f>
        <v>4.0932985440582562E-2</v>
      </c>
      <c r="O78" s="52">
        <f>AVERAGE(I78,I78,I81,I84)</f>
        <v>2.5405544005544005</v>
      </c>
      <c r="P78" s="55">
        <f>STDEV(I78,I78,I81,I84)</f>
        <v>5.1758850555121021E-2</v>
      </c>
    </row>
    <row r="79" spans="1:16" hidden="1" x14ac:dyDescent="0.3">
      <c r="A79" s="1" t="s">
        <v>9</v>
      </c>
      <c r="B79" s="4">
        <v>3</v>
      </c>
      <c r="C79" s="1" t="s">
        <v>4</v>
      </c>
      <c r="D79" s="1">
        <v>20</v>
      </c>
      <c r="E79" s="3">
        <v>43963</v>
      </c>
      <c r="F79" s="2">
        <v>37</v>
      </c>
      <c r="G79" s="2">
        <v>19.3</v>
      </c>
      <c r="H79" s="14">
        <f t="shared" si="11"/>
        <v>0.52162162162162162</v>
      </c>
      <c r="I79" s="14">
        <f t="shared" si="7"/>
        <v>2.4964864864864866</v>
      </c>
      <c r="J79" s="86"/>
      <c r="K79" t="s">
        <v>46</v>
      </c>
      <c r="L79" t="s">
        <v>9</v>
      </c>
      <c r="M79" s="52">
        <f>AVERAGE(H79,H79,H82,H85)</f>
        <v>0.54398648648648651</v>
      </c>
      <c r="N79" s="55">
        <f>STDEV(H79,H79,H82,H85)</f>
        <v>4.4190842187448044E-2</v>
      </c>
      <c r="O79" s="52">
        <f>AVERAGE(I79,I79,I82,I85)</f>
        <v>2.5508783783783784</v>
      </c>
      <c r="P79" s="55">
        <f>STDEV(I79,I79,I82,I85)</f>
        <v>0.1205913065239573</v>
      </c>
    </row>
    <row r="80" spans="1:16" hidden="1" x14ac:dyDescent="0.3">
      <c r="A80" s="1" t="s">
        <v>9</v>
      </c>
      <c r="B80" s="4">
        <v>4</v>
      </c>
      <c r="C80" s="1" t="s">
        <v>5</v>
      </c>
      <c r="D80" s="1">
        <v>20</v>
      </c>
      <c r="E80" s="3">
        <v>43963</v>
      </c>
      <c r="F80" s="2">
        <v>37</v>
      </c>
      <c r="G80" s="2">
        <v>18.440000000000001</v>
      </c>
      <c r="H80" s="14">
        <f t="shared" si="11"/>
        <v>0.49837837837837839</v>
      </c>
      <c r="I80" s="14">
        <f t="shared" si="7"/>
        <v>2.7183783783783788</v>
      </c>
      <c r="J80" s="86"/>
      <c r="K80" t="s">
        <v>47</v>
      </c>
      <c r="L80" t="s">
        <v>9</v>
      </c>
      <c r="M80" s="52">
        <f>AVERAGE(H80,H80,H83,H86)</f>
        <v>0.53142069701280226</v>
      </c>
      <c r="N80" s="55">
        <f>STDEV(H80,H80,H83,H86)</f>
        <v>4.337707493833242E-2</v>
      </c>
      <c r="O80" s="52">
        <f>AVERAGE(I80,I80,I83,I86)</f>
        <v>2.5250889046941682</v>
      </c>
      <c r="P80" s="55">
        <f>STDEV(I80,I80,I83,I86)</f>
        <v>0.26499271324159096</v>
      </c>
    </row>
    <row r="81" spans="1:16" hidden="1" x14ac:dyDescent="0.3">
      <c r="A81" s="1" t="s">
        <v>9</v>
      </c>
      <c r="B81" s="4">
        <v>5</v>
      </c>
      <c r="C81" s="1" t="s">
        <v>3</v>
      </c>
      <c r="D81" s="1">
        <v>20</v>
      </c>
      <c r="E81" s="3">
        <v>43963</v>
      </c>
      <c r="F81" s="2">
        <v>37</v>
      </c>
      <c r="G81" s="2">
        <v>17.36</v>
      </c>
      <c r="H81" s="14">
        <f t="shared" si="11"/>
        <v>0.46918918918918917</v>
      </c>
      <c r="I81" s="14">
        <f t="shared" si="7"/>
        <v>2.6070270270270273</v>
      </c>
      <c r="J81" s="86"/>
      <c r="K81" t="s">
        <v>45</v>
      </c>
      <c r="L81" s="60" t="s">
        <v>10</v>
      </c>
      <c r="M81" s="52">
        <f>AVERAGE(H87,H87,H90,H93)</f>
        <v>0.46147888513513513</v>
      </c>
      <c r="N81" s="55">
        <f>STDEV(H87,H87,H90,H93)</f>
        <v>5.4980604392490931E-2</v>
      </c>
      <c r="O81" s="52">
        <f>AVERAGE(I87,I87,I90,I93)</f>
        <v>1.9396967905405404</v>
      </c>
      <c r="P81" s="55">
        <f>STDEV(I87,I87,I90,I93)</f>
        <v>4.7865782744634794E-2</v>
      </c>
    </row>
    <row r="82" spans="1:16" hidden="1" x14ac:dyDescent="0.3">
      <c r="A82" s="1" t="s">
        <v>9</v>
      </c>
      <c r="B82" s="4">
        <v>6</v>
      </c>
      <c r="C82" s="1" t="s">
        <v>4</v>
      </c>
      <c r="D82" s="1">
        <v>20</v>
      </c>
      <c r="E82" s="3">
        <v>43963</v>
      </c>
      <c r="F82" s="2">
        <v>37</v>
      </c>
      <c r="G82" s="2">
        <v>22.58</v>
      </c>
      <c r="H82" s="14">
        <f t="shared" si="11"/>
        <v>0.61027027027027025</v>
      </c>
      <c r="I82" s="14">
        <f t="shared" si="7"/>
        <v>2.7313513513513508</v>
      </c>
      <c r="J82" s="86"/>
      <c r="K82" t="s">
        <v>46</v>
      </c>
      <c r="L82" s="60" t="s">
        <v>10</v>
      </c>
      <c r="M82" s="52">
        <f>AVERAGE(H88,H88,H91,H94)</f>
        <v>0.43052741228070174</v>
      </c>
      <c r="N82" s="55">
        <f>STDEV(H88,H88,H91,H94)</f>
        <v>6.5250242423586638E-2</v>
      </c>
      <c r="O82" s="52">
        <f>AVERAGE(I88,I88,I91,I94)</f>
        <v>1.8288846690590113</v>
      </c>
      <c r="P82" s="55">
        <f>STDEV(I88,I88,I91,I94)</f>
        <v>6.3774264343973791E-2</v>
      </c>
    </row>
    <row r="83" spans="1:16" hidden="1" x14ac:dyDescent="0.3">
      <c r="A83" s="1" t="s">
        <v>9</v>
      </c>
      <c r="B83" s="4">
        <v>7</v>
      </c>
      <c r="C83" s="1" t="s">
        <v>5</v>
      </c>
      <c r="D83" s="1">
        <v>20</v>
      </c>
      <c r="E83" s="3">
        <v>43963</v>
      </c>
      <c r="F83" s="2">
        <v>37</v>
      </c>
      <c r="G83" s="2">
        <v>19.95</v>
      </c>
      <c r="H83" s="14">
        <f t="shared" si="11"/>
        <v>0.53918918918918912</v>
      </c>
      <c r="I83" s="14">
        <f t="shared" si="7"/>
        <v>2.506756756756757</v>
      </c>
      <c r="J83" s="86"/>
      <c r="K83" t="s">
        <v>47</v>
      </c>
      <c r="L83" s="60" t="s">
        <v>10</v>
      </c>
      <c r="M83" s="52">
        <f>AVERAGE(H89,H89,H92,H95)</f>
        <v>0.42670102339181287</v>
      </c>
      <c r="N83" s="55">
        <f>STDEV(H89,H89,H92,H95)</f>
        <v>4.1216367657076085E-2</v>
      </c>
      <c r="O83" s="52">
        <f>AVERAGE(I89,I89,I92,I95)</f>
        <v>1.8998205409356723</v>
      </c>
      <c r="P83" s="55">
        <f>STDEV(I89,I89,I92,I95)</f>
        <v>3.3102760375164686E-2</v>
      </c>
    </row>
    <row r="84" spans="1:16" hidden="1" x14ac:dyDescent="0.3">
      <c r="A84" s="1" t="s">
        <v>9</v>
      </c>
      <c r="B84" s="4">
        <v>8</v>
      </c>
      <c r="C84" s="1" t="s">
        <v>3</v>
      </c>
      <c r="D84" s="1">
        <v>20</v>
      </c>
      <c r="E84" s="3">
        <v>43963</v>
      </c>
      <c r="F84" s="2">
        <v>37</v>
      </c>
      <c r="G84" s="2">
        <v>20.47</v>
      </c>
      <c r="H84" s="14">
        <f t="shared" si="11"/>
        <v>0.55324324324324325</v>
      </c>
      <c r="I84" s="14">
        <f t="shared" si="7"/>
        <v>2.5562162162162165</v>
      </c>
      <c r="J84" s="14"/>
    </row>
    <row r="85" spans="1:16" hidden="1" x14ac:dyDescent="0.3">
      <c r="A85" s="1" t="s">
        <v>9</v>
      </c>
      <c r="B85" s="4">
        <v>9</v>
      </c>
      <c r="C85" s="1" t="s">
        <v>4</v>
      </c>
      <c r="D85" s="1">
        <v>20</v>
      </c>
      <c r="E85" s="3">
        <v>43963</v>
      </c>
      <c r="F85" s="2">
        <v>37</v>
      </c>
      <c r="G85" s="2">
        <v>19.329999999999998</v>
      </c>
      <c r="H85" s="14">
        <f t="shared" si="11"/>
        <v>0.52243243243243243</v>
      </c>
      <c r="I85" s="14">
        <f t="shared" si="7"/>
        <v>2.4791891891891891</v>
      </c>
      <c r="J85" s="14"/>
    </row>
    <row r="86" spans="1:16" hidden="1" x14ac:dyDescent="0.3">
      <c r="A86" s="1" t="s">
        <v>9</v>
      </c>
      <c r="B86" s="4">
        <v>10</v>
      </c>
      <c r="C86" s="1" t="s">
        <v>5</v>
      </c>
      <c r="D86" s="1">
        <v>20</v>
      </c>
      <c r="E86" s="3">
        <v>43963</v>
      </c>
      <c r="F86" s="2">
        <v>38</v>
      </c>
      <c r="G86" s="2">
        <v>22.41</v>
      </c>
      <c r="H86" s="14">
        <f t="shared" si="11"/>
        <v>0.58973684210526311</v>
      </c>
      <c r="I86" s="14">
        <f t="shared" si="7"/>
        <v>2.1568421052631579</v>
      </c>
      <c r="J86" s="14"/>
    </row>
    <row r="87" spans="1:16" s="65" customFormat="1" x14ac:dyDescent="0.3">
      <c r="A87" s="60" t="s">
        <v>10</v>
      </c>
      <c r="B87" s="61">
        <v>13</v>
      </c>
      <c r="C87" s="60" t="s">
        <v>3</v>
      </c>
      <c r="D87" s="60">
        <v>20</v>
      </c>
      <c r="E87" s="62">
        <v>43963</v>
      </c>
      <c r="F87" s="63">
        <v>32</v>
      </c>
      <c r="G87" s="61">
        <v>13.57</v>
      </c>
      <c r="H87" s="64">
        <f t="shared" ref="H87:H96" si="12">G87/F87</f>
        <v>0.42406250000000001</v>
      </c>
      <c r="I87" s="64">
        <f t="shared" si="7"/>
        <v>1.9021874999999999</v>
      </c>
      <c r="J87" s="64"/>
    </row>
    <row r="88" spans="1:16" s="65" customFormat="1" hidden="1" x14ac:dyDescent="0.3">
      <c r="A88" s="60" t="s">
        <v>10</v>
      </c>
      <c r="B88" s="61">
        <v>14</v>
      </c>
      <c r="C88" s="60" t="s">
        <v>4</v>
      </c>
      <c r="D88" s="60">
        <v>20</v>
      </c>
      <c r="E88" s="62">
        <v>43963</v>
      </c>
      <c r="F88" s="63">
        <v>33</v>
      </c>
      <c r="G88" s="61">
        <v>15.73</v>
      </c>
      <c r="H88" s="64">
        <f t="shared" si="12"/>
        <v>0.47666666666666668</v>
      </c>
      <c r="I88" s="64">
        <f t="shared" si="7"/>
        <v>1.8596969696969698</v>
      </c>
      <c r="J88" s="64"/>
    </row>
    <row r="89" spans="1:16" s="65" customFormat="1" hidden="1" x14ac:dyDescent="0.3">
      <c r="A89" s="60" t="s">
        <v>10</v>
      </c>
      <c r="B89" s="61">
        <v>15</v>
      </c>
      <c r="C89" s="60" t="s">
        <v>5</v>
      </c>
      <c r="D89" s="60">
        <v>20</v>
      </c>
      <c r="E89" s="62">
        <v>43963</v>
      </c>
      <c r="F89" s="63">
        <v>38</v>
      </c>
      <c r="G89" s="61">
        <v>15.4</v>
      </c>
      <c r="H89" s="64">
        <f t="shared" si="12"/>
        <v>0.40526315789473683</v>
      </c>
      <c r="I89" s="64">
        <f t="shared" si="7"/>
        <v>1.8792105263157892</v>
      </c>
      <c r="J89" s="64"/>
    </row>
    <row r="90" spans="1:16" s="65" customFormat="1" x14ac:dyDescent="0.3">
      <c r="A90" s="60" t="s">
        <v>10</v>
      </c>
      <c r="B90" s="61">
        <v>16</v>
      </c>
      <c r="C90" s="60" t="s">
        <v>3</v>
      </c>
      <c r="D90" s="60">
        <v>20</v>
      </c>
      <c r="E90" s="62">
        <v>43963</v>
      </c>
      <c r="F90" s="63">
        <v>40</v>
      </c>
      <c r="G90" s="61">
        <v>18.29</v>
      </c>
      <c r="H90" s="64">
        <f t="shared" si="12"/>
        <v>0.45724999999999999</v>
      </c>
      <c r="I90" s="64">
        <f t="shared" si="7"/>
        <v>1.95225</v>
      </c>
      <c r="J90" s="64"/>
    </row>
    <row r="91" spans="1:16" s="65" customFormat="1" hidden="1" x14ac:dyDescent="0.3">
      <c r="A91" s="60" t="s">
        <v>10</v>
      </c>
      <c r="B91" s="61">
        <v>17</v>
      </c>
      <c r="C91" s="60" t="s">
        <v>4</v>
      </c>
      <c r="D91" s="60">
        <v>20</v>
      </c>
      <c r="E91" s="62">
        <v>43963</v>
      </c>
      <c r="F91" s="63">
        <v>38</v>
      </c>
      <c r="G91" s="63">
        <v>16.36</v>
      </c>
      <c r="H91" s="64">
        <f t="shared" si="12"/>
        <v>0.43052631578947365</v>
      </c>
      <c r="I91" s="64">
        <f t="shared" si="7"/>
        <v>1.8628947368421052</v>
      </c>
      <c r="J91" s="64"/>
    </row>
    <row r="92" spans="1:16" s="65" customFormat="1" hidden="1" x14ac:dyDescent="0.3">
      <c r="A92" s="60" t="s">
        <v>10</v>
      </c>
      <c r="B92" s="61">
        <v>18</v>
      </c>
      <c r="C92" s="60" t="s">
        <v>5</v>
      </c>
      <c r="D92" s="60">
        <v>20</v>
      </c>
      <c r="E92" s="62">
        <v>43963</v>
      </c>
      <c r="F92" s="63">
        <v>40</v>
      </c>
      <c r="G92" s="63">
        <f>5.09+14.45</f>
        <v>19.54</v>
      </c>
      <c r="H92" s="64">
        <f t="shared" si="12"/>
        <v>0.48849999999999999</v>
      </c>
      <c r="I92" s="64">
        <f t="shared" si="7"/>
        <v>1.8922499999999998</v>
      </c>
      <c r="J92" s="64"/>
    </row>
    <row r="93" spans="1:16" s="65" customFormat="1" x14ac:dyDescent="0.3">
      <c r="A93" s="60" t="s">
        <v>10</v>
      </c>
      <c r="B93" s="61">
        <v>19</v>
      </c>
      <c r="C93" s="60" t="s">
        <v>3</v>
      </c>
      <c r="D93" s="60">
        <v>20</v>
      </c>
      <c r="E93" s="62">
        <v>43963</v>
      </c>
      <c r="F93" s="63">
        <v>37</v>
      </c>
      <c r="G93" s="61">
        <v>20</v>
      </c>
      <c r="H93" s="64">
        <f t="shared" si="12"/>
        <v>0.54054054054054057</v>
      </c>
      <c r="I93" s="64">
        <f t="shared" si="7"/>
        <v>2.0021621621621621</v>
      </c>
      <c r="J93" s="64"/>
    </row>
    <row r="94" spans="1:16" s="65" customFormat="1" hidden="1" x14ac:dyDescent="0.3">
      <c r="A94" s="60" t="s">
        <v>10</v>
      </c>
      <c r="B94" s="61">
        <v>20</v>
      </c>
      <c r="C94" s="60" t="s">
        <v>4</v>
      </c>
      <c r="D94" s="60">
        <v>20</v>
      </c>
      <c r="E94" s="62">
        <v>43963</v>
      </c>
      <c r="F94" s="63">
        <v>40</v>
      </c>
      <c r="G94" s="61">
        <v>13.53</v>
      </c>
      <c r="H94" s="64">
        <f t="shared" si="12"/>
        <v>0.33825</v>
      </c>
      <c r="I94" s="64">
        <f t="shared" si="7"/>
        <v>1.73325</v>
      </c>
      <c r="J94" s="64"/>
    </row>
    <row r="95" spans="1:16" s="65" customFormat="1" hidden="1" x14ac:dyDescent="0.3">
      <c r="A95" s="60" t="s">
        <v>10</v>
      </c>
      <c r="B95" s="61">
        <v>21</v>
      </c>
      <c r="C95" s="60" t="s">
        <v>5</v>
      </c>
      <c r="D95" s="60">
        <v>20</v>
      </c>
      <c r="E95" s="62">
        <v>43963</v>
      </c>
      <c r="F95" s="63">
        <v>36</v>
      </c>
      <c r="G95" s="61">
        <v>14.68</v>
      </c>
      <c r="H95" s="64">
        <f t="shared" si="12"/>
        <v>0.40777777777777779</v>
      </c>
      <c r="I95" s="64">
        <f t="shared" si="7"/>
        <v>1.9486111111111113</v>
      </c>
      <c r="J95" s="64"/>
    </row>
    <row r="96" spans="1:16" s="65" customFormat="1" x14ac:dyDescent="0.3">
      <c r="A96" s="60" t="s">
        <v>10</v>
      </c>
      <c r="B96" s="61">
        <v>22</v>
      </c>
      <c r="C96" s="60" t="s">
        <v>3</v>
      </c>
      <c r="D96" s="60">
        <v>20</v>
      </c>
      <c r="E96" s="62">
        <v>43963</v>
      </c>
      <c r="F96" s="63">
        <v>38</v>
      </c>
      <c r="G96" s="61">
        <v>15.79</v>
      </c>
      <c r="H96" s="64">
        <f t="shared" si="12"/>
        <v>0.41552631578947369</v>
      </c>
      <c r="I96" s="64">
        <f t="shared" si="7"/>
        <v>2.0521052631578947</v>
      </c>
      <c r="J96" s="64"/>
    </row>
    <row r="97" spans="1:16" hidden="1" x14ac:dyDescent="0.3">
      <c r="A97" s="1" t="s">
        <v>9</v>
      </c>
      <c r="B97" s="4">
        <v>2</v>
      </c>
      <c r="C97" s="1" t="s">
        <v>3</v>
      </c>
      <c r="D97" s="1">
        <v>21</v>
      </c>
      <c r="E97" s="3">
        <v>43970</v>
      </c>
      <c r="F97" s="2">
        <v>36</v>
      </c>
      <c r="G97" s="2">
        <v>23.06</v>
      </c>
      <c r="H97" s="14">
        <f t="shared" ref="H97:H105" si="13">G97/F97</f>
        <v>0.64055555555555554</v>
      </c>
      <c r="I97" s="14">
        <f t="shared" si="7"/>
        <v>3.1400427350427353</v>
      </c>
      <c r="J97" s="86">
        <f>D97</f>
        <v>21</v>
      </c>
      <c r="K97" t="s">
        <v>45</v>
      </c>
      <c r="L97" t="s">
        <v>9</v>
      </c>
      <c r="M97" s="52">
        <f>AVERAGE(H97,H97,H100,H103)</f>
        <v>0.52603646503646506</v>
      </c>
      <c r="N97" s="55">
        <f>STDEV(H97,H97,H100,H103)</f>
        <v>0.13246859779437717</v>
      </c>
      <c r="O97" s="52">
        <f>AVERAGE(I97,I97,I100,I103)</f>
        <v>3.0665908655908658</v>
      </c>
      <c r="P97" s="55">
        <f>STDEV(I97,I97,I100,I103)</f>
        <v>8.9507978669246979E-2</v>
      </c>
    </row>
    <row r="98" spans="1:16" hidden="1" x14ac:dyDescent="0.3">
      <c r="A98" s="1" t="s">
        <v>9</v>
      </c>
      <c r="B98" s="4">
        <v>3</v>
      </c>
      <c r="C98" s="1" t="s">
        <v>4</v>
      </c>
      <c r="D98" s="1">
        <v>21</v>
      </c>
      <c r="E98" s="3">
        <v>43970</v>
      </c>
      <c r="F98" s="2">
        <v>34</v>
      </c>
      <c r="G98" s="2">
        <v>20.170000000000002</v>
      </c>
      <c r="H98" s="14">
        <f t="shared" si="13"/>
        <v>0.59323529411764708</v>
      </c>
      <c r="I98" s="14">
        <f t="shared" si="7"/>
        <v>3.0897217806041337</v>
      </c>
      <c r="J98" s="86"/>
      <c r="K98" t="s">
        <v>46</v>
      </c>
      <c r="L98" t="s">
        <v>9</v>
      </c>
      <c r="M98" s="52">
        <f>AVERAGE(H98,H98,H101,H104)</f>
        <v>0.5131454248366013</v>
      </c>
      <c r="N98" s="55">
        <f>STDEV(H98,H98,H101,H104)</f>
        <v>9.2653474953909049E-2</v>
      </c>
      <c r="O98" s="52">
        <f>AVERAGE(I98,I98,I101,I104)</f>
        <v>3.0640238032149796</v>
      </c>
      <c r="P98" s="55">
        <f>STDEV(I98,I98,I101,I104)</f>
        <v>0.11259533005451908</v>
      </c>
    </row>
    <row r="99" spans="1:16" hidden="1" x14ac:dyDescent="0.3">
      <c r="A99" s="1" t="s">
        <v>9</v>
      </c>
      <c r="B99" s="4">
        <v>4</v>
      </c>
      <c r="C99" s="1" t="s">
        <v>5</v>
      </c>
      <c r="D99" s="1">
        <v>21</v>
      </c>
      <c r="E99" s="3">
        <v>43970</v>
      </c>
      <c r="F99" s="2">
        <v>37</v>
      </c>
      <c r="G99" s="2">
        <v>18.579999999999998</v>
      </c>
      <c r="H99" s="14">
        <f t="shared" si="13"/>
        <v>0.50216216216216214</v>
      </c>
      <c r="I99" s="14">
        <f t="shared" si="7"/>
        <v>3.220540540540541</v>
      </c>
      <c r="J99" s="86"/>
      <c r="K99" t="s">
        <v>47</v>
      </c>
      <c r="L99" t="s">
        <v>9</v>
      </c>
      <c r="M99" s="52">
        <f>AVERAGE(H99,H99,H102,H105)</f>
        <v>0.44329912619386302</v>
      </c>
      <c r="N99" s="55">
        <f>STDEV(H99,H99,H102,H105)</f>
        <v>7.1901117567553061E-2</v>
      </c>
      <c r="O99" s="52">
        <f>AVERAGE(I99,I99,I102,I105)</f>
        <v>2.9683880308880313</v>
      </c>
      <c r="P99" s="55">
        <f>STDEV(I99,I99,I102,I105)</f>
        <v>0.31469202290402676</v>
      </c>
    </row>
    <row r="100" spans="1:16" hidden="1" x14ac:dyDescent="0.3">
      <c r="A100" s="1" t="s">
        <v>9</v>
      </c>
      <c r="B100" s="4">
        <v>5</v>
      </c>
      <c r="C100" s="1" t="s">
        <v>3</v>
      </c>
      <c r="D100" s="1">
        <v>21</v>
      </c>
      <c r="E100" s="3">
        <v>43970</v>
      </c>
      <c r="F100" s="2">
        <v>35</v>
      </c>
      <c r="G100" s="2">
        <v>14.74</v>
      </c>
      <c r="H100" s="14">
        <f t="shared" si="13"/>
        <v>0.42114285714285715</v>
      </c>
      <c r="I100" s="14">
        <f t="shared" si="7"/>
        <v>3.0281698841698845</v>
      </c>
      <c r="J100" s="86"/>
      <c r="K100" t="s">
        <v>45</v>
      </c>
      <c r="L100" s="60" t="s">
        <v>10</v>
      </c>
      <c r="M100" s="52">
        <f>AVERAGE(H106,H106,H109,H112)</f>
        <v>0.44556617647058827</v>
      </c>
      <c r="N100" s="55">
        <f>STDEV(H106,H106,H109,H112)</f>
        <v>2.3718730553420098E-2</v>
      </c>
      <c r="O100" s="52">
        <f>AVERAGE(I106,I106,I109,I112)</f>
        <v>2.3852629670111289</v>
      </c>
      <c r="P100" s="55">
        <f>STDEV(I106,I106,I109,I112)</f>
        <v>3.2489137274631839E-2</v>
      </c>
    </row>
    <row r="101" spans="1:16" hidden="1" x14ac:dyDescent="0.3">
      <c r="A101" s="1" t="s">
        <v>9</v>
      </c>
      <c r="B101" s="4">
        <v>6</v>
      </c>
      <c r="C101" s="1" t="s">
        <v>4</v>
      </c>
      <c r="D101" s="1">
        <v>21</v>
      </c>
      <c r="E101" s="3">
        <v>43970</v>
      </c>
      <c r="F101" s="2">
        <v>37</v>
      </c>
      <c r="G101" s="2">
        <v>16.28</v>
      </c>
      <c r="H101" s="14">
        <f t="shared" si="13"/>
        <v>0.44000000000000006</v>
      </c>
      <c r="I101" s="14">
        <f t="shared" si="7"/>
        <v>3.1713513513513507</v>
      </c>
      <c r="J101" s="86"/>
      <c r="K101" t="s">
        <v>46</v>
      </c>
      <c r="L101" s="60" t="s">
        <v>10</v>
      </c>
      <c r="M101" s="52">
        <f>AVERAGE(H107,H107,H110,H113)</f>
        <v>0.33922849821746881</v>
      </c>
      <c r="N101" s="55">
        <f>STDEV(H107,H107,H110,H113)</f>
        <v>3.0326221988042853E-2</v>
      </c>
      <c r="O101" s="52">
        <f>AVERAGE(I107,I107,I110,I113)</f>
        <v>2.1681131672764797</v>
      </c>
      <c r="P101" s="55">
        <f>STDEV(I107,I107,I110,I113)</f>
        <v>3.4400094536562731E-2</v>
      </c>
    </row>
    <row r="102" spans="1:16" hidden="1" x14ac:dyDescent="0.3">
      <c r="A102" s="1" t="s">
        <v>9</v>
      </c>
      <c r="B102" s="4">
        <v>7</v>
      </c>
      <c r="C102" s="1" t="s">
        <v>5</v>
      </c>
      <c r="D102" s="1">
        <v>21</v>
      </c>
      <c r="E102" s="3">
        <v>43970</v>
      </c>
      <c r="F102" s="2">
        <v>35</v>
      </c>
      <c r="G102" s="2">
        <v>12.45</v>
      </c>
      <c r="H102" s="14">
        <f t="shared" si="13"/>
        <v>0.35571428571428571</v>
      </c>
      <c r="I102" s="14">
        <f t="shared" si="7"/>
        <v>2.8624710424710429</v>
      </c>
      <c r="J102" s="86"/>
      <c r="K102" t="s">
        <v>47</v>
      </c>
      <c r="L102" s="60" t="s">
        <v>10</v>
      </c>
      <c r="M102" s="52">
        <f>AVERAGE(H108,H108,H111,H114)</f>
        <v>0.32753207236842108</v>
      </c>
      <c r="N102" s="55">
        <f>STDEV(H108,H108,H111,H114)</f>
        <v>6.8744431612350637E-2</v>
      </c>
      <c r="O102" s="52">
        <f>AVERAGE(I108,I108,I111,I114)</f>
        <v>2.2273526133040935</v>
      </c>
      <c r="P102" s="55">
        <f>STDEV(I108,I108,I111,I114)</f>
        <v>9.5507033230853064E-2</v>
      </c>
    </row>
    <row r="103" spans="1:16" hidden="1" x14ac:dyDescent="0.3">
      <c r="A103" s="1" t="s">
        <v>9</v>
      </c>
      <c r="B103" s="4">
        <v>8</v>
      </c>
      <c r="C103" s="1" t="s">
        <v>3</v>
      </c>
      <c r="D103" s="1">
        <v>21</v>
      </c>
      <c r="E103" s="3">
        <v>43970</v>
      </c>
      <c r="F103" s="2">
        <v>37</v>
      </c>
      <c r="G103" s="2">
        <v>14.87</v>
      </c>
      <c r="H103" s="14">
        <f t="shared" si="13"/>
        <v>0.40189189189189189</v>
      </c>
      <c r="I103" s="14">
        <f t="shared" si="7"/>
        <v>2.9581081081081084</v>
      </c>
      <c r="J103" s="14"/>
    </row>
    <row r="104" spans="1:16" hidden="1" x14ac:dyDescent="0.3">
      <c r="A104" s="1" t="s">
        <v>9</v>
      </c>
      <c r="B104" s="4">
        <v>9</v>
      </c>
      <c r="C104" s="1" t="s">
        <v>4</v>
      </c>
      <c r="D104" s="1">
        <v>21</v>
      </c>
      <c r="E104" s="3">
        <v>43970</v>
      </c>
      <c r="F104" s="2">
        <v>36</v>
      </c>
      <c r="G104" s="2">
        <v>15.34</v>
      </c>
      <c r="H104" s="14">
        <f t="shared" si="13"/>
        <v>0.42611111111111111</v>
      </c>
      <c r="I104" s="14">
        <f t="shared" ref="I104:I167" si="14">I85+H104</f>
        <v>2.9053003003003002</v>
      </c>
      <c r="J104" s="14"/>
    </row>
    <row r="105" spans="1:16" hidden="1" x14ac:dyDescent="0.3">
      <c r="A105" s="1" t="s">
        <v>9</v>
      </c>
      <c r="B105" s="4">
        <v>10</v>
      </c>
      <c r="C105" s="1" t="s">
        <v>5</v>
      </c>
      <c r="D105" s="1">
        <v>21</v>
      </c>
      <c r="E105" s="3">
        <v>43970</v>
      </c>
      <c r="F105" s="2">
        <v>38</v>
      </c>
      <c r="G105" s="2">
        <v>15.7</v>
      </c>
      <c r="H105" s="14">
        <f t="shared" si="13"/>
        <v>0.41315789473684211</v>
      </c>
      <c r="I105" s="14">
        <f t="shared" si="14"/>
        <v>2.57</v>
      </c>
      <c r="J105" s="14"/>
    </row>
    <row r="106" spans="1:16" s="65" customFormat="1" x14ac:dyDescent="0.3">
      <c r="A106" s="60" t="s">
        <v>10</v>
      </c>
      <c r="B106" s="61">
        <v>13</v>
      </c>
      <c r="C106" s="60" t="s">
        <v>3</v>
      </c>
      <c r="D106" s="60">
        <v>21</v>
      </c>
      <c r="E106" s="62">
        <v>43970</v>
      </c>
      <c r="F106" s="63">
        <v>32</v>
      </c>
      <c r="G106" s="61">
        <v>14.9</v>
      </c>
      <c r="H106" s="64">
        <f t="shared" ref="H106:H115" si="15">G106/F106</f>
        <v>0.46562500000000001</v>
      </c>
      <c r="I106" s="64">
        <f t="shared" si="14"/>
        <v>2.3678124999999999</v>
      </c>
      <c r="J106" s="64"/>
    </row>
    <row r="107" spans="1:16" s="65" customFormat="1" hidden="1" x14ac:dyDescent="0.3">
      <c r="A107" s="60" t="s">
        <v>10</v>
      </c>
      <c r="B107" s="61">
        <v>14</v>
      </c>
      <c r="C107" s="60" t="s">
        <v>4</v>
      </c>
      <c r="D107" s="60">
        <v>21</v>
      </c>
      <c r="E107" s="62">
        <v>43970</v>
      </c>
      <c r="F107" s="63">
        <v>33</v>
      </c>
      <c r="G107" s="61">
        <v>10.85</v>
      </c>
      <c r="H107" s="64">
        <f t="shared" si="15"/>
        <v>0.3287878787878788</v>
      </c>
      <c r="I107" s="64">
        <f t="shared" si="14"/>
        <v>2.1884848484848485</v>
      </c>
      <c r="J107" s="64"/>
    </row>
    <row r="108" spans="1:16" s="65" customFormat="1" hidden="1" x14ac:dyDescent="0.3">
      <c r="A108" s="60" t="s">
        <v>10</v>
      </c>
      <c r="B108" s="61">
        <v>15</v>
      </c>
      <c r="C108" s="60" t="s">
        <v>5</v>
      </c>
      <c r="D108" s="60">
        <v>21</v>
      </c>
      <c r="E108" s="62">
        <v>43970</v>
      </c>
      <c r="F108" s="63">
        <v>35</v>
      </c>
      <c r="G108" s="61">
        <v>9.3800000000000008</v>
      </c>
      <c r="H108" s="64">
        <f t="shared" si="15"/>
        <v>0.26800000000000002</v>
      </c>
      <c r="I108" s="64">
        <f t="shared" si="14"/>
        <v>2.1472105263157895</v>
      </c>
      <c r="J108" s="64"/>
    </row>
    <row r="109" spans="1:16" s="65" customFormat="1" x14ac:dyDescent="0.3">
      <c r="A109" s="60" t="s">
        <v>10</v>
      </c>
      <c r="B109" s="61">
        <v>16</v>
      </c>
      <c r="C109" s="60" t="s">
        <v>3</v>
      </c>
      <c r="D109" s="60">
        <v>21</v>
      </c>
      <c r="E109" s="62">
        <v>43970</v>
      </c>
      <c r="F109" s="63">
        <v>40</v>
      </c>
      <c r="G109" s="61">
        <v>16.77</v>
      </c>
      <c r="H109" s="64">
        <f t="shared" si="15"/>
        <v>0.41925000000000001</v>
      </c>
      <c r="I109" s="64">
        <f t="shared" si="14"/>
        <v>2.3715000000000002</v>
      </c>
      <c r="J109" s="64"/>
    </row>
    <row r="110" spans="1:16" s="65" customFormat="1" hidden="1" x14ac:dyDescent="0.3">
      <c r="A110" s="60" t="s">
        <v>10</v>
      </c>
      <c r="B110" s="61">
        <v>17</v>
      </c>
      <c r="C110" s="60" t="s">
        <v>4</v>
      </c>
      <c r="D110" s="60">
        <v>21</v>
      </c>
      <c r="E110" s="62">
        <v>43970</v>
      </c>
      <c r="F110" s="63">
        <v>34</v>
      </c>
      <c r="G110" s="63">
        <v>10.73</v>
      </c>
      <c r="H110" s="64">
        <f t="shared" si="15"/>
        <v>0.31558823529411767</v>
      </c>
      <c r="I110" s="64">
        <f t="shared" si="14"/>
        <v>2.1784829721362229</v>
      </c>
      <c r="J110" s="64"/>
    </row>
    <row r="111" spans="1:16" s="65" customFormat="1" hidden="1" x14ac:dyDescent="0.3">
      <c r="A111" s="60" t="s">
        <v>10</v>
      </c>
      <c r="B111" s="61">
        <v>18</v>
      </c>
      <c r="C111" s="60" t="s">
        <v>5</v>
      </c>
      <c r="D111" s="60">
        <v>21</v>
      </c>
      <c r="E111" s="62">
        <v>43970</v>
      </c>
      <c r="F111" s="63">
        <v>38</v>
      </c>
      <c r="G111" s="63">
        <v>14.68</v>
      </c>
      <c r="H111" s="64">
        <f t="shared" si="15"/>
        <v>0.38631578947368422</v>
      </c>
      <c r="I111" s="64">
        <f t="shared" si="14"/>
        <v>2.2785657894736842</v>
      </c>
      <c r="J111" s="64"/>
    </row>
    <row r="112" spans="1:16" s="65" customFormat="1" x14ac:dyDescent="0.3">
      <c r="A112" s="60" t="s">
        <v>10</v>
      </c>
      <c r="B112" s="61">
        <v>19</v>
      </c>
      <c r="C112" s="60" t="s">
        <v>3</v>
      </c>
      <c r="D112" s="60">
        <v>21</v>
      </c>
      <c r="E112" s="62">
        <v>43970</v>
      </c>
      <c r="F112" s="63">
        <v>34</v>
      </c>
      <c r="G112" s="61">
        <v>14.68</v>
      </c>
      <c r="H112" s="64">
        <f t="shared" si="15"/>
        <v>0.43176470588235294</v>
      </c>
      <c r="I112" s="64">
        <f t="shared" si="14"/>
        <v>2.433926868044515</v>
      </c>
      <c r="J112" s="64"/>
    </row>
    <row r="113" spans="1:16" s="65" customFormat="1" hidden="1" x14ac:dyDescent="0.3">
      <c r="A113" s="60" t="s">
        <v>10</v>
      </c>
      <c r="B113" s="61">
        <v>20</v>
      </c>
      <c r="C113" s="60" t="s">
        <v>4</v>
      </c>
      <c r="D113" s="60">
        <v>21</v>
      </c>
      <c r="E113" s="62">
        <v>43970</v>
      </c>
      <c r="F113" s="63">
        <v>40</v>
      </c>
      <c r="G113" s="61">
        <v>15.35</v>
      </c>
      <c r="H113" s="64">
        <f t="shared" si="15"/>
        <v>0.38374999999999998</v>
      </c>
      <c r="I113" s="64">
        <f t="shared" si="14"/>
        <v>2.117</v>
      </c>
      <c r="J113" s="64"/>
    </row>
    <row r="114" spans="1:16" s="65" customFormat="1" hidden="1" x14ac:dyDescent="0.3">
      <c r="A114" s="60" t="s">
        <v>10</v>
      </c>
      <c r="B114" s="61">
        <v>21</v>
      </c>
      <c r="C114" s="60" t="s">
        <v>5</v>
      </c>
      <c r="D114" s="60">
        <v>21</v>
      </c>
      <c r="E114" s="62">
        <v>43970</v>
      </c>
      <c r="F114" s="63">
        <v>32</v>
      </c>
      <c r="G114" s="61">
        <v>12.41</v>
      </c>
      <c r="H114" s="64">
        <f t="shared" si="15"/>
        <v>0.3878125</v>
      </c>
      <c r="I114" s="64">
        <f t="shared" si="14"/>
        <v>2.3364236111111114</v>
      </c>
      <c r="J114" s="64"/>
    </row>
    <row r="115" spans="1:16" s="65" customFormat="1" x14ac:dyDescent="0.3">
      <c r="A115" s="60" t="s">
        <v>10</v>
      </c>
      <c r="B115" s="61">
        <v>22</v>
      </c>
      <c r="C115" s="60" t="s">
        <v>3</v>
      </c>
      <c r="D115" s="60">
        <v>21</v>
      </c>
      <c r="E115" s="62">
        <v>43970</v>
      </c>
      <c r="F115" s="63">
        <v>38</v>
      </c>
      <c r="G115" s="61">
        <v>21.01</v>
      </c>
      <c r="H115" s="64">
        <f t="shared" si="15"/>
        <v>0.55289473684210533</v>
      </c>
      <c r="I115" s="64">
        <f t="shared" si="14"/>
        <v>2.605</v>
      </c>
      <c r="J115" s="64"/>
    </row>
    <row r="116" spans="1:16" hidden="1" x14ac:dyDescent="0.3">
      <c r="A116" s="1" t="s">
        <v>9</v>
      </c>
      <c r="B116" s="4">
        <v>2</v>
      </c>
      <c r="C116" s="1" t="s">
        <v>3</v>
      </c>
      <c r="D116" s="1">
        <v>22</v>
      </c>
      <c r="E116" s="3">
        <v>43977</v>
      </c>
      <c r="F116" s="2">
        <v>36</v>
      </c>
      <c r="G116" s="2">
        <f>17.92+16.63</f>
        <v>34.549999999999997</v>
      </c>
      <c r="H116" s="14">
        <f t="shared" ref="H116:H124" si="16">G116/F116</f>
        <v>0.95972222222222214</v>
      </c>
      <c r="I116" s="14">
        <f t="shared" si="14"/>
        <v>4.0997649572649575</v>
      </c>
      <c r="J116" s="86">
        <f>D116</f>
        <v>22</v>
      </c>
      <c r="K116" t="s">
        <v>45</v>
      </c>
      <c r="L116" t="s">
        <v>9</v>
      </c>
      <c r="M116" s="52">
        <f>AVERAGE(H116,H116,H119,H122)</f>
        <v>0.86025493350493354</v>
      </c>
      <c r="N116" s="55">
        <f>STDEV(H116,H116,H119,H122)</f>
        <v>0.12434579166866047</v>
      </c>
      <c r="O116" s="52">
        <f>AVERAGE(I116,I116,I119,I122)</f>
        <v>3.9268457990957994</v>
      </c>
      <c r="P116" s="55">
        <f>STDEV(I116,I116,I119,I122)</f>
        <v>0.2137335323390373</v>
      </c>
    </row>
    <row r="117" spans="1:16" hidden="1" x14ac:dyDescent="0.3">
      <c r="A117" s="1" t="s">
        <v>9</v>
      </c>
      <c r="B117" s="4">
        <v>3</v>
      </c>
      <c r="C117" s="1" t="s">
        <v>4</v>
      </c>
      <c r="D117" s="1">
        <v>22</v>
      </c>
      <c r="E117" s="3">
        <v>43977</v>
      </c>
      <c r="F117" s="2">
        <v>34</v>
      </c>
      <c r="G117" s="2">
        <f>22.06+6.05</f>
        <v>28.11</v>
      </c>
      <c r="H117" s="14">
        <f t="shared" si="16"/>
        <v>0.82676470588235296</v>
      </c>
      <c r="I117" s="14">
        <f t="shared" si="14"/>
        <v>3.9164864864864866</v>
      </c>
      <c r="J117" s="86"/>
      <c r="K117" t="s">
        <v>46</v>
      </c>
      <c r="L117" t="s">
        <v>9</v>
      </c>
      <c r="M117" s="52">
        <f>AVERAGE(H117,H117,H120,H123)</f>
        <v>0.76084669228051582</v>
      </c>
      <c r="N117" s="55">
        <f>STDEV(H117,H117,H120,H123)</f>
        <v>7.6534447710658385E-2</v>
      </c>
      <c r="O117" s="52">
        <f>AVERAGE(I117,I117,I120,I123)</f>
        <v>3.8248704954954955</v>
      </c>
      <c r="P117" s="55">
        <f>STDEV(I117,I117,I120,I123)</f>
        <v>0.14599794745984215</v>
      </c>
    </row>
    <row r="118" spans="1:16" hidden="1" x14ac:dyDescent="0.3">
      <c r="A118" s="1" t="s">
        <v>9</v>
      </c>
      <c r="B118" s="4">
        <v>4</v>
      </c>
      <c r="C118" s="1" t="s">
        <v>5</v>
      </c>
      <c r="D118" s="1">
        <v>22</v>
      </c>
      <c r="E118" s="3">
        <v>43977</v>
      </c>
      <c r="F118" s="2">
        <v>37</v>
      </c>
      <c r="G118" s="2">
        <f>10.71+13.13+6.2</f>
        <v>30.040000000000003</v>
      </c>
      <c r="H118" s="14">
        <f t="shared" si="16"/>
        <v>0.81189189189189193</v>
      </c>
      <c r="I118" s="14">
        <f t="shared" si="14"/>
        <v>4.032432432432433</v>
      </c>
      <c r="J118" s="86"/>
      <c r="K118" t="s">
        <v>47</v>
      </c>
      <c r="L118" t="s">
        <v>9</v>
      </c>
      <c r="M118" s="52">
        <f>AVERAGE(H118,H118,H121,H124)</f>
        <v>0.76334444218654751</v>
      </c>
      <c r="N118" s="55">
        <f>STDEV(H118,H118,H121,H124)</f>
        <v>7.4415479208476673E-2</v>
      </c>
      <c r="O118" s="52">
        <f>AVERAGE(I118,I118,I121,I124)</f>
        <v>3.7317324730745787</v>
      </c>
      <c r="P118" s="55">
        <f>STDEV(I118,I118,I121,I124)</f>
        <v>0.3542954266846654</v>
      </c>
    </row>
    <row r="119" spans="1:16" hidden="1" x14ac:dyDescent="0.3">
      <c r="A119" s="1" t="s">
        <v>9</v>
      </c>
      <c r="B119" s="4">
        <v>5</v>
      </c>
      <c r="C119" s="1" t="s">
        <v>3</v>
      </c>
      <c r="D119" s="1">
        <v>22</v>
      </c>
      <c r="E119" s="3">
        <v>43977</v>
      </c>
      <c r="F119" s="2">
        <v>35</v>
      </c>
      <c r="G119" s="2">
        <f>13.72+14.95</f>
        <v>28.67</v>
      </c>
      <c r="H119" s="14">
        <f t="shared" si="16"/>
        <v>0.81914285714285717</v>
      </c>
      <c r="I119" s="14">
        <f t="shared" si="14"/>
        <v>3.8473127413127415</v>
      </c>
      <c r="J119" s="86"/>
      <c r="K119" t="s">
        <v>45</v>
      </c>
      <c r="L119" s="60" t="s">
        <v>10</v>
      </c>
      <c r="M119" s="52">
        <f>AVERAGE(H125,H125,H128,H131)</f>
        <v>0.49084926470588236</v>
      </c>
      <c r="N119" s="55">
        <f>STDEV(H125,H125,H128,H131)</f>
        <v>2.1225740528569539E-2</v>
      </c>
      <c r="O119" s="52">
        <f>AVERAGE(I125,I125,I128,I131)</f>
        <v>2.8761122317170109</v>
      </c>
      <c r="P119" s="55">
        <f>STDEV(I125,I125,I128,I131)</f>
        <v>4.7910149632975949E-2</v>
      </c>
    </row>
    <row r="120" spans="1:16" hidden="1" x14ac:dyDescent="0.3">
      <c r="A120" s="1" t="s">
        <v>9</v>
      </c>
      <c r="B120" s="4">
        <v>6</v>
      </c>
      <c r="C120" s="1" t="s">
        <v>4</v>
      </c>
      <c r="D120" s="1">
        <v>22</v>
      </c>
      <c r="E120" s="3">
        <v>43977</v>
      </c>
      <c r="F120" s="2">
        <v>37</v>
      </c>
      <c r="G120" s="2">
        <f>11.1+14.25</f>
        <v>25.35</v>
      </c>
      <c r="H120" s="14">
        <f t="shared" si="16"/>
        <v>0.68513513513513513</v>
      </c>
      <c r="I120" s="14">
        <f t="shared" si="14"/>
        <v>3.8564864864864861</v>
      </c>
      <c r="J120" s="86"/>
      <c r="K120" t="s">
        <v>46</v>
      </c>
      <c r="L120" s="60" t="s">
        <v>10</v>
      </c>
      <c r="M120" s="52">
        <f>AVERAGE(H126,H126,H129,H132)</f>
        <v>0.50941610962566841</v>
      </c>
      <c r="N120" s="55">
        <f>STDEV(H126,H126,H129,H132)</f>
        <v>1.3264938414895507E-2</v>
      </c>
      <c r="O120" s="52">
        <f>AVERAGE(I126,I126,I129,I132)</f>
        <v>2.6775292769021486</v>
      </c>
      <c r="P120" s="55">
        <f>STDEV(I126,I126,I129,I132)</f>
        <v>4.7263267346007908E-2</v>
      </c>
    </row>
    <row r="121" spans="1:16" hidden="1" x14ac:dyDescent="0.3">
      <c r="A121" s="1" t="s">
        <v>9</v>
      </c>
      <c r="B121" s="4">
        <v>7</v>
      </c>
      <c r="C121" s="1" t="s">
        <v>5</v>
      </c>
      <c r="D121" s="1">
        <v>22</v>
      </c>
      <c r="E121" s="3">
        <v>43977</v>
      </c>
      <c r="F121" s="2">
        <v>35</v>
      </c>
      <c r="G121" s="2">
        <f>11.89+11.03</f>
        <v>22.92</v>
      </c>
      <c r="H121" s="14">
        <f t="shared" si="16"/>
        <v>0.65485714285714292</v>
      </c>
      <c r="I121" s="14">
        <f t="shared" si="14"/>
        <v>3.5173281853281857</v>
      </c>
      <c r="J121" s="86"/>
      <c r="K121" t="s">
        <v>47</v>
      </c>
      <c r="L121" s="60" t="s">
        <v>10</v>
      </c>
      <c r="M121" s="52">
        <f>AVERAGE(H127,H127,H130,H133)</f>
        <v>0.57140307800751877</v>
      </c>
      <c r="N121" s="55">
        <f>STDEV(H127,H127,H130,H133)</f>
        <v>6.4630776120421368E-2</v>
      </c>
      <c r="O121" s="52">
        <f>AVERAGE(I127,I127,I130,I133)</f>
        <v>2.7987556913116123</v>
      </c>
      <c r="P121" s="55">
        <f>STDEV(I127,I127,I130,I133)</f>
        <v>0.13620222328724477</v>
      </c>
    </row>
    <row r="122" spans="1:16" hidden="1" x14ac:dyDescent="0.3">
      <c r="A122" s="1" t="s">
        <v>9</v>
      </c>
      <c r="B122" s="4">
        <v>8</v>
      </c>
      <c r="C122" s="1" t="s">
        <v>3</v>
      </c>
      <c r="D122" s="1">
        <v>22</v>
      </c>
      <c r="E122" s="3">
        <v>43977</v>
      </c>
      <c r="F122" s="2">
        <v>37</v>
      </c>
      <c r="G122" s="2">
        <f>17.5+8.49</f>
        <v>25.990000000000002</v>
      </c>
      <c r="H122" s="14">
        <f t="shared" si="16"/>
        <v>0.70243243243243247</v>
      </c>
      <c r="I122" s="14">
        <f t="shared" si="14"/>
        <v>3.6605405405405409</v>
      </c>
      <c r="J122" s="14"/>
    </row>
    <row r="123" spans="1:16" hidden="1" x14ac:dyDescent="0.3">
      <c r="A123" s="1" t="s">
        <v>9</v>
      </c>
      <c r="B123" s="4">
        <v>9</v>
      </c>
      <c r="C123" s="1" t="s">
        <v>4</v>
      </c>
      <c r="D123" s="1">
        <v>22</v>
      </c>
      <c r="E123" s="3">
        <v>43977</v>
      </c>
      <c r="F123" s="2">
        <v>36</v>
      </c>
      <c r="G123" s="2">
        <f>10.3+15.07</f>
        <v>25.37</v>
      </c>
      <c r="H123" s="14">
        <f t="shared" si="16"/>
        <v>0.70472222222222225</v>
      </c>
      <c r="I123" s="14">
        <f t="shared" si="14"/>
        <v>3.6100225225225224</v>
      </c>
      <c r="J123" s="14"/>
    </row>
    <row r="124" spans="1:16" hidden="1" x14ac:dyDescent="0.3">
      <c r="A124" s="1" t="s">
        <v>9</v>
      </c>
      <c r="B124" s="4">
        <v>10</v>
      </c>
      <c r="C124" s="1" t="s">
        <v>5</v>
      </c>
      <c r="D124" s="1">
        <v>22</v>
      </c>
      <c r="E124" s="3">
        <v>43977</v>
      </c>
      <c r="F124" s="2">
        <v>38</v>
      </c>
      <c r="G124" s="2">
        <f>13.61+15.83</f>
        <v>29.439999999999998</v>
      </c>
      <c r="H124" s="14">
        <f t="shared" si="16"/>
        <v>0.77473684210526306</v>
      </c>
      <c r="I124" s="14">
        <f t="shared" si="14"/>
        <v>3.344736842105263</v>
      </c>
      <c r="J124" s="14"/>
    </row>
    <row r="125" spans="1:16" s="65" customFormat="1" x14ac:dyDescent="0.3">
      <c r="A125" s="60" t="s">
        <v>10</v>
      </c>
      <c r="B125" s="61">
        <v>13</v>
      </c>
      <c r="C125" s="60" t="s">
        <v>3</v>
      </c>
      <c r="D125" s="60">
        <v>22</v>
      </c>
      <c r="E125" s="62">
        <v>43977</v>
      </c>
      <c r="F125" s="63">
        <v>32</v>
      </c>
      <c r="G125" s="61">
        <v>15.12</v>
      </c>
      <c r="H125" s="64">
        <f t="shared" ref="H125:H134" si="17">G125/F125</f>
        <v>0.47249999999999998</v>
      </c>
      <c r="I125" s="64">
        <f t="shared" si="14"/>
        <v>2.8403125</v>
      </c>
      <c r="J125" s="64"/>
    </row>
    <row r="126" spans="1:16" s="65" customFormat="1" hidden="1" x14ac:dyDescent="0.3">
      <c r="A126" s="60" t="s">
        <v>10</v>
      </c>
      <c r="B126" s="61">
        <v>14</v>
      </c>
      <c r="C126" s="60" t="s">
        <v>4</v>
      </c>
      <c r="D126" s="60">
        <v>22</v>
      </c>
      <c r="E126" s="62">
        <v>43977</v>
      </c>
      <c r="F126" s="63">
        <v>33</v>
      </c>
      <c r="G126" s="61">
        <f>16.1+0.88</f>
        <v>16.98</v>
      </c>
      <c r="H126" s="64">
        <f t="shared" si="17"/>
        <v>0.51454545454545453</v>
      </c>
      <c r="I126" s="64">
        <f t="shared" si="14"/>
        <v>2.7030303030303031</v>
      </c>
      <c r="J126" s="64"/>
    </row>
    <row r="127" spans="1:16" s="65" customFormat="1" hidden="1" x14ac:dyDescent="0.3">
      <c r="A127" s="60" t="s">
        <v>10</v>
      </c>
      <c r="B127" s="61">
        <v>15</v>
      </c>
      <c r="C127" s="60" t="s">
        <v>5</v>
      </c>
      <c r="D127" s="60">
        <v>22</v>
      </c>
      <c r="E127" s="62">
        <v>43977</v>
      </c>
      <c r="F127" s="63">
        <v>35</v>
      </c>
      <c r="G127" s="61">
        <f>8.66+10.97</f>
        <v>19.630000000000003</v>
      </c>
      <c r="H127" s="64">
        <f t="shared" si="17"/>
        <v>0.56085714285714294</v>
      </c>
      <c r="I127" s="64">
        <f t="shared" si="14"/>
        <v>2.7080676691729324</v>
      </c>
      <c r="J127" s="64"/>
    </row>
    <row r="128" spans="1:16" s="65" customFormat="1" x14ac:dyDescent="0.3">
      <c r="A128" s="60" t="s">
        <v>10</v>
      </c>
      <c r="B128" s="61">
        <v>16</v>
      </c>
      <c r="C128" s="60" t="s">
        <v>3</v>
      </c>
      <c r="D128" s="60">
        <v>22</v>
      </c>
      <c r="E128" s="62">
        <v>43977</v>
      </c>
      <c r="F128" s="63">
        <v>40</v>
      </c>
      <c r="G128" s="61">
        <f>10.59+9.84</f>
        <v>20.43</v>
      </c>
      <c r="H128" s="64">
        <f t="shared" si="17"/>
        <v>0.51075000000000004</v>
      </c>
      <c r="I128" s="64">
        <f t="shared" si="14"/>
        <v>2.88225</v>
      </c>
      <c r="J128" s="64"/>
    </row>
    <row r="129" spans="1:16" s="65" customFormat="1" hidden="1" x14ac:dyDescent="0.3">
      <c r="A129" s="60" t="s">
        <v>10</v>
      </c>
      <c r="B129" s="61">
        <v>17</v>
      </c>
      <c r="C129" s="60" t="s">
        <v>4</v>
      </c>
      <c r="D129" s="60">
        <v>22</v>
      </c>
      <c r="E129" s="62">
        <v>43977</v>
      </c>
      <c r="F129" s="63">
        <v>34</v>
      </c>
      <c r="G129" s="63">
        <f>7.55+10.09</f>
        <v>17.64</v>
      </c>
      <c r="H129" s="64">
        <f t="shared" si="17"/>
        <v>0.51882352941176468</v>
      </c>
      <c r="I129" s="64">
        <f t="shared" si="14"/>
        <v>2.6973065015479873</v>
      </c>
      <c r="J129" s="64"/>
    </row>
    <row r="130" spans="1:16" s="65" customFormat="1" hidden="1" x14ac:dyDescent="0.3">
      <c r="A130" s="60" t="s">
        <v>10</v>
      </c>
      <c r="B130" s="61">
        <v>18</v>
      </c>
      <c r="C130" s="60" t="s">
        <v>5</v>
      </c>
      <c r="D130" s="60">
        <v>22</v>
      </c>
      <c r="E130" s="62">
        <v>43977</v>
      </c>
      <c r="F130" s="63">
        <v>38</v>
      </c>
      <c r="G130" s="63">
        <f>11.08+8.08</f>
        <v>19.16</v>
      </c>
      <c r="H130" s="64">
        <f t="shared" si="17"/>
        <v>0.50421052631578944</v>
      </c>
      <c r="I130" s="64">
        <f t="shared" si="14"/>
        <v>2.7827763157894738</v>
      </c>
      <c r="J130" s="64"/>
    </row>
    <row r="131" spans="1:16" s="65" customFormat="1" x14ac:dyDescent="0.3">
      <c r="A131" s="60" t="s">
        <v>10</v>
      </c>
      <c r="B131" s="61">
        <v>19</v>
      </c>
      <c r="C131" s="60" t="s">
        <v>3</v>
      </c>
      <c r="D131" s="60">
        <v>22</v>
      </c>
      <c r="E131" s="62">
        <v>43977</v>
      </c>
      <c r="F131" s="63">
        <v>34</v>
      </c>
      <c r="G131" s="61">
        <f>11.54+5.72</f>
        <v>17.259999999999998</v>
      </c>
      <c r="H131" s="64">
        <f t="shared" si="17"/>
        <v>0.50764705882352934</v>
      </c>
      <c r="I131" s="64">
        <f t="shared" si="14"/>
        <v>2.9415739268680445</v>
      </c>
      <c r="J131" s="64"/>
    </row>
    <row r="132" spans="1:16" s="65" customFormat="1" hidden="1" x14ac:dyDescent="0.3">
      <c r="A132" s="60" t="s">
        <v>10</v>
      </c>
      <c r="B132" s="61">
        <v>20</v>
      </c>
      <c r="C132" s="60" t="s">
        <v>4</v>
      </c>
      <c r="D132" s="60">
        <v>22</v>
      </c>
      <c r="E132" s="62">
        <v>43977</v>
      </c>
      <c r="F132" s="63">
        <v>40</v>
      </c>
      <c r="G132" s="61">
        <f>10.21+9.38</f>
        <v>19.590000000000003</v>
      </c>
      <c r="H132" s="64">
        <f t="shared" si="17"/>
        <v>0.48975000000000007</v>
      </c>
      <c r="I132" s="64">
        <f t="shared" si="14"/>
        <v>2.6067499999999999</v>
      </c>
      <c r="J132" s="64"/>
    </row>
    <row r="133" spans="1:16" s="65" customFormat="1" hidden="1" x14ac:dyDescent="0.3">
      <c r="A133" s="60" t="s">
        <v>10</v>
      </c>
      <c r="B133" s="61">
        <v>21</v>
      </c>
      <c r="C133" s="60" t="s">
        <v>5</v>
      </c>
      <c r="D133" s="60">
        <v>22</v>
      </c>
      <c r="E133" s="62">
        <v>43977</v>
      </c>
      <c r="F133" s="63">
        <v>32</v>
      </c>
      <c r="G133" s="61">
        <v>21.11</v>
      </c>
      <c r="H133" s="64">
        <f t="shared" si="17"/>
        <v>0.65968749999999998</v>
      </c>
      <c r="I133" s="64">
        <f t="shared" si="14"/>
        <v>2.9961111111111114</v>
      </c>
      <c r="J133" s="64"/>
    </row>
    <row r="134" spans="1:16" s="65" customFormat="1" x14ac:dyDescent="0.3">
      <c r="A134" s="60" t="s">
        <v>10</v>
      </c>
      <c r="B134" s="61">
        <v>22</v>
      </c>
      <c r="C134" s="60" t="s">
        <v>3</v>
      </c>
      <c r="D134" s="60">
        <v>22</v>
      </c>
      <c r="E134" s="62">
        <v>43977</v>
      </c>
      <c r="F134" s="63">
        <v>38</v>
      </c>
      <c r="G134" s="61">
        <v>19</v>
      </c>
      <c r="H134" s="64">
        <f t="shared" si="17"/>
        <v>0.5</v>
      </c>
      <c r="I134" s="64">
        <f t="shared" si="14"/>
        <v>3.105</v>
      </c>
      <c r="J134" s="64"/>
    </row>
    <row r="135" spans="1:16" hidden="1" x14ac:dyDescent="0.3">
      <c r="A135" s="1" t="s">
        <v>9</v>
      </c>
      <c r="B135" s="4">
        <v>2</v>
      </c>
      <c r="C135" s="1" t="s">
        <v>3</v>
      </c>
      <c r="D135" s="1">
        <v>23</v>
      </c>
      <c r="E135" s="3">
        <v>43984</v>
      </c>
      <c r="F135" s="2">
        <v>36</v>
      </c>
      <c r="G135" s="2">
        <f>4.06+18.97</f>
        <v>23.029999999999998</v>
      </c>
      <c r="H135" s="14">
        <f t="shared" ref="H135:H143" si="18">G135/F135</f>
        <v>0.63972222222222219</v>
      </c>
      <c r="I135" s="14">
        <f t="shared" si="14"/>
        <v>4.7394871794871793</v>
      </c>
      <c r="J135" s="86">
        <f>D135</f>
        <v>23</v>
      </c>
      <c r="K135" t="s">
        <v>45</v>
      </c>
      <c r="L135" t="s">
        <v>9</v>
      </c>
      <c r="M135" s="52">
        <f>AVERAGE(H135,H135,H138,H141)</f>
        <v>0.63400782925782928</v>
      </c>
      <c r="N135" s="55">
        <f>STDEV(H135,H135,H138,H141)</f>
        <v>1.6531178124711454E-2</v>
      </c>
      <c r="O135" s="52">
        <f>AVERAGE(I135,I135,I138,I141)</f>
        <v>4.5608536283536285</v>
      </c>
      <c r="P135" s="55">
        <f>STDEV(I135,I135,I138,I141)</f>
        <v>0.225614199401345</v>
      </c>
    </row>
    <row r="136" spans="1:16" hidden="1" x14ac:dyDescent="0.3">
      <c r="A136" s="1" t="s">
        <v>9</v>
      </c>
      <c r="B136" s="4">
        <v>3</v>
      </c>
      <c r="C136" s="1" t="s">
        <v>4</v>
      </c>
      <c r="D136" s="1">
        <v>23</v>
      </c>
      <c r="E136" s="3">
        <v>43984</v>
      </c>
      <c r="F136" s="2">
        <v>34</v>
      </c>
      <c r="G136" s="2">
        <f>15.74+3.49+3.7</f>
        <v>22.93</v>
      </c>
      <c r="H136" s="14">
        <f t="shared" si="18"/>
        <v>0.67441176470588238</v>
      </c>
      <c r="I136" s="14">
        <f t="shared" si="14"/>
        <v>4.5908982511923693</v>
      </c>
      <c r="J136" s="86"/>
      <c r="K136" t="s">
        <v>46</v>
      </c>
      <c r="L136" t="s">
        <v>9</v>
      </c>
      <c r="M136" s="52">
        <f>AVERAGE(H136,H136,H139,H142)</f>
        <v>0.64940558205264087</v>
      </c>
      <c r="N136" s="55">
        <f>STDEV(H136,H136,H139,H142)</f>
        <v>4.4305361085121203E-2</v>
      </c>
      <c r="O136" s="52">
        <f>AVERAGE(I136,I136,I139,I142)</f>
        <v>4.4742760775481365</v>
      </c>
      <c r="P136" s="55">
        <f>STDEV(I136,I136,I139,I142)</f>
        <v>0.15041698475904139</v>
      </c>
    </row>
    <row r="137" spans="1:16" hidden="1" x14ac:dyDescent="0.3">
      <c r="A137" s="1" t="s">
        <v>9</v>
      </c>
      <c r="B137" s="4">
        <v>4</v>
      </c>
      <c r="C137" s="1" t="s">
        <v>5</v>
      </c>
      <c r="D137" s="1">
        <v>23</v>
      </c>
      <c r="E137" s="3">
        <v>43984</v>
      </c>
      <c r="F137" s="2">
        <v>37</v>
      </c>
      <c r="G137" s="2">
        <f>14.52+10.98</f>
        <v>25.5</v>
      </c>
      <c r="H137" s="14">
        <f t="shared" si="18"/>
        <v>0.68918918918918914</v>
      </c>
      <c r="I137" s="14">
        <f t="shared" si="14"/>
        <v>4.7216216216216225</v>
      </c>
      <c r="J137" s="86"/>
      <c r="K137" t="s">
        <v>47</v>
      </c>
      <c r="L137" t="s">
        <v>9</v>
      </c>
      <c r="M137" s="52">
        <f>AVERAGE(H137,H137,H140,H143)</f>
        <v>0.62407203820361712</v>
      </c>
      <c r="N137" s="55">
        <f>STDEV(H137,H137,H140,H143)</f>
        <v>7.546713346060506E-2</v>
      </c>
      <c r="O137" s="52">
        <f>AVERAGE(I137,I137,I140,I143)</f>
        <v>4.3558045112781958</v>
      </c>
      <c r="P137" s="55">
        <f>STDEV(I137,I137,I140,I143)</f>
        <v>0.42935421735309343</v>
      </c>
    </row>
    <row r="138" spans="1:16" hidden="1" x14ac:dyDescent="0.3">
      <c r="A138" s="1" t="s">
        <v>9</v>
      </c>
      <c r="B138" s="4">
        <v>5</v>
      </c>
      <c r="C138" s="1" t="s">
        <v>3</v>
      </c>
      <c r="D138" s="1">
        <v>23</v>
      </c>
      <c r="E138" s="3">
        <v>43984</v>
      </c>
      <c r="F138" s="2">
        <v>35</v>
      </c>
      <c r="G138" s="2">
        <f>8.42+14.22</f>
        <v>22.64</v>
      </c>
      <c r="H138" s="14">
        <f t="shared" si="18"/>
        <v>0.64685714285714291</v>
      </c>
      <c r="I138" s="14">
        <f t="shared" si="14"/>
        <v>4.4941698841698843</v>
      </c>
      <c r="J138" s="86"/>
      <c r="K138" t="s">
        <v>45</v>
      </c>
      <c r="L138" s="60" t="s">
        <v>10</v>
      </c>
      <c r="M138" s="52">
        <f>AVERAGE(H144,H144,H147,H150)</f>
        <v>0.49760845588235292</v>
      </c>
      <c r="N138" s="55">
        <f>STDEV(H144,H144,H147,H150)</f>
        <v>6.4393762907979449E-2</v>
      </c>
      <c r="O138" s="52">
        <f>AVERAGE(I144,I144,I147,I150)</f>
        <v>3.3737206875993642</v>
      </c>
      <c r="P138" s="55">
        <f>STDEV(I144,I144,I147,I150)</f>
        <v>6.9031621073715133E-2</v>
      </c>
    </row>
    <row r="139" spans="1:16" hidden="1" x14ac:dyDescent="0.3">
      <c r="A139" s="1" t="s">
        <v>9</v>
      </c>
      <c r="B139" s="4">
        <v>6</v>
      </c>
      <c r="C139" s="1" t="s">
        <v>4</v>
      </c>
      <c r="D139" s="1">
        <v>23</v>
      </c>
      <c r="E139" s="3">
        <v>43984</v>
      </c>
      <c r="F139" s="2">
        <v>37</v>
      </c>
      <c r="G139" s="2">
        <f>7.7+13.88</f>
        <v>21.580000000000002</v>
      </c>
      <c r="H139" s="14">
        <f t="shared" si="18"/>
        <v>0.58324324324324328</v>
      </c>
      <c r="I139" s="14">
        <f t="shared" si="14"/>
        <v>4.4397297297297289</v>
      </c>
      <c r="J139" s="86"/>
      <c r="K139" t="s">
        <v>46</v>
      </c>
      <c r="L139" s="60" t="s">
        <v>10</v>
      </c>
      <c r="M139" s="52">
        <f>AVERAGE(H145,H145,H148,H151)</f>
        <v>0.4067312834224599</v>
      </c>
      <c r="N139" s="55">
        <f>STDEV(H145,H145,H148,H151)</f>
        <v>4.4802880165774286E-2</v>
      </c>
      <c r="O139" s="52">
        <f>AVERAGE(I145,I145,I148,I151)</f>
        <v>3.084260560324608</v>
      </c>
      <c r="P139" s="55">
        <f>STDEV(I145,I145,I148,I151)</f>
        <v>9.2022515729694887E-2</v>
      </c>
    </row>
    <row r="140" spans="1:16" hidden="1" x14ac:dyDescent="0.3">
      <c r="A140" s="1" t="s">
        <v>9</v>
      </c>
      <c r="B140" s="4">
        <v>7</v>
      </c>
      <c r="C140" s="1" t="s">
        <v>5</v>
      </c>
      <c r="D140" s="1">
        <v>23</v>
      </c>
      <c r="E140" s="3">
        <v>43984</v>
      </c>
      <c r="F140" s="2">
        <v>35</v>
      </c>
      <c r="G140" s="2">
        <f>8.05+11.79</f>
        <v>19.84</v>
      </c>
      <c r="H140" s="14">
        <f t="shared" si="18"/>
        <v>0.56685714285714284</v>
      </c>
      <c r="I140" s="14">
        <f t="shared" si="14"/>
        <v>4.0841853281853284</v>
      </c>
      <c r="J140" s="86"/>
      <c r="K140" t="s">
        <v>47</v>
      </c>
      <c r="L140" s="60" t="s">
        <v>10</v>
      </c>
      <c r="M140" s="52">
        <f>AVERAGE(H146,H146,H149,H152)</f>
        <v>0.47011759868421049</v>
      </c>
      <c r="N140" s="55">
        <f>STDEV(H146,H146,H149,H152)</f>
        <v>4.1963231214272131E-2</v>
      </c>
      <c r="O140" s="52">
        <f>AVERAGE(I146,I146,I149,I152)</f>
        <v>3.2688732899958231</v>
      </c>
      <c r="P140" s="55">
        <f>STDEV(I146,I146,I149,I152)</f>
        <v>0.13850532226126916</v>
      </c>
    </row>
    <row r="141" spans="1:16" hidden="1" x14ac:dyDescent="0.3">
      <c r="A141" s="1" t="s">
        <v>9</v>
      </c>
      <c r="B141" s="4">
        <v>8</v>
      </c>
      <c r="C141" s="1" t="s">
        <v>3</v>
      </c>
      <c r="D141" s="1">
        <v>23</v>
      </c>
      <c r="E141" s="3">
        <v>43984</v>
      </c>
      <c r="F141" s="2">
        <v>37</v>
      </c>
      <c r="G141" s="2">
        <f>7.57+14.99</f>
        <v>22.560000000000002</v>
      </c>
      <c r="H141" s="14">
        <f t="shared" si="18"/>
        <v>0.60972972972972983</v>
      </c>
      <c r="I141" s="14">
        <f t="shared" si="14"/>
        <v>4.2702702702702711</v>
      </c>
      <c r="J141" s="14"/>
    </row>
    <row r="142" spans="1:16" hidden="1" x14ac:dyDescent="0.3">
      <c r="A142" s="1" t="s">
        <v>9</v>
      </c>
      <c r="B142" s="4">
        <v>9</v>
      </c>
      <c r="C142" s="1" t="s">
        <v>4</v>
      </c>
      <c r="D142" s="1">
        <v>23</v>
      </c>
      <c r="E142" s="3">
        <v>43984</v>
      </c>
      <c r="F142" s="2">
        <v>36</v>
      </c>
      <c r="G142" s="2">
        <f>10.62+13.34</f>
        <v>23.96</v>
      </c>
      <c r="H142" s="14">
        <f t="shared" si="18"/>
        <v>0.66555555555555557</v>
      </c>
      <c r="I142" s="14">
        <f t="shared" si="14"/>
        <v>4.2755780780780777</v>
      </c>
      <c r="J142" s="14"/>
    </row>
    <row r="143" spans="1:16" hidden="1" x14ac:dyDescent="0.3">
      <c r="A143" s="1" t="s">
        <v>9</v>
      </c>
      <c r="B143" s="4">
        <v>10</v>
      </c>
      <c r="C143" s="1" t="s">
        <v>5</v>
      </c>
      <c r="D143" s="1">
        <v>23</v>
      </c>
      <c r="E143" s="3">
        <v>43984</v>
      </c>
      <c r="F143" s="2">
        <v>38</v>
      </c>
      <c r="G143" s="2">
        <f>4.31+16.63</f>
        <v>20.939999999999998</v>
      </c>
      <c r="H143" s="14">
        <f t="shared" si="18"/>
        <v>0.55105263157894735</v>
      </c>
      <c r="I143" s="14">
        <f t="shared" si="14"/>
        <v>3.8957894736842102</v>
      </c>
      <c r="J143" s="14"/>
    </row>
    <row r="144" spans="1:16" s="65" customFormat="1" x14ac:dyDescent="0.3">
      <c r="A144" s="60" t="s">
        <v>10</v>
      </c>
      <c r="B144" s="61">
        <v>13</v>
      </c>
      <c r="C144" s="60" t="s">
        <v>3</v>
      </c>
      <c r="D144" s="60">
        <v>23</v>
      </c>
      <c r="E144" s="62">
        <v>43984</v>
      </c>
      <c r="F144" s="63">
        <v>32</v>
      </c>
      <c r="G144" s="61">
        <f>17.21</f>
        <v>17.21</v>
      </c>
      <c r="H144" s="64">
        <f t="shared" ref="H144:H153" si="19">G144/F144</f>
        <v>0.53781250000000003</v>
      </c>
      <c r="I144" s="64">
        <f t="shared" si="14"/>
        <v>3.3781249999999998</v>
      </c>
      <c r="J144" s="64"/>
    </row>
    <row r="145" spans="1:16" s="65" customFormat="1" hidden="1" x14ac:dyDescent="0.3">
      <c r="A145" s="60" t="s">
        <v>10</v>
      </c>
      <c r="B145" s="61">
        <v>14</v>
      </c>
      <c r="C145" s="60" t="s">
        <v>4</v>
      </c>
      <c r="D145" s="60">
        <v>23</v>
      </c>
      <c r="E145" s="62">
        <v>43984</v>
      </c>
      <c r="F145" s="63">
        <v>33</v>
      </c>
      <c r="G145" s="61">
        <v>14.28</v>
      </c>
      <c r="H145" s="64">
        <f t="shared" si="19"/>
        <v>0.43272727272727268</v>
      </c>
      <c r="I145" s="64">
        <f t="shared" si="14"/>
        <v>3.1357575757575757</v>
      </c>
      <c r="J145" s="64"/>
    </row>
    <row r="146" spans="1:16" s="65" customFormat="1" hidden="1" x14ac:dyDescent="0.3">
      <c r="A146" s="60" t="s">
        <v>10</v>
      </c>
      <c r="B146" s="61">
        <v>15</v>
      </c>
      <c r="C146" s="60" t="s">
        <v>5</v>
      </c>
      <c r="D146" s="60">
        <v>23</v>
      </c>
      <c r="E146" s="62">
        <v>43984</v>
      </c>
      <c r="F146" s="63">
        <v>35</v>
      </c>
      <c r="G146" s="61">
        <v>17.36</v>
      </c>
      <c r="H146" s="64">
        <f t="shared" si="19"/>
        <v>0.496</v>
      </c>
      <c r="I146" s="64">
        <f t="shared" si="14"/>
        <v>3.2040676691729324</v>
      </c>
      <c r="J146" s="64"/>
    </row>
    <row r="147" spans="1:16" s="65" customFormat="1" x14ac:dyDescent="0.3">
      <c r="A147" s="60" t="s">
        <v>10</v>
      </c>
      <c r="B147" s="61">
        <v>16</v>
      </c>
      <c r="C147" s="60" t="s">
        <v>3</v>
      </c>
      <c r="D147" s="60">
        <v>23</v>
      </c>
      <c r="E147" s="62">
        <v>43984</v>
      </c>
      <c r="F147" s="63">
        <v>40</v>
      </c>
      <c r="G147" s="61">
        <v>16.11</v>
      </c>
      <c r="H147" s="64">
        <f t="shared" si="19"/>
        <v>0.40275</v>
      </c>
      <c r="I147" s="64">
        <f t="shared" si="14"/>
        <v>3.2850000000000001</v>
      </c>
      <c r="J147" s="64"/>
    </row>
    <row r="148" spans="1:16" s="65" customFormat="1" hidden="1" x14ac:dyDescent="0.3">
      <c r="A148" s="60" t="s">
        <v>10</v>
      </c>
      <c r="B148" s="61">
        <v>17</v>
      </c>
      <c r="C148" s="60" t="s">
        <v>4</v>
      </c>
      <c r="D148" s="60">
        <v>23</v>
      </c>
      <c r="E148" s="62">
        <v>43984</v>
      </c>
      <c r="F148" s="63">
        <v>34</v>
      </c>
      <c r="G148" s="63">
        <f>6.67+7.66</f>
        <v>14.33</v>
      </c>
      <c r="H148" s="64">
        <f t="shared" si="19"/>
        <v>0.4214705882352941</v>
      </c>
      <c r="I148" s="64">
        <f t="shared" si="14"/>
        <v>3.1187770897832814</v>
      </c>
      <c r="J148" s="64"/>
    </row>
    <row r="149" spans="1:16" s="65" customFormat="1" hidden="1" x14ac:dyDescent="0.3">
      <c r="A149" s="60" t="s">
        <v>10</v>
      </c>
      <c r="B149" s="61">
        <v>18</v>
      </c>
      <c r="C149" s="60" t="s">
        <v>5</v>
      </c>
      <c r="D149" s="60">
        <v>23</v>
      </c>
      <c r="E149" s="62">
        <v>43984</v>
      </c>
      <c r="F149" s="63">
        <v>38</v>
      </c>
      <c r="G149" s="63">
        <v>15.51</v>
      </c>
      <c r="H149" s="64">
        <f t="shared" si="19"/>
        <v>0.40815789473684211</v>
      </c>
      <c r="I149" s="64">
        <f t="shared" si="14"/>
        <v>3.1909342105263159</v>
      </c>
      <c r="J149" s="64"/>
    </row>
    <row r="150" spans="1:16" s="65" customFormat="1" x14ac:dyDescent="0.3">
      <c r="A150" s="60" t="s">
        <v>10</v>
      </c>
      <c r="B150" s="61">
        <v>19</v>
      </c>
      <c r="C150" s="60" t="s">
        <v>3</v>
      </c>
      <c r="D150" s="60">
        <v>23</v>
      </c>
      <c r="E150" s="62">
        <v>43984</v>
      </c>
      <c r="F150" s="63">
        <v>34</v>
      </c>
      <c r="G150" s="61">
        <v>17.41</v>
      </c>
      <c r="H150" s="64">
        <f t="shared" si="19"/>
        <v>0.51205882352941179</v>
      </c>
      <c r="I150" s="64">
        <f t="shared" si="14"/>
        <v>3.4536327503974564</v>
      </c>
      <c r="J150" s="64"/>
    </row>
    <row r="151" spans="1:16" s="65" customFormat="1" hidden="1" x14ac:dyDescent="0.3">
      <c r="A151" s="60" t="s">
        <v>10</v>
      </c>
      <c r="B151" s="61">
        <v>20</v>
      </c>
      <c r="C151" s="60" t="s">
        <v>4</v>
      </c>
      <c r="D151" s="60">
        <v>23</v>
      </c>
      <c r="E151" s="62">
        <v>43984</v>
      </c>
      <c r="F151" s="63">
        <v>40</v>
      </c>
      <c r="G151" s="61">
        <v>13.6</v>
      </c>
      <c r="H151" s="64">
        <f t="shared" si="19"/>
        <v>0.33999999999999997</v>
      </c>
      <c r="I151" s="64">
        <f t="shared" si="14"/>
        <v>2.9467499999999998</v>
      </c>
      <c r="J151" s="64"/>
    </row>
    <row r="152" spans="1:16" s="65" customFormat="1" hidden="1" x14ac:dyDescent="0.3">
      <c r="A152" s="60" t="s">
        <v>10</v>
      </c>
      <c r="B152" s="61">
        <v>21</v>
      </c>
      <c r="C152" s="60" t="s">
        <v>5</v>
      </c>
      <c r="D152" s="60">
        <v>23</v>
      </c>
      <c r="E152" s="62">
        <v>43984</v>
      </c>
      <c r="F152" s="63">
        <v>32</v>
      </c>
      <c r="G152" s="61">
        <v>15.37</v>
      </c>
      <c r="H152" s="64">
        <f t="shared" si="19"/>
        <v>0.48031249999999998</v>
      </c>
      <c r="I152" s="64">
        <f t="shared" si="14"/>
        <v>3.4764236111111115</v>
      </c>
      <c r="J152" s="64"/>
    </row>
    <row r="153" spans="1:16" s="65" customFormat="1" x14ac:dyDescent="0.3">
      <c r="A153" s="60" t="s">
        <v>10</v>
      </c>
      <c r="B153" s="61">
        <v>22</v>
      </c>
      <c r="C153" s="60" t="s">
        <v>3</v>
      </c>
      <c r="D153" s="60">
        <v>23</v>
      </c>
      <c r="E153" s="62">
        <v>43984</v>
      </c>
      <c r="F153" s="63">
        <v>38</v>
      </c>
      <c r="G153" s="61">
        <v>17.25</v>
      </c>
      <c r="H153" s="64">
        <f t="shared" si="19"/>
        <v>0.45394736842105265</v>
      </c>
      <c r="I153" s="64">
        <f t="shared" si="14"/>
        <v>3.5589473684210526</v>
      </c>
      <c r="J153" s="64"/>
    </row>
    <row r="154" spans="1:16" hidden="1" x14ac:dyDescent="0.3">
      <c r="A154" s="1" t="s">
        <v>9</v>
      </c>
      <c r="B154" s="4">
        <v>2</v>
      </c>
      <c r="C154" s="1" t="s">
        <v>3</v>
      </c>
      <c r="D154" s="1">
        <v>24</v>
      </c>
      <c r="E154" s="3">
        <v>43991</v>
      </c>
      <c r="F154" s="2">
        <v>36</v>
      </c>
      <c r="G154" s="4">
        <f>13.7+14.01</f>
        <v>27.71</v>
      </c>
      <c r="H154" s="14">
        <f t="shared" ref="H154:H162" si="20">G154/F154</f>
        <v>0.7697222222222222</v>
      </c>
      <c r="I154" s="14">
        <f t="shared" si="14"/>
        <v>5.509209401709402</v>
      </c>
      <c r="J154" s="86">
        <f>D154</f>
        <v>24</v>
      </c>
      <c r="K154" t="s">
        <v>45</v>
      </c>
      <c r="L154" t="s">
        <v>9</v>
      </c>
      <c r="M154" s="52">
        <f>AVERAGE(H154,H154,H157,H160)</f>
        <v>0.71077423852423849</v>
      </c>
      <c r="N154" s="55">
        <f>STDEV(H154,H154,H157,H160)</f>
        <v>7.5235944195187698E-2</v>
      </c>
      <c r="O154" s="52">
        <f>AVERAGE(I154,I154,I157,I160)</f>
        <v>5.2716278668778678</v>
      </c>
      <c r="P154" s="55">
        <f>STDEV(I154,I154,I157,I160)</f>
        <v>0.2806831328551338</v>
      </c>
    </row>
    <row r="155" spans="1:16" hidden="1" x14ac:dyDescent="0.3">
      <c r="A155" s="1" t="s">
        <v>9</v>
      </c>
      <c r="B155" s="4">
        <v>3</v>
      </c>
      <c r="C155" s="1" t="s">
        <v>4</v>
      </c>
      <c r="D155" s="1">
        <v>24</v>
      </c>
      <c r="E155" s="3">
        <v>43991</v>
      </c>
      <c r="F155" s="2">
        <v>34</v>
      </c>
      <c r="G155" s="4">
        <f>3.79+16.56</f>
        <v>20.349999999999998</v>
      </c>
      <c r="H155" s="14">
        <f t="shared" si="20"/>
        <v>0.59852941176470587</v>
      </c>
      <c r="I155" s="14">
        <f t="shared" si="14"/>
        <v>5.1894276629570752</v>
      </c>
      <c r="J155" s="86"/>
      <c r="K155" t="s">
        <v>46</v>
      </c>
      <c r="L155" t="s">
        <v>9</v>
      </c>
      <c r="M155" s="52">
        <f>AVERAGE(H155,H155,H158,H161)</f>
        <v>0.65330374492139198</v>
      </c>
      <c r="N155" s="55">
        <f>STDEV(H155,H155,H158,H161)</f>
        <v>6.3741871742121689E-2</v>
      </c>
      <c r="O155" s="52">
        <f>AVERAGE(I155,I155,I158,I161)</f>
        <v>5.1275798224695288</v>
      </c>
      <c r="P155" s="55">
        <f>STDEV(I155,I155,I158,I161)</f>
        <v>9.2695251151181587E-2</v>
      </c>
    </row>
    <row r="156" spans="1:16" hidden="1" x14ac:dyDescent="0.3">
      <c r="A156" s="1" t="s">
        <v>9</v>
      </c>
      <c r="B156" s="4">
        <v>4</v>
      </c>
      <c r="C156" s="1" t="s">
        <v>5</v>
      </c>
      <c r="D156" s="1">
        <v>24</v>
      </c>
      <c r="E156" s="3">
        <v>43991</v>
      </c>
      <c r="F156" s="2">
        <v>37</v>
      </c>
      <c r="G156" s="4">
        <f>14.05+14.48</f>
        <v>28.53</v>
      </c>
      <c r="H156" s="14">
        <f t="shared" si="20"/>
        <v>0.77108108108108109</v>
      </c>
      <c r="I156" s="14">
        <f t="shared" si="14"/>
        <v>5.4927027027027036</v>
      </c>
      <c r="J156" s="86"/>
      <c r="K156" t="s">
        <v>47</v>
      </c>
      <c r="L156" t="s">
        <v>9</v>
      </c>
      <c r="M156" s="52">
        <f>AVERAGE(H156,H156,H159,H162)</f>
        <v>0.72333377362324736</v>
      </c>
      <c r="N156" s="55">
        <f>STDEV(H156,H156,H159,H162)</f>
        <v>5.5651032846170935E-2</v>
      </c>
      <c r="O156" s="52">
        <f>AVERAGE(I156,I156,I159,I162)</f>
        <v>5.0791382849014433</v>
      </c>
      <c r="P156" s="55">
        <f>STDEV(I156,I156,I159,I162)</f>
        <v>0.48495828504065303</v>
      </c>
    </row>
    <row r="157" spans="1:16" hidden="1" x14ac:dyDescent="0.3">
      <c r="A157" s="1" t="s">
        <v>9</v>
      </c>
      <c r="B157" s="4">
        <v>5</v>
      </c>
      <c r="C157" s="1" t="s">
        <v>3</v>
      </c>
      <c r="D157" s="1">
        <v>24</v>
      </c>
      <c r="E157" s="3">
        <v>43991</v>
      </c>
      <c r="F157" s="2">
        <v>35</v>
      </c>
      <c r="G157" s="4">
        <f>8.99+12.45</f>
        <v>21.439999999999998</v>
      </c>
      <c r="H157" s="14">
        <f t="shared" si="20"/>
        <v>0.61257142857142854</v>
      </c>
      <c r="I157" s="14">
        <f t="shared" si="14"/>
        <v>5.1067413127413133</v>
      </c>
      <c r="J157" s="86"/>
      <c r="K157" t="s">
        <v>45</v>
      </c>
      <c r="L157" s="60" t="s">
        <v>10</v>
      </c>
      <c r="M157" s="52">
        <f>AVERAGE(H163,H163,H166,H169)</f>
        <v>0.40588970588235296</v>
      </c>
      <c r="N157" s="55">
        <f>STDEV(H163,H163,H166,H169)</f>
        <v>4.4250030545607458E-2</v>
      </c>
      <c r="O157" s="52">
        <f>AVERAGE(I163,I163,I166,I169)</f>
        <v>3.7796103934817173</v>
      </c>
      <c r="P157" s="55">
        <f>STDEV(I163,I163,I166,I169)</f>
        <v>0.11120956923072588</v>
      </c>
    </row>
    <row r="158" spans="1:16" hidden="1" x14ac:dyDescent="0.3">
      <c r="A158" s="1" t="s">
        <v>9</v>
      </c>
      <c r="B158" s="4">
        <v>6</v>
      </c>
      <c r="C158" s="1" t="s">
        <v>4</v>
      </c>
      <c r="D158" s="1">
        <v>24</v>
      </c>
      <c r="E158" s="3">
        <v>43991</v>
      </c>
      <c r="F158" s="2">
        <v>37</v>
      </c>
      <c r="G158" s="2">
        <f>11.08+14.76</f>
        <v>25.84</v>
      </c>
      <c r="H158" s="14">
        <f t="shared" si="20"/>
        <v>0.69837837837837835</v>
      </c>
      <c r="I158" s="14">
        <f t="shared" si="14"/>
        <v>5.1381081081081073</v>
      </c>
      <c r="J158" s="86"/>
      <c r="K158" t="s">
        <v>46</v>
      </c>
      <c r="L158" s="60" t="s">
        <v>10</v>
      </c>
      <c r="M158" s="52">
        <f>AVERAGE(H164,H164,H167,H170)</f>
        <v>0.35667312834224596</v>
      </c>
      <c r="N158" s="55">
        <f>STDEV(H164,H164,H167,H170)</f>
        <v>3.5356724058490024E-2</v>
      </c>
      <c r="O158" s="52">
        <f>AVERAGE(I164,I164,I167,I170)</f>
        <v>3.440933688666854</v>
      </c>
      <c r="P158" s="55">
        <f>STDEV(I164,I164,I167,I170)</f>
        <v>0.11874679999874227</v>
      </c>
    </row>
    <row r="159" spans="1:16" hidden="1" x14ac:dyDescent="0.3">
      <c r="A159" s="1" t="s">
        <v>9</v>
      </c>
      <c r="B159" s="4">
        <v>7</v>
      </c>
      <c r="C159" s="1" t="s">
        <v>5</v>
      </c>
      <c r="D159" s="1">
        <v>24</v>
      </c>
      <c r="E159" s="3">
        <v>43991</v>
      </c>
      <c r="F159" s="2">
        <v>35</v>
      </c>
      <c r="G159" s="2">
        <f>10.37+13.6</f>
        <v>23.97</v>
      </c>
      <c r="H159" s="14">
        <f t="shared" si="20"/>
        <v>0.68485714285714283</v>
      </c>
      <c r="I159" s="14">
        <f t="shared" si="14"/>
        <v>4.7690424710424715</v>
      </c>
      <c r="J159" s="86"/>
      <c r="K159" t="s">
        <v>47</v>
      </c>
      <c r="L159" s="60" t="s">
        <v>10</v>
      </c>
      <c r="M159" s="52">
        <f>AVERAGE(H165,H165,H168,H171)</f>
        <v>0.40728031015037597</v>
      </c>
      <c r="N159" s="55">
        <f>STDEV(H165,H165,H168,H171)</f>
        <v>3.7071147647800874E-2</v>
      </c>
      <c r="O159" s="52">
        <f>AVERAGE(I165,I165,I168,I171)</f>
        <v>3.6761536001461992</v>
      </c>
      <c r="P159" s="55">
        <f>STDEV(I165,I165,I168,I171)</f>
        <v>0.1645511179906147</v>
      </c>
    </row>
    <row r="160" spans="1:16" hidden="1" x14ac:dyDescent="0.3">
      <c r="A160" s="1" t="s">
        <v>9</v>
      </c>
      <c r="B160" s="4">
        <v>8</v>
      </c>
      <c r="C160" s="1" t="s">
        <v>3</v>
      </c>
      <c r="D160" s="1">
        <v>24</v>
      </c>
      <c r="E160" s="3">
        <v>43991</v>
      </c>
      <c r="F160" s="2">
        <v>37</v>
      </c>
      <c r="G160" s="4">
        <v>25.57</v>
      </c>
      <c r="H160" s="14">
        <f t="shared" si="20"/>
        <v>0.69108108108108113</v>
      </c>
      <c r="I160" s="14">
        <f t="shared" si="14"/>
        <v>4.9613513513513521</v>
      </c>
      <c r="J160" s="14"/>
    </row>
    <row r="161" spans="1:16" hidden="1" x14ac:dyDescent="0.3">
      <c r="A161" s="1" t="s">
        <v>9</v>
      </c>
      <c r="B161" s="4">
        <v>9</v>
      </c>
      <c r="C161" s="1" t="s">
        <v>4</v>
      </c>
      <c r="D161" s="1">
        <v>24</v>
      </c>
      <c r="E161" s="3">
        <v>43991</v>
      </c>
      <c r="F161" s="2">
        <v>36</v>
      </c>
      <c r="G161" s="4">
        <f>12.72+13.12</f>
        <v>25.84</v>
      </c>
      <c r="H161" s="14">
        <f t="shared" si="20"/>
        <v>0.71777777777777774</v>
      </c>
      <c r="I161" s="14">
        <f t="shared" si="14"/>
        <v>4.9933558558558557</v>
      </c>
      <c r="J161" s="14"/>
    </row>
    <row r="162" spans="1:16" hidden="1" x14ac:dyDescent="0.3">
      <c r="A162" s="1" t="s">
        <v>9</v>
      </c>
      <c r="B162" s="4">
        <v>10</v>
      </c>
      <c r="C162" s="1" t="s">
        <v>5</v>
      </c>
      <c r="D162" s="1">
        <v>24</v>
      </c>
      <c r="E162" s="3">
        <v>43991</v>
      </c>
      <c r="F162" s="2">
        <v>38</v>
      </c>
      <c r="G162" s="4">
        <f>9.7+15.62</f>
        <v>25.32</v>
      </c>
      <c r="H162" s="14">
        <f t="shared" si="20"/>
        <v>0.66631578947368419</v>
      </c>
      <c r="I162" s="14">
        <f t="shared" si="14"/>
        <v>4.5621052631578944</v>
      </c>
      <c r="J162" s="14"/>
    </row>
    <row r="163" spans="1:16" s="65" customFormat="1" x14ac:dyDescent="0.3">
      <c r="A163" s="60" t="s">
        <v>10</v>
      </c>
      <c r="B163" s="61">
        <v>13</v>
      </c>
      <c r="C163" s="60" t="s">
        <v>3</v>
      </c>
      <c r="D163" s="60">
        <v>24</v>
      </c>
      <c r="E163" s="62">
        <v>43991</v>
      </c>
      <c r="F163" s="63">
        <v>32</v>
      </c>
      <c r="G163" s="61">
        <v>13.54</v>
      </c>
      <c r="H163" s="64">
        <f t="shared" ref="H163:H172" si="21">G163/F163</f>
        <v>0.42312499999999997</v>
      </c>
      <c r="I163" s="64">
        <f t="shared" si="14"/>
        <v>3.8012499999999996</v>
      </c>
      <c r="J163" s="64"/>
    </row>
    <row r="164" spans="1:16" s="65" customFormat="1" hidden="1" x14ac:dyDescent="0.3">
      <c r="A164" s="60" t="s">
        <v>10</v>
      </c>
      <c r="B164" s="61">
        <v>14</v>
      </c>
      <c r="C164" s="60" t="s">
        <v>4</v>
      </c>
      <c r="D164" s="60">
        <v>24</v>
      </c>
      <c r="E164" s="62">
        <v>43991</v>
      </c>
      <c r="F164" s="63">
        <v>33</v>
      </c>
      <c r="G164" s="61">
        <v>12.78</v>
      </c>
      <c r="H164" s="64">
        <f t="shared" si="21"/>
        <v>0.38727272727272727</v>
      </c>
      <c r="I164" s="64">
        <f t="shared" si="14"/>
        <v>3.523030303030303</v>
      </c>
      <c r="J164" s="64"/>
    </row>
    <row r="165" spans="1:16" s="65" customFormat="1" hidden="1" x14ac:dyDescent="0.3">
      <c r="A165" s="60" t="s">
        <v>10</v>
      </c>
      <c r="B165" s="61">
        <v>15</v>
      </c>
      <c r="C165" s="60" t="s">
        <v>5</v>
      </c>
      <c r="D165" s="60">
        <v>24</v>
      </c>
      <c r="E165" s="62">
        <v>43991</v>
      </c>
      <c r="F165" s="63">
        <v>35</v>
      </c>
      <c r="G165" s="61">
        <f>11.58+3.02</f>
        <v>14.6</v>
      </c>
      <c r="H165" s="64">
        <f t="shared" si="21"/>
        <v>0.41714285714285715</v>
      </c>
      <c r="I165" s="64">
        <f t="shared" si="14"/>
        <v>3.6212105263157897</v>
      </c>
      <c r="J165" s="64"/>
    </row>
    <row r="166" spans="1:16" s="65" customFormat="1" x14ac:dyDescent="0.3">
      <c r="A166" s="60" t="s">
        <v>10</v>
      </c>
      <c r="B166" s="61">
        <v>16</v>
      </c>
      <c r="C166" s="60" t="s">
        <v>3</v>
      </c>
      <c r="D166" s="60">
        <v>24</v>
      </c>
      <c r="E166" s="62">
        <v>43991</v>
      </c>
      <c r="F166" s="63">
        <v>40</v>
      </c>
      <c r="G166" s="61">
        <f>10.63+2.98</f>
        <v>13.610000000000001</v>
      </c>
      <c r="H166" s="64">
        <f t="shared" si="21"/>
        <v>0.34025000000000005</v>
      </c>
      <c r="I166" s="64">
        <f t="shared" si="14"/>
        <v>3.6252500000000003</v>
      </c>
      <c r="J166" s="64"/>
    </row>
    <row r="167" spans="1:16" s="65" customFormat="1" hidden="1" x14ac:dyDescent="0.3">
      <c r="A167" s="60" t="s">
        <v>10</v>
      </c>
      <c r="B167" s="61">
        <v>17</v>
      </c>
      <c r="C167" s="60" t="s">
        <v>4</v>
      </c>
      <c r="D167" s="60">
        <v>24</v>
      </c>
      <c r="E167" s="62">
        <v>43991</v>
      </c>
      <c r="F167" s="63">
        <v>34</v>
      </c>
      <c r="G167" s="63">
        <v>11.14</v>
      </c>
      <c r="H167" s="64">
        <f t="shared" si="21"/>
        <v>0.3276470588235294</v>
      </c>
      <c r="I167" s="64">
        <f t="shared" si="14"/>
        <v>3.4464241486068108</v>
      </c>
      <c r="J167" s="64"/>
    </row>
    <row r="168" spans="1:16" s="65" customFormat="1" hidden="1" x14ac:dyDescent="0.3">
      <c r="A168" s="60" t="s">
        <v>10</v>
      </c>
      <c r="B168" s="61">
        <v>18</v>
      </c>
      <c r="C168" s="60" t="s">
        <v>5</v>
      </c>
      <c r="D168" s="60">
        <v>24</v>
      </c>
      <c r="E168" s="62">
        <v>43991</v>
      </c>
      <c r="F168" s="63">
        <v>38</v>
      </c>
      <c r="G168" s="63">
        <v>13.46</v>
      </c>
      <c r="H168" s="64">
        <f t="shared" si="21"/>
        <v>0.35421052631578948</v>
      </c>
      <c r="I168" s="64">
        <f t="shared" ref="I168:I231" si="22">I149+H168</f>
        <v>3.5451447368421052</v>
      </c>
      <c r="J168" s="64"/>
    </row>
    <row r="169" spans="1:16" s="65" customFormat="1" x14ac:dyDescent="0.3">
      <c r="A169" s="60" t="s">
        <v>10</v>
      </c>
      <c r="B169" s="61">
        <v>19</v>
      </c>
      <c r="C169" s="60" t="s">
        <v>3</v>
      </c>
      <c r="D169" s="60">
        <v>24</v>
      </c>
      <c r="E169" s="62">
        <v>43991</v>
      </c>
      <c r="F169" s="63">
        <v>34</v>
      </c>
      <c r="G169" s="61">
        <v>14.86</v>
      </c>
      <c r="H169" s="64">
        <f t="shared" si="21"/>
        <v>0.43705882352941172</v>
      </c>
      <c r="I169" s="64">
        <f t="shared" si="22"/>
        <v>3.8906915739268682</v>
      </c>
      <c r="J169" s="64"/>
    </row>
    <row r="170" spans="1:16" s="65" customFormat="1" hidden="1" x14ac:dyDescent="0.3">
      <c r="A170" s="60" t="s">
        <v>10</v>
      </c>
      <c r="B170" s="61">
        <v>20</v>
      </c>
      <c r="C170" s="60" t="s">
        <v>4</v>
      </c>
      <c r="D170" s="60">
        <v>24</v>
      </c>
      <c r="E170" s="62">
        <v>43991</v>
      </c>
      <c r="F170" s="63">
        <v>40</v>
      </c>
      <c r="G170" s="61">
        <v>12.98</v>
      </c>
      <c r="H170" s="64">
        <f t="shared" si="21"/>
        <v>0.32450000000000001</v>
      </c>
      <c r="I170" s="64">
        <f t="shared" si="22"/>
        <v>3.2712499999999998</v>
      </c>
      <c r="J170" s="64"/>
    </row>
    <row r="171" spans="1:16" s="65" customFormat="1" hidden="1" x14ac:dyDescent="0.3">
      <c r="A171" s="60" t="s">
        <v>10</v>
      </c>
      <c r="B171" s="61">
        <v>21</v>
      </c>
      <c r="C171" s="60" t="s">
        <v>5</v>
      </c>
      <c r="D171" s="60">
        <v>24</v>
      </c>
      <c r="E171" s="62">
        <v>43991</v>
      </c>
      <c r="F171" s="63">
        <v>32</v>
      </c>
      <c r="G171" s="61">
        <f>2.75+11.35</f>
        <v>14.1</v>
      </c>
      <c r="H171" s="64">
        <f t="shared" si="21"/>
        <v>0.44062499999999999</v>
      </c>
      <c r="I171" s="64">
        <f t="shared" si="22"/>
        <v>3.9170486111111114</v>
      </c>
      <c r="J171" s="64"/>
    </row>
    <row r="172" spans="1:16" s="65" customFormat="1" x14ac:dyDescent="0.3">
      <c r="A172" s="60" t="s">
        <v>10</v>
      </c>
      <c r="B172" s="61">
        <v>22</v>
      </c>
      <c r="C172" s="60" t="s">
        <v>3</v>
      </c>
      <c r="D172" s="60">
        <v>24</v>
      </c>
      <c r="E172" s="62">
        <v>43991</v>
      </c>
      <c r="F172" s="63">
        <v>38</v>
      </c>
      <c r="G172" s="61">
        <f>9.69+11.68</f>
        <v>21.369999999999997</v>
      </c>
      <c r="H172" s="64">
        <f t="shared" si="21"/>
        <v>0.56236842105263152</v>
      </c>
      <c r="I172" s="64">
        <f t="shared" si="22"/>
        <v>4.1213157894736838</v>
      </c>
      <c r="J172" s="64"/>
    </row>
    <row r="173" spans="1:16" hidden="1" x14ac:dyDescent="0.3">
      <c r="A173" s="1" t="s">
        <v>9</v>
      </c>
      <c r="B173" s="4">
        <v>2</v>
      </c>
      <c r="C173" s="1" t="s">
        <v>3</v>
      </c>
      <c r="D173" s="1">
        <v>25</v>
      </c>
      <c r="E173" s="3">
        <v>43998</v>
      </c>
      <c r="F173" s="2">
        <v>36</v>
      </c>
      <c r="G173" s="4">
        <f>15.8+8.42</f>
        <v>24.22</v>
      </c>
      <c r="H173" s="14">
        <f t="shared" ref="H173:H181" si="23">G173/F173</f>
        <v>0.6727777777777777</v>
      </c>
      <c r="I173" s="14">
        <f t="shared" si="22"/>
        <v>6.1819871794871801</v>
      </c>
      <c r="J173" s="86">
        <f>D173</f>
        <v>25</v>
      </c>
      <c r="K173" t="s">
        <v>45</v>
      </c>
      <c r="L173" t="s">
        <v>9</v>
      </c>
      <c r="M173" s="52">
        <f>AVERAGE(H173,H173,H176,H179)</f>
        <v>0.67886186186186182</v>
      </c>
      <c r="N173" s="55">
        <f>STDEV(H173,H173,H176,H179)</f>
        <v>9.0287807729288651E-3</v>
      </c>
      <c r="O173" s="52">
        <f>AVERAGE(I173,I173,I176,I179)</f>
        <v>5.9504897287397291</v>
      </c>
      <c r="P173" s="55">
        <f>STDEV(I173,I173,I176,I179)</f>
        <v>0.2726476052533337</v>
      </c>
    </row>
    <row r="174" spans="1:16" hidden="1" x14ac:dyDescent="0.3">
      <c r="A174" s="1" t="s">
        <v>9</v>
      </c>
      <c r="B174" s="4">
        <v>3</v>
      </c>
      <c r="C174" s="1" t="s">
        <v>4</v>
      </c>
      <c r="D174" s="1">
        <v>25</v>
      </c>
      <c r="E174" s="3">
        <v>43998</v>
      </c>
      <c r="F174" s="2">
        <v>34</v>
      </c>
      <c r="G174" s="4">
        <f>14.88+3.02+7.22</f>
        <v>25.12</v>
      </c>
      <c r="H174" s="14">
        <f t="shared" si="23"/>
        <v>0.73882352941176477</v>
      </c>
      <c r="I174" s="14">
        <f t="shared" si="22"/>
        <v>5.9282511923688403</v>
      </c>
      <c r="J174" s="86"/>
      <c r="K174" t="s">
        <v>46</v>
      </c>
      <c r="L174" t="s">
        <v>9</v>
      </c>
      <c r="M174" s="52">
        <f>AVERAGE(H174,H174,H177,H180)</f>
        <v>0.63660771065182831</v>
      </c>
      <c r="N174" s="55">
        <f>STDEV(H174,H174,H177,H180)</f>
        <v>0.11908594286109829</v>
      </c>
      <c r="O174" s="52">
        <f>AVERAGE(I174,I174,I177,I180)</f>
        <v>5.7641875331213566</v>
      </c>
      <c r="P174" s="55">
        <f>STDEV(I174,I174,I177,I180)</f>
        <v>0.20372389436408622</v>
      </c>
    </row>
    <row r="175" spans="1:16" hidden="1" x14ac:dyDescent="0.3">
      <c r="A175" s="1" t="s">
        <v>9</v>
      </c>
      <c r="B175" s="4">
        <v>4</v>
      </c>
      <c r="C175" s="1" t="s">
        <v>5</v>
      </c>
      <c r="D175" s="1">
        <v>25</v>
      </c>
      <c r="E175" s="3">
        <v>43998</v>
      </c>
      <c r="F175" s="2">
        <v>37</v>
      </c>
      <c r="G175" s="4">
        <f>19.02+5.76</f>
        <v>24.78</v>
      </c>
      <c r="H175" s="14">
        <f t="shared" si="23"/>
        <v>0.66972972972972977</v>
      </c>
      <c r="I175" s="14">
        <f t="shared" si="22"/>
        <v>6.1624324324324338</v>
      </c>
      <c r="J175" s="86"/>
      <c r="K175" t="s">
        <v>47</v>
      </c>
      <c r="L175" t="s">
        <v>9</v>
      </c>
      <c r="M175" s="52">
        <f>AVERAGE(H175,H175,H178,H181)</f>
        <v>0.65840809794757171</v>
      </c>
      <c r="N175" s="55">
        <f>STDEV(H175,H175,H178,H181)</f>
        <v>1.8349803554563344E-2</v>
      </c>
      <c r="O175" s="52">
        <f>AVERAGE(I175,I175,I178,I181)</f>
        <v>5.7375463828490147</v>
      </c>
      <c r="P175" s="55">
        <f>STDEV(I175,I175,I178,I181)</f>
        <v>0.50018284410624914</v>
      </c>
    </row>
    <row r="176" spans="1:16" hidden="1" x14ac:dyDescent="0.3">
      <c r="A176" s="1" t="s">
        <v>9</v>
      </c>
      <c r="B176" s="4">
        <v>5</v>
      </c>
      <c r="C176" s="1" t="s">
        <v>3</v>
      </c>
      <c r="D176" s="1">
        <v>25</v>
      </c>
      <c r="E176" s="3">
        <v>43998</v>
      </c>
      <c r="F176" s="2">
        <v>35</v>
      </c>
      <c r="G176" s="4">
        <f>2.35+21.38</f>
        <v>23.73</v>
      </c>
      <c r="H176" s="14">
        <f t="shared" si="23"/>
        <v>0.67800000000000005</v>
      </c>
      <c r="I176" s="14">
        <f t="shared" si="22"/>
        <v>5.7847413127413132</v>
      </c>
      <c r="J176" s="86"/>
      <c r="K176" t="s">
        <v>45</v>
      </c>
      <c r="L176" s="60" t="s">
        <v>10</v>
      </c>
      <c r="M176" s="52">
        <f>AVERAGE(H182,H182,H185,H188)</f>
        <v>0.68858272058823533</v>
      </c>
      <c r="N176" s="55">
        <f>STDEV(H182,H182,H185,H188)</f>
        <v>7.4172545010151011E-2</v>
      </c>
      <c r="O176" s="52">
        <f>AVERAGE(I182,I182,I185,I188)</f>
        <v>4.468193114069952</v>
      </c>
      <c r="P176" s="55">
        <f>STDEV(I182,I182,I185,I188)</f>
        <v>0.1677336912760849</v>
      </c>
    </row>
    <row r="177" spans="1:16" hidden="1" x14ac:dyDescent="0.3">
      <c r="A177" s="1" t="s">
        <v>9</v>
      </c>
      <c r="B177" s="4">
        <v>6</v>
      </c>
      <c r="C177" s="1" t="s">
        <v>4</v>
      </c>
      <c r="D177" s="1">
        <v>25</v>
      </c>
      <c r="E177" s="3">
        <v>43998</v>
      </c>
      <c r="F177" s="2">
        <v>37</v>
      </c>
      <c r="G177" s="2">
        <f>13.35+7.14</f>
        <v>20.49</v>
      </c>
      <c r="H177" s="14">
        <f t="shared" si="23"/>
        <v>0.55378378378378379</v>
      </c>
      <c r="I177" s="14">
        <f t="shared" si="22"/>
        <v>5.691891891891891</v>
      </c>
      <c r="J177" s="86"/>
      <c r="K177" t="s">
        <v>46</v>
      </c>
      <c r="L177" s="60" t="s">
        <v>10</v>
      </c>
      <c r="M177" s="52">
        <f>AVERAGE(H183,H183,H186,H189)</f>
        <v>0.60045432263814613</v>
      </c>
      <c r="N177" s="55">
        <f>STDEV(H183,H183,H186,H189)</f>
        <v>3.4081857915379862E-2</v>
      </c>
      <c r="O177" s="52">
        <f>AVERAGE(I183,I183,I186,I189)</f>
        <v>4.041388011305</v>
      </c>
      <c r="P177" s="55">
        <f>STDEV(I183,I183,I186,I189)</f>
        <v>0.15214297184154185</v>
      </c>
    </row>
    <row r="178" spans="1:16" hidden="1" x14ac:dyDescent="0.3">
      <c r="A178" s="1" t="s">
        <v>9</v>
      </c>
      <c r="B178" s="4">
        <v>7</v>
      </c>
      <c r="C178" s="1" t="s">
        <v>5</v>
      </c>
      <c r="D178" s="1">
        <v>25</v>
      </c>
      <c r="E178" s="3">
        <v>43998</v>
      </c>
      <c r="F178" s="2">
        <v>35</v>
      </c>
      <c r="G178" s="2">
        <f>12.02+11.18</f>
        <v>23.2</v>
      </c>
      <c r="H178" s="14">
        <f t="shared" si="23"/>
        <v>0.66285714285714281</v>
      </c>
      <c r="I178" s="14">
        <f t="shared" si="22"/>
        <v>5.4318996138996143</v>
      </c>
      <c r="J178" s="86"/>
      <c r="K178" t="s">
        <v>47</v>
      </c>
      <c r="L178" s="60" t="s">
        <v>10</v>
      </c>
      <c r="M178" s="52">
        <f>AVERAGE(H184,H184,H187,H190)</f>
        <v>0.67750775375939853</v>
      </c>
      <c r="N178" s="55">
        <f>STDEV(H184,H184,H187,H190)</f>
        <v>4.8347358534027857E-2</v>
      </c>
      <c r="O178" s="52">
        <f>AVERAGE(I184,I184,I187,I190)</f>
        <v>4.3536613539055971</v>
      </c>
      <c r="P178" s="55">
        <f>STDEV(I184,I184,I187,I190)</f>
        <v>0.19144524006097405</v>
      </c>
    </row>
    <row r="179" spans="1:16" hidden="1" x14ac:dyDescent="0.3">
      <c r="A179" s="1" t="s">
        <v>9</v>
      </c>
      <c r="B179" s="4">
        <v>8</v>
      </c>
      <c r="C179" s="1" t="s">
        <v>3</v>
      </c>
      <c r="D179" s="1">
        <v>25</v>
      </c>
      <c r="E179" s="3">
        <v>43998</v>
      </c>
      <c r="F179" s="2">
        <v>37</v>
      </c>
      <c r="G179" s="4">
        <f>12.83+12.77</f>
        <v>25.6</v>
      </c>
      <c r="H179" s="14">
        <f t="shared" si="23"/>
        <v>0.69189189189189193</v>
      </c>
      <c r="I179" s="14">
        <f t="shared" si="22"/>
        <v>5.653243243243244</v>
      </c>
      <c r="J179" s="14"/>
    </row>
    <row r="180" spans="1:16" hidden="1" x14ac:dyDescent="0.3">
      <c r="A180" s="1" t="s">
        <v>9</v>
      </c>
      <c r="B180" s="4">
        <v>9</v>
      </c>
      <c r="C180" s="1" t="s">
        <v>4</v>
      </c>
      <c r="D180" s="1">
        <v>25</v>
      </c>
      <c r="E180" s="3">
        <v>43998</v>
      </c>
      <c r="F180" s="2">
        <v>36</v>
      </c>
      <c r="G180" s="4">
        <v>18.54</v>
      </c>
      <c r="H180" s="14">
        <f t="shared" si="23"/>
        <v>0.51500000000000001</v>
      </c>
      <c r="I180" s="14">
        <f t="shared" si="22"/>
        <v>5.5083558558558554</v>
      </c>
      <c r="J180" s="14"/>
    </row>
    <row r="181" spans="1:16" hidden="1" x14ac:dyDescent="0.3">
      <c r="A181" s="1" t="s">
        <v>9</v>
      </c>
      <c r="B181" s="4">
        <v>10</v>
      </c>
      <c r="C181" s="1" t="s">
        <v>5</v>
      </c>
      <c r="D181" s="1">
        <v>25</v>
      </c>
      <c r="E181" s="3">
        <v>43998</v>
      </c>
      <c r="F181" s="2">
        <v>38</v>
      </c>
      <c r="G181" s="4">
        <f>14.08+9.91</f>
        <v>23.990000000000002</v>
      </c>
      <c r="H181" s="14">
        <f t="shared" si="23"/>
        <v>0.63131578947368427</v>
      </c>
      <c r="I181" s="14">
        <f t="shared" si="22"/>
        <v>5.1934210526315789</v>
      </c>
      <c r="J181" s="14"/>
    </row>
    <row r="182" spans="1:16" s="65" customFormat="1" x14ac:dyDescent="0.3">
      <c r="A182" s="60" t="s">
        <v>10</v>
      </c>
      <c r="B182" s="61">
        <v>13</v>
      </c>
      <c r="C182" s="60" t="s">
        <v>3</v>
      </c>
      <c r="D182" s="60">
        <v>25</v>
      </c>
      <c r="E182" s="62">
        <v>43998</v>
      </c>
      <c r="F182" s="63">
        <v>32</v>
      </c>
      <c r="G182" s="61">
        <v>23.89</v>
      </c>
      <c r="H182" s="64">
        <f t="shared" ref="H182:H191" si="24">G182/F182</f>
        <v>0.74656250000000002</v>
      </c>
      <c r="I182" s="64">
        <f t="shared" si="22"/>
        <v>4.5478124999999991</v>
      </c>
      <c r="J182" s="64"/>
    </row>
    <row r="183" spans="1:16" s="65" customFormat="1" hidden="1" x14ac:dyDescent="0.3">
      <c r="A183" s="60" t="s">
        <v>10</v>
      </c>
      <c r="B183" s="61">
        <v>14</v>
      </c>
      <c r="C183" s="60" t="s">
        <v>4</v>
      </c>
      <c r="D183" s="60">
        <v>25</v>
      </c>
      <c r="E183" s="62">
        <v>43998</v>
      </c>
      <c r="F183" s="63">
        <v>33</v>
      </c>
      <c r="G183" s="61">
        <v>20.440000000000001</v>
      </c>
      <c r="H183" s="64">
        <f t="shared" si="24"/>
        <v>0.61939393939393939</v>
      </c>
      <c r="I183" s="64">
        <f t="shared" si="22"/>
        <v>4.1424242424242426</v>
      </c>
      <c r="J183" s="64"/>
    </row>
    <row r="184" spans="1:16" s="65" customFormat="1" hidden="1" x14ac:dyDescent="0.3">
      <c r="A184" s="60" t="s">
        <v>10</v>
      </c>
      <c r="B184" s="61">
        <v>15</v>
      </c>
      <c r="C184" s="60" t="s">
        <v>5</v>
      </c>
      <c r="D184" s="60">
        <v>25</v>
      </c>
      <c r="E184" s="62">
        <v>43998</v>
      </c>
      <c r="F184" s="63">
        <v>35</v>
      </c>
      <c r="G184" s="61">
        <f>9.27+15.39</f>
        <v>24.66</v>
      </c>
      <c r="H184" s="64">
        <f t="shared" si="24"/>
        <v>0.70457142857142863</v>
      </c>
      <c r="I184" s="64">
        <f t="shared" si="22"/>
        <v>4.3257819548872183</v>
      </c>
      <c r="J184" s="64"/>
    </row>
    <row r="185" spans="1:16" s="65" customFormat="1" x14ac:dyDescent="0.3">
      <c r="A185" s="60" t="s">
        <v>10</v>
      </c>
      <c r="B185" s="61">
        <v>16</v>
      </c>
      <c r="C185" s="60" t="s">
        <v>3</v>
      </c>
      <c r="D185" s="60">
        <v>25</v>
      </c>
      <c r="E185" s="62">
        <v>43998</v>
      </c>
      <c r="F185" s="63">
        <v>40</v>
      </c>
      <c r="G185" s="61">
        <f>22.49+1.17</f>
        <v>23.659999999999997</v>
      </c>
      <c r="H185" s="64">
        <f t="shared" si="24"/>
        <v>0.59149999999999991</v>
      </c>
      <c r="I185" s="64">
        <f t="shared" si="22"/>
        <v>4.2167500000000002</v>
      </c>
      <c r="J185" s="64"/>
    </row>
    <row r="186" spans="1:16" s="65" customFormat="1" hidden="1" x14ac:dyDescent="0.3">
      <c r="A186" s="60" t="s">
        <v>10</v>
      </c>
      <c r="B186" s="61">
        <v>17</v>
      </c>
      <c r="C186" s="60" t="s">
        <v>4</v>
      </c>
      <c r="D186" s="60">
        <v>25</v>
      </c>
      <c r="E186" s="62">
        <v>43998</v>
      </c>
      <c r="F186" s="63">
        <v>34</v>
      </c>
      <c r="G186" s="63">
        <v>20.86</v>
      </c>
      <c r="H186" s="64">
        <f t="shared" si="24"/>
        <v>0.61352941176470588</v>
      </c>
      <c r="I186" s="64">
        <f t="shared" si="22"/>
        <v>4.0599535603715164</v>
      </c>
      <c r="J186" s="64"/>
    </row>
    <row r="187" spans="1:16" s="65" customFormat="1" hidden="1" x14ac:dyDescent="0.3">
      <c r="A187" s="60" t="s">
        <v>10</v>
      </c>
      <c r="B187" s="61">
        <v>18</v>
      </c>
      <c r="C187" s="60" t="s">
        <v>5</v>
      </c>
      <c r="D187" s="60">
        <v>25</v>
      </c>
      <c r="E187" s="62">
        <v>43998</v>
      </c>
      <c r="F187" s="63">
        <v>38</v>
      </c>
      <c r="G187" s="63">
        <v>23</v>
      </c>
      <c r="H187" s="64">
        <f t="shared" si="24"/>
        <v>0.60526315789473684</v>
      </c>
      <c r="I187" s="64">
        <f t="shared" si="22"/>
        <v>4.1504078947368424</v>
      </c>
      <c r="J187" s="64"/>
    </row>
    <row r="188" spans="1:16" s="65" customFormat="1" x14ac:dyDescent="0.3">
      <c r="A188" s="60" t="s">
        <v>10</v>
      </c>
      <c r="B188" s="61">
        <v>19</v>
      </c>
      <c r="C188" s="60" t="s">
        <v>3</v>
      </c>
      <c r="D188" s="60">
        <v>25</v>
      </c>
      <c r="E188" s="62">
        <v>43998</v>
      </c>
      <c r="F188" s="63">
        <v>34</v>
      </c>
      <c r="G188" s="61">
        <v>22.77</v>
      </c>
      <c r="H188" s="64">
        <f t="shared" si="24"/>
        <v>0.66970588235294115</v>
      </c>
      <c r="I188" s="64">
        <f t="shared" si="22"/>
        <v>4.5603974562798095</v>
      </c>
      <c r="J188" s="64"/>
    </row>
    <row r="189" spans="1:16" s="65" customFormat="1" hidden="1" x14ac:dyDescent="0.3">
      <c r="A189" s="60" t="s">
        <v>10</v>
      </c>
      <c r="B189" s="61">
        <v>20</v>
      </c>
      <c r="C189" s="60" t="s">
        <v>4</v>
      </c>
      <c r="D189" s="60">
        <v>25</v>
      </c>
      <c r="E189" s="62">
        <v>43998</v>
      </c>
      <c r="F189" s="63">
        <v>40</v>
      </c>
      <c r="G189" s="61">
        <v>21.98</v>
      </c>
      <c r="H189" s="64">
        <f t="shared" si="24"/>
        <v>0.54949999999999999</v>
      </c>
      <c r="I189" s="64">
        <f t="shared" si="22"/>
        <v>3.8207499999999999</v>
      </c>
      <c r="J189" s="64"/>
    </row>
    <row r="190" spans="1:16" s="65" customFormat="1" hidden="1" x14ac:dyDescent="0.3">
      <c r="A190" s="60" t="s">
        <v>10</v>
      </c>
      <c r="B190" s="61">
        <v>21</v>
      </c>
      <c r="C190" s="60" t="s">
        <v>5</v>
      </c>
      <c r="D190" s="60">
        <v>25</v>
      </c>
      <c r="E190" s="62">
        <v>43998</v>
      </c>
      <c r="F190" s="63">
        <v>32</v>
      </c>
      <c r="G190" s="61">
        <f>18.96+3.3</f>
        <v>22.26</v>
      </c>
      <c r="H190" s="64">
        <f t="shared" si="24"/>
        <v>0.69562500000000005</v>
      </c>
      <c r="I190" s="64">
        <f t="shared" si="22"/>
        <v>4.6126736111111111</v>
      </c>
      <c r="J190" s="64"/>
    </row>
    <row r="191" spans="1:16" s="65" customFormat="1" x14ac:dyDescent="0.3">
      <c r="A191" s="60" t="s">
        <v>10</v>
      </c>
      <c r="B191" s="61">
        <v>22</v>
      </c>
      <c r="C191" s="60" t="s">
        <v>3</v>
      </c>
      <c r="D191" s="60">
        <v>25</v>
      </c>
      <c r="E191" s="62">
        <v>43998</v>
      </c>
      <c r="F191" s="63">
        <v>38</v>
      </c>
      <c r="G191" s="61">
        <f>10.45+4.41+11.23</f>
        <v>26.09</v>
      </c>
      <c r="H191" s="64">
        <f t="shared" si="24"/>
        <v>0.68657894736842107</v>
      </c>
      <c r="I191" s="64">
        <f t="shared" si="22"/>
        <v>4.8078947368421048</v>
      </c>
      <c r="J191" s="64"/>
    </row>
    <row r="192" spans="1:16" hidden="1" x14ac:dyDescent="0.3">
      <c r="A192" s="1" t="s">
        <v>9</v>
      </c>
      <c r="B192" s="4">
        <v>2</v>
      </c>
      <c r="C192" s="1" t="s">
        <v>3</v>
      </c>
      <c r="D192" s="1">
        <v>26</v>
      </c>
      <c r="E192" s="3">
        <v>44005</v>
      </c>
      <c r="F192" s="2">
        <v>36</v>
      </c>
      <c r="G192" s="4">
        <f>16.98+10.98</f>
        <v>27.96</v>
      </c>
      <c r="H192" s="14">
        <f t="shared" ref="H192:H200" si="25">G192/F192</f>
        <v>0.77666666666666673</v>
      </c>
      <c r="I192" s="14">
        <f t="shared" si="22"/>
        <v>6.9586538461538465</v>
      </c>
      <c r="J192" s="86">
        <f>D192</f>
        <v>26</v>
      </c>
      <c r="K192" t="s">
        <v>45</v>
      </c>
      <c r="L192" t="s">
        <v>9</v>
      </c>
      <c r="M192" s="52">
        <f>AVERAGE(H192,H192,H195,H198)</f>
        <v>0.7571499356499356</v>
      </c>
      <c r="N192" s="55">
        <f>STDEV(H192,H192,H195,H198)</f>
        <v>3.9818070523134436E-2</v>
      </c>
      <c r="O192" s="52">
        <f>AVERAGE(I192,I192,I195,I198)</f>
        <v>6.7076396643896654</v>
      </c>
      <c r="P192" s="55">
        <f>STDEV(I192,I192,I195,I198)</f>
        <v>0.2905956587697584</v>
      </c>
    </row>
    <row r="193" spans="1:16" hidden="1" x14ac:dyDescent="0.3">
      <c r="A193" s="1" t="s">
        <v>9</v>
      </c>
      <c r="B193" s="4">
        <v>3</v>
      </c>
      <c r="C193" s="1" t="s">
        <v>4</v>
      </c>
      <c r="D193" s="1">
        <v>26</v>
      </c>
      <c r="E193" s="3">
        <v>44005</v>
      </c>
      <c r="F193" s="2">
        <v>34</v>
      </c>
      <c r="G193" s="4">
        <f>12.39+19.93</f>
        <v>32.32</v>
      </c>
      <c r="H193" s="14">
        <f t="shared" si="25"/>
        <v>0.95058823529411762</v>
      </c>
      <c r="I193" s="14">
        <f t="shared" si="22"/>
        <v>6.8788394276629576</v>
      </c>
      <c r="J193" s="86"/>
      <c r="K193" t="s">
        <v>46</v>
      </c>
      <c r="L193" t="s">
        <v>9</v>
      </c>
      <c r="M193" s="52">
        <f>AVERAGE(H193,H193,H196,H199)</f>
        <v>0.8535730215509626</v>
      </c>
      <c r="N193" s="55">
        <f>STDEV(H193,H193,H196,H199)</f>
        <v>0.1429310679209421</v>
      </c>
      <c r="O193" s="52">
        <f>AVERAGE(I193,I193,I196,I199)</f>
        <v>6.6177605546723202</v>
      </c>
      <c r="P193" s="55">
        <f>STDEV(I193,I193,I196,I199)</f>
        <v>0.30178549172009006</v>
      </c>
    </row>
    <row r="194" spans="1:16" hidden="1" x14ac:dyDescent="0.3">
      <c r="A194" s="1" t="s">
        <v>9</v>
      </c>
      <c r="B194" s="4">
        <v>4</v>
      </c>
      <c r="C194" s="1" t="s">
        <v>5</v>
      </c>
      <c r="D194" s="1">
        <v>26</v>
      </c>
      <c r="E194" s="3">
        <v>44005</v>
      </c>
      <c r="F194" s="2">
        <v>37</v>
      </c>
      <c r="G194" s="4">
        <f>9.57+4.35+0.35+4.19</f>
        <v>18.46</v>
      </c>
      <c r="H194" s="14">
        <f t="shared" si="25"/>
        <v>0.49891891891891893</v>
      </c>
      <c r="I194" s="14">
        <f t="shared" si="22"/>
        <v>6.6613513513513531</v>
      </c>
      <c r="J194" s="86"/>
      <c r="K194" t="s">
        <v>47</v>
      </c>
      <c r="L194" t="s">
        <v>9</v>
      </c>
      <c r="M194" s="52">
        <f>AVERAGE(H194,H194,H197,H200)</f>
        <v>0.6050402865271286</v>
      </c>
      <c r="N194" s="55">
        <f>STDEV(H194,H194,H197,H200)</f>
        <v>0.12291231171280161</v>
      </c>
      <c r="O194" s="52">
        <f>AVERAGE(I194,I194,I197,I200)</f>
        <v>6.3425866693761446</v>
      </c>
      <c r="P194" s="55">
        <f>STDEV(I194,I194,I197,I200)</f>
        <v>0.37839963666498222</v>
      </c>
    </row>
    <row r="195" spans="1:16" hidden="1" x14ac:dyDescent="0.3">
      <c r="A195" s="1" t="s">
        <v>9</v>
      </c>
      <c r="B195" s="4">
        <v>5</v>
      </c>
      <c r="C195" s="1" t="s">
        <v>3</v>
      </c>
      <c r="D195" s="1">
        <v>26</v>
      </c>
      <c r="E195" s="3">
        <v>44005</v>
      </c>
      <c r="F195" s="2">
        <v>35</v>
      </c>
      <c r="G195" s="4">
        <f>13.85+10.56</f>
        <v>24.41</v>
      </c>
      <c r="H195" s="14">
        <f t="shared" si="25"/>
        <v>0.6974285714285714</v>
      </c>
      <c r="I195" s="14">
        <f t="shared" si="22"/>
        <v>6.4821698841698847</v>
      </c>
      <c r="J195" s="86"/>
      <c r="K195" t="s">
        <v>45</v>
      </c>
      <c r="L195" s="60" t="s">
        <v>10</v>
      </c>
      <c r="M195" s="52">
        <f>AVERAGE(H201,H201,H204,H207)</f>
        <v>0.65094669117647064</v>
      </c>
      <c r="N195" s="55">
        <f>STDEV(H201,H201,H204,H207)</f>
        <v>9.0002023062332959E-2</v>
      </c>
      <c r="O195" s="52">
        <f>AVERAGE(I201,I201,I204,I207)</f>
        <v>5.119139805246423</v>
      </c>
      <c r="P195" s="55">
        <f>STDEV(I201,I201,I204,I207)</f>
        <v>0.18019955324636289</v>
      </c>
    </row>
    <row r="196" spans="1:16" hidden="1" x14ac:dyDescent="0.3">
      <c r="A196" s="1" t="s">
        <v>9</v>
      </c>
      <c r="B196" s="4">
        <v>6</v>
      </c>
      <c r="C196" s="1" t="s">
        <v>4</v>
      </c>
      <c r="D196" s="1">
        <v>26</v>
      </c>
      <c r="E196" s="3">
        <v>44005</v>
      </c>
      <c r="F196" s="2">
        <v>37</v>
      </c>
      <c r="G196" s="2">
        <f>6.73+17.24</f>
        <v>23.97</v>
      </c>
      <c r="H196" s="14">
        <f t="shared" si="25"/>
        <v>0.64783783783783777</v>
      </c>
      <c r="I196" s="14">
        <f t="shared" si="22"/>
        <v>6.3397297297297293</v>
      </c>
      <c r="J196" s="86"/>
      <c r="K196" t="s">
        <v>46</v>
      </c>
      <c r="L196" s="60" t="s">
        <v>10</v>
      </c>
      <c r="M196" s="52">
        <f>AVERAGE(H202,H202,H205,H208)</f>
        <v>0.65019819518716582</v>
      </c>
      <c r="N196" s="55">
        <f>STDEV(H202,H202,H205,H208)</f>
        <v>6.6675964090467901E-2</v>
      </c>
      <c r="O196" s="52">
        <f>AVERAGE(I202,I202,I205,I208)</f>
        <v>4.6915862064921665</v>
      </c>
      <c r="P196" s="55">
        <f>STDEV(I202,I202,I205,I208)</f>
        <v>0.11563578345032727</v>
      </c>
    </row>
    <row r="197" spans="1:16" hidden="1" x14ac:dyDescent="0.3">
      <c r="A197" s="1" t="s">
        <v>9</v>
      </c>
      <c r="B197" s="4">
        <v>7</v>
      </c>
      <c r="C197" s="1" t="s">
        <v>5</v>
      </c>
      <c r="D197" s="1">
        <v>26</v>
      </c>
      <c r="E197" s="3">
        <v>44005</v>
      </c>
      <c r="F197" s="2">
        <v>35</v>
      </c>
      <c r="G197" s="2">
        <f>13.12+11.36</f>
        <v>24.479999999999997</v>
      </c>
      <c r="H197" s="14">
        <f t="shared" si="25"/>
        <v>0.69942857142857129</v>
      </c>
      <c r="I197" s="14">
        <f t="shared" si="22"/>
        <v>6.1313281853281856</v>
      </c>
      <c r="J197" s="86"/>
      <c r="K197" t="s">
        <v>47</v>
      </c>
      <c r="L197" s="60" t="s">
        <v>10</v>
      </c>
      <c r="M197" s="52">
        <f>AVERAGE(H203,H203,H206,H209)</f>
        <v>0.71327549342105268</v>
      </c>
      <c r="N197" s="55">
        <f>STDEV(H203,H203,H206,H209)</f>
        <v>4.0018921934704368E-2</v>
      </c>
      <c r="O197" s="52">
        <f>AVERAGE(I203,I203,I206,I209)</f>
        <v>5.0669368473266498</v>
      </c>
      <c r="P197" s="55">
        <f>STDEV(I203,I203,I206,I209)</f>
        <v>0.17595960286028711</v>
      </c>
    </row>
    <row r="198" spans="1:16" hidden="1" x14ac:dyDescent="0.3">
      <c r="A198" s="1" t="s">
        <v>9</v>
      </c>
      <c r="B198" s="4">
        <v>8</v>
      </c>
      <c r="C198" s="1" t="s">
        <v>3</v>
      </c>
      <c r="D198" s="1">
        <v>26</v>
      </c>
      <c r="E198" s="3">
        <v>44005</v>
      </c>
      <c r="F198" s="2">
        <v>37</v>
      </c>
      <c r="G198" s="4">
        <f>14.98+13.8</f>
        <v>28.78</v>
      </c>
      <c r="H198" s="14">
        <f t="shared" si="25"/>
        <v>0.77783783783783789</v>
      </c>
      <c r="I198" s="14">
        <f t="shared" si="22"/>
        <v>6.4310810810810821</v>
      </c>
      <c r="J198" s="14"/>
    </row>
    <row r="199" spans="1:16" hidden="1" x14ac:dyDescent="0.3">
      <c r="A199" s="1" t="s">
        <v>9</v>
      </c>
      <c r="B199" s="4">
        <v>9</v>
      </c>
      <c r="C199" s="1" t="s">
        <v>4</v>
      </c>
      <c r="D199" s="1">
        <v>26</v>
      </c>
      <c r="E199" s="3">
        <v>44005</v>
      </c>
      <c r="F199" s="2">
        <v>36</v>
      </c>
      <c r="G199" s="4">
        <f>14.2+16.95</f>
        <v>31.15</v>
      </c>
      <c r="H199" s="14">
        <f t="shared" si="25"/>
        <v>0.8652777777777777</v>
      </c>
      <c r="I199" s="14">
        <f t="shared" si="22"/>
        <v>6.3736336336336334</v>
      </c>
      <c r="J199" s="14"/>
    </row>
    <row r="200" spans="1:16" hidden="1" x14ac:dyDescent="0.3">
      <c r="A200" s="1" t="s">
        <v>9</v>
      </c>
      <c r="B200" s="4">
        <v>10</v>
      </c>
      <c r="C200" s="1" t="s">
        <v>5</v>
      </c>
      <c r="D200" s="1">
        <v>26</v>
      </c>
      <c r="E200" s="3">
        <v>44005</v>
      </c>
      <c r="F200" s="2">
        <v>38</v>
      </c>
      <c r="G200" s="4">
        <f>11.95+15.52</f>
        <v>27.47</v>
      </c>
      <c r="H200" s="14">
        <f t="shared" si="25"/>
        <v>0.72289473684210526</v>
      </c>
      <c r="I200" s="14">
        <f t="shared" si="22"/>
        <v>5.9163157894736838</v>
      </c>
      <c r="J200" s="14"/>
    </row>
    <row r="201" spans="1:16" s="65" customFormat="1" x14ac:dyDescent="0.3">
      <c r="A201" s="60" t="s">
        <v>10</v>
      </c>
      <c r="B201" s="61">
        <v>13</v>
      </c>
      <c r="C201" s="60" t="s">
        <v>3</v>
      </c>
      <c r="D201" s="60">
        <v>26</v>
      </c>
      <c r="E201" s="62">
        <v>44005</v>
      </c>
      <c r="F201" s="63">
        <v>32</v>
      </c>
      <c r="G201" s="61">
        <f>10.22+8.37</f>
        <v>18.59</v>
      </c>
      <c r="H201" s="64">
        <f t="shared" ref="H201:H210" si="26">G201/F201</f>
        <v>0.5809375</v>
      </c>
      <c r="I201" s="64">
        <f t="shared" si="22"/>
        <v>5.1287499999999993</v>
      </c>
      <c r="J201" s="64"/>
    </row>
    <row r="202" spans="1:16" s="65" customFormat="1" hidden="1" x14ac:dyDescent="0.3">
      <c r="A202" s="60" t="s">
        <v>10</v>
      </c>
      <c r="B202" s="61">
        <v>14</v>
      </c>
      <c r="C202" s="60" t="s">
        <v>4</v>
      </c>
      <c r="D202" s="60">
        <v>26</v>
      </c>
      <c r="E202" s="62">
        <v>44005</v>
      </c>
      <c r="F202" s="63">
        <v>33</v>
      </c>
      <c r="G202" s="61">
        <f>2.93+16.63</f>
        <v>19.559999999999999</v>
      </c>
      <c r="H202" s="64">
        <f t="shared" si="26"/>
        <v>0.59272727272727266</v>
      </c>
      <c r="I202" s="64">
        <f t="shared" si="22"/>
        <v>4.7351515151515153</v>
      </c>
      <c r="J202" s="64"/>
    </row>
    <row r="203" spans="1:16" s="65" customFormat="1" hidden="1" x14ac:dyDescent="0.3">
      <c r="A203" s="60" t="s">
        <v>10</v>
      </c>
      <c r="B203" s="61">
        <v>15</v>
      </c>
      <c r="C203" s="60" t="s">
        <v>5</v>
      </c>
      <c r="D203" s="60">
        <v>26</v>
      </c>
      <c r="E203" s="62">
        <v>44005</v>
      </c>
      <c r="F203" s="63">
        <v>35</v>
      </c>
      <c r="G203" s="61">
        <f>15.9+8.11</f>
        <v>24.009999999999998</v>
      </c>
      <c r="H203" s="64">
        <f t="shared" si="26"/>
        <v>0.68599999999999994</v>
      </c>
      <c r="I203" s="64">
        <f t="shared" si="22"/>
        <v>5.0117819548872182</v>
      </c>
      <c r="J203" s="64"/>
    </row>
    <row r="204" spans="1:16" s="65" customFormat="1" x14ac:dyDescent="0.3">
      <c r="A204" s="60" t="s">
        <v>10</v>
      </c>
      <c r="B204" s="61">
        <v>16</v>
      </c>
      <c r="C204" s="60" t="s">
        <v>3</v>
      </c>
      <c r="D204" s="60">
        <v>26</v>
      </c>
      <c r="E204" s="62">
        <v>44005</v>
      </c>
      <c r="F204" s="63">
        <v>40</v>
      </c>
      <c r="G204" s="61">
        <v>26.9</v>
      </c>
      <c r="H204" s="64">
        <f t="shared" si="26"/>
        <v>0.67249999999999999</v>
      </c>
      <c r="I204" s="64">
        <f t="shared" si="22"/>
        <v>4.8892500000000005</v>
      </c>
      <c r="J204" s="64"/>
    </row>
    <row r="205" spans="1:16" s="65" customFormat="1" hidden="1" x14ac:dyDescent="0.3">
      <c r="A205" s="60" t="s">
        <v>10</v>
      </c>
      <c r="B205" s="61">
        <v>17</v>
      </c>
      <c r="C205" s="60" t="s">
        <v>4</v>
      </c>
      <c r="D205" s="60">
        <v>26</v>
      </c>
      <c r="E205" s="62">
        <v>44005</v>
      </c>
      <c r="F205" s="63">
        <v>34</v>
      </c>
      <c r="G205" s="63">
        <v>24.33</v>
      </c>
      <c r="H205" s="64">
        <f t="shared" si="26"/>
        <v>0.71558823529411764</v>
      </c>
      <c r="I205" s="64">
        <f t="shared" si="22"/>
        <v>4.7755417956656343</v>
      </c>
      <c r="J205" s="64"/>
    </row>
    <row r="206" spans="1:16" s="65" customFormat="1" hidden="1" x14ac:dyDescent="0.3">
      <c r="A206" s="60" t="s">
        <v>10</v>
      </c>
      <c r="B206" s="61">
        <v>18</v>
      </c>
      <c r="C206" s="60" t="s">
        <v>5</v>
      </c>
      <c r="D206" s="60">
        <v>26</v>
      </c>
      <c r="E206" s="62">
        <v>44005</v>
      </c>
      <c r="F206" s="63">
        <v>38</v>
      </c>
      <c r="G206" s="63">
        <f>17.22+1.7+10.37</f>
        <v>29.29</v>
      </c>
      <c r="H206" s="64">
        <f t="shared" si="26"/>
        <v>0.77078947368421047</v>
      </c>
      <c r="I206" s="64">
        <f t="shared" si="22"/>
        <v>4.921197368421053</v>
      </c>
      <c r="J206" s="64"/>
    </row>
    <row r="207" spans="1:16" s="65" customFormat="1" x14ac:dyDescent="0.3">
      <c r="A207" s="60" t="s">
        <v>10</v>
      </c>
      <c r="B207" s="61">
        <v>19</v>
      </c>
      <c r="C207" s="60" t="s">
        <v>3</v>
      </c>
      <c r="D207" s="60">
        <v>26</v>
      </c>
      <c r="E207" s="62">
        <v>44005</v>
      </c>
      <c r="F207" s="63">
        <v>34</v>
      </c>
      <c r="G207" s="61">
        <f>14.59+11.57</f>
        <v>26.16</v>
      </c>
      <c r="H207" s="64">
        <f t="shared" si="26"/>
        <v>0.76941176470588235</v>
      </c>
      <c r="I207" s="64">
        <f t="shared" si="22"/>
        <v>5.329809220985692</v>
      </c>
      <c r="J207" s="64"/>
    </row>
    <row r="208" spans="1:16" s="65" customFormat="1" hidden="1" x14ac:dyDescent="0.3">
      <c r="A208" s="60" t="s">
        <v>10</v>
      </c>
      <c r="B208" s="61">
        <v>20</v>
      </c>
      <c r="C208" s="60" t="s">
        <v>4</v>
      </c>
      <c r="D208" s="60">
        <v>26</v>
      </c>
      <c r="E208" s="62">
        <v>44005</v>
      </c>
      <c r="F208" s="63">
        <v>40</v>
      </c>
      <c r="G208" s="61">
        <f>18.09+9.9</f>
        <v>27.990000000000002</v>
      </c>
      <c r="H208" s="64">
        <f t="shared" si="26"/>
        <v>0.69975000000000009</v>
      </c>
      <c r="I208" s="64">
        <f t="shared" si="22"/>
        <v>4.5205000000000002</v>
      </c>
      <c r="J208" s="64"/>
    </row>
    <row r="209" spans="1:16" s="65" customFormat="1" hidden="1" x14ac:dyDescent="0.3">
      <c r="A209" s="60" t="s">
        <v>10</v>
      </c>
      <c r="B209" s="61">
        <v>21</v>
      </c>
      <c r="C209" s="60" t="s">
        <v>5</v>
      </c>
      <c r="D209" s="60">
        <v>26</v>
      </c>
      <c r="E209" s="62">
        <v>44005</v>
      </c>
      <c r="F209" s="63">
        <v>32</v>
      </c>
      <c r="G209" s="61">
        <f>6.48+16.25</f>
        <v>22.73</v>
      </c>
      <c r="H209" s="64">
        <f t="shared" si="26"/>
        <v>0.71031250000000001</v>
      </c>
      <c r="I209" s="64">
        <f t="shared" si="22"/>
        <v>5.3229861111111108</v>
      </c>
      <c r="J209" s="64"/>
    </row>
    <row r="210" spans="1:16" s="65" customFormat="1" x14ac:dyDescent="0.3">
      <c r="A210" s="60" t="s">
        <v>10</v>
      </c>
      <c r="B210" s="61">
        <v>22</v>
      </c>
      <c r="C210" s="60" t="s">
        <v>3</v>
      </c>
      <c r="D210" s="60">
        <v>26</v>
      </c>
      <c r="E210" s="62">
        <v>44005</v>
      </c>
      <c r="F210" s="63">
        <v>38</v>
      </c>
      <c r="G210" s="61">
        <f>11.83+11.55</f>
        <v>23.380000000000003</v>
      </c>
      <c r="H210" s="64">
        <f t="shared" si="26"/>
        <v>0.61526315789473696</v>
      </c>
      <c r="I210" s="64">
        <f t="shared" si="22"/>
        <v>5.4231578947368417</v>
      </c>
      <c r="J210" s="64"/>
    </row>
    <row r="211" spans="1:16" hidden="1" x14ac:dyDescent="0.3">
      <c r="A211" s="1" t="s">
        <v>9</v>
      </c>
      <c r="B211" s="4">
        <v>2</v>
      </c>
      <c r="C211" s="1" t="s">
        <v>3</v>
      </c>
      <c r="D211" s="1">
        <v>27</v>
      </c>
      <c r="E211" s="3">
        <v>44012</v>
      </c>
      <c r="F211" s="2">
        <v>36</v>
      </c>
      <c r="G211" s="4">
        <f>27.09+0.69</f>
        <v>27.78</v>
      </c>
      <c r="H211" s="14">
        <f t="shared" ref="H211:H219" si="27">G211/F211</f>
        <v>0.77166666666666672</v>
      </c>
      <c r="I211" s="14">
        <f t="shared" si="22"/>
        <v>7.730320512820513</v>
      </c>
      <c r="J211" s="86">
        <f>D211</f>
        <v>27</v>
      </c>
      <c r="K211" t="s">
        <v>45</v>
      </c>
      <c r="L211" t="s">
        <v>9</v>
      </c>
      <c r="M211" s="52">
        <f>AVERAGE(H211,H211,H214,H217)</f>
        <v>0.73474259974259981</v>
      </c>
      <c r="N211" s="55">
        <f>STDEV(H211,H211,H214,H217)</f>
        <v>4.4706013778156153E-2</v>
      </c>
      <c r="O211" s="52">
        <f>AVERAGE(I211,I211,I214,I217)</f>
        <v>7.4423822641322648</v>
      </c>
      <c r="P211" s="55">
        <f>STDEV(I211,I211,I214,I217)</f>
        <v>0.33424725700440222</v>
      </c>
    </row>
    <row r="212" spans="1:16" hidden="1" x14ac:dyDescent="0.3">
      <c r="A212" s="1" t="s">
        <v>9</v>
      </c>
      <c r="B212" s="4">
        <v>3</v>
      </c>
      <c r="C212" s="1" t="s">
        <v>4</v>
      </c>
      <c r="D212" s="1">
        <v>27</v>
      </c>
      <c r="E212" s="3">
        <v>44012</v>
      </c>
      <c r="F212" s="2">
        <v>34</v>
      </c>
      <c r="G212" s="4">
        <v>25.69</v>
      </c>
      <c r="H212" s="14">
        <f t="shared" si="27"/>
        <v>0.75558823529411767</v>
      </c>
      <c r="I212" s="14">
        <f t="shared" si="22"/>
        <v>7.6344276629570755</v>
      </c>
      <c r="J212" s="86"/>
      <c r="K212" t="s">
        <v>46</v>
      </c>
      <c r="L212" t="s">
        <v>9</v>
      </c>
      <c r="M212" s="52">
        <f>AVERAGE(H212,H212,H215,H218)</f>
        <v>0.69444389242183358</v>
      </c>
      <c r="N212" s="55">
        <f>STDEV(H212,H212,H215,H218)</f>
        <v>9.0394014647967091E-2</v>
      </c>
      <c r="O212" s="52">
        <f>AVERAGE(I212,I212,I215,I218)</f>
        <v>7.3122044470941532</v>
      </c>
      <c r="P212" s="55">
        <f>STDEV(I212,I212,I215,I218)</f>
        <v>0.37450273807179318</v>
      </c>
    </row>
    <row r="213" spans="1:16" hidden="1" x14ac:dyDescent="0.3">
      <c r="A213" s="1" t="s">
        <v>9</v>
      </c>
      <c r="B213" s="4">
        <v>4</v>
      </c>
      <c r="C213" s="1" t="s">
        <v>5</v>
      </c>
      <c r="D213" s="1">
        <v>27</v>
      </c>
      <c r="E213" s="3">
        <v>44012</v>
      </c>
      <c r="F213" s="2">
        <v>37</v>
      </c>
      <c r="G213" s="4">
        <v>26.11</v>
      </c>
      <c r="H213" s="14">
        <f t="shared" si="27"/>
        <v>0.70567567567567568</v>
      </c>
      <c r="I213" s="14">
        <f t="shared" si="22"/>
        <v>7.3670270270270288</v>
      </c>
      <c r="J213" s="86"/>
      <c r="K213" t="s">
        <v>47</v>
      </c>
      <c r="L213" t="s">
        <v>9</v>
      </c>
      <c r="M213" s="52">
        <f>AVERAGE(H213,H213,H216,H219)</f>
        <v>0.69226452956716111</v>
      </c>
      <c r="N213" s="55">
        <f>STDEV(H213,H213,H216,H219)</f>
        <v>0.11165910595241894</v>
      </c>
      <c r="O213" s="52">
        <f>AVERAGE(I213,I213,I216,I219)</f>
        <v>7.0348511989433051</v>
      </c>
      <c r="P213" s="55">
        <f>STDEV(I213,I213,I216,I219)</f>
        <v>0.43181839568621772</v>
      </c>
    </row>
    <row r="214" spans="1:16" hidden="1" x14ac:dyDescent="0.3">
      <c r="A214" s="1" t="s">
        <v>9</v>
      </c>
      <c r="B214" s="4">
        <v>5</v>
      </c>
      <c r="C214" s="1" t="s">
        <v>3</v>
      </c>
      <c r="D214" s="1">
        <v>27</v>
      </c>
      <c r="E214" s="3">
        <v>44012</v>
      </c>
      <c r="F214" s="2">
        <v>35</v>
      </c>
      <c r="G214" s="4">
        <v>25</v>
      </c>
      <c r="H214" s="14">
        <f t="shared" si="27"/>
        <v>0.7142857142857143</v>
      </c>
      <c r="I214" s="14">
        <f t="shared" si="22"/>
        <v>7.1964555984555991</v>
      </c>
      <c r="J214" s="86"/>
      <c r="K214" t="s">
        <v>45</v>
      </c>
      <c r="L214" s="60" t="s">
        <v>10</v>
      </c>
      <c r="M214" s="52">
        <f>AVERAGE(H220,H220,H223,H226)</f>
        <v>0.55313786764705875</v>
      </c>
      <c r="N214" s="55">
        <f>STDEV(H220,H220,H223,H226)</f>
        <v>8.7955083480715304E-2</v>
      </c>
      <c r="O214" s="52">
        <f>AVERAGE(I220,I220,I223,I226)</f>
        <v>5.6722776728934816</v>
      </c>
      <c r="P214" s="55">
        <f>STDEV(I220,I220,I223,I226)</f>
        <v>0.24030558139912209</v>
      </c>
    </row>
    <row r="215" spans="1:16" hidden="1" x14ac:dyDescent="0.3">
      <c r="A215" s="1" t="s">
        <v>9</v>
      </c>
      <c r="B215" s="4">
        <v>6</v>
      </c>
      <c r="C215" s="1" t="s">
        <v>4</v>
      </c>
      <c r="D215" s="1">
        <v>27</v>
      </c>
      <c r="E215" s="3">
        <v>44012</v>
      </c>
      <c r="F215" s="2">
        <v>37</v>
      </c>
      <c r="G215" s="2">
        <f>25.39+0.6</f>
        <v>25.990000000000002</v>
      </c>
      <c r="H215" s="14">
        <f t="shared" si="27"/>
        <v>0.70243243243243247</v>
      </c>
      <c r="I215" s="14">
        <f t="shared" si="22"/>
        <v>7.0421621621621622</v>
      </c>
      <c r="J215" s="86"/>
      <c r="K215" t="s">
        <v>46</v>
      </c>
      <c r="L215" s="60" t="s">
        <v>10</v>
      </c>
      <c r="M215" s="52">
        <f>AVERAGE(H221,H221,H224,H227)</f>
        <v>0.46719752673796788</v>
      </c>
      <c r="N215" s="55">
        <f>STDEV(H221,H221,H224,H227)</f>
        <v>0.10784140489527477</v>
      </c>
      <c r="O215" s="52">
        <f>AVERAGE(I221,I221,I224,I227)</f>
        <v>5.1587837332301341</v>
      </c>
      <c r="P215" s="55">
        <f>STDEV(I221,I221,I224,I227)</f>
        <v>0.14647505487474438</v>
      </c>
    </row>
    <row r="216" spans="1:16" hidden="1" x14ac:dyDescent="0.3">
      <c r="A216" s="1" t="s">
        <v>9</v>
      </c>
      <c r="B216" s="4">
        <v>7</v>
      </c>
      <c r="C216" s="1" t="s">
        <v>5</v>
      </c>
      <c r="D216" s="1">
        <v>27</v>
      </c>
      <c r="E216" s="3">
        <v>44012</v>
      </c>
      <c r="F216" s="2">
        <v>35</v>
      </c>
      <c r="G216" s="2">
        <f>28.5</f>
        <v>28.5</v>
      </c>
      <c r="H216" s="14">
        <f t="shared" si="27"/>
        <v>0.81428571428571428</v>
      </c>
      <c r="I216" s="14">
        <f t="shared" si="22"/>
        <v>6.9456138996138996</v>
      </c>
      <c r="J216" s="86"/>
      <c r="K216" t="s">
        <v>47</v>
      </c>
      <c r="L216" s="60" t="s">
        <v>10</v>
      </c>
      <c r="M216" s="52">
        <f>AVERAGE(H222,H222,H225,H228)</f>
        <v>0.46980768327067668</v>
      </c>
      <c r="N216" s="55">
        <f>STDEV(H222,H222,H225,H228)</f>
        <v>5.5816840431908946E-2</v>
      </c>
      <c r="O216" s="52">
        <f>AVERAGE(I222,I222,I225,I228)</f>
        <v>5.5367445305973266</v>
      </c>
      <c r="P216" s="55">
        <f>STDEV(I222,I222,I225,I228)</f>
        <v>0.23105914627025526</v>
      </c>
    </row>
    <row r="217" spans="1:16" hidden="1" x14ac:dyDescent="0.3">
      <c r="A217" s="1" t="s">
        <v>9</v>
      </c>
      <c r="B217" s="4">
        <v>8</v>
      </c>
      <c r="C217" s="1" t="s">
        <v>3</v>
      </c>
      <c r="D217" s="1">
        <v>27</v>
      </c>
      <c r="E217" s="3">
        <v>44012</v>
      </c>
      <c r="F217" s="2">
        <v>37</v>
      </c>
      <c r="G217" s="4">
        <v>25.21</v>
      </c>
      <c r="H217" s="14">
        <f t="shared" si="27"/>
        <v>0.68135135135135139</v>
      </c>
      <c r="I217" s="14">
        <f t="shared" si="22"/>
        <v>7.1124324324324331</v>
      </c>
      <c r="J217" s="14"/>
    </row>
    <row r="218" spans="1:16" hidden="1" x14ac:dyDescent="0.3">
      <c r="A218" s="1" t="s">
        <v>9</v>
      </c>
      <c r="B218" s="4">
        <v>9</v>
      </c>
      <c r="C218" s="1" t="s">
        <v>4</v>
      </c>
      <c r="D218" s="1">
        <v>27</v>
      </c>
      <c r="E218" s="3">
        <v>44012</v>
      </c>
      <c r="F218" s="2">
        <v>36</v>
      </c>
      <c r="G218" s="4">
        <v>20.309999999999999</v>
      </c>
      <c r="H218" s="14">
        <f t="shared" si="27"/>
        <v>0.56416666666666659</v>
      </c>
      <c r="I218" s="14">
        <f t="shared" si="22"/>
        <v>6.9378003003003004</v>
      </c>
      <c r="J218" s="14"/>
    </row>
    <row r="219" spans="1:16" hidden="1" x14ac:dyDescent="0.3">
      <c r="A219" s="1" t="s">
        <v>9</v>
      </c>
      <c r="B219" s="4">
        <v>10</v>
      </c>
      <c r="C219" s="1" t="s">
        <v>5</v>
      </c>
      <c r="D219" s="1">
        <v>27</v>
      </c>
      <c r="E219" s="3">
        <v>44012</v>
      </c>
      <c r="F219" s="2">
        <v>38</v>
      </c>
      <c r="G219" s="4">
        <v>20.65</v>
      </c>
      <c r="H219" s="14">
        <f t="shared" si="27"/>
        <v>0.54342105263157892</v>
      </c>
      <c r="I219" s="14">
        <f t="shared" si="22"/>
        <v>6.4597368421052623</v>
      </c>
      <c r="J219" s="14"/>
    </row>
    <row r="220" spans="1:16" s="65" customFormat="1" x14ac:dyDescent="0.3">
      <c r="A220" s="60" t="s">
        <v>10</v>
      </c>
      <c r="B220" s="61">
        <v>13</v>
      </c>
      <c r="C220" s="60" t="s">
        <v>3</v>
      </c>
      <c r="D220" s="60">
        <v>27</v>
      </c>
      <c r="E220" s="62">
        <v>44012</v>
      </c>
      <c r="F220" s="63">
        <v>32</v>
      </c>
      <c r="G220" s="61">
        <v>19.809999999999999</v>
      </c>
      <c r="H220" s="64">
        <f t="shared" ref="H220:H229" si="28">G220/F220</f>
        <v>0.61906249999999996</v>
      </c>
      <c r="I220" s="64">
        <f t="shared" si="22"/>
        <v>5.7478124999999993</v>
      </c>
      <c r="J220" s="64"/>
    </row>
    <row r="221" spans="1:16" s="65" customFormat="1" hidden="1" x14ac:dyDescent="0.3">
      <c r="A221" s="60" t="s">
        <v>10</v>
      </c>
      <c r="B221" s="61">
        <v>14</v>
      </c>
      <c r="C221" s="60" t="s">
        <v>4</v>
      </c>
      <c r="D221" s="60">
        <v>27</v>
      </c>
      <c r="E221" s="62">
        <v>44012</v>
      </c>
      <c r="F221" s="63">
        <v>33</v>
      </c>
      <c r="G221" s="61">
        <v>12.48</v>
      </c>
      <c r="H221" s="64">
        <f t="shared" si="28"/>
        <v>0.37818181818181817</v>
      </c>
      <c r="I221" s="64">
        <f t="shared" si="22"/>
        <v>5.1133333333333333</v>
      </c>
      <c r="J221" s="64"/>
    </row>
    <row r="222" spans="1:16" s="65" customFormat="1" hidden="1" x14ac:dyDescent="0.3">
      <c r="A222" s="60" t="s">
        <v>10</v>
      </c>
      <c r="B222" s="61">
        <v>15</v>
      </c>
      <c r="C222" s="60" t="s">
        <v>5</v>
      </c>
      <c r="D222" s="60">
        <v>27</v>
      </c>
      <c r="E222" s="62">
        <v>44012</v>
      </c>
      <c r="F222" s="63">
        <v>35</v>
      </c>
      <c r="G222" s="61">
        <v>16.13</v>
      </c>
      <c r="H222" s="64">
        <f t="shared" si="28"/>
        <v>0.46085714285714285</v>
      </c>
      <c r="I222" s="64">
        <f t="shared" si="22"/>
        <v>5.4726390977443611</v>
      </c>
      <c r="J222" s="64"/>
    </row>
    <row r="223" spans="1:16" s="65" customFormat="1" x14ac:dyDescent="0.3">
      <c r="A223" s="60" t="s">
        <v>10</v>
      </c>
      <c r="B223" s="61">
        <v>16</v>
      </c>
      <c r="C223" s="60" t="s">
        <v>3</v>
      </c>
      <c r="D223" s="60">
        <v>27</v>
      </c>
      <c r="E223" s="62">
        <v>44012</v>
      </c>
      <c r="F223" s="63">
        <v>40</v>
      </c>
      <c r="G223" s="61">
        <f>5.83+11.5</f>
        <v>17.329999999999998</v>
      </c>
      <c r="H223" s="64">
        <f t="shared" si="28"/>
        <v>0.43324999999999997</v>
      </c>
      <c r="I223" s="64">
        <f t="shared" si="22"/>
        <v>5.3225000000000007</v>
      </c>
      <c r="J223" s="64"/>
    </row>
    <row r="224" spans="1:16" s="65" customFormat="1" hidden="1" x14ac:dyDescent="0.3">
      <c r="A224" s="60" t="s">
        <v>10</v>
      </c>
      <c r="B224" s="61">
        <v>17</v>
      </c>
      <c r="C224" s="60" t="s">
        <v>4</v>
      </c>
      <c r="D224" s="60">
        <v>27</v>
      </c>
      <c r="E224" s="62">
        <v>44012</v>
      </c>
      <c r="F224" s="63">
        <v>34</v>
      </c>
      <c r="G224" s="63">
        <f>16.53+2.82+0.92</f>
        <v>20.270000000000003</v>
      </c>
      <c r="H224" s="64">
        <f t="shared" si="28"/>
        <v>0.59617647058823542</v>
      </c>
      <c r="I224" s="64">
        <f t="shared" si="22"/>
        <v>5.3717182662538701</v>
      </c>
      <c r="J224" s="64"/>
    </row>
    <row r="225" spans="1:16" s="65" customFormat="1" hidden="1" x14ac:dyDescent="0.3">
      <c r="A225" s="60" t="s">
        <v>10</v>
      </c>
      <c r="B225" s="61">
        <v>18</v>
      </c>
      <c r="C225" s="60" t="s">
        <v>5</v>
      </c>
      <c r="D225" s="60">
        <v>27</v>
      </c>
      <c r="E225" s="62">
        <v>44012</v>
      </c>
      <c r="F225" s="63">
        <v>38</v>
      </c>
      <c r="G225" s="63">
        <f>13.74+1.9</f>
        <v>15.64</v>
      </c>
      <c r="H225" s="64">
        <f t="shared" si="28"/>
        <v>0.41157894736842104</v>
      </c>
      <c r="I225" s="64">
        <f t="shared" si="22"/>
        <v>5.3327763157894736</v>
      </c>
      <c r="J225" s="64"/>
    </row>
    <row r="226" spans="1:16" s="65" customFormat="1" x14ac:dyDescent="0.3">
      <c r="A226" s="60" t="s">
        <v>10</v>
      </c>
      <c r="B226" s="61">
        <v>19</v>
      </c>
      <c r="C226" s="60" t="s">
        <v>3</v>
      </c>
      <c r="D226" s="60">
        <v>27</v>
      </c>
      <c r="E226" s="62">
        <v>44012</v>
      </c>
      <c r="F226" s="63">
        <v>34</v>
      </c>
      <c r="G226" s="61">
        <v>18.399999999999999</v>
      </c>
      <c r="H226" s="64">
        <f t="shared" si="28"/>
        <v>0.54117647058823526</v>
      </c>
      <c r="I226" s="64">
        <f t="shared" si="22"/>
        <v>5.8709856915739271</v>
      </c>
      <c r="J226" s="64"/>
    </row>
    <row r="227" spans="1:16" s="65" customFormat="1" hidden="1" x14ac:dyDescent="0.3">
      <c r="A227" s="60" t="s">
        <v>10</v>
      </c>
      <c r="B227" s="61">
        <v>20</v>
      </c>
      <c r="C227" s="60" t="s">
        <v>4</v>
      </c>
      <c r="D227" s="60">
        <v>27</v>
      </c>
      <c r="E227" s="62">
        <v>44012</v>
      </c>
      <c r="F227" s="63">
        <v>40</v>
      </c>
      <c r="G227" s="61">
        <v>20.65</v>
      </c>
      <c r="H227" s="64">
        <f t="shared" si="28"/>
        <v>0.51624999999999999</v>
      </c>
      <c r="I227" s="64">
        <f t="shared" si="22"/>
        <v>5.0367500000000005</v>
      </c>
      <c r="J227" s="64"/>
    </row>
    <row r="228" spans="1:16" s="65" customFormat="1" hidden="1" x14ac:dyDescent="0.3">
      <c r="A228" s="60" t="s">
        <v>10</v>
      </c>
      <c r="B228" s="61">
        <v>21</v>
      </c>
      <c r="C228" s="60" t="s">
        <v>5</v>
      </c>
      <c r="D228" s="60">
        <v>27</v>
      </c>
      <c r="E228" s="62">
        <v>44012</v>
      </c>
      <c r="F228" s="63">
        <v>32</v>
      </c>
      <c r="G228" s="61">
        <v>17.47</v>
      </c>
      <c r="H228" s="64">
        <f t="shared" si="28"/>
        <v>0.54593749999999996</v>
      </c>
      <c r="I228" s="64">
        <f t="shared" si="22"/>
        <v>5.8689236111111107</v>
      </c>
      <c r="J228" s="64"/>
    </row>
    <row r="229" spans="1:16" s="65" customFormat="1" x14ac:dyDescent="0.3">
      <c r="A229" s="60" t="s">
        <v>10</v>
      </c>
      <c r="B229" s="61">
        <v>22</v>
      </c>
      <c r="C229" s="60" t="s">
        <v>3</v>
      </c>
      <c r="D229" s="60">
        <v>27</v>
      </c>
      <c r="E229" s="62">
        <v>44012</v>
      </c>
      <c r="F229" s="63">
        <v>38</v>
      </c>
      <c r="G229" s="61">
        <f>10.71+10.55</f>
        <v>21.26</v>
      </c>
      <c r="H229" s="64">
        <f t="shared" si="28"/>
        <v>0.55947368421052635</v>
      </c>
      <c r="I229" s="64">
        <f t="shared" si="22"/>
        <v>5.9826315789473679</v>
      </c>
      <c r="J229" s="64"/>
    </row>
    <row r="230" spans="1:16" hidden="1" x14ac:dyDescent="0.3">
      <c r="A230" s="1" t="s">
        <v>9</v>
      </c>
      <c r="B230" s="4">
        <v>2</v>
      </c>
      <c r="C230" s="1" t="s">
        <v>3</v>
      </c>
      <c r="D230" s="1">
        <v>28</v>
      </c>
      <c r="E230" s="3">
        <v>44019</v>
      </c>
      <c r="F230" s="2">
        <v>36</v>
      </c>
      <c r="G230" s="4">
        <f>6.94+14.45</f>
        <v>21.39</v>
      </c>
      <c r="H230" s="14">
        <f t="shared" ref="H230:H238" si="29">G230/F230</f>
        <v>0.59416666666666673</v>
      </c>
      <c r="I230" s="14">
        <f t="shared" si="22"/>
        <v>8.3244871794871802</v>
      </c>
      <c r="J230" s="86">
        <f>D230</f>
        <v>28</v>
      </c>
      <c r="K230" t="s">
        <v>45</v>
      </c>
      <c r="L230" t="s">
        <v>9</v>
      </c>
      <c r="M230" s="52">
        <f>AVERAGE(H230,H230,H233,H236)</f>
        <v>0.61701962676962674</v>
      </c>
      <c r="N230" s="55">
        <f>STDEV(H230,H230,H233,H236)</f>
        <v>3.1211230262194002E-2</v>
      </c>
      <c r="O230" s="52">
        <f>AVERAGE(I230,I230,I233,I236)</f>
        <v>8.0594018909018921</v>
      </c>
      <c r="P230" s="55">
        <f>STDEV(I230,I230,I233,I236)</f>
        <v>0.31030873327521241</v>
      </c>
    </row>
    <row r="231" spans="1:16" hidden="1" x14ac:dyDescent="0.3">
      <c r="A231" s="1" t="s">
        <v>9</v>
      </c>
      <c r="B231" s="4">
        <v>3</v>
      </c>
      <c r="C231" s="1" t="s">
        <v>4</v>
      </c>
      <c r="D231" s="1">
        <v>28</v>
      </c>
      <c r="E231" s="3">
        <v>44019</v>
      </c>
      <c r="F231" s="2">
        <v>34</v>
      </c>
      <c r="G231" s="4">
        <f>9.51+13.83</f>
        <v>23.34</v>
      </c>
      <c r="H231" s="14">
        <f t="shared" si="29"/>
        <v>0.68647058823529417</v>
      </c>
      <c r="I231" s="14">
        <f t="shared" si="22"/>
        <v>8.3208982511923697</v>
      </c>
      <c r="J231" s="86"/>
      <c r="K231" t="s">
        <v>46</v>
      </c>
      <c r="L231" t="s">
        <v>9</v>
      </c>
      <c r="M231" s="52">
        <f>AVERAGE(H231,H231,H234,H237)</f>
        <v>0.63414557940293237</v>
      </c>
      <c r="N231" s="55">
        <f>STDEV(H231,H231,H234,H237)</f>
        <v>6.9839648782302977E-2</v>
      </c>
      <c r="O231" s="52">
        <f>AVERAGE(I231,I231,I234,I237)</f>
        <v>7.9463500264970861</v>
      </c>
      <c r="P231" s="55">
        <f>STDEV(I231,I231,I234,I237)</f>
        <v>0.43255739524269748</v>
      </c>
    </row>
    <row r="232" spans="1:16" hidden="1" x14ac:dyDescent="0.3">
      <c r="A232" s="1" t="s">
        <v>9</v>
      </c>
      <c r="B232" s="4">
        <v>4</v>
      </c>
      <c r="C232" s="1" t="s">
        <v>5</v>
      </c>
      <c r="D232" s="1">
        <v>28</v>
      </c>
      <c r="E232" s="3">
        <v>44019</v>
      </c>
      <c r="F232" s="2">
        <v>37</v>
      </c>
      <c r="G232" s="4">
        <f>22.58</f>
        <v>22.58</v>
      </c>
      <c r="H232" s="14">
        <f t="shared" si="29"/>
        <v>0.61027027027027025</v>
      </c>
      <c r="I232" s="14">
        <f t="shared" ref="I232:I295" si="30">I213+H232</f>
        <v>7.9772972972972989</v>
      </c>
      <c r="J232" s="86"/>
      <c r="K232" t="s">
        <v>47</v>
      </c>
      <c r="L232" t="s">
        <v>9</v>
      </c>
      <c r="M232" s="52">
        <f>AVERAGE(H232,H232,H235,H238)</f>
        <v>0.59517836821784198</v>
      </c>
      <c r="N232" s="55">
        <f>STDEV(H232,H232,H235,H238)</f>
        <v>2.9249306002253572E-2</v>
      </c>
      <c r="O232" s="52">
        <f>AVERAGE(I232,I232,I235,I238)</f>
        <v>7.6300295671611469</v>
      </c>
      <c r="P232" s="55">
        <f>STDEV(I232,I232,I235,I238)</f>
        <v>0.45826894949869296</v>
      </c>
    </row>
    <row r="233" spans="1:16" hidden="1" x14ac:dyDescent="0.3">
      <c r="A233" s="1" t="s">
        <v>9</v>
      </c>
      <c r="B233" s="4">
        <v>5</v>
      </c>
      <c r="C233" s="1" t="s">
        <v>3</v>
      </c>
      <c r="D233" s="1">
        <v>28</v>
      </c>
      <c r="E233" s="3">
        <v>44019</v>
      </c>
      <c r="F233" s="2">
        <v>35</v>
      </c>
      <c r="G233" s="4">
        <f>12.83+10.28</f>
        <v>23.11</v>
      </c>
      <c r="H233" s="14">
        <f t="shared" si="29"/>
        <v>0.66028571428571425</v>
      </c>
      <c r="I233" s="14">
        <f t="shared" si="30"/>
        <v>7.8567413127413133</v>
      </c>
      <c r="J233" s="86"/>
      <c r="K233" t="s">
        <v>45</v>
      </c>
      <c r="L233" s="60" t="s">
        <v>10</v>
      </c>
      <c r="M233" s="52">
        <f>AVERAGE(H239,H239,H242,H245)</f>
        <v>0.46229411764705886</v>
      </c>
      <c r="N233" s="55">
        <f>STDEV(H239,H239,H242,H245)</f>
        <v>5.6191836518745743E-2</v>
      </c>
      <c r="O233" s="52">
        <f>AVERAGE(I239,I239,I242,I245)</f>
        <v>6.1345717905405408</v>
      </c>
      <c r="P233" s="55">
        <f>STDEV(I239,I239,I242,I245)</f>
        <v>0.28770888121707283</v>
      </c>
    </row>
    <row r="234" spans="1:16" hidden="1" x14ac:dyDescent="0.3">
      <c r="A234" s="1" t="s">
        <v>9</v>
      </c>
      <c r="B234" s="4">
        <v>6</v>
      </c>
      <c r="C234" s="1" t="s">
        <v>4</v>
      </c>
      <c r="D234" s="1">
        <v>28</v>
      </c>
      <c r="E234" s="3">
        <v>44019</v>
      </c>
      <c r="F234" s="2">
        <v>37</v>
      </c>
      <c r="G234" s="2">
        <f>11.5+8.44</f>
        <v>19.939999999999998</v>
      </c>
      <c r="H234" s="14">
        <f t="shared" si="29"/>
        <v>0.53891891891891885</v>
      </c>
      <c r="I234" s="14">
        <f t="shared" si="30"/>
        <v>7.5810810810810807</v>
      </c>
      <c r="J234" s="86"/>
      <c r="K234" t="s">
        <v>46</v>
      </c>
      <c r="L234" s="60" t="s">
        <v>10</v>
      </c>
      <c r="M234" s="52">
        <f>AVERAGE(H240,H240,H243,H246)</f>
        <v>0.36587683823529416</v>
      </c>
      <c r="N234" s="55">
        <f>STDEV(H240,H240,H243,H246)</f>
        <v>2.7496131323899754E-2</v>
      </c>
      <c r="O234" s="52">
        <f>AVERAGE(I240,I240,I243,I246)</f>
        <v>5.5246605714654287</v>
      </c>
      <c r="P234" s="55">
        <f>STDEV(I240,I240,I243,I246)</f>
        <v>0.17117280125863993</v>
      </c>
    </row>
    <row r="235" spans="1:16" hidden="1" x14ac:dyDescent="0.3">
      <c r="A235" s="1" t="s">
        <v>9</v>
      </c>
      <c r="B235" s="4">
        <v>7</v>
      </c>
      <c r="C235" s="1" t="s">
        <v>5</v>
      </c>
      <c r="D235" s="1">
        <v>28</v>
      </c>
      <c r="E235" s="3">
        <v>44019</v>
      </c>
      <c r="F235" s="2">
        <v>35</v>
      </c>
      <c r="G235" s="2">
        <v>21.31</v>
      </c>
      <c r="H235" s="14">
        <f t="shared" si="29"/>
        <v>0.60885714285714287</v>
      </c>
      <c r="I235" s="14">
        <f t="shared" si="30"/>
        <v>7.5544710424710422</v>
      </c>
      <c r="J235" s="86"/>
      <c r="K235" t="s">
        <v>47</v>
      </c>
      <c r="L235" s="60" t="s">
        <v>10</v>
      </c>
      <c r="M235" s="52">
        <f>AVERAGE(H241,H241,H244,H247)</f>
        <v>0.38398002819548871</v>
      </c>
      <c r="N235" s="55">
        <f>STDEV(H241,H241,H244,H247)</f>
        <v>7.1418134466082792E-2</v>
      </c>
      <c r="O235" s="52">
        <f>AVERAGE(I241,I241,I244,I247)</f>
        <v>5.9207245587928155</v>
      </c>
      <c r="P235" s="55">
        <f>STDEV(I241,I241,I244,I247)</f>
        <v>0.2669301372508312</v>
      </c>
    </row>
    <row r="236" spans="1:16" hidden="1" x14ac:dyDescent="0.3">
      <c r="A236" s="1" t="s">
        <v>9</v>
      </c>
      <c r="B236" s="4">
        <v>8</v>
      </c>
      <c r="C236" s="1" t="s">
        <v>3</v>
      </c>
      <c r="D236" s="1">
        <v>28</v>
      </c>
      <c r="E236" s="3">
        <v>44019</v>
      </c>
      <c r="F236" s="2">
        <v>37</v>
      </c>
      <c r="G236" s="4">
        <f>12.63+10.29</f>
        <v>22.92</v>
      </c>
      <c r="H236" s="14">
        <f t="shared" si="29"/>
        <v>0.61945945945945946</v>
      </c>
      <c r="I236" s="14">
        <f t="shared" si="30"/>
        <v>7.7318918918918929</v>
      </c>
      <c r="J236" s="14"/>
    </row>
    <row r="237" spans="1:16" hidden="1" x14ac:dyDescent="0.3">
      <c r="A237" s="1" t="s">
        <v>9</v>
      </c>
      <c r="B237" s="4">
        <v>9</v>
      </c>
      <c r="C237" s="1" t="s">
        <v>4</v>
      </c>
      <c r="D237" s="1">
        <v>28</v>
      </c>
      <c r="E237" s="3">
        <v>44019</v>
      </c>
      <c r="F237" s="2">
        <v>36</v>
      </c>
      <c r="G237" s="4">
        <v>22.49</v>
      </c>
      <c r="H237" s="14">
        <f t="shared" si="29"/>
        <v>0.62472222222222218</v>
      </c>
      <c r="I237" s="14">
        <f t="shared" si="30"/>
        <v>7.5625225225225226</v>
      </c>
      <c r="J237" s="14"/>
    </row>
    <row r="238" spans="1:16" hidden="1" x14ac:dyDescent="0.3">
      <c r="A238" s="1" t="s">
        <v>9</v>
      </c>
      <c r="B238" s="4">
        <v>10</v>
      </c>
      <c r="C238" s="1" t="s">
        <v>5</v>
      </c>
      <c r="D238" s="1">
        <v>28</v>
      </c>
      <c r="E238" s="3">
        <v>44019</v>
      </c>
      <c r="F238" s="2">
        <v>38</v>
      </c>
      <c r="G238" s="4">
        <f>16.3+2.2+2.45</f>
        <v>20.95</v>
      </c>
      <c r="H238" s="14">
        <f t="shared" si="29"/>
        <v>0.5513157894736842</v>
      </c>
      <c r="I238" s="14">
        <f t="shared" si="30"/>
        <v>7.0110526315789468</v>
      </c>
      <c r="J238" s="14"/>
    </row>
    <row r="239" spans="1:16" s="65" customFormat="1" x14ac:dyDescent="0.3">
      <c r="A239" s="60" t="s">
        <v>10</v>
      </c>
      <c r="B239" s="61">
        <v>13</v>
      </c>
      <c r="C239" s="60" t="s">
        <v>3</v>
      </c>
      <c r="D239" s="60">
        <v>28</v>
      </c>
      <c r="E239" s="62">
        <v>44019</v>
      </c>
      <c r="F239" s="63">
        <v>32</v>
      </c>
      <c r="G239" s="61">
        <v>14.4</v>
      </c>
      <c r="H239" s="64">
        <f t="shared" ref="H239:H248" si="31">G239/F239</f>
        <v>0.45</v>
      </c>
      <c r="I239" s="64">
        <f t="shared" si="30"/>
        <v>6.1978124999999995</v>
      </c>
      <c r="J239" s="64"/>
    </row>
    <row r="240" spans="1:16" s="65" customFormat="1" hidden="1" x14ac:dyDescent="0.3">
      <c r="A240" s="60" t="s">
        <v>10</v>
      </c>
      <c r="B240" s="61">
        <v>14</v>
      </c>
      <c r="C240" s="60" t="s">
        <v>4</v>
      </c>
      <c r="D240" s="60">
        <v>28</v>
      </c>
      <c r="E240" s="62">
        <v>44019</v>
      </c>
      <c r="F240" s="63">
        <v>32</v>
      </c>
      <c r="G240" s="61">
        <v>11.13</v>
      </c>
      <c r="H240" s="64">
        <f t="shared" si="31"/>
        <v>0.34781250000000002</v>
      </c>
      <c r="I240" s="64">
        <f t="shared" si="30"/>
        <v>5.4611458333333331</v>
      </c>
      <c r="J240" s="64"/>
    </row>
    <row r="241" spans="1:16" s="65" customFormat="1" hidden="1" x14ac:dyDescent="0.3">
      <c r="A241" s="60" t="s">
        <v>10</v>
      </c>
      <c r="B241" s="61">
        <v>15</v>
      </c>
      <c r="C241" s="60" t="s">
        <v>5</v>
      </c>
      <c r="D241" s="60">
        <v>28</v>
      </c>
      <c r="E241" s="62">
        <v>44019</v>
      </c>
      <c r="F241" s="63">
        <v>35</v>
      </c>
      <c r="G241" s="61">
        <v>11.28</v>
      </c>
      <c r="H241" s="64">
        <f t="shared" si="31"/>
        <v>0.32228571428571429</v>
      </c>
      <c r="I241" s="64">
        <f t="shared" si="30"/>
        <v>5.7949248120300751</v>
      </c>
      <c r="J241" s="64"/>
    </row>
    <row r="242" spans="1:16" s="65" customFormat="1" x14ac:dyDescent="0.3">
      <c r="A242" s="60" t="s">
        <v>10</v>
      </c>
      <c r="B242" s="61">
        <v>16</v>
      </c>
      <c r="C242" s="60" t="s">
        <v>3</v>
      </c>
      <c r="D242" s="60">
        <v>28</v>
      </c>
      <c r="E242" s="62">
        <v>44019</v>
      </c>
      <c r="F242" s="63">
        <v>40</v>
      </c>
      <c r="G242" s="61">
        <f>5.7+10.62</f>
        <v>16.32</v>
      </c>
      <c r="H242" s="64">
        <f t="shared" si="31"/>
        <v>0.40800000000000003</v>
      </c>
      <c r="I242" s="64">
        <f t="shared" si="30"/>
        <v>5.730500000000001</v>
      </c>
      <c r="J242" s="64"/>
    </row>
    <row r="243" spans="1:16" s="65" customFormat="1" hidden="1" x14ac:dyDescent="0.3">
      <c r="A243" s="60" t="s">
        <v>10</v>
      </c>
      <c r="B243" s="61">
        <v>17</v>
      </c>
      <c r="C243" s="60" t="s">
        <v>4</v>
      </c>
      <c r="D243" s="60">
        <v>28</v>
      </c>
      <c r="E243" s="62">
        <v>44019</v>
      </c>
      <c r="F243" s="63">
        <v>34</v>
      </c>
      <c r="G243" s="63">
        <f>12.71+1.09</f>
        <v>13.8</v>
      </c>
      <c r="H243" s="64">
        <f t="shared" si="31"/>
        <v>0.40588235294117647</v>
      </c>
      <c r="I243" s="64">
        <f t="shared" si="30"/>
        <v>5.7776006191950469</v>
      </c>
      <c r="J243" s="64"/>
    </row>
    <row r="244" spans="1:16" s="65" customFormat="1" hidden="1" x14ac:dyDescent="0.3">
      <c r="A244" s="60" t="s">
        <v>10</v>
      </c>
      <c r="B244" s="61">
        <v>18</v>
      </c>
      <c r="C244" s="60" t="s">
        <v>5</v>
      </c>
      <c r="D244" s="60">
        <v>28</v>
      </c>
      <c r="E244" s="62">
        <v>44019</v>
      </c>
      <c r="F244" s="63">
        <v>38</v>
      </c>
      <c r="G244" s="63">
        <f>5.36+11.34</f>
        <v>16.7</v>
      </c>
      <c r="H244" s="64">
        <f t="shared" si="31"/>
        <v>0.43947368421052629</v>
      </c>
      <c r="I244" s="64">
        <f t="shared" si="30"/>
        <v>5.7722499999999997</v>
      </c>
      <c r="J244" s="64"/>
    </row>
    <row r="245" spans="1:16" s="65" customFormat="1" x14ac:dyDescent="0.3">
      <c r="A245" s="60" t="s">
        <v>10</v>
      </c>
      <c r="B245" s="61">
        <v>19</v>
      </c>
      <c r="C245" s="60" t="s">
        <v>3</v>
      </c>
      <c r="D245" s="60">
        <v>28</v>
      </c>
      <c r="E245" s="62">
        <v>44019</v>
      </c>
      <c r="F245" s="63">
        <v>34</v>
      </c>
      <c r="G245" s="61">
        <f>7.59+10.81</f>
        <v>18.399999999999999</v>
      </c>
      <c r="H245" s="64">
        <f t="shared" si="31"/>
        <v>0.54117647058823526</v>
      </c>
      <c r="I245" s="64">
        <f t="shared" si="30"/>
        <v>6.4121621621621623</v>
      </c>
      <c r="J245" s="64"/>
    </row>
    <row r="246" spans="1:16" s="65" customFormat="1" hidden="1" x14ac:dyDescent="0.3">
      <c r="A246" s="60" t="s">
        <v>10</v>
      </c>
      <c r="B246" s="61">
        <v>20</v>
      </c>
      <c r="C246" s="60" t="s">
        <v>4</v>
      </c>
      <c r="D246" s="60">
        <v>28</v>
      </c>
      <c r="E246" s="62">
        <v>44019</v>
      </c>
      <c r="F246" s="63">
        <v>40</v>
      </c>
      <c r="G246" s="61">
        <f>4.76+9.57+0.15</f>
        <v>14.48</v>
      </c>
      <c r="H246" s="64">
        <f t="shared" si="31"/>
        <v>0.36199999999999999</v>
      </c>
      <c r="I246" s="64">
        <f t="shared" si="30"/>
        <v>5.3987500000000006</v>
      </c>
      <c r="J246" s="64"/>
    </row>
    <row r="247" spans="1:16" s="65" customFormat="1" hidden="1" x14ac:dyDescent="0.3">
      <c r="A247" s="60" t="s">
        <v>10</v>
      </c>
      <c r="B247" s="61">
        <v>21</v>
      </c>
      <c r="C247" s="60" t="s">
        <v>5</v>
      </c>
      <c r="D247" s="60">
        <v>28</v>
      </c>
      <c r="E247" s="62">
        <v>44019</v>
      </c>
      <c r="F247" s="63">
        <v>32</v>
      </c>
      <c r="G247" s="61">
        <v>14.46</v>
      </c>
      <c r="H247" s="64">
        <f t="shared" si="31"/>
        <v>0.45187500000000003</v>
      </c>
      <c r="I247" s="64">
        <f t="shared" si="30"/>
        <v>6.320798611111111</v>
      </c>
      <c r="J247" s="64"/>
    </row>
    <row r="248" spans="1:16" s="65" customFormat="1" x14ac:dyDescent="0.3">
      <c r="A248" s="60" t="s">
        <v>10</v>
      </c>
      <c r="B248" s="61">
        <v>22</v>
      </c>
      <c r="C248" s="60" t="s">
        <v>3</v>
      </c>
      <c r="D248" s="60">
        <v>28</v>
      </c>
      <c r="E248" s="62">
        <v>44019</v>
      </c>
      <c r="F248" s="63">
        <v>38</v>
      </c>
      <c r="G248" s="61">
        <f>5.71+13.8</f>
        <v>19.510000000000002</v>
      </c>
      <c r="H248" s="64">
        <f t="shared" si="31"/>
        <v>0.513421052631579</v>
      </c>
      <c r="I248" s="64">
        <f t="shared" si="30"/>
        <v>6.4960526315789471</v>
      </c>
      <c r="J248" s="64"/>
    </row>
    <row r="249" spans="1:16" hidden="1" x14ac:dyDescent="0.3">
      <c r="A249" s="1" t="s">
        <v>9</v>
      </c>
      <c r="B249" s="4">
        <v>2</v>
      </c>
      <c r="C249" s="1" t="s">
        <v>3</v>
      </c>
      <c r="D249" s="1">
        <v>29</v>
      </c>
      <c r="E249" s="3">
        <v>44026</v>
      </c>
      <c r="F249" s="2">
        <v>36</v>
      </c>
      <c r="G249" s="4">
        <v>17.420000000000002</v>
      </c>
      <c r="H249" s="14">
        <f t="shared" ref="H249:H257" si="32">G249/F249</f>
        <v>0.48388888888888892</v>
      </c>
      <c r="I249" s="14">
        <f t="shared" si="30"/>
        <v>8.8083760683760683</v>
      </c>
      <c r="J249" s="86">
        <f>D249</f>
        <v>29</v>
      </c>
      <c r="K249" t="s">
        <v>45</v>
      </c>
      <c r="L249" t="s">
        <v>9</v>
      </c>
      <c r="M249" s="52">
        <f>AVERAGE(H249,H249,H252,H255)</f>
        <v>0.5436394251394252</v>
      </c>
      <c r="N249" s="55">
        <f>STDEV(H249,H249,H252,H255)</f>
        <v>6.9690655978712504E-2</v>
      </c>
      <c r="O249" s="52">
        <f>AVERAGE(I249,I249,I252,I255)</f>
        <v>8.6030413160413168</v>
      </c>
      <c r="P249" s="55">
        <f>STDEV(I249,I249,I252,I255)</f>
        <v>0.24477133155548944</v>
      </c>
    </row>
    <row r="250" spans="1:16" hidden="1" x14ac:dyDescent="0.3">
      <c r="A250" s="1" t="s">
        <v>9</v>
      </c>
      <c r="B250" s="4">
        <v>3</v>
      </c>
      <c r="C250" s="1" t="s">
        <v>4</v>
      </c>
      <c r="D250" s="1">
        <v>29</v>
      </c>
      <c r="E250" s="3">
        <v>44026</v>
      </c>
      <c r="F250" s="2">
        <v>34</v>
      </c>
      <c r="G250" s="4">
        <v>14.12</v>
      </c>
      <c r="H250" s="14">
        <f t="shared" si="32"/>
        <v>0.41529411764705881</v>
      </c>
      <c r="I250" s="14">
        <f t="shared" si="30"/>
        <v>8.7361923688394292</v>
      </c>
      <c r="J250" s="86"/>
      <c r="K250" t="s">
        <v>46</v>
      </c>
      <c r="L250" t="s">
        <v>9</v>
      </c>
      <c r="M250" s="52">
        <f>AVERAGE(H250,H250,H253,H256)</f>
        <v>0.45398527203674266</v>
      </c>
      <c r="N250" s="55">
        <f>STDEV(H250,H250,H253,H256)</f>
        <v>5.3202090397203236E-2</v>
      </c>
      <c r="O250" s="52">
        <f>AVERAGE(I250,I250,I253,I256)</f>
        <v>8.4003352985338289</v>
      </c>
      <c r="P250" s="55">
        <f>STDEV(I250,I250,I253,I256)</f>
        <v>0.38839940397371642</v>
      </c>
    </row>
    <row r="251" spans="1:16" hidden="1" x14ac:dyDescent="0.3">
      <c r="A251" s="1" t="s">
        <v>9</v>
      </c>
      <c r="B251" s="4">
        <v>4</v>
      </c>
      <c r="C251" s="1" t="s">
        <v>5</v>
      </c>
      <c r="D251" s="1">
        <v>29</v>
      </c>
      <c r="E251" s="3">
        <v>44026</v>
      </c>
      <c r="F251" s="2">
        <v>37</v>
      </c>
      <c r="G251" s="4">
        <v>16.48</v>
      </c>
      <c r="H251" s="14">
        <f t="shared" si="32"/>
        <v>0.44540540540540541</v>
      </c>
      <c r="I251" s="14">
        <f t="shared" si="30"/>
        <v>8.4227027027027042</v>
      </c>
      <c r="J251" s="86"/>
      <c r="K251" t="s">
        <v>47</v>
      </c>
      <c r="L251" t="s">
        <v>9</v>
      </c>
      <c r="M251" s="52">
        <f>AVERAGE(H251,H251,H254,H257)</f>
        <v>0.46154292826661247</v>
      </c>
      <c r="N251" s="55">
        <f>STDEV(H251,H251,H254,H257)</f>
        <v>6.5488226424936208E-2</v>
      </c>
      <c r="O251" s="52">
        <f>AVERAGE(I251,I251,I254,I257)</f>
        <v>8.0915724954277586</v>
      </c>
      <c r="P251" s="55">
        <f>STDEV(I251,I251,I254,I257)</f>
        <v>0.47666656120087286</v>
      </c>
    </row>
    <row r="252" spans="1:16" hidden="1" x14ac:dyDescent="0.3">
      <c r="A252" s="1" t="s">
        <v>9</v>
      </c>
      <c r="B252" s="4">
        <v>5</v>
      </c>
      <c r="C252" s="1" t="s">
        <v>3</v>
      </c>
      <c r="D252" s="1">
        <v>29</v>
      </c>
      <c r="E252" s="3">
        <v>44026</v>
      </c>
      <c r="F252" s="2">
        <v>35</v>
      </c>
      <c r="G252" s="4">
        <v>21.54</v>
      </c>
      <c r="H252" s="14">
        <f t="shared" si="32"/>
        <v>0.61542857142857144</v>
      </c>
      <c r="I252" s="14">
        <f t="shared" si="30"/>
        <v>8.4721698841698849</v>
      </c>
      <c r="J252" s="86"/>
      <c r="K252" t="s">
        <v>45</v>
      </c>
      <c r="L252" s="60" t="s">
        <v>10</v>
      </c>
      <c r="M252" s="52">
        <f>AVERAGE(H258,H258,H261,H264)</f>
        <v>0.34840441176470588</v>
      </c>
      <c r="N252" s="55">
        <f>STDEV(H258,H258,H261,H264)</f>
        <v>6.8226548469712225E-2</v>
      </c>
      <c r="O252" s="52">
        <f>AVERAGE(I258,I258,I261,I264)</f>
        <v>6.4829762023052462</v>
      </c>
      <c r="P252" s="55">
        <f>STDEV(I258,I258,I261,I264)</f>
        <v>0.35543989958472272</v>
      </c>
    </row>
    <row r="253" spans="1:16" hidden="1" x14ac:dyDescent="0.3">
      <c r="A253" s="1" t="s">
        <v>9</v>
      </c>
      <c r="B253" s="4">
        <v>6</v>
      </c>
      <c r="C253" s="1" t="s">
        <v>4</v>
      </c>
      <c r="D253" s="1">
        <v>29</v>
      </c>
      <c r="E253" s="3">
        <v>44026</v>
      </c>
      <c r="F253" s="2">
        <v>37</v>
      </c>
      <c r="G253" s="2">
        <v>16.920000000000002</v>
      </c>
      <c r="H253" s="14">
        <f t="shared" si="32"/>
        <v>0.45729729729729734</v>
      </c>
      <c r="I253" s="14">
        <f t="shared" si="30"/>
        <v>8.0383783783783773</v>
      </c>
      <c r="J253" s="86"/>
      <c r="K253" t="s">
        <v>46</v>
      </c>
      <c r="L253" s="60" t="s">
        <v>10</v>
      </c>
      <c r="M253" s="52">
        <f>AVERAGE(H259,H259,H262,H265)</f>
        <v>0.29272610294117646</v>
      </c>
      <c r="N253" s="55">
        <f>STDEV(H259,H259,H262,H265)</f>
        <v>5.3971655812022339E-2</v>
      </c>
      <c r="O253" s="52">
        <f>AVERAGE(I259,I259,I262,I265)</f>
        <v>5.8173866744066052</v>
      </c>
      <c r="P253" s="55">
        <f>STDEV(I259,I259,I262,I265)</f>
        <v>0.22401936119923016</v>
      </c>
    </row>
    <row r="254" spans="1:16" hidden="1" x14ac:dyDescent="0.3">
      <c r="A254" s="1" t="s">
        <v>9</v>
      </c>
      <c r="B254" s="4">
        <v>7</v>
      </c>
      <c r="C254" s="1" t="s">
        <v>5</v>
      </c>
      <c r="D254" s="1">
        <v>29</v>
      </c>
      <c r="E254" s="3">
        <v>44026</v>
      </c>
      <c r="F254" s="2">
        <v>35</v>
      </c>
      <c r="G254" s="2">
        <v>19.41</v>
      </c>
      <c r="H254" s="14">
        <f t="shared" si="32"/>
        <v>0.5545714285714286</v>
      </c>
      <c r="I254" s="14">
        <f t="shared" si="30"/>
        <v>8.1090424710424713</v>
      </c>
      <c r="J254" s="86"/>
      <c r="K254" t="s">
        <v>47</v>
      </c>
      <c r="L254" s="60" t="s">
        <v>10</v>
      </c>
      <c r="M254" s="52">
        <f>AVERAGE(H260,H260,H263,H266)</f>
        <v>0.31330286654135342</v>
      </c>
      <c r="N254" s="55">
        <f>STDEV(H260,H260,H263,H266)</f>
        <v>6.9817927978706798E-2</v>
      </c>
      <c r="O254" s="52">
        <f>AVERAGE(I260,I260,I263,I266)</f>
        <v>6.2340274253341681</v>
      </c>
      <c r="P254" s="55">
        <f>STDEV(I260,I260,I263,I266)</f>
        <v>0.33590503894407198</v>
      </c>
    </row>
    <row r="255" spans="1:16" hidden="1" x14ac:dyDescent="0.3">
      <c r="A255" s="1" t="s">
        <v>9</v>
      </c>
      <c r="B255" s="4">
        <v>8</v>
      </c>
      <c r="C255" s="1" t="s">
        <v>3</v>
      </c>
      <c r="D255" s="1">
        <v>29</v>
      </c>
      <c r="E255" s="3">
        <v>44026</v>
      </c>
      <c r="F255" s="2">
        <v>37</v>
      </c>
      <c r="G255" s="4">
        <v>21.88</v>
      </c>
      <c r="H255" s="14">
        <f t="shared" si="32"/>
        <v>0.59135135135135131</v>
      </c>
      <c r="I255" s="14">
        <f t="shared" si="30"/>
        <v>8.3232432432432439</v>
      </c>
      <c r="J255" s="14"/>
    </row>
    <row r="256" spans="1:16" hidden="1" x14ac:dyDescent="0.3">
      <c r="A256" s="1" t="s">
        <v>9</v>
      </c>
      <c r="B256" s="4">
        <v>9</v>
      </c>
      <c r="C256" s="1" t="s">
        <v>4</v>
      </c>
      <c r="D256" s="1">
        <v>29</v>
      </c>
      <c r="E256" s="3">
        <v>44026</v>
      </c>
      <c r="F256" s="2">
        <v>36</v>
      </c>
      <c r="G256" s="4">
        <v>19.010000000000002</v>
      </c>
      <c r="H256" s="14">
        <f t="shared" si="32"/>
        <v>0.52805555555555561</v>
      </c>
      <c r="I256" s="14">
        <f t="shared" si="30"/>
        <v>8.0905780780780781</v>
      </c>
      <c r="J256" s="14"/>
    </row>
    <row r="257" spans="1:16" hidden="1" x14ac:dyDescent="0.3">
      <c r="A257" s="1" t="s">
        <v>9</v>
      </c>
      <c r="B257" s="4">
        <v>10</v>
      </c>
      <c r="C257" s="1" t="s">
        <v>5</v>
      </c>
      <c r="D257" s="1">
        <v>29</v>
      </c>
      <c r="E257" s="3">
        <v>44026</v>
      </c>
      <c r="F257" s="2">
        <v>38</v>
      </c>
      <c r="G257" s="4">
        <v>15.23</v>
      </c>
      <c r="H257" s="14">
        <f t="shared" si="32"/>
        <v>0.40078947368421053</v>
      </c>
      <c r="I257" s="14">
        <f t="shared" si="30"/>
        <v>7.4118421052631573</v>
      </c>
      <c r="J257" s="14"/>
    </row>
    <row r="258" spans="1:16" s="65" customFormat="1" x14ac:dyDescent="0.3">
      <c r="A258" s="60" t="s">
        <v>10</v>
      </c>
      <c r="B258" s="61">
        <v>13</v>
      </c>
      <c r="C258" s="60" t="s">
        <v>3</v>
      </c>
      <c r="D258" s="60">
        <v>29</v>
      </c>
      <c r="E258" s="62">
        <v>44026</v>
      </c>
      <c r="F258" s="63">
        <v>32</v>
      </c>
      <c r="G258" s="61">
        <v>11.38</v>
      </c>
      <c r="H258" s="64">
        <f t="shared" ref="H258:H267" si="33">G258/F258</f>
        <v>0.35562500000000002</v>
      </c>
      <c r="I258" s="64">
        <f t="shared" si="30"/>
        <v>6.5534374999999994</v>
      </c>
      <c r="J258" s="64"/>
    </row>
    <row r="259" spans="1:16" s="65" customFormat="1" hidden="1" x14ac:dyDescent="0.3">
      <c r="A259" s="60" t="s">
        <v>10</v>
      </c>
      <c r="B259" s="61">
        <v>14</v>
      </c>
      <c r="C259" s="60" t="s">
        <v>4</v>
      </c>
      <c r="D259" s="60">
        <v>29</v>
      </c>
      <c r="E259" s="62">
        <v>44026</v>
      </c>
      <c r="F259" s="63">
        <v>32</v>
      </c>
      <c r="G259" s="61">
        <v>8.43</v>
      </c>
      <c r="H259" s="64">
        <f t="shared" si="33"/>
        <v>0.26343749999999999</v>
      </c>
      <c r="I259" s="64">
        <f t="shared" si="30"/>
        <v>5.7245833333333334</v>
      </c>
      <c r="J259" s="64"/>
    </row>
    <row r="260" spans="1:16" s="65" customFormat="1" hidden="1" x14ac:dyDescent="0.3">
      <c r="A260" s="60" t="s">
        <v>10</v>
      </c>
      <c r="B260" s="61">
        <v>15</v>
      </c>
      <c r="C260" s="60" t="s">
        <v>5</v>
      </c>
      <c r="D260" s="60">
        <v>29</v>
      </c>
      <c r="E260" s="62">
        <v>44026</v>
      </c>
      <c r="F260" s="63">
        <v>35</v>
      </c>
      <c r="G260" s="61">
        <v>10.14</v>
      </c>
      <c r="H260" s="64">
        <f t="shared" si="33"/>
        <v>0.28971428571428576</v>
      </c>
      <c r="I260" s="64">
        <f t="shared" si="30"/>
        <v>6.0846390977443612</v>
      </c>
      <c r="J260" s="64"/>
    </row>
    <row r="261" spans="1:16" s="65" customFormat="1" x14ac:dyDescent="0.3">
      <c r="A261" s="60" t="s">
        <v>10</v>
      </c>
      <c r="B261" s="61">
        <v>16</v>
      </c>
      <c r="C261" s="60" t="s">
        <v>3</v>
      </c>
      <c r="D261" s="60">
        <v>29</v>
      </c>
      <c r="E261" s="62">
        <v>44026</v>
      </c>
      <c r="F261" s="63">
        <v>40</v>
      </c>
      <c r="G261" s="61">
        <f>9.86+0.47</f>
        <v>10.33</v>
      </c>
      <c r="H261" s="64">
        <f t="shared" si="33"/>
        <v>0.25824999999999998</v>
      </c>
      <c r="I261" s="64">
        <f t="shared" si="30"/>
        <v>5.9887500000000014</v>
      </c>
      <c r="J261" s="64"/>
    </row>
    <row r="262" spans="1:16" s="65" customFormat="1" hidden="1" x14ac:dyDescent="0.3">
      <c r="A262" s="60" t="s">
        <v>10</v>
      </c>
      <c r="B262" s="61">
        <v>17</v>
      </c>
      <c r="C262" s="60" t="s">
        <v>4</v>
      </c>
      <c r="D262" s="60">
        <v>29</v>
      </c>
      <c r="E262" s="62">
        <v>44026</v>
      </c>
      <c r="F262" s="63">
        <v>34</v>
      </c>
      <c r="G262" s="63">
        <v>12.7</v>
      </c>
      <c r="H262" s="64">
        <f t="shared" si="33"/>
        <v>0.37352941176470589</v>
      </c>
      <c r="I262" s="64">
        <f t="shared" si="30"/>
        <v>6.1511300309597523</v>
      </c>
      <c r="J262" s="64"/>
    </row>
    <row r="263" spans="1:16" s="65" customFormat="1" hidden="1" x14ac:dyDescent="0.3">
      <c r="A263" s="60" t="s">
        <v>10</v>
      </c>
      <c r="B263" s="61">
        <v>18</v>
      </c>
      <c r="C263" s="60" t="s">
        <v>5</v>
      </c>
      <c r="D263" s="60">
        <v>29</v>
      </c>
      <c r="E263" s="62">
        <v>44026</v>
      </c>
      <c r="F263" s="63">
        <v>38</v>
      </c>
      <c r="G263" s="63">
        <v>9.81</v>
      </c>
      <c r="H263" s="64">
        <f t="shared" si="33"/>
        <v>0.25815789473684214</v>
      </c>
      <c r="I263" s="64">
        <f t="shared" si="30"/>
        <v>6.0304078947368414</v>
      </c>
      <c r="J263" s="64"/>
    </row>
    <row r="264" spans="1:16" s="65" customFormat="1" x14ac:dyDescent="0.3">
      <c r="A264" s="60" t="s">
        <v>10</v>
      </c>
      <c r="B264" s="61">
        <v>19</v>
      </c>
      <c r="C264" s="60" t="s">
        <v>3</v>
      </c>
      <c r="D264" s="60">
        <v>29</v>
      </c>
      <c r="E264" s="62">
        <v>44026</v>
      </c>
      <c r="F264" s="63">
        <v>34</v>
      </c>
      <c r="G264" s="61">
        <v>14.42</v>
      </c>
      <c r="H264" s="64">
        <f t="shared" si="33"/>
        <v>0.42411764705882354</v>
      </c>
      <c r="I264" s="64">
        <f t="shared" si="30"/>
        <v>6.8362798092209855</v>
      </c>
      <c r="J264" s="64"/>
    </row>
    <row r="265" spans="1:16" s="65" customFormat="1" hidden="1" x14ac:dyDescent="0.3">
      <c r="A265" s="60" t="s">
        <v>10</v>
      </c>
      <c r="B265" s="61">
        <v>20</v>
      </c>
      <c r="C265" s="60" t="s">
        <v>4</v>
      </c>
      <c r="D265" s="60">
        <v>29</v>
      </c>
      <c r="E265" s="62">
        <v>44026</v>
      </c>
      <c r="F265" s="63">
        <v>40</v>
      </c>
      <c r="G265" s="61">
        <v>10.82</v>
      </c>
      <c r="H265" s="64">
        <f t="shared" si="33"/>
        <v>0.27050000000000002</v>
      </c>
      <c r="I265" s="64">
        <f t="shared" si="30"/>
        <v>5.6692500000000008</v>
      </c>
      <c r="J265" s="64"/>
    </row>
    <row r="266" spans="1:16" s="65" customFormat="1" hidden="1" x14ac:dyDescent="0.3">
      <c r="A266" s="60" t="s">
        <v>10</v>
      </c>
      <c r="B266" s="61">
        <v>21</v>
      </c>
      <c r="C266" s="60" t="s">
        <v>5</v>
      </c>
      <c r="D266" s="60">
        <v>29</v>
      </c>
      <c r="E266" s="62">
        <v>44026</v>
      </c>
      <c r="F266" s="63">
        <v>32</v>
      </c>
      <c r="G266" s="61">
        <v>13.3</v>
      </c>
      <c r="H266" s="64">
        <f t="shared" si="33"/>
        <v>0.41562500000000002</v>
      </c>
      <c r="I266" s="64">
        <f t="shared" si="30"/>
        <v>6.7364236111111113</v>
      </c>
      <c r="J266" s="64"/>
    </row>
    <row r="267" spans="1:16" s="65" customFormat="1" x14ac:dyDescent="0.3">
      <c r="A267" s="60" t="s">
        <v>10</v>
      </c>
      <c r="B267" s="61">
        <v>22</v>
      </c>
      <c r="C267" s="60" t="s">
        <v>3</v>
      </c>
      <c r="D267" s="60">
        <v>29</v>
      </c>
      <c r="E267" s="62">
        <v>44026</v>
      </c>
      <c r="F267" s="63">
        <v>38</v>
      </c>
      <c r="G267" s="61">
        <v>15.16</v>
      </c>
      <c r="H267" s="64">
        <f t="shared" si="33"/>
        <v>0.39894736842105266</v>
      </c>
      <c r="I267" s="64">
        <f t="shared" si="30"/>
        <v>6.8949999999999996</v>
      </c>
      <c r="J267" s="64"/>
    </row>
    <row r="268" spans="1:16" hidden="1" x14ac:dyDescent="0.3">
      <c r="A268" s="1" t="s">
        <v>9</v>
      </c>
      <c r="B268" s="4">
        <v>2</v>
      </c>
      <c r="C268" s="1" t="s">
        <v>3</v>
      </c>
      <c r="D268" s="1">
        <v>30</v>
      </c>
      <c r="E268" s="3">
        <v>44033</v>
      </c>
      <c r="F268" s="2">
        <v>36</v>
      </c>
      <c r="G268" s="4">
        <v>12.3</v>
      </c>
      <c r="H268" s="14">
        <f t="shared" ref="H268:H276" si="34">G268/F268</f>
        <v>0.34166666666666667</v>
      </c>
      <c r="I268" s="14">
        <f t="shared" si="30"/>
        <v>9.1500427350427351</v>
      </c>
      <c r="J268" s="86">
        <f>D268</f>
        <v>30</v>
      </c>
      <c r="K268" t="s">
        <v>45</v>
      </c>
      <c r="L268" t="s">
        <v>9</v>
      </c>
      <c r="M268" s="52">
        <f>AVERAGE(H268,H268,H271,H274)</f>
        <v>0.39487194337194337</v>
      </c>
      <c r="N268" s="55">
        <f>STDEV(H268,H268,H271,H274)</f>
        <v>6.5906073828934417E-2</v>
      </c>
      <c r="O268" s="52">
        <f>AVERAGE(I268,I268,I271,I274)</f>
        <v>8.9979132594132594</v>
      </c>
      <c r="P268" s="55">
        <f>STDEV(I268,I268,I271,I274)</f>
        <v>0.17950618516691</v>
      </c>
    </row>
    <row r="269" spans="1:16" hidden="1" x14ac:dyDescent="0.3">
      <c r="A269" s="1" t="s">
        <v>9</v>
      </c>
      <c r="B269" s="4">
        <v>3</v>
      </c>
      <c r="C269" s="1" t="s">
        <v>4</v>
      </c>
      <c r="D269" s="1">
        <v>30</v>
      </c>
      <c r="E269" s="3">
        <v>44033</v>
      </c>
      <c r="F269" s="2">
        <v>34</v>
      </c>
      <c r="G269" s="4">
        <v>12.64</v>
      </c>
      <c r="H269" s="14">
        <f t="shared" si="34"/>
        <v>0.37176470588235294</v>
      </c>
      <c r="I269" s="14">
        <f t="shared" si="30"/>
        <v>9.1079570747217815</v>
      </c>
      <c r="J269" s="86"/>
      <c r="K269" t="s">
        <v>46</v>
      </c>
      <c r="L269" t="s">
        <v>9</v>
      </c>
      <c r="M269" s="52">
        <f>AVERAGE(H269,H269,H272,H275)</f>
        <v>0.39533993552375901</v>
      </c>
      <c r="N269" s="55">
        <f>STDEV(H269,H269,H272,H275)</f>
        <v>5.66220280646458E-2</v>
      </c>
      <c r="O269" s="52">
        <f>AVERAGE(I269,I269,I272,I275)</f>
        <v>8.7956752340575868</v>
      </c>
      <c r="P269" s="55">
        <f>STDEV(I269,I269,I272,I275)</f>
        <v>0.36750755682512637</v>
      </c>
    </row>
    <row r="270" spans="1:16" hidden="1" x14ac:dyDescent="0.3">
      <c r="A270" s="1" t="s">
        <v>9</v>
      </c>
      <c r="B270" s="4">
        <v>4</v>
      </c>
      <c r="C270" s="1" t="s">
        <v>5</v>
      </c>
      <c r="D270" s="1">
        <v>30</v>
      </c>
      <c r="E270" s="3">
        <v>44033</v>
      </c>
      <c r="F270" s="2">
        <v>37</v>
      </c>
      <c r="G270" s="4">
        <v>11.78</v>
      </c>
      <c r="H270" s="14">
        <f t="shared" si="34"/>
        <v>0.31837837837837835</v>
      </c>
      <c r="I270" s="14">
        <f t="shared" si="30"/>
        <v>8.7410810810810826</v>
      </c>
      <c r="J270" s="86"/>
      <c r="K270" t="s">
        <v>47</v>
      </c>
      <c r="L270" t="s">
        <v>9</v>
      </c>
      <c r="M270" s="52">
        <f>AVERAGE(H270,H270,H273,H276)</f>
        <v>0.34754633204633201</v>
      </c>
      <c r="N270" s="55">
        <f>STDEV(H270,H270,H273,H276)</f>
        <v>3.3786930024484643E-2</v>
      </c>
      <c r="O270" s="52">
        <f>AVERAGE(I270,I270,I273,I276)</f>
        <v>8.4391188274740916</v>
      </c>
      <c r="P270" s="55">
        <f>STDEV(I270,I270,I273,I276)</f>
        <v>0.44840791506101468</v>
      </c>
    </row>
    <row r="271" spans="1:16" hidden="1" x14ac:dyDescent="0.3">
      <c r="A271" s="1" t="s">
        <v>9</v>
      </c>
      <c r="B271" s="4">
        <v>5</v>
      </c>
      <c r="C271" s="1" t="s">
        <v>3</v>
      </c>
      <c r="D271" s="1">
        <v>30</v>
      </c>
      <c r="E271" s="3">
        <v>44033</v>
      </c>
      <c r="F271" s="2">
        <v>35</v>
      </c>
      <c r="G271" s="4">
        <v>14.66</v>
      </c>
      <c r="H271" s="14">
        <f t="shared" si="34"/>
        <v>0.41885714285714287</v>
      </c>
      <c r="I271" s="14">
        <f t="shared" si="30"/>
        <v>8.8910270270270271</v>
      </c>
      <c r="J271" s="86"/>
      <c r="K271" t="s">
        <v>45</v>
      </c>
      <c r="L271" s="60" t="s">
        <v>10</v>
      </c>
      <c r="M271" s="52">
        <f>AVERAGE(H277,H277,H280,H283)</f>
        <v>0.36983639705882354</v>
      </c>
      <c r="N271" s="55">
        <f>STDEV(H277,H277,H280,H283)</f>
        <v>5.1810590641875959E-2</v>
      </c>
      <c r="O271" s="52">
        <f>AVERAGE(I277,I277,I280,I283)</f>
        <v>6.8528125993640696</v>
      </c>
      <c r="P271" s="55">
        <f>STDEV(I277,I277,I280,I283)</f>
        <v>0.40287626095268353</v>
      </c>
    </row>
    <row r="272" spans="1:16" hidden="1" x14ac:dyDescent="0.3">
      <c r="A272" s="1" t="s">
        <v>9</v>
      </c>
      <c r="B272" s="4">
        <v>6</v>
      </c>
      <c r="C272" s="1" t="s">
        <v>4</v>
      </c>
      <c r="D272" s="1">
        <v>30</v>
      </c>
      <c r="E272" s="3">
        <v>44033</v>
      </c>
      <c r="F272" s="2">
        <v>37</v>
      </c>
      <c r="G272" s="2">
        <v>13.25</v>
      </c>
      <c r="H272" s="14">
        <f t="shared" si="34"/>
        <v>0.35810810810810811</v>
      </c>
      <c r="I272" s="14">
        <f t="shared" si="30"/>
        <v>8.3964864864864861</v>
      </c>
      <c r="J272" s="86"/>
      <c r="K272" t="s">
        <v>46</v>
      </c>
      <c r="L272" s="60" t="s">
        <v>10</v>
      </c>
      <c r="M272" s="52">
        <f>AVERAGE(H278,H278,H281,H284)</f>
        <v>0.30165073529411762</v>
      </c>
      <c r="N272" s="55">
        <f>STDEV(H278,H278,H281,H284)</f>
        <v>1.7216956906021642E-2</v>
      </c>
      <c r="O272" s="52">
        <f>AVERAGE(I278,I278,I281,I284)</f>
        <v>6.1190374097007227</v>
      </c>
      <c r="P272" s="55">
        <f>STDEV(I278,I278,I281,I284)</f>
        <v>0.2072885967945946</v>
      </c>
    </row>
    <row r="273" spans="1:16" hidden="1" x14ac:dyDescent="0.3">
      <c r="A273" s="1" t="s">
        <v>9</v>
      </c>
      <c r="B273" s="4">
        <v>7</v>
      </c>
      <c r="C273" s="1" t="s">
        <v>5</v>
      </c>
      <c r="D273" s="1">
        <v>30</v>
      </c>
      <c r="E273" s="3">
        <v>44033</v>
      </c>
      <c r="F273" s="2">
        <v>35</v>
      </c>
      <c r="G273" s="2">
        <v>13.07</v>
      </c>
      <c r="H273" s="14">
        <f t="shared" si="34"/>
        <v>0.37342857142857144</v>
      </c>
      <c r="I273" s="14">
        <f t="shared" si="30"/>
        <v>8.4824710424710421</v>
      </c>
      <c r="J273" s="86"/>
      <c r="K273" t="s">
        <v>47</v>
      </c>
      <c r="L273" s="60" t="s">
        <v>10</v>
      </c>
      <c r="M273" s="52">
        <f>AVERAGE(H279,H279,H282,H285)</f>
        <v>0.35393996710526315</v>
      </c>
      <c r="N273" s="55">
        <f>STDEV(H279,H279,H282,H285)</f>
        <v>9.793216831681216E-2</v>
      </c>
      <c r="O273" s="52">
        <f>AVERAGE(I279,I279,I282,I285)</f>
        <v>6.587967392439432</v>
      </c>
      <c r="P273" s="55">
        <f>STDEV(I279,I279,I282,I285)</f>
        <v>0.43088472448084886</v>
      </c>
    </row>
    <row r="274" spans="1:16" hidden="1" x14ac:dyDescent="0.3">
      <c r="A274" s="1" t="s">
        <v>9</v>
      </c>
      <c r="B274" s="4">
        <v>8</v>
      </c>
      <c r="C274" s="1" t="s">
        <v>3</v>
      </c>
      <c r="D274" s="1">
        <v>30</v>
      </c>
      <c r="E274" s="3">
        <v>44033</v>
      </c>
      <c r="F274" s="2">
        <v>37</v>
      </c>
      <c r="G274" s="4">
        <f>5.43+12.23</f>
        <v>17.66</v>
      </c>
      <c r="H274" s="14">
        <f t="shared" si="34"/>
        <v>0.47729729729729731</v>
      </c>
      <c r="I274" s="14">
        <f t="shared" si="30"/>
        <v>8.8005405405405419</v>
      </c>
      <c r="J274" s="14"/>
    </row>
    <row r="275" spans="1:16" hidden="1" x14ac:dyDescent="0.3">
      <c r="A275" s="1" t="s">
        <v>9</v>
      </c>
      <c r="B275" s="4">
        <v>9</v>
      </c>
      <c r="C275" s="1" t="s">
        <v>4</v>
      </c>
      <c r="D275" s="1">
        <v>30</v>
      </c>
      <c r="E275" s="3">
        <v>44033</v>
      </c>
      <c r="F275" s="2">
        <v>36</v>
      </c>
      <c r="G275" s="4">
        <f>8.87+8.4</f>
        <v>17.27</v>
      </c>
      <c r="H275" s="14">
        <f t="shared" si="34"/>
        <v>0.47972222222222222</v>
      </c>
      <c r="I275" s="14">
        <f t="shared" si="30"/>
        <v>8.5703003003002998</v>
      </c>
      <c r="J275" s="14"/>
    </row>
    <row r="276" spans="1:16" hidden="1" x14ac:dyDescent="0.3">
      <c r="A276" s="1" t="s">
        <v>9</v>
      </c>
      <c r="B276" s="4">
        <v>10</v>
      </c>
      <c r="C276" s="1" t="s">
        <v>5</v>
      </c>
      <c r="D276" s="1">
        <v>30</v>
      </c>
      <c r="E276" s="3">
        <v>44033</v>
      </c>
      <c r="F276" s="2">
        <v>38</v>
      </c>
      <c r="G276" s="4">
        <v>14.44</v>
      </c>
      <c r="H276" s="14">
        <f t="shared" si="34"/>
        <v>0.38</v>
      </c>
      <c r="I276" s="14">
        <f t="shared" si="30"/>
        <v>7.7918421052631572</v>
      </c>
      <c r="J276" s="14"/>
    </row>
    <row r="277" spans="1:16" s="65" customFormat="1" x14ac:dyDescent="0.3">
      <c r="A277" s="60" t="s">
        <v>10</v>
      </c>
      <c r="B277" s="61">
        <v>13</v>
      </c>
      <c r="C277" s="60" t="s">
        <v>3</v>
      </c>
      <c r="D277" s="60">
        <v>30</v>
      </c>
      <c r="E277" s="62">
        <v>44033</v>
      </c>
      <c r="F277" s="63">
        <v>32</v>
      </c>
      <c r="G277" s="61">
        <v>12.73</v>
      </c>
      <c r="H277" s="64">
        <f t="shared" ref="H277:H286" si="35">G277/F277</f>
        <v>0.39781250000000001</v>
      </c>
      <c r="I277" s="64">
        <f t="shared" si="30"/>
        <v>6.951249999999999</v>
      </c>
      <c r="J277" s="64"/>
    </row>
    <row r="278" spans="1:16" s="65" customFormat="1" hidden="1" x14ac:dyDescent="0.3">
      <c r="A278" s="60" t="s">
        <v>10</v>
      </c>
      <c r="B278" s="61">
        <v>14</v>
      </c>
      <c r="C278" s="60" t="s">
        <v>4</v>
      </c>
      <c r="D278" s="60">
        <v>30</v>
      </c>
      <c r="E278" s="62">
        <v>44033</v>
      </c>
      <c r="F278" s="63">
        <v>32</v>
      </c>
      <c r="G278" s="61">
        <v>9.7799999999999994</v>
      </c>
      <c r="H278" s="64">
        <f t="shared" si="35"/>
        <v>0.30562499999999998</v>
      </c>
      <c r="I278" s="64">
        <f t="shared" si="30"/>
        <v>6.0302083333333334</v>
      </c>
      <c r="J278" s="64"/>
    </row>
    <row r="279" spans="1:16" s="65" customFormat="1" hidden="1" x14ac:dyDescent="0.3">
      <c r="A279" s="60" t="s">
        <v>10</v>
      </c>
      <c r="B279" s="61">
        <v>15</v>
      </c>
      <c r="C279" s="60" t="s">
        <v>5</v>
      </c>
      <c r="D279" s="60">
        <v>30</v>
      </c>
      <c r="E279" s="62">
        <v>44033</v>
      </c>
      <c r="F279" s="63">
        <v>35</v>
      </c>
      <c r="G279" s="61">
        <v>10.220000000000001</v>
      </c>
      <c r="H279" s="64">
        <f t="shared" si="35"/>
        <v>0.29200000000000004</v>
      </c>
      <c r="I279" s="64">
        <f t="shared" si="30"/>
        <v>6.376639097744361</v>
      </c>
      <c r="J279" s="64"/>
    </row>
    <row r="280" spans="1:16" s="65" customFormat="1" x14ac:dyDescent="0.3">
      <c r="A280" s="60" t="s">
        <v>10</v>
      </c>
      <c r="B280" s="61">
        <v>16</v>
      </c>
      <c r="C280" s="60" t="s">
        <v>3</v>
      </c>
      <c r="D280" s="60">
        <v>30</v>
      </c>
      <c r="E280" s="62">
        <v>44033</v>
      </c>
      <c r="F280" s="63">
        <v>40</v>
      </c>
      <c r="G280" s="61">
        <v>11.69</v>
      </c>
      <c r="H280" s="64">
        <f t="shared" si="35"/>
        <v>0.29225000000000001</v>
      </c>
      <c r="I280" s="64">
        <f t="shared" si="30"/>
        <v>6.2810000000000015</v>
      </c>
      <c r="J280" s="64"/>
    </row>
    <row r="281" spans="1:16" s="65" customFormat="1" hidden="1" x14ac:dyDescent="0.3">
      <c r="A281" s="60" t="s">
        <v>10</v>
      </c>
      <c r="B281" s="61">
        <v>17</v>
      </c>
      <c r="C281" s="60" t="s">
        <v>4</v>
      </c>
      <c r="D281" s="60">
        <v>30</v>
      </c>
      <c r="E281" s="62">
        <v>44033</v>
      </c>
      <c r="F281" s="63">
        <v>34</v>
      </c>
      <c r="G281" s="63">
        <v>9.43</v>
      </c>
      <c r="H281" s="64">
        <f t="shared" si="35"/>
        <v>0.27735294117647058</v>
      </c>
      <c r="I281" s="64">
        <f t="shared" si="30"/>
        <v>6.4284829721362229</v>
      </c>
      <c r="J281" s="64"/>
    </row>
    <row r="282" spans="1:16" s="65" customFormat="1" hidden="1" x14ac:dyDescent="0.3">
      <c r="A282" s="60" t="s">
        <v>10</v>
      </c>
      <c r="B282" s="61">
        <v>18</v>
      </c>
      <c r="C282" s="60" t="s">
        <v>5</v>
      </c>
      <c r="D282" s="60">
        <v>30</v>
      </c>
      <c r="E282" s="62">
        <v>44033</v>
      </c>
      <c r="F282" s="63">
        <v>38</v>
      </c>
      <c r="G282" s="63">
        <v>12.69</v>
      </c>
      <c r="H282" s="64">
        <f t="shared" si="35"/>
        <v>0.3339473684210526</v>
      </c>
      <c r="I282" s="64">
        <f t="shared" si="30"/>
        <v>6.3643552631578943</v>
      </c>
      <c r="J282" s="64"/>
    </row>
    <row r="283" spans="1:16" s="65" customFormat="1" x14ac:dyDescent="0.3">
      <c r="A283" s="60" t="s">
        <v>10</v>
      </c>
      <c r="B283" s="61">
        <v>19</v>
      </c>
      <c r="C283" s="60" t="s">
        <v>3</v>
      </c>
      <c r="D283" s="60">
        <v>30</v>
      </c>
      <c r="E283" s="62">
        <v>44033</v>
      </c>
      <c r="F283" s="63">
        <v>34</v>
      </c>
      <c r="G283" s="61">
        <v>13.31</v>
      </c>
      <c r="H283" s="64">
        <f t="shared" si="35"/>
        <v>0.39147058823529413</v>
      </c>
      <c r="I283" s="64">
        <f t="shared" si="30"/>
        <v>7.2277503974562798</v>
      </c>
      <c r="J283" s="64"/>
    </row>
    <row r="284" spans="1:16" s="65" customFormat="1" hidden="1" x14ac:dyDescent="0.3">
      <c r="A284" s="60" t="s">
        <v>10</v>
      </c>
      <c r="B284" s="61">
        <v>20</v>
      </c>
      <c r="C284" s="60" t="s">
        <v>4</v>
      </c>
      <c r="D284" s="60">
        <v>30</v>
      </c>
      <c r="E284" s="62">
        <v>44033</v>
      </c>
      <c r="F284" s="63">
        <v>40</v>
      </c>
      <c r="G284" s="61">
        <v>12.72</v>
      </c>
      <c r="H284" s="64">
        <f t="shared" si="35"/>
        <v>0.318</v>
      </c>
      <c r="I284" s="64">
        <f t="shared" si="30"/>
        <v>5.9872500000000004</v>
      </c>
      <c r="J284" s="64"/>
    </row>
    <row r="285" spans="1:16" s="65" customFormat="1" hidden="1" x14ac:dyDescent="0.3">
      <c r="A285" s="60" t="s">
        <v>10</v>
      </c>
      <c r="B285" s="61">
        <v>21</v>
      </c>
      <c r="C285" s="60" t="s">
        <v>5</v>
      </c>
      <c r="D285" s="60">
        <v>30</v>
      </c>
      <c r="E285" s="62">
        <v>44033</v>
      </c>
      <c r="F285" s="63">
        <v>32</v>
      </c>
      <c r="G285" s="61">
        <f>2.22+13.71</f>
        <v>15.930000000000001</v>
      </c>
      <c r="H285" s="64">
        <f t="shared" si="35"/>
        <v>0.49781250000000005</v>
      </c>
      <c r="I285" s="64">
        <f t="shared" si="30"/>
        <v>7.2342361111111115</v>
      </c>
      <c r="J285" s="64"/>
    </row>
    <row r="286" spans="1:16" s="65" customFormat="1" x14ac:dyDescent="0.3">
      <c r="A286" s="60" t="s">
        <v>10</v>
      </c>
      <c r="B286" s="61">
        <v>22</v>
      </c>
      <c r="C286" s="60" t="s">
        <v>3</v>
      </c>
      <c r="D286" s="60">
        <v>30</v>
      </c>
      <c r="E286" s="62">
        <v>44033</v>
      </c>
      <c r="F286" s="63">
        <v>38</v>
      </c>
      <c r="G286" s="61">
        <f>14.29+4.52</f>
        <v>18.809999999999999</v>
      </c>
      <c r="H286" s="64">
        <f t="shared" si="35"/>
        <v>0.49499999999999994</v>
      </c>
      <c r="I286" s="64">
        <f t="shared" si="30"/>
        <v>7.39</v>
      </c>
      <c r="J286" s="64"/>
    </row>
    <row r="287" spans="1:16" hidden="1" x14ac:dyDescent="0.3">
      <c r="A287" s="1" t="s">
        <v>9</v>
      </c>
      <c r="B287" s="4">
        <v>2</v>
      </c>
      <c r="C287" s="1" t="s">
        <v>3</v>
      </c>
      <c r="D287" s="1">
        <v>31</v>
      </c>
      <c r="E287" s="3">
        <v>44039</v>
      </c>
      <c r="F287" s="2">
        <v>36</v>
      </c>
      <c r="G287" s="4">
        <v>20.05</v>
      </c>
      <c r="H287" s="14">
        <f t="shared" ref="H287:H295" si="36">G287/F287</f>
        <v>0.55694444444444446</v>
      </c>
      <c r="I287" s="14">
        <f t="shared" si="30"/>
        <v>9.7069871794871787</v>
      </c>
      <c r="J287" s="86">
        <f>D287</f>
        <v>31</v>
      </c>
      <c r="K287" t="s">
        <v>45</v>
      </c>
      <c r="L287" t="s">
        <v>9</v>
      </c>
      <c r="M287" s="52">
        <f>AVERAGE(H287,H287,H290,H293)</f>
        <v>0.62282164307164312</v>
      </c>
      <c r="N287" s="55">
        <f>STDEV(H287,H287,H290,H293)</f>
        <v>7.749982580148293E-2</v>
      </c>
      <c r="O287" s="52">
        <f>AVERAGE(I287,I287,I290,I293)</f>
        <v>9.6207349024849016</v>
      </c>
      <c r="P287" s="55">
        <f>STDEV(I287,I287,I290,I293)</f>
        <v>0.11224576134136983</v>
      </c>
    </row>
    <row r="288" spans="1:16" hidden="1" x14ac:dyDescent="0.3">
      <c r="A288" s="1" t="s">
        <v>9</v>
      </c>
      <c r="B288" s="4">
        <v>3</v>
      </c>
      <c r="C288" s="1" t="s">
        <v>4</v>
      </c>
      <c r="D288" s="1">
        <v>31</v>
      </c>
      <c r="E288" s="3">
        <v>44039</v>
      </c>
      <c r="F288" s="2">
        <v>34</v>
      </c>
      <c r="G288" s="4">
        <f>19.78+2.94</f>
        <v>22.720000000000002</v>
      </c>
      <c r="H288" s="14">
        <f t="shared" si="36"/>
        <v>0.66823529411764715</v>
      </c>
      <c r="I288" s="14">
        <f t="shared" si="30"/>
        <v>9.7761923688394283</v>
      </c>
      <c r="J288" s="86"/>
      <c r="K288" t="s">
        <v>46</v>
      </c>
      <c r="L288" t="s">
        <v>9</v>
      </c>
      <c r="M288" s="52">
        <f>AVERAGE(H288,H288,H291,H294)</f>
        <v>0.53513491432609084</v>
      </c>
      <c r="N288" s="55">
        <f>STDEV(H288,H288,H291,H294)</f>
        <v>0.16747188065815688</v>
      </c>
      <c r="O288" s="52">
        <f>AVERAGE(I288,I288,I291,I294)</f>
        <v>9.3308101483836783</v>
      </c>
      <c r="P288" s="55">
        <f>STDEV(I288,I288,I291,I294)</f>
        <v>0.51430218548876505</v>
      </c>
    </row>
    <row r="289" spans="1:16" hidden="1" x14ac:dyDescent="0.3">
      <c r="A289" s="1" t="s">
        <v>9</v>
      </c>
      <c r="B289" s="4">
        <v>4</v>
      </c>
      <c r="C289" s="1" t="s">
        <v>5</v>
      </c>
      <c r="D289" s="1">
        <v>31</v>
      </c>
      <c r="E289" s="3">
        <v>44039</v>
      </c>
      <c r="F289" s="2">
        <v>37</v>
      </c>
      <c r="G289" s="4">
        <v>20.059999999999999</v>
      </c>
      <c r="H289" s="14">
        <f t="shared" si="36"/>
        <v>0.54216216216216218</v>
      </c>
      <c r="I289" s="14">
        <f t="shared" si="30"/>
        <v>9.2832432432432448</v>
      </c>
      <c r="J289" s="86"/>
      <c r="K289" t="s">
        <v>47</v>
      </c>
      <c r="L289" t="s">
        <v>9</v>
      </c>
      <c r="M289" s="52">
        <f>AVERAGE(H289,H289,H292,H295)</f>
        <v>0.50325401341190812</v>
      </c>
      <c r="N289" s="55">
        <f>STDEV(H289,H289,H292,H295)</f>
        <v>9.2538535607615047E-2</v>
      </c>
      <c r="O289" s="52">
        <f>AVERAGE(I289,I289,I292,I295)</f>
        <v>8.9423728408859997</v>
      </c>
      <c r="P289" s="55">
        <f>STDEV(I289,I289,I292,I295)</f>
        <v>0.53533423321882445</v>
      </c>
    </row>
    <row r="290" spans="1:16" hidden="1" x14ac:dyDescent="0.3">
      <c r="A290" s="1" t="s">
        <v>9</v>
      </c>
      <c r="B290" s="4">
        <v>5</v>
      </c>
      <c r="C290" s="1" t="s">
        <v>3</v>
      </c>
      <c r="D290" s="1">
        <v>31</v>
      </c>
      <c r="E290" s="3">
        <v>44039</v>
      </c>
      <c r="F290" s="2">
        <v>35</v>
      </c>
      <c r="G290" s="4">
        <f>17.45+7.29</f>
        <v>24.74</v>
      </c>
      <c r="H290" s="14">
        <f t="shared" si="36"/>
        <v>0.70685714285714285</v>
      </c>
      <c r="I290" s="14">
        <f t="shared" si="30"/>
        <v>9.5978841698841695</v>
      </c>
      <c r="J290" s="86"/>
      <c r="K290" t="s">
        <v>45</v>
      </c>
      <c r="L290" s="60" t="s">
        <v>10</v>
      </c>
      <c r="M290" s="52">
        <f>AVERAGE(H296,H296,H299,H302)</f>
        <v>0.32854411764705882</v>
      </c>
      <c r="N290" s="55">
        <f>STDEV(H296,H296,H299,H302)</f>
        <v>4.5340161137094812E-2</v>
      </c>
      <c r="O290" s="52">
        <f>AVERAGE(I296,I296,I299,I302)</f>
        <v>7.1813567170111288</v>
      </c>
      <c r="P290" s="55">
        <f>STDEV(I296,I296,I299,I302)</f>
        <v>0.43579985666114274</v>
      </c>
    </row>
    <row r="291" spans="1:16" hidden="1" x14ac:dyDescent="0.3">
      <c r="A291" s="1" t="s">
        <v>9</v>
      </c>
      <c r="B291" s="4">
        <v>6</v>
      </c>
      <c r="C291" s="1" t="s">
        <v>4</v>
      </c>
      <c r="D291" s="1">
        <v>31</v>
      </c>
      <c r="E291" s="3">
        <v>44039</v>
      </c>
      <c r="F291" s="2">
        <v>37</v>
      </c>
      <c r="G291" s="2">
        <f>7.65+10.24</f>
        <v>17.89</v>
      </c>
      <c r="H291" s="14">
        <f t="shared" si="36"/>
        <v>0.48351351351351352</v>
      </c>
      <c r="I291" s="14">
        <f t="shared" si="30"/>
        <v>8.879999999999999</v>
      </c>
      <c r="J291" s="86"/>
      <c r="K291" t="s">
        <v>46</v>
      </c>
      <c r="L291" s="60" t="s">
        <v>10</v>
      </c>
      <c r="M291" s="52">
        <f>AVERAGE(H297,H297,H300,H303)</f>
        <v>0.32333639705882355</v>
      </c>
      <c r="N291" s="55">
        <f>STDEV(H297,H297,H300,H303)</f>
        <v>6.068598094331315E-2</v>
      </c>
      <c r="O291" s="52">
        <f>AVERAGE(I297,I297,I300,I303)</f>
        <v>6.4423738067595462</v>
      </c>
      <c r="P291" s="55">
        <f>STDEV(I297,I297,I300,I303)</f>
        <v>0.2464762454401534</v>
      </c>
    </row>
    <row r="292" spans="1:16" hidden="1" x14ac:dyDescent="0.3">
      <c r="A292" s="1" t="s">
        <v>9</v>
      </c>
      <c r="B292" s="4">
        <v>7</v>
      </c>
      <c r="C292" s="1" t="s">
        <v>5</v>
      </c>
      <c r="D292" s="1">
        <v>31</v>
      </c>
      <c r="E292" s="3">
        <v>44039</v>
      </c>
      <c r="F292" s="2">
        <v>35</v>
      </c>
      <c r="G292" s="2">
        <f>4.4+15.32</f>
        <v>19.72</v>
      </c>
      <c r="H292" s="14">
        <f t="shared" si="36"/>
        <v>0.56342857142857139</v>
      </c>
      <c r="I292" s="14">
        <f t="shared" si="30"/>
        <v>9.0458996138996142</v>
      </c>
      <c r="J292" s="86"/>
      <c r="K292" t="s">
        <v>47</v>
      </c>
      <c r="L292" s="60" t="s">
        <v>10</v>
      </c>
      <c r="M292" s="52">
        <f>AVERAGE(H298,H298,H301,H304)</f>
        <v>0.36265296052631579</v>
      </c>
      <c r="N292" s="55">
        <f>STDEV(H298,H298,H301,H304)</f>
        <v>0.10067123053715937</v>
      </c>
      <c r="O292" s="52">
        <f>AVERAGE(I298,I298,I301,I304)</f>
        <v>6.950620352965748</v>
      </c>
      <c r="P292" s="55">
        <f>STDEV(I298,I298,I301,I304)</f>
        <v>0.53041481002156032</v>
      </c>
    </row>
    <row r="293" spans="1:16" hidden="1" x14ac:dyDescent="0.3">
      <c r="A293" s="1" t="s">
        <v>9</v>
      </c>
      <c r="B293" s="4">
        <v>8</v>
      </c>
      <c r="C293" s="1" t="s">
        <v>3</v>
      </c>
      <c r="D293" s="1">
        <v>31</v>
      </c>
      <c r="E293" s="3">
        <v>44039</v>
      </c>
      <c r="F293" s="2">
        <v>37</v>
      </c>
      <c r="G293" s="4">
        <f>13.93+10.88</f>
        <v>24.810000000000002</v>
      </c>
      <c r="H293" s="14">
        <f t="shared" si="36"/>
        <v>0.67054054054054057</v>
      </c>
      <c r="I293" s="14">
        <f t="shared" si="30"/>
        <v>9.471081081081083</v>
      </c>
      <c r="J293" s="14"/>
    </row>
    <row r="294" spans="1:16" hidden="1" x14ac:dyDescent="0.3">
      <c r="A294" s="1" t="s">
        <v>9</v>
      </c>
      <c r="B294" s="4">
        <v>9</v>
      </c>
      <c r="C294" s="1" t="s">
        <v>4</v>
      </c>
      <c r="D294" s="1">
        <v>31</v>
      </c>
      <c r="E294" s="3">
        <v>44039</v>
      </c>
      <c r="F294" s="2">
        <v>36</v>
      </c>
      <c r="G294" s="4">
        <v>11.54</v>
      </c>
      <c r="H294" s="14">
        <f t="shared" si="36"/>
        <v>0.32055555555555554</v>
      </c>
      <c r="I294" s="14">
        <f t="shared" si="30"/>
        <v>8.8908558558558557</v>
      </c>
      <c r="J294" s="14"/>
    </row>
    <row r="295" spans="1:16" hidden="1" x14ac:dyDescent="0.3">
      <c r="A295" s="1" t="s">
        <v>9</v>
      </c>
      <c r="B295" s="4">
        <v>10</v>
      </c>
      <c r="C295" s="1" t="s">
        <v>5</v>
      </c>
      <c r="D295" s="1">
        <v>31</v>
      </c>
      <c r="E295" s="3">
        <v>44039</v>
      </c>
      <c r="F295" s="2">
        <v>38</v>
      </c>
      <c r="G295" s="4">
        <f>3.57+10.31</f>
        <v>13.88</v>
      </c>
      <c r="H295" s="14">
        <f t="shared" si="36"/>
        <v>0.36526315789473685</v>
      </c>
      <c r="I295" s="14">
        <f t="shared" si="30"/>
        <v>8.1571052631578933</v>
      </c>
      <c r="J295" s="14"/>
    </row>
    <row r="296" spans="1:16" s="65" customFormat="1" x14ac:dyDescent="0.3">
      <c r="A296" s="60" t="s">
        <v>10</v>
      </c>
      <c r="B296" s="61">
        <v>13</v>
      </c>
      <c r="C296" s="60" t="s">
        <v>3</v>
      </c>
      <c r="D296" s="60">
        <v>31</v>
      </c>
      <c r="E296" s="62">
        <v>44039</v>
      </c>
      <c r="F296" s="63">
        <v>32</v>
      </c>
      <c r="G296" s="61">
        <v>9.9</v>
      </c>
      <c r="H296" s="64">
        <f t="shared" ref="H296:H305" si="37">G296/F296</f>
        <v>0.30937500000000001</v>
      </c>
      <c r="I296" s="64">
        <f t="shared" ref="I296:I359" si="38">I277+H296</f>
        <v>7.2606249999999992</v>
      </c>
      <c r="J296" s="64"/>
    </row>
    <row r="297" spans="1:16" s="65" customFormat="1" hidden="1" x14ac:dyDescent="0.3">
      <c r="A297" s="60" t="s">
        <v>10</v>
      </c>
      <c r="B297" s="61">
        <v>14</v>
      </c>
      <c r="C297" s="60" t="s">
        <v>4</v>
      </c>
      <c r="D297" s="60">
        <v>31</v>
      </c>
      <c r="E297" s="62">
        <v>44039</v>
      </c>
      <c r="F297" s="63">
        <v>32</v>
      </c>
      <c r="G297" s="61">
        <v>8.67</v>
      </c>
      <c r="H297" s="64">
        <f t="shared" si="37"/>
        <v>0.2709375</v>
      </c>
      <c r="I297" s="64">
        <f t="shared" si="38"/>
        <v>6.301145833333333</v>
      </c>
      <c r="J297" s="64"/>
    </row>
    <row r="298" spans="1:16" s="65" customFormat="1" hidden="1" x14ac:dyDescent="0.3">
      <c r="A298" s="60" t="s">
        <v>10</v>
      </c>
      <c r="B298" s="61">
        <v>15</v>
      </c>
      <c r="C298" s="60" t="s">
        <v>5</v>
      </c>
      <c r="D298" s="60">
        <v>31</v>
      </c>
      <c r="E298" s="62">
        <v>44039</v>
      </c>
      <c r="F298" s="63">
        <v>35</v>
      </c>
      <c r="G298" s="61">
        <v>10.57</v>
      </c>
      <c r="H298" s="64">
        <f t="shared" si="37"/>
        <v>0.30199999999999999</v>
      </c>
      <c r="I298" s="64">
        <f t="shared" si="38"/>
        <v>6.6786390977443606</v>
      </c>
      <c r="J298" s="64"/>
    </row>
    <row r="299" spans="1:16" s="65" customFormat="1" x14ac:dyDescent="0.3">
      <c r="A299" s="60" t="s">
        <v>10</v>
      </c>
      <c r="B299" s="61">
        <v>16</v>
      </c>
      <c r="C299" s="60" t="s">
        <v>3</v>
      </c>
      <c r="D299" s="60">
        <v>31</v>
      </c>
      <c r="E299" s="62">
        <v>44039</v>
      </c>
      <c r="F299" s="63">
        <v>40</v>
      </c>
      <c r="G299" s="61">
        <v>11.97</v>
      </c>
      <c r="H299" s="64">
        <f t="shared" si="37"/>
        <v>0.29925000000000002</v>
      </c>
      <c r="I299" s="64">
        <f t="shared" si="38"/>
        <v>6.5802500000000013</v>
      </c>
      <c r="J299" s="64"/>
    </row>
    <row r="300" spans="1:16" s="65" customFormat="1" hidden="1" x14ac:dyDescent="0.3">
      <c r="A300" s="60" t="s">
        <v>10</v>
      </c>
      <c r="B300" s="61">
        <v>17</v>
      </c>
      <c r="C300" s="60" t="s">
        <v>4</v>
      </c>
      <c r="D300" s="60">
        <v>31</v>
      </c>
      <c r="E300" s="62">
        <v>44039</v>
      </c>
      <c r="F300" s="63">
        <v>34</v>
      </c>
      <c r="G300" s="63">
        <f>9.67+3.3</f>
        <v>12.969999999999999</v>
      </c>
      <c r="H300" s="64">
        <f t="shared" si="37"/>
        <v>0.38147058823529406</v>
      </c>
      <c r="I300" s="64">
        <f t="shared" si="38"/>
        <v>6.8099535603715173</v>
      </c>
      <c r="J300" s="64"/>
    </row>
    <row r="301" spans="1:16" s="65" customFormat="1" hidden="1" x14ac:dyDescent="0.3">
      <c r="A301" s="60" t="s">
        <v>10</v>
      </c>
      <c r="B301" s="61">
        <v>18</v>
      </c>
      <c r="C301" s="60" t="s">
        <v>5</v>
      </c>
      <c r="D301" s="60">
        <v>31</v>
      </c>
      <c r="E301" s="62">
        <v>44039</v>
      </c>
      <c r="F301" s="63">
        <v>38</v>
      </c>
      <c r="G301" s="63">
        <v>12.72</v>
      </c>
      <c r="H301" s="64">
        <f t="shared" si="37"/>
        <v>0.33473684210526317</v>
      </c>
      <c r="I301" s="64">
        <f t="shared" si="38"/>
        <v>6.6990921052631576</v>
      </c>
      <c r="J301" s="64"/>
    </row>
    <row r="302" spans="1:16" s="65" customFormat="1" x14ac:dyDescent="0.3">
      <c r="A302" s="60" t="s">
        <v>10</v>
      </c>
      <c r="B302" s="61">
        <v>19</v>
      </c>
      <c r="C302" s="60" t="s">
        <v>3</v>
      </c>
      <c r="D302" s="60">
        <v>31</v>
      </c>
      <c r="E302" s="62">
        <v>44039</v>
      </c>
      <c r="F302" s="63">
        <v>34</v>
      </c>
      <c r="G302" s="61">
        <v>13.47</v>
      </c>
      <c r="H302" s="64">
        <f t="shared" si="37"/>
        <v>0.3961764705882353</v>
      </c>
      <c r="I302" s="64">
        <f t="shared" si="38"/>
        <v>7.6239268680445154</v>
      </c>
      <c r="J302" s="64"/>
    </row>
    <row r="303" spans="1:16" s="65" customFormat="1" hidden="1" x14ac:dyDescent="0.3">
      <c r="A303" s="60" t="s">
        <v>10</v>
      </c>
      <c r="B303" s="61">
        <v>20</v>
      </c>
      <c r="C303" s="60" t="s">
        <v>4</v>
      </c>
      <c r="D303" s="60">
        <v>31</v>
      </c>
      <c r="E303" s="62">
        <v>44039</v>
      </c>
      <c r="F303" s="63">
        <v>40</v>
      </c>
      <c r="G303" s="61">
        <v>14.8</v>
      </c>
      <c r="H303" s="64">
        <f t="shared" si="37"/>
        <v>0.37</v>
      </c>
      <c r="I303" s="64">
        <f t="shared" si="38"/>
        <v>6.3572500000000005</v>
      </c>
      <c r="J303" s="64"/>
    </row>
    <row r="304" spans="1:16" s="65" customFormat="1" hidden="1" x14ac:dyDescent="0.3">
      <c r="A304" s="60" t="s">
        <v>10</v>
      </c>
      <c r="B304" s="61">
        <v>21</v>
      </c>
      <c r="C304" s="60" t="s">
        <v>5</v>
      </c>
      <c r="D304" s="60">
        <v>31</v>
      </c>
      <c r="E304" s="62">
        <v>44039</v>
      </c>
      <c r="F304" s="63">
        <v>32</v>
      </c>
      <c r="G304" s="61">
        <v>16.38</v>
      </c>
      <c r="H304" s="64">
        <f t="shared" si="37"/>
        <v>0.51187499999999997</v>
      </c>
      <c r="I304" s="64">
        <f t="shared" si="38"/>
        <v>7.7461111111111114</v>
      </c>
      <c r="J304" s="64"/>
    </row>
    <row r="305" spans="1:16" s="65" customFormat="1" x14ac:dyDescent="0.3">
      <c r="A305" s="60" t="s">
        <v>10</v>
      </c>
      <c r="B305" s="61">
        <v>22</v>
      </c>
      <c r="C305" s="60" t="s">
        <v>3</v>
      </c>
      <c r="D305" s="60">
        <v>31</v>
      </c>
      <c r="E305" s="62">
        <v>44039</v>
      </c>
      <c r="F305" s="63">
        <v>38</v>
      </c>
      <c r="G305" s="61">
        <v>16</v>
      </c>
      <c r="H305" s="64">
        <f t="shared" si="37"/>
        <v>0.42105263157894735</v>
      </c>
      <c r="I305" s="64">
        <f t="shared" si="38"/>
        <v>7.8110526315789475</v>
      </c>
      <c r="J305" s="64"/>
    </row>
    <row r="306" spans="1:16" hidden="1" x14ac:dyDescent="0.3">
      <c r="A306" s="1" t="s">
        <v>9</v>
      </c>
      <c r="B306" s="4">
        <v>2</v>
      </c>
      <c r="C306" s="1" t="s">
        <v>3</v>
      </c>
      <c r="D306" s="1">
        <v>32</v>
      </c>
      <c r="E306" s="3">
        <v>44046</v>
      </c>
      <c r="F306" s="2">
        <v>36</v>
      </c>
      <c r="G306" s="4">
        <v>14.88</v>
      </c>
      <c r="H306" s="14">
        <f t="shared" ref="H306:H314" si="39">G306/F306</f>
        <v>0.41333333333333333</v>
      </c>
      <c r="I306" s="14">
        <f t="shared" si="38"/>
        <v>10.120320512820513</v>
      </c>
      <c r="J306" s="86">
        <f>D306</f>
        <v>32</v>
      </c>
      <c r="K306" t="s">
        <v>45</v>
      </c>
      <c r="L306" t="s">
        <v>9</v>
      </c>
      <c r="M306" s="52">
        <f>AVERAGE(H306,H306,H309,H312)</f>
        <v>0.49519755469755466</v>
      </c>
      <c r="N306" s="55">
        <f>STDEV(H306,H306,H309,H312)</f>
        <v>0.10322050806768655</v>
      </c>
      <c r="O306" s="52">
        <f>AVERAGE(I306,I306,I309,I312)</f>
        <v>10.115932457182458</v>
      </c>
      <c r="P306" s="55">
        <f>STDEV(I306,I306,I309,I312)</f>
        <v>1.1486597293996583E-2</v>
      </c>
    </row>
    <row r="307" spans="1:16" hidden="1" x14ac:dyDescent="0.3">
      <c r="A307" s="1" t="s">
        <v>9</v>
      </c>
      <c r="B307" s="4">
        <v>3</v>
      </c>
      <c r="C307" s="1" t="s">
        <v>4</v>
      </c>
      <c r="D307" s="1">
        <v>32</v>
      </c>
      <c r="E307" s="3">
        <v>44046</v>
      </c>
      <c r="F307" s="2">
        <v>34</v>
      </c>
      <c r="G307" s="4">
        <f>11.92+2.67</f>
        <v>14.59</v>
      </c>
      <c r="H307" s="14">
        <f t="shared" si="39"/>
        <v>0.42911764705882355</v>
      </c>
      <c r="I307" s="14">
        <f t="shared" si="38"/>
        <v>10.205310015898252</v>
      </c>
      <c r="J307" s="86"/>
      <c r="K307" t="s">
        <v>46</v>
      </c>
      <c r="L307" t="s">
        <v>9</v>
      </c>
      <c r="M307" s="52">
        <f>AVERAGE(H307,H307,H310,H313)</f>
        <v>0.4066834481540364</v>
      </c>
      <c r="N307" s="55">
        <f>STDEV(H307,H307,H310,H313)</f>
        <v>3.0707572030050864E-2</v>
      </c>
      <c r="O307" s="52">
        <f>AVERAGE(I307,I307,I310,I313)</f>
        <v>9.7374935965377141</v>
      </c>
      <c r="P307" s="55">
        <f>STDEV(I307,I307,I310,I313)</f>
        <v>0.54059285288481318</v>
      </c>
    </row>
    <row r="308" spans="1:16" hidden="1" x14ac:dyDescent="0.3">
      <c r="A308" s="1" t="s">
        <v>9</v>
      </c>
      <c r="B308" s="4">
        <v>4</v>
      </c>
      <c r="C308" s="1" t="s">
        <v>5</v>
      </c>
      <c r="D308" s="1">
        <v>32</v>
      </c>
      <c r="E308" s="3">
        <v>44046</v>
      </c>
      <c r="F308" s="2">
        <v>37</v>
      </c>
      <c r="G308" s="4">
        <v>17.03</v>
      </c>
      <c r="H308" s="14">
        <f t="shared" si="39"/>
        <v>0.46027027027027029</v>
      </c>
      <c r="I308" s="14">
        <f t="shared" si="38"/>
        <v>9.7435135135135145</v>
      </c>
      <c r="J308" s="86"/>
      <c r="K308" t="s">
        <v>47</v>
      </c>
      <c r="L308" t="s">
        <v>9</v>
      </c>
      <c r="M308" s="52">
        <f>AVERAGE(H308,H308,H311,H314)</f>
        <v>0.4717178419020524</v>
      </c>
      <c r="N308" s="55">
        <f>STDEV(H308,H308,H311,H314)</f>
        <v>3.8044368867510475E-2</v>
      </c>
      <c r="O308" s="52">
        <f>AVERAGE(I308,I308,I311,I314)</f>
        <v>9.4140906827880517</v>
      </c>
      <c r="P308" s="55">
        <f>STDEV(I308,I308,I311,I314)</f>
        <v>0.55092018883071603</v>
      </c>
    </row>
    <row r="309" spans="1:16" hidden="1" x14ac:dyDescent="0.3">
      <c r="A309" s="1" t="s">
        <v>9</v>
      </c>
      <c r="B309" s="4">
        <v>5</v>
      </c>
      <c r="C309" s="1" t="s">
        <v>3</v>
      </c>
      <c r="D309" s="1">
        <v>32</v>
      </c>
      <c r="E309" s="3">
        <v>44046</v>
      </c>
      <c r="F309" s="2">
        <v>35</v>
      </c>
      <c r="G309" s="4">
        <f>2.33+16.09</f>
        <v>18.420000000000002</v>
      </c>
      <c r="H309" s="14">
        <f t="shared" si="39"/>
        <v>0.52628571428571436</v>
      </c>
      <c r="I309" s="14">
        <f t="shared" si="38"/>
        <v>10.124169884169884</v>
      </c>
      <c r="J309" s="86"/>
      <c r="K309" t="s">
        <v>45</v>
      </c>
      <c r="L309" s="60" t="s">
        <v>10</v>
      </c>
      <c r="M309" s="52">
        <f>AVERAGE(H315,H315,H318,H321)</f>
        <v>0.42431617647058828</v>
      </c>
      <c r="N309" s="55">
        <f>STDEV(H315,H315,H318,H321)</f>
        <v>9.2752281128584302E-2</v>
      </c>
      <c r="O309" s="52">
        <f>AVERAGE(I315,I315,I318,I321)</f>
        <v>7.6056728934817173</v>
      </c>
      <c r="P309" s="55">
        <f>STDEV(I315,I315,I318,I321)</f>
        <v>0.47651009330560962</v>
      </c>
    </row>
    <row r="310" spans="1:16" hidden="1" x14ac:dyDescent="0.3">
      <c r="A310" s="1" t="s">
        <v>9</v>
      </c>
      <c r="B310" s="4">
        <v>6</v>
      </c>
      <c r="C310" s="1" t="s">
        <v>4</v>
      </c>
      <c r="D310" s="1">
        <v>32</v>
      </c>
      <c r="E310" s="3">
        <v>44046</v>
      </c>
      <c r="F310" s="2">
        <v>37</v>
      </c>
      <c r="G310" s="2">
        <f>1.61+11.86</f>
        <v>13.469999999999999</v>
      </c>
      <c r="H310" s="14">
        <f t="shared" si="39"/>
        <v>0.364054054054054</v>
      </c>
      <c r="I310" s="14">
        <f t="shared" si="38"/>
        <v>9.2440540540540539</v>
      </c>
      <c r="J310" s="86"/>
      <c r="K310" t="s">
        <v>46</v>
      </c>
      <c r="L310" s="60" t="s">
        <v>10</v>
      </c>
      <c r="M310" s="52">
        <f>AVERAGE(H316,H316,H319,H322)</f>
        <v>0.3170514705882353</v>
      </c>
      <c r="N310" s="55">
        <f>STDEV(H316,H316,H319,H322)</f>
        <v>2.4038537458845582E-2</v>
      </c>
      <c r="O310" s="52">
        <f>AVERAGE(I316,I316,I319,I322)</f>
        <v>6.7594252773477814</v>
      </c>
      <c r="P310" s="55">
        <f>STDEV(I316,I316,I319,I322)</f>
        <v>0.25352003345784085</v>
      </c>
    </row>
    <row r="311" spans="1:16" hidden="1" x14ac:dyDescent="0.3">
      <c r="A311" s="1" t="s">
        <v>9</v>
      </c>
      <c r="B311" s="4">
        <v>7</v>
      </c>
      <c r="C311" s="1" t="s">
        <v>5</v>
      </c>
      <c r="D311" s="1">
        <v>32</v>
      </c>
      <c r="E311" s="3">
        <v>44046</v>
      </c>
      <c r="F311" s="2">
        <v>35</v>
      </c>
      <c r="G311" s="2">
        <f>2.77+9.65+6.02</f>
        <v>18.439999999999998</v>
      </c>
      <c r="H311" s="14">
        <f t="shared" si="39"/>
        <v>0.5268571428571428</v>
      </c>
      <c r="I311" s="14">
        <f t="shared" si="38"/>
        <v>9.5727567567567569</v>
      </c>
      <c r="J311" s="86"/>
      <c r="K311" t="s">
        <v>47</v>
      </c>
      <c r="L311" s="60" t="s">
        <v>10</v>
      </c>
      <c r="M311" s="52">
        <f>AVERAGE(H317,H317,H320,H323)</f>
        <v>0.30011054981203011</v>
      </c>
      <c r="N311" s="55">
        <f>STDEV(H317,H317,H320,H323)</f>
        <v>2.9499454053382508E-2</v>
      </c>
      <c r="O311" s="52">
        <f>AVERAGE(I317,I317,I320,I323)</f>
        <v>7.2507309027777787</v>
      </c>
      <c r="P311" s="55">
        <f>STDEV(I317,I317,I320,I323)</f>
        <v>0.54897208853489465</v>
      </c>
    </row>
    <row r="312" spans="1:16" hidden="1" x14ac:dyDescent="0.3">
      <c r="A312" s="1" t="s">
        <v>9</v>
      </c>
      <c r="B312" s="4">
        <v>8</v>
      </c>
      <c r="C312" s="1" t="s">
        <v>3</v>
      </c>
      <c r="D312" s="1">
        <v>32</v>
      </c>
      <c r="E312" s="3">
        <v>44046</v>
      </c>
      <c r="F312" s="2">
        <v>37</v>
      </c>
      <c r="G312" s="4">
        <f>9.65+13.58</f>
        <v>23.23</v>
      </c>
      <c r="H312" s="14">
        <f t="shared" si="39"/>
        <v>0.62783783783783786</v>
      </c>
      <c r="I312" s="14">
        <f t="shared" si="38"/>
        <v>10.098918918918921</v>
      </c>
      <c r="J312" s="14"/>
    </row>
    <row r="313" spans="1:16" hidden="1" x14ac:dyDescent="0.3">
      <c r="A313" s="1" t="s">
        <v>9</v>
      </c>
      <c r="B313" s="4">
        <v>9</v>
      </c>
      <c r="C313" s="1" t="s">
        <v>4</v>
      </c>
      <c r="D313" s="1">
        <v>32</v>
      </c>
      <c r="E313" s="3">
        <v>44046</v>
      </c>
      <c r="F313" s="2">
        <v>36</v>
      </c>
      <c r="G313" s="4">
        <v>14.56</v>
      </c>
      <c r="H313" s="14">
        <f t="shared" si="39"/>
        <v>0.40444444444444444</v>
      </c>
      <c r="I313" s="14">
        <f t="shared" si="38"/>
        <v>9.2953003003002994</v>
      </c>
      <c r="J313" s="14"/>
    </row>
    <row r="314" spans="1:16" hidden="1" x14ac:dyDescent="0.3">
      <c r="A314" s="1" t="s">
        <v>9</v>
      </c>
      <c r="B314" s="4">
        <v>10</v>
      </c>
      <c r="C314" s="1" t="s">
        <v>5</v>
      </c>
      <c r="D314" s="1">
        <v>32</v>
      </c>
      <c r="E314" s="3">
        <v>44046</v>
      </c>
      <c r="F314" s="2">
        <v>38</v>
      </c>
      <c r="G314" s="4">
        <v>16.7</v>
      </c>
      <c r="H314" s="14">
        <f t="shared" si="39"/>
        <v>0.43947368421052629</v>
      </c>
      <c r="I314" s="14">
        <f t="shared" si="38"/>
        <v>8.5965789473684193</v>
      </c>
      <c r="J314" s="14"/>
    </row>
    <row r="315" spans="1:16" s="71" customFormat="1" x14ac:dyDescent="0.3">
      <c r="A315" s="67" t="s">
        <v>10</v>
      </c>
      <c r="B315" s="66">
        <v>13</v>
      </c>
      <c r="C315" s="67" t="s">
        <v>3</v>
      </c>
      <c r="D315" s="60">
        <v>32</v>
      </c>
      <c r="E315" s="68">
        <v>44046</v>
      </c>
      <c r="F315" s="69">
        <v>32</v>
      </c>
      <c r="G315" s="72">
        <v>16.12</v>
      </c>
      <c r="H315" s="70">
        <f t="shared" ref="H315:H324" si="40">G315/F315</f>
        <v>0.50375000000000003</v>
      </c>
      <c r="I315" s="64">
        <f t="shared" si="38"/>
        <v>7.7643749999999994</v>
      </c>
      <c r="J315" s="64"/>
      <c r="K315" s="71" t="s">
        <v>19</v>
      </c>
    </row>
    <row r="316" spans="1:16" s="65" customFormat="1" hidden="1" x14ac:dyDescent="0.3">
      <c r="A316" s="60" t="s">
        <v>10</v>
      </c>
      <c r="B316" s="61">
        <v>14</v>
      </c>
      <c r="C316" s="60" t="s">
        <v>4</v>
      </c>
      <c r="D316" s="60">
        <v>32</v>
      </c>
      <c r="E316" s="62">
        <v>44046</v>
      </c>
      <c r="F316" s="63">
        <v>32</v>
      </c>
      <c r="G316" s="61">
        <v>10.52</v>
      </c>
      <c r="H316" s="64">
        <f t="shared" si="40"/>
        <v>0.32874999999999999</v>
      </c>
      <c r="I316" s="64">
        <f t="shared" si="38"/>
        <v>6.6298958333333333</v>
      </c>
      <c r="J316" s="64"/>
    </row>
    <row r="317" spans="1:16" s="65" customFormat="1" hidden="1" x14ac:dyDescent="0.3">
      <c r="A317" s="60" t="s">
        <v>10</v>
      </c>
      <c r="B317" s="61">
        <v>15</v>
      </c>
      <c r="C317" s="60" t="s">
        <v>5</v>
      </c>
      <c r="D317" s="60">
        <v>32</v>
      </c>
      <c r="E317" s="62">
        <v>44046</v>
      </c>
      <c r="F317" s="63">
        <v>35</v>
      </c>
      <c r="G317" s="61">
        <v>9.61</v>
      </c>
      <c r="H317" s="64">
        <f t="shared" si="40"/>
        <v>0.27457142857142858</v>
      </c>
      <c r="I317" s="64">
        <f t="shared" si="38"/>
        <v>6.9532105263157895</v>
      </c>
      <c r="J317" s="64"/>
    </row>
    <row r="318" spans="1:16" s="65" customFormat="1" x14ac:dyDescent="0.3">
      <c r="A318" s="60" t="s">
        <v>10</v>
      </c>
      <c r="B318" s="61">
        <v>16</v>
      </c>
      <c r="C318" s="60" t="s">
        <v>3</v>
      </c>
      <c r="D318" s="60">
        <v>32</v>
      </c>
      <c r="E318" s="62">
        <v>44046</v>
      </c>
      <c r="F318" s="63">
        <v>40</v>
      </c>
      <c r="G318" s="61">
        <v>13.12</v>
      </c>
      <c r="H318" s="64">
        <f t="shared" si="40"/>
        <v>0.32799999999999996</v>
      </c>
      <c r="I318" s="64">
        <f t="shared" si="38"/>
        <v>6.9082500000000016</v>
      </c>
      <c r="J318" s="64"/>
    </row>
    <row r="319" spans="1:16" s="65" customFormat="1" hidden="1" x14ac:dyDescent="0.3">
      <c r="A319" s="60" t="s">
        <v>10</v>
      </c>
      <c r="B319" s="61">
        <v>17</v>
      </c>
      <c r="C319" s="60" t="s">
        <v>4</v>
      </c>
      <c r="D319" s="60">
        <v>32</v>
      </c>
      <c r="E319" s="62">
        <v>44046</v>
      </c>
      <c r="F319" s="63">
        <v>34</v>
      </c>
      <c r="G319" s="63">
        <v>11.21</v>
      </c>
      <c r="H319" s="64">
        <f t="shared" si="40"/>
        <v>0.32970588235294118</v>
      </c>
      <c r="I319" s="64">
        <f t="shared" si="38"/>
        <v>7.1396594427244588</v>
      </c>
      <c r="J319" s="64"/>
    </row>
    <row r="320" spans="1:16" s="65" customFormat="1" hidden="1" x14ac:dyDescent="0.3">
      <c r="A320" s="60" t="s">
        <v>10</v>
      </c>
      <c r="B320" s="61">
        <v>18</v>
      </c>
      <c r="C320" s="60" t="s">
        <v>5</v>
      </c>
      <c r="D320" s="60">
        <v>32</v>
      </c>
      <c r="E320" s="62">
        <v>44046</v>
      </c>
      <c r="F320" s="63">
        <v>38</v>
      </c>
      <c r="G320" s="63">
        <v>12.34</v>
      </c>
      <c r="H320" s="64">
        <f t="shared" si="40"/>
        <v>0.32473684210526316</v>
      </c>
      <c r="I320" s="64">
        <f t="shared" si="38"/>
        <v>7.023828947368421</v>
      </c>
      <c r="J320" s="64"/>
    </row>
    <row r="321" spans="1:16" s="65" customFormat="1" x14ac:dyDescent="0.3">
      <c r="A321" s="60" t="s">
        <v>10</v>
      </c>
      <c r="B321" s="61">
        <v>19</v>
      </c>
      <c r="C321" s="60" t="s">
        <v>3</v>
      </c>
      <c r="D321" s="60">
        <v>32</v>
      </c>
      <c r="E321" s="62">
        <v>44046</v>
      </c>
      <c r="F321" s="63">
        <v>34</v>
      </c>
      <c r="G321" s="61">
        <v>12.3</v>
      </c>
      <c r="H321" s="64">
        <f t="shared" si="40"/>
        <v>0.36176470588235299</v>
      </c>
      <c r="I321" s="64">
        <f t="shared" si="38"/>
        <v>7.9856915739268679</v>
      </c>
      <c r="J321" s="64"/>
    </row>
    <row r="322" spans="1:16" s="65" customFormat="1" hidden="1" x14ac:dyDescent="0.3">
      <c r="A322" s="60" t="s">
        <v>10</v>
      </c>
      <c r="B322" s="61">
        <v>20</v>
      </c>
      <c r="C322" s="60" t="s">
        <v>4</v>
      </c>
      <c r="D322" s="60">
        <v>32</v>
      </c>
      <c r="E322" s="62">
        <v>44046</v>
      </c>
      <c r="F322" s="63">
        <v>40</v>
      </c>
      <c r="G322" s="61">
        <v>11.24</v>
      </c>
      <c r="H322" s="64">
        <f t="shared" si="40"/>
        <v>0.28100000000000003</v>
      </c>
      <c r="I322" s="64">
        <f t="shared" si="38"/>
        <v>6.6382500000000002</v>
      </c>
      <c r="J322" s="64"/>
    </row>
    <row r="323" spans="1:16" s="65" customFormat="1" hidden="1" x14ac:dyDescent="0.3">
      <c r="A323" s="60" t="s">
        <v>10</v>
      </c>
      <c r="B323" s="61">
        <v>21</v>
      </c>
      <c r="C323" s="60" t="s">
        <v>5</v>
      </c>
      <c r="D323" s="60">
        <v>32</v>
      </c>
      <c r="E323" s="62">
        <v>44046</v>
      </c>
      <c r="F323" s="63">
        <v>32</v>
      </c>
      <c r="G323" s="61">
        <v>10.45</v>
      </c>
      <c r="H323" s="64">
        <f t="shared" si="40"/>
        <v>0.32656249999999998</v>
      </c>
      <c r="I323" s="64">
        <f t="shared" si="38"/>
        <v>8.0726736111111119</v>
      </c>
      <c r="J323" s="64"/>
    </row>
    <row r="324" spans="1:16" s="71" customFormat="1" x14ac:dyDescent="0.3">
      <c r="A324" s="67" t="s">
        <v>10</v>
      </c>
      <c r="B324" s="66">
        <v>22</v>
      </c>
      <c r="C324" s="67" t="s">
        <v>3</v>
      </c>
      <c r="D324" s="60">
        <v>32</v>
      </c>
      <c r="E324" s="68">
        <v>44046</v>
      </c>
      <c r="F324" s="69">
        <v>38</v>
      </c>
      <c r="G324" s="66">
        <v>12.02</v>
      </c>
      <c r="H324" s="70">
        <f t="shared" si="40"/>
        <v>0.31631578947368422</v>
      </c>
      <c r="I324" s="64">
        <f t="shared" si="38"/>
        <v>8.1273684210526316</v>
      </c>
      <c r="J324" s="64"/>
    </row>
    <row r="325" spans="1:16" s="37" customFormat="1" hidden="1" x14ac:dyDescent="0.3">
      <c r="A325" s="38" t="s">
        <v>9</v>
      </c>
      <c r="B325" s="39">
        <v>2</v>
      </c>
      <c r="C325" s="38" t="s">
        <v>3</v>
      </c>
      <c r="D325" s="1">
        <v>33</v>
      </c>
      <c r="E325" s="40">
        <v>44053</v>
      </c>
      <c r="F325" s="41">
        <v>36</v>
      </c>
      <c r="G325" s="39">
        <f>11.15+5.28</f>
        <v>16.43</v>
      </c>
      <c r="H325" s="42">
        <f t="shared" ref="H325:H333" si="41">G325/F325</f>
        <v>0.4563888888888889</v>
      </c>
      <c r="I325" s="14">
        <f t="shared" si="38"/>
        <v>10.576709401709401</v>
      </c>
      <c r="J325" s="86">
        <f>D325</f>
        <v>33</v>
      </c>
      <c r="K325" t="s">
        <v>45</v>
      </c>
      <c r="L325" t="s">
        <v>9</v>
      </c>
      <c r="M325" s="52">
        <f>AVERAGE(H325,H325,H328,H331)</f>
        <v>0.44445313170313167</v>
      </c>
      <c r="N325" s="55">
        <f>STDEV(H325,H325,H328,H331)</f>
        <v>6.7257678856701572E-2</v>
      </c>
      <c r="O325" s="52">
        <f>AVERAGE(I325,I325,I328,I331)</f>
        <v>10.560385588885589</v>
      </c>
      <c r="P325" s="55">
        <f>STDEV(I325,I325,I328,I331)</f>
        <v>7.8437560094851588E-2</v>
      </c>
    </row>
    <row r="326" spans="1:16" hidden="1" x14ac:dyDescent="0.3">
      <c r="A326" s="1" t="s">
        <v>9</v>
      </c>
      <c r="B326" s="4">
        <v>3</v>
      </c>
      <c r="C326" s="1" t="s">
        <v>4</v>
      </c>
      <c r="D326" s="1">
        <v>33</v>
      </c>
      <c r="E326" s="3">
        <v>44053</v>
      </c>
      <c r="F326" s="2">
        <v>34</v>
      </c>
      <c r="G326" s="4">
        <v>12.93</v>
      </c>
      <c r="H326" s="14">
        <f t="shared" si="41"/>
        <v>0.38029411764705884</v>
      </c>
      <c r="I326" s="14">
        <f t="shared" si="38"/>
        <v>10.585604133545312</v>
      </c>
      <c r="J326" s="86"/>
      <c r="K326" t="s">
        <v>46</v>
      </c>
      <c r="L326" t="s">
        <v>9</v>
      </c>
      <c r="M326" s="52">
        <f>AVERAGE(H326,H326,H329,H332)</f>
        <v>0.37368684861331919</v>
      </c>
      <c r="N326" s="55">
        <f>STDEV(H326,H326,H329,H332)</f>
        <v>9.440293125331645E-3</v>
      </c>
      <c r="O326" s="52">
        <f>AVERAGE(I326,I326,I329,I332)</f>
        <v>10.111180445151033</v>
      </c>
      <c r="P326" s="55">
        <f>STDEV(I326,I326,I329,I332)</f>
        <v>0.54845694750074103</v>
      </c>
    </row>
    <row r="327" spans="1:16" hidden="1" x14ac:dyDescent="0.3">
      <c r="A327" s="1" t="s">
        <v>9</v>
      </c>
      <c r="B327" s="4">
        <v>4</v>
      </c>
      <c r="C327" s="1" t="s">
        <v>5</v>
      </c>
      <c r="D327" s="1">
        <v>33</v>
      </c>
      <c r="E327" s="3">
        <v>44053</v>
      </c>
      <c r="F327" s="2">
        <v>37</v>
      </c>
      <c r="G327" s="4">
        <f>6.23+9.5</f>
        <v>15.73</v>
      </c>
      <c r="H327" s="14">
        <f t="shared" si="41"/>
        <v>0.42513513513513512</v>
      </c>
      <c r="I327" s="14">
        <f t="shared" si="38"/>
        <v>10.168648648648649</v>
      </c>
      <c r="J327" s="86"/>
      <c r="K327" t="s">
        <v>47</v>
      </c>
      <c r="L327" t="s">
        <v>9</v>
      </c>
      <c r="M327" s="52">
        <f>AVERAGE(H327,H327,H330,H333)</f>
        <v>0.39000929689087588</v>
      </c>
      <c r="N327" s="55">
        <f>STDEV(H327,H327,H330,H333)</f>
        <v>4.7882957065530925E-2</v>
      </c>
      <c r="O327" s="52">
        <f>AVERAGE(I327,I327,I330,I333)</f>
        <v>9.8040999796789272</v>
      </c>
      <c r="P327" s="55">
        <f>STDEV(I327,I327,I330,I333)</f>
        <v>0.56247495077173726</v>
      </c>
    </row>
    <row r="328" spans="1:16" hidden="1" x14ac:dyDescent="0.3">
      <c r="A328" s="1" t="s">
        <v>9</v>
      </c>
      <c r="B328" s="4">
        <v>5</v>
      </c>
      <c r="C328" s="1" t="s">
        <v>3</v>
      </c>
      <c r="D328" s="1">
        <v>33</v>
      </c>
      <c r="E328" s="3">
        <v>44053</v>
      </c>
      <c r="F328" s="2">
        <v>35</v>
      </c>
      <c r="G328" s="2">
        <f>7.65+10.31</f>
        <v>17.96</v>
      </c>
      <c r="H328" s="14">
        <f t="shared" si="41"/>
        <v>0.51314285714285712</v>
      </c>
      <c r="I328" s="14">
        <f t="shared" si="38"/>
        <v>10.637312741312741</v>
      </c>
      <c r="J328" s="86"/>
      <c r="K328" t="s">
        <v>45</v>
      </c>
      <c r="L328" s="60" t="s">
        <v>10</v>
      </c>
      <c r="M328" s="52">
        <f>AVERAGE(H334,H334,H337,H340)</f>
        <v>0.32607904411764704</v>
      </c>
      <c r="N328" s="55">
        <f>STDEV(H334,H334,H337,H340)</f>
        <v>1.9469756221671467E-2</v>
      </c>
      <c r="O328" s="52">
        <f>AVERAGE(I334,I334,I337,I340)</f>
        <v>7.9317519375993637</v>
      </c>
      <c r="P328" s="55">
        <f>STDEV(I334,I334,I337,I340)</f>
        <v>0.45908246003836495</v>
      </c>
    </row>
    <row r="329" spans="1:16" hidden="1" x14ac:dyDescent="0.3">
      <c r="A329" s="1" t="s">
        <v>9</v>
      </c>
      <c r="B329" s="4">
        <v>6</v>
      </c>
      <c r="C329" s="1" t="s">
        <v>4</v>
      </c>
      <c r="D329" s="1">
        <v>33</v>
      </c>
      <c r="E329" s="3">
        <v>44053</v>
      </c>
      <c r="F329" s="2">
        <v>37</v>
      </c>
      <c r="G329" s="2">
        <f>12.9+0.43</f>
        <v>13.33</v>
      </c>
      <c r="H329" s="14">
        <f t="shared" si="41"/>
        <v>0.36027027027027025</v>
      </c>
      <c r="I329" s="14">
        <f t="shared" si="38"/>
        <v>9.6043243243243239</v>
      </c>
      <c r="J329" s="86"/>
      <c r="K329" t="s">
        <v>46</v>
      </c>
      <c r="L329" s="60" t="s">
        <v>10</v>
      </c>
      <c r="M329" s="52">
        <f>AVERAGE(H335,H335,H338,H341)</f>
        <v>0.28309558823529413</v>
      </c>
      <c r="N329" s="55">
        <f>STDEV(H335,H335,H338,H341)</f>
        <v>4.4645325100673906E-2</v>
      </c>
      <c r="O329" s="52">
        <f>AVERAGE(I335,I335,I338,I341)</f>
        <v>7.0425208655830751</v>
      </c>
      <c r="P329" s="55">
        <f>STDEV(I335,I335,I338,I341)</f>
        <v>0.25992083176313491</v>
      </c>
    </row>
    <row r="330" spans="1:16" hidden="1" x14ac:dyDescent="0.3">
      <c r="A330" s="1" t="s">
        <v>9</v>
      </c>
      <c r="B330" s="4">
        <v>7</v>
      </c>
      <c r="C330" s="1" t="s">
        <v>5</v>
      </c>
      <c r="D330" s="1">
        <v>33</v>
      </c>
      <c r="E330" s="3">
        <v>44053</v>
      </c>
      <c r="F330" s="2">
        <v>35</v>
      </c>
      <c r="G330" s="4">
        <v>11.33</v>
      </c>
      <c r="H330" s="14">
        <f t="shared" si="41"/>
        <v>0.32371428571428573</v>
      </c>
      <c r="I330" s="14">
        <f t="shared" si="38"/>
        <v>9.8964710424710418</v>
      </c>
      <c r="J330" s="86"/>
      <c r="K330" t="s">
        <v>47</v>
      </c>
      <c r="L330" s="60" t="s">
        <v>10</v>
      </c>
      <c r="M330" s="52">
        <f>AVERAGE(H336,H336,H339,H342)</f>
        <v>0.37035667293233088</v>
      </c>
      <c r="N330" s="55">
        <f>STDEV(H336,H336,H339,H342)</f>
        <v>0.21450761839694257</v>
      </c>
      <c r="O330" s="52">
        <f>AVERAGE(I336,I336,I339,I342)</f>
        <v>7.6210875757101082</v>
      </c>
      <c r="P330" s="55">
        <f>STDEV(I336,I336,I339,I342)</f>
        <v>0.75339575730850716</v>
      </c>
    </row>
    <row r="331" spans="1:16" hidden="1" x14ac:dyDescent="0.3">
      <c r="A331" s="1" t="s">
        <v>9</v>
      </c>
      <c r="B331" s="4">
        <v>8</v>
      </c>
      <c r="C331" s="1" t="s">
        <v>3</v>
      </c>
      <c r="D331" s="1">
        <v>33</v>
      </c>
      <c r="E331" s="3">
        <v>44053</v>
      </c>
      <c r="F331" s="2">
        <v>37</v>
      </c>
      <c r="G331" s="4">
        <v>13.02</v>
      </c>
      <c r="H331" s="14">
        <f t="shared" si="41"/>
        <v>0.35189189189189191</v>
      </c>
      <c r="I331" s="14">
        <f t="shared" si="38"/>
        <v>10.450810810810813</v>
      </c>
      <c r="J331" s="14"/>
    </row>
    <row r="332" spans="1:16" hidden="1" x14ac:dyDescent="0.3">
      <c r="A332" s="1" t="s">
        <v>9</v>
      </c>
      <c r="B332" s="4">
        <v>9</v>
      </c>
      <c r="C332" s="1" t="s">
        <v>4</v>
      </c>
      <c r="D332" s="1">
        <v>33</v>
      </c>
      <c r="E332" s="3">
        <v>44053</v>
      </c>
      <c r="F332" s="2">
        <v>36</v>
      </c>
      <c r="G332" s="4">
        <v>13.46</v>
      </c>
      <c r="H332" s="14">
        <f t="shared" si="41"/>
        <v>0.37388888888888894</v>
      </c>
      <c r="I332" s="14">
        <f t="shared" si="38"/>
        <v>9.6691891891891881</v>
      </c>
      <c r="J332" s="14"/>
    </row>
    <row r="333" spans="1:16" s="37" customFormat="1" hidden="1" x14ac:dyDescent="0.3">
      <c r="A333" s="38" t="s">
        <v>9</v>
      </c>
      <c r="B333" s="39">
        <v>10</v>
      </c>
      <c r="C333" s="38" t="s">
        <v>5</v>
      </c>
      <c r="D333" s="1">
        <v>33</v>
      </c>
      <c r="E333" s="40">
        <v>44053</v>
      </c>
      <c r="F333" s="41">
        <v>38</v>
      </c>
      <c r="G333" s="39">
        <v>14.67</v>
      </c>
      <c r="H333" s="42">
        <f t="shared" si="41"/>
        <v>0.38605263157894737</v>
      </c>
      <c r="I333" s="14">
        <f t="shared" si="38"/>
        <v>8.9826315789473661</v>
      </c>
      <c r="J333" s="14"/>
    </row>
    <row r="334" spans="1:16" s="71" customFormat="1" x14ac:dyDescent="0.3">
      <c r="A334" s="67" t="s">
        <v>10</v>
      </c>
      <c r="B334" s="66">
        <v>13</v>
      </c>
      <c r="C334" s="67" t="s">
        <v>3</v>
      </c>
      <c r="D334" s="60">
        <v>33</v>
      </c>
      <c r="E334" s="68">
        <v>44053</v>
      </c>
      <c r="F334" s="69">
        <v>32</v>
      </c>
      <c r="G334" s="66">
        <v>10.029999999999999</v>
      </c>
      <c r="H334" s="70">
        <f t="shared" ref="H334:H343" si="42">G334/F334</f>
        <v>0.31343749999999998</v>
      </c>
      <c r="I334" s="64">
        <f t="shared" si="38"/>
        <v>8.0778124999999985</v>
      </c>
      <c r="J334" s="64"/>
    </row>
    <row r="335" spans="1:16" s="65" customFormat="1" hidden="1" x14ac:dyDescent="0.3">
      <c r="A335" s="60" t="s">
        <v>10</v>
      </c>
      <c r="B335" s="61">
        <v>14</v>
      </c>
      <c r="C335" s="60" t="s">
        <v>4</v>
      </c>
      <c r="D335" s="60">
        <v>33</v>
      </c>
      <c r="E335" s="62">
        <v>44053</v>
      </c>
      <c r="F335" s="63">
        <v>32</v>
      </c>
      <c r="G335" s="61">
        <v>8.02</v>
      </c>
      <c r="H335" s="64">
        <f t="shared" si="42"/>
        <v>0.25062499999999999</v>
      </c>
      <c r="I335" s="64">
        <f t="shared" si="38"/>
        <v>6.8805208333333336</v>
      </c>
      <c r="J335" s="64"/>
    </row>
    <row r="336" spans="1:16" s="65" customFormat="1" hidden="1" x14ac:dyDescent="0.3">
      <c r="A336" s="60" t="s">
        <v>10</v>
      </c>
      <c r="B336" s="61">
        <v>15</v>
      </c>
      <c r="C336" s="60" t="s">
        <v>5</v>
      </c>
      <c r="D336" s="60">
        <v>33</v>
      </c>
      <c r="E336" s="62">
        <v>44053</v>
      </c>
      <c r="F336" s="63">
        <v>35</v>
      </c>
      <c r="G336" s="61">
        <v>7.36</v>
      </c>
      <c r="H336" s="64">
        <f t="shared" si="42"/>
        <v>0.2102857142857143</v>
      </c>
      <c r="I336" s="64">
        <f t="shared" si="38"/>
        <v>7.1634962406015035</v>
      </c>
      <c r="J336" s="64"/>
    </row>
    <row r="337" spans="1:16" s="65" customFormat="1" x14ac:dyDescent="0.3">
      <c r="A337" s="60" t="s">
        <v>10</v>
      </c>
      <c r="B337" s="61">
        <v>16</v>
      </c>
      <c r="C337" s="60" t="s">
        <v>3</v>
      </c>
      <c r="D337" s="60">
        <v>33</v>
      </c>
      <c r="E337" s="62">
        <v>44053</v>
      </c>
      <c r="F337" s="63">
        <v>40</v>
      </c>
      <c r="G337" s="61">
        <v>14.18</v>
      </c>
      <c r="H337" s="64">
        <f t="shared" si="42"/>
        <v>0.35449999999999998</v>
      </c>
      <c r="I337" s="64">
        <f t="shared" si="38"/>
        <v>7.2627500000000014</v>
      </c>
      <c r="J337" s="64"/>
    </row>
    <row r="338" spans="1:16" s="65" customFormat="1" hidden="1" x14ac:dyDescent="0.3">
      <c r="A338" s="60" t="s">
        <v>10</v>
      </c>
      <c r="B338" s="61">
        <v>17</v>
      </c>
      <c r="C338" s="60" t="s">
        <v>4</v>
      </c>
      <c r="D338" s="60">
        <v>33</v>
      </c>
      <c r="E338" s="62">
        <v>44053</v>
      </c>
      <c r="F338" s="63">
        <v>34</v>
      </c>
      <c r="G338" s="63">
        <v>9.7200000000000006</v>
      </c>
      <c r="H338" s="64">
        <f t="shared" si="42"/>
        <v>0.28588235294117648</v>
      </c>
      <c r="I338" s="64">
        <f t="shared" si="38"/>
        <v>7.4255417956656355</v>
      </c>
      <c r="J338" s="64"/>
    </row>
    <row r="339" spans="1:16" s="65" customFormat="1" hidden="1" x14ac:dyDescent="0.3">
      <c r="A339" s="60" t="s">
        <v>10</v>
      </c>
      <c r="B339" s="61">
        <v>18</v>
      </c>
      <c r="C339" s="60" t="s">
        <v>5</v>
      </c>
      <c r="D339" s="60">
        <v>33</v>
      </c>
      <c r="E339" s="62">
        <v>44053</v>
      </c>
      <c r="F339" s="63">
        <v>38</v>
      </c>
      <c r="G339" s="63">
        <f>13.95+1.14</f>
        <v>15.09</v>
      </c>
      <c r="H339" s="64">
        <f t="shared" si="42"/>
        <v>0.39710526315789474</v>
      </c>
      <c r="I339" s="64">
        <f t="shared" si="38"/>
        <v>7.4209342105263154</v>
      </c>
      <c r="J339" s="64"/>
    </row>
    <row r="340" spans="1:16" s="65" customFormat="1" x14ac:dyDescent="0.3">
      <c r="A340" s="60" t="s">
        <v>10</v>
      </c>
      <c r="B340" s="61">
        <v>19</v>
      </c>
      <c r="C340" s="60" t="s">
        <v>3</v>
      </c>
      <c r="D340" s="60">
        <v>33</v>
      </c>
      <c r="E340" s="62">
        <v>44053</v>
      </c>
      <c r="F340" s="63">
        <v>34</v>
      </c>
      <c r="G340" s="61">
        <v>10.98</v>
      </c>
      <c r="H340" s="64">
        <f t="shared" si="42"/>
        <v>0.32294117647058823</v>
      </c>
      <c r="I340" s="64">
        <f t="shared" si="38"/>
        <v>8.3086327503974555</v>
      </c>
      <c r="J340" s="64"/>
    </row>
    <row r="341" spans="1:16" s="65" customFormat="1" hidden="1" x14ac:dyDescent="0.3">
      <c r="A341" s="60" t="s">
        <v>10</v>
      </c>
      <c r="B341" s="61">
        <v>20</v>
      </c>
      <c r="C341" s="60" t="s">
        <v>4</v>
      </c>
      <c r="D341" s="60">
        <v>33</v>
      </c>
      <c r="E341" s="62">
        <v>44053</v>
      </c>
      <c r="F341" s="63">
        <v>40</v>
      </c>
      <c r="G341" s="61">
        <f>9.91+3.9</f>
        <v>13.81</v>
      </c>
      <c r="H341" s="64">
        <f t="shared" si="42"/>
        <v>0.34525</v>
      </c>
      <c r="I341" s="64">
        <f t="shared" si="38"/>
        <v>6.9835000000000003</v>
      </c>
      <c r="J341" s="64"/>
    </row>
    <row r="342" spans="1:16" s="65" customFormat="1" hidden="1" x14ac:dyDescent="0.3">
      <c r="A342" s="60" t="s">
        <v>10</v>
      </c>
      <c r="B342" s="61">
        <v>21</v>
      </c>
      <c r="C342" s="60" t="s">
        <v>5</v>
      </c>
      <c r="D342" s="60">
        <v>33</v>
      </c>
      <c r="E342" s="62">
        <v>44053</v>
      </c>
      <c r="F342" s="63">
        <v>32</v>
      </c>
      <c r="G342" s="61">
        <f>11.28+9.96</f>
        <v>21.240000000000002</v>
      </c>
      <c r="H342" s="64">
        <f t="shared" si="42"/>
        <v>0.66375000000000006</v>
      </c>
      <c r="I342" s="64">
        <f t="shared" si="38"/>
        <v>8.7364236111111122</v>
      </c>
      <c r="J342" s="64"/>
    </row>
    <row r="343" spans="1:16" s="71" customFormat="1" x14ac:dyDescent="0.3">
      <c r="A343" s="67" t="s">
        <v>10</v>
      </c>
      <c r="B343" s="66">
        <v>22</v>
      </c>
      <c r="C343" s="67" t="s">
        <v>3</v>
      </c>
      <c r="D343" s="60">
        <v>33</v>
      </c>
      <c r="E343" s="68">
        <v>44053</v>
      </c>
      <c r="F343" s="69">
        <v>38</v>
      </c>
      <c r="G343" s="66">
        <v>14.35</v>
      </c>
      <c r="H343" s="70">
        <f t="shared" si="42"/>
        <v>0.37763157894736843</v>
      </c>
      <c r="I343" s="64">
        <f t="shared" si="38"/>
        <v>8.5050000000000008</v>
      </c>
      <c r="J343" s="64"/>
    </row>
    <row r="344" spans="1:16" s="37" customFormat="1" hidden="1" x14ac:dyDescent="0.3">
      <c r="A344" s="38" t="s">
        <v>9</v>
      </c>
      <c r="B344" s="39">
        <v>2</v>
      </c>
      <c r="C344" s="38" t="s">
        <v>3</v>
      </c>
      <c r="D344" s="1">
        <v>34</v>
      </c>
      <c r="E344" s="40">
        <v>44060</v>
      </c>
      <c r="F344" s="41">
        <v>36</v>
      </c>
      <c r="G344" s="39">
        <f>5.62+4.47+9.63+6.08</f>
        <v>25.799999999999997</v>
      </c>
      <c r="H344" s="42">
        <f t="shared" ref="H344:H352" si="43">G344/F344</f>
        <v>0.71666666666666656</v>
      </c>
      <c r="I344" s="14">
        <f t="shared" si="38"/>
        <v>11.293376068376068</v>
      </c>
      <c r="J344" s="86">
        <f>D344</f>
        <v>34</v>
      </c>
      <c r="K344" t="s">
        <v>45</v>
      </c>
      <c r="L344" t="s">
        <v>9</v>
      </c>
      <c r="M344" s="52">
        <f>AVERAGE(H344,H344,H347,H350)</f>
        <v>0.71679665379665369</v>
      </c>
      <c r="N344" s="55">
        <f>STDEV(H344,H344,H347,H350)</f>
        <v>1.5807329832072788E-2</v>
      </c>
      <c r="O344" s="52">
        <f>AVERAGE(I344,I344,I347,I350)</f>
        <v>11.277182242682244</v>
      </c>
      <c r="P344" s="55">
        <f>STDEV(I344,I344,I347,I350)</f>
        <v>9.3827859320346221E-2</v>
      </c>
    </row>
    <row r="345" spans="1:16" hidden="1" x14ac:dyDescent="0.3">
      <c r="A345" s="1" t="s">
        <v>9</v>
      </c>
      <c r="B345" s="4">
        <v>3</v>
      </c>
      <c r="C345" s="1" t="s">
        <v>4</v>
      </c>
      <c r="D345" s="1">
        <v>34</v>
      </c>
      <c r="E345" s="3">
        <v>44060</v>
      </c>
      <c r="F345" s="2">
        <v>34</v>
      </c>
      <c r="G345" s="4">
        <f>4.29+6.52+9.79+2.64+7.46</f>
        <v>30.7</v>
      </c>
      <c r="H345" s="14">
        <f t="shared" si="43"/>
        <v>0.90294117647058825</v>
      </c>
      <c r="I345" s="14">
        <f t="shared" si="38"/>
        <v>11.488545310015899</v>
      </c>
      <c r="J345" s="86"/>
      <c r="K345" t="s">
        <v>46</v>
      </c>
      <c r="L345" t="s">
        <v>9</v>
      </c>
      <c r="M345" s="52">
        <f>AVERAGE(H345,H345,H348,H351)</f>
        <v>0.79956368132838718</v>
      </c>
      <c r="N345" s="55">
        <f>STDEV(H345,H345,H348,H351)</f>
        <v>0.14536084866259424</v>
      </c>
      <c r="O345" s="52">
        <f>AVERAGE(I345,I345,I348,I351)</f>
        <v>10.91074412647942</v>
      </c>
      <c r="P345" s="55">
        <f>STDEV(I345,I345,I348,I351)</f>
        <v>0.67610199152095518</v>
      </c>
    </row>
    <row r="346" spans="1:16" hidden="1" x14ac:dyDescent="0.3">
      <c r="A346" s="1" t="s">
        <v>9</v>
      </c>
      <c r="B346" s="4">
        <v>4</v>
      </c>
      <c r="C346" s="1" t="s">
        <v>5</v>
      </c>
      <c r="D346" s="1">
        <v>34</v>
      </c>
      <c r="E346" s="3">
        <v>44060</v>
      </c>
      <c r="F346" s="2">
        <v>37</v>
      </c>
      <c r="G346" s="4">
        <f>8.75+8.89</f>
        <v>17.64</v>
      </c>
      <c r="H346" s="14">
        <f t="shared" si="43"/>
        <v>0.47675675675675677</v>
      </c>
      <c r="I346" s="14">
        <f t="shared" si="38"/>
        <v>10.645405405405405</v>
      </c>
      <c r="J346" s="86"/>
      <c r="K346" t="s">
        <v>47</v>
      </c>
      <c r="L346" t="s">
        <v>9</v>
      </c>
      <c r="M346" s="52">
        <f>AVERAGE(H346,H346,H349,H352)</f>
        <v>0.58631446860394232</v>
      </c>
      <c r="N346" s="55">
        <f>STDEV(H346,H346,H349,H352)</f>
        <v>0.12650686737445446</v>
      </c>
      <c r="O346" s="52">
        <f>AVERAGE(I346,I346,I349,I352)</f>
        <v>10.390414448282868</v>
      </c>
      <c r="P346" s="55">
        <f>STDEV(I346,I346,I349,I352)</f>
        <v>0.47498156249102413</v>
      </c>
    </row>
    <row r="347" spans="1:16" hidden="1" x14ac:dyDescent="0.3">
      <c r="A347" s="1" t="s">
        <v>9</v>
      </c>
      <c r="B347" s="4">
        <v>5</v>
      </c>
      <c r="C347" s="1" t="s">
        <v>3</v>
      </c>
      <c r="D347" s="1">
        <v>34</v>
      </c>
      <c r="E347" s="3">
        <v>44060</v>
      </c>
      <c r="F347" s="2">
        <v>35</v>
      </c>
      <c r="G347" s="4">
        <f>11.38+7.1+7.29</f>
        <v>25.77</v>
      </c>
      <c r="H347" s="14">
        <f t="shared" si="43"/>
        <v>0.73628571428571432</v>
      </c>
      <c r="I347" s="14">
        <f t="shared" si="38"/>
        <v>11.373598455598454</v>
      </c>
      <c r="J347" s="86"/>
      <c r="K347" t="s">
        <v>45</v>
      </c>
      <c r="L347" s="60" t="s">
        <v>10</v>
      </c>
      <c r="M347" s="52">
        <f>AVERAGE(H353,H353,H356,H359)</f>
        <v>0.4329264705882353</v>
      </c>
      <c r="N347" s="55">
        <f>STDEV(H353,H353,H356,H359)</f>
        <v>3.9556845839477231E-2</v>
      </c>
      <c r="O347" s="52">
        <f>AVERAGE(I353,I353,I356,I359)</f>
        <v>8.3646784081875989</v>
      </c>
      <c r="P347" s="55">
        <f>STDEV(I353,I353,I356,I359)</f>
        <v>0.42723979514193305</v>
      </c>
    </row>
    <row r="348" spans="1:16" hidden="1" x14ac:dyDescent="0.3">
      <c r="A348" s="1" t="s">
        <v>9</v>
      </c>
      <c r="B348" s="4">
        <v>6</v>
      </c>
      <c r="C348" s="1" t="s">
        <v>4</v>
      </c>
      <c r="D348" s="1">
        <v>34</v>
      </c>
      <c r="E348" s="3">
        <v>44060</v>
      </c>
      <c r="F348" s="2">
        <v>37</v>
      </c>
      <c r="G348" s="2">
        <f>10.53+11.47</f>
        <v>22</v>
      </c>
      <c r="H348" s="14">
        <f t="shared" si="43"/>
        <v>0.59459459459459463</v>
      </c>
      <c r="I348" s="14">
        <f t="shared" si="38"/>
        <v>10.198918918918919</v>
      </c>
      <c r="J348" s="86"/>
      <c r="K348" t="s">
        <v>46</v>
      </c>
      <c r="L348" s="60" t="s">
        <v>10</v>
      </c>
      <c r="M348" s="52">
        <f>AVERAGE(H354,H354,H357,H360)</f>
        <v>0.55528492647058825</v>
      </c>
      <c r="N348" s="55">
        <f>STDEV(H354,H354,H357,H360)</f>
        <v>3.3701160315919035E-2</v>
      </c>
      <c r="O348" s="52">
        <f>AVERAGE(I354,I354,I357,I360)</f>
        <v>7.5978057920536637</v>
      </c>
      <c r="P348" s="55">
        <f>STDEV(I354,I354,I357,I360)</f>
        <v>0.27722217112929215</v>
      </c>
    </row>
    <row r="349" spans="1:16" hidden="1" x14ac:dyDescent="0.3">
      <c r="A349" s="1" t="s">
        <v>9</v>
      </c>
      <c r="B349" s="4">
        <v>7</v>
      </c>
      <c r="C349" s="1" t="s">
        <v>5</v>
      </c>
      <c r="D349" s="1">
        <v>34</v>
      </c>
      <c r="E349" s="3">
        <v>44060</v>
      </c>
      <c r="F349" s="2">
        <v>35</v>
      </c>
      <c r="G349" s="2">
        <f>4.91+19.43</f>
        <v>24.34</v>
      </c>
      <c r="H349" s="14">
        <f t="shared" si="43"/>
        <v>0.6954285714285714</v>
      </c>
      <c r="I349" s="14">
        <f t="shared" si="38"/>
        <v>10.591899613899614</v>
      </c>
      <c r="J349" s="86"/>
      <c r="K349" t="s">
        <v>47</v>
      </c>
      <c r="L349" s="60" t="s">
        <v>10</v>
      </c>
      <c r="M349" s="52">
        <f>AVERAGE(H355,H355,H358,H361)</f>
        <v>0.42696757518796991</v>
      </c>
      <c r="N349" s="55">
        <f>STDEV(H355,H355,H358,H361)</f>
        <v>0.15378500942847217</v>
      </c>
      <c r="O349" s="52">
        <f>AVERAGE(I355,I355,I358,I361)</f>
        <v>8.0480551508980795</v>
      </c>
      <c r="P349" s="55">
        <f>STDEV(I355,I355,I358,I361)</f>
        <v>0.89132190663231392</v>
      </c>
    </row>
    <row r="350" spans="1:16" hidden="1" x14ac:dyDescent="0.3">
      <c r="A350" s="1" t="s">
        <v>9</v>
      </c>
      <c r="B350" s="4">
        <v>8</v>
      </c>
      <c r="C350" s="1" t="s">
        <v>3</v>
      </c>
      <c r="D350" s="1">
        <v>34</v>
      </c>
      <c r="E350" s="3">
        <v>44060</v>
      </c>
      <c r="F350" s="2">
        <v>37</v>
      </c>
      <c r="G350" s="4">
        <f>11.66+14.15</f>
        <v>25.810000000000002</v>
      </c>
      <c r="H350" s="14">
        <f t="shared" si="43"/>
        <v>0.69756756756756766</v>
      </c>
      <c r="I350" s="14">
        <f t="shared" si="38"/>
        <v>11.14837837837838</v>
      </c>
      <c r="J350" s="14"/>
    </row>
    <row r="351" spans="1:16" hidden="1" x14ac:dyDescent="0.3">
      <c r="A351" s="1" t="s">
        <v>9</v>
      </c>
      <c r="B351" s="4">
        <v>9</v>
      </c>
      <c r="C351" s="1" t="s">
        <v>4</v>
      </c>
      <c r="D351" s="1">
        <v>34</v>
      </c>
      <c r="E351" s="3">
        <v>44060</v>
      </c>
      <c r="F351" s="2">
        <v>36</v>
      </c>
      <c r="G351" s="4">
        <f>22.16+6.56</f>
        <v>28.72</v>
      </c>
      <c r="H351" s="14">
        <f t="shared" si="43"/>
        <v>0.7977777777777777</v>
      </c>
      <c r="I351" s="14">
        <f t="shared" si="38"/>
        <v>10.466966966966966</v>
      </c>
      <c r="J351" s="14"/>
    </row>
    <row r="352" spans="1:16" s="37" customFormat="1" hidden="1" x14ac:dyDescent="0.3">
      <c r="A352" s="38" t="s">
        <v>9</v>
      </c>
      <c r="B352" s="39">
        <v>10</v>
      </c>
      <c r="C352" s="38" t="s">
        <v>5</v>
      </c>
      <c r="D352" s="1">
        <v>34</v>
      </c>
      <c r="E352" s="40">
        <v>44060</v>
      </c>
      <c r="F352" s="41">
        <v>38</v>
      </c>
      <c r="G352" s="39">
        <f>11.23+14.46+0.77</f>
        <v>26.46</v>
      </c>
      <c r="H352" s="42">
        <f t="shared" si="43"/>
        <v>0.69631578947368422</v>
      </c>
      <c r="I352" s="14">
        <f t="shared" si="38"/>
        <v>9.678947368421051</v>
      </c>
      <c r="J352" s="14"/>
    </row>
    <row r="353" spans="1:16" s="71" customFormat="1" x14ac:dyDescent="0.3">
      <c r="A353" s="67" t="s">
        <v>10</v>
      </c>
      <c r="B353" s="66">
        <v>13</v>
      </c>
      <c r="C353" s="67" t="s">
        <v>3</v>
      </c>
      <c r="D353" s="60">
        <v>34</v>
      </c>
      <c r="E353" s="68">
        <v>44060</v>
      </c>
      <c r="F353" s="69">
        <v>32</v>
      </c>
      <c r="G353" s="66">
        <v>12.94</v>
      </c>
      <c r="H353" s="70">
        <f t="shared" ref="H353:H362" si="44">G353/F353</f>
        <v>0.40437499999999998</v>
      </c>
      <c r="I353" s="64">
        <f t="shared" si="38"/>
        <v>8.4821874999999984</v>
      </c>
      <c r="J353" s="64"/>
    </row>
    <row r="354" spans="1:16" s="65" customFormat="1" hidden="1" x14ac:dyDescent="0.3">
      <c r="A354" s="60" t="s">
        <v>10</v>
      </c>
      <c r="B354" s="61">
        <v>14</v>
      </c>
      <c r="C354" s="60" t="s">
        <v>4</v>
      </c>
      <c r="D354" s="60">
        <v>34</v>
      </c>
      <c r="E354" s="62">
        <v>44060</v>
      </c>
      <c r="F354" s="63">
        <v>32</v>
      </c>
      <c r="G354" s="61">
        <f>13.3+4.73</f>
        <v>18.03</v>
      </c>
      <c r="H354" s="64">
        <f t="shared" si="44"/>
        <v>0.56343750000000004</v>
      </c>
      <c r="I354" s="64">
        <f t="shared" si="38"/>
        <v>7.4439583333333337</v>
      </c>
      <c r="J354" s="64"/>
    </row>
    <row r="355" spans="1:16" s="65" customFormat="1" hidden="1" x14ac:dyDescent="0.3">
      <c r="A355" s="60" t="s">
        <v>10</v>
      </c>
      <c r="B355" s="61">
        <v>15</v>
      </c>
      <c r="C355" s="60" t="s">
        <v>5</v>
      </c>
      <c r="D355" s="60">
        <v>34</v>
      </c>
      <c r="E355" s="62">
        <v>44060</v>
      </c>
      <c r="F355" s="63">
        <v>35</v>
      </c>
      <c r="G355" s="61">
        <v>10.48</v>
      </c>
      <c r="H355" s="64">
        <f t="shared" si="44"/>
        <v>0.29942857142857143</v>
      </c>
      <c r="I355" s="64">
        <f t="shared" si="38"/>
        <v>7.4629248120300753</v>
      </c>
      <c r="J355" s="64"/>
    </row>
    <row r="356" spans="1:16" s="65" customFormat="1" x14ac:dyDescent="0.3">
      <c r="A356" s="60" t="s">
        <v>10</v>
      </c>
      <c r="B356" s="61">
        <v>16</v>
      </c>
      <c r="C356" s="60" t="s">
        <v>3</v>
      </c>
      <c r="D356" s="60">
        <v>34</v>
      </c>
      <c r="E356" s="62">
        <v>44060</v>
      </c>
      <c r="F356" s="63">
        <v>40</v>
      </c>
      <c r="G356" s="61">
        <f>13.69+5.84</f>
        <v>19.53</v>
      </c>
      <c r="H356" s="64">
        <f t="shared" si="44"/>
        <v>0.48825000000000002</v>
      </c>
      <c r="I356" s="64">
        <f t="shared" si="38"/>
        <v>7.7510000000000012</v>
      </c>
      <c r="J356" s="64"/>
    </row>
    <row r="357" spans="1:16" s="65" customFormat="1" hidden="1" x14ac:dyDescent="0.3">
      <c r="A357" s="60" t="s">
        <v>10</v>
      </c>
      <c r="B357" s="61">
        <v>17</v>
      </c>
      <c r="C357" s="60" t="s">
        <v>4</v>
      </c>
      <c r="D357" s="60">
        <v>34</v>
      </c>
      <c r="E357" s="62">
        <v>44060</v>
      </c>
      <c r="F357" s="63">
        <v>34</v>
      </c>
      <c r="G357" s="63">
        <v>19.95</v>
      </c>
      <c r="H357" s="64">
        <f t="shared" si="44"/>
        <v>0.58676470588235297</v>
      </c>
      <c r="I357" s="64">
        <f t="shared" si="38"/>
        <v>8.0123065015479877</v>
      </c>
      <c r="J357" s="64"/>
    </row>
    <row r="358" spans="1:16" s="65" customFormat="1" hidden="1" x14ac:dyDescent="0.3">
      <c r="A358" s="60" t="s">
        <v>10</v>
      </c>
      <c r="B358" s="61">
        <v>18</v>
      </c>
      <c r="C358" s="60" t="s">
        <v>5</v>
      </c>
      <c r="D358" s="60">
        <v>34</v>
      </c>
      <c r="E358" s="62">
        <v>44060</v>
      </c>
      <c r="F358" s="63">
        <v>38</v>
      </c>
      <c r="G358" s="63">
        <v>19.010000000000002</v>
      </c>
      <c r="H358" s="64">
        <f t="shared" si="44"/>
        <v>0.50026315789473685</v>
      </c>
      <c r="I358" s="64">
        <f t="shared" si="38"/>
        <v>7.9211973684210522</v>
      </c>
      <c r="J358" s="64"/>
    </row>
    <row r="359" spans="1:16" s="65" customFormat="1" x14ac:dyDescent="0.3">
      <c r="A359" s="60" t="s">
        <v>10</v>
      </c>
      <c r="B359" s="61">
        <v>19</v>
      </c>
      <c r="C359" s="60" t="s">
        <v>3</v>
      </c>
      <c r="D359" s="60">
        <v>34</v>
      </c>
      <c r="E359" s="62">
        <v>44060</v>
      </c>
      <c r="F359" s="63">
        <v>34</v>
      </c>
      <c r="G359" s="61">
        <v>14.78</v>
      </c>
      <c r="H359" s="64">
        <f t="shared" si="44"/>
        <v>0.43470588235294116</v>
      </c>
      <c r="I359" s="64">
        <f t="shared" si="38"/>
        <v>8.7433386327503975</v>
      </c>
      <c r="J359" s="64"/>
    </row>
    <row r="360" spans="1:16" s="65" customFormat="1" hidden="1" x14ac:dyDescent="0.3">
      <c r="A360" s="60" t="s">
        <v>10</v>
      </c>
      <c r="B360" s="61">
        <v>20</v>
      </c>
      <c r="C360" s="60" t="s">
        <v>4</v>
      </c>
      <c r="D360" s="60">
        <v>34</v>
      </c>
      <c r="E360" s="62">
        <v>44060</v>
      </c>
      <c r="F360" s="63">
        <v>40</v>
      </c>
      <c r="G360" s="61">
        <f>9.78+10.52</f>
        <v>20.299999999999997</v>
      </c>
      <c r="H360" s="64">
        <f t="shared" si="44"/>
        <v>0.50749999999999995</v>
      </c>
      <c r="I360" s="64">
        <f t="shared" ref="I360:I423" si="45">I341+H360</f>
        <v>7.4910000000000005</v>
      </c>
      <c r="J360" s="64"/>
    </row>
    <row r="361" spans="1:16" s="65" customFormat="1" hidden="1" x14ac:dyDescent="0.3">
      <c r="A361" s="60" t="s">
        <v>10</v>
      </c>
      <c r="B361" s="61">
        <v>21</v>
      </c>
      <c r="C361" s="60" t="s">
        <v>5</v>
      </c>
      <c r="D361" s="60">
        <v>34</v>
      </c>
      <c r="E361" s="62">
        <v>44060</v>
      </c>
      <c r="F361" s="63">
        <v>32</v>
      </c>
      <c r="G361" s="61">
        <f>7.3+12.18</f>
        <v>19.48</v>
      </c>
      <c r="H361" s="64">
        <f t="shared" si="44"/>
        <v>0.60875000000000001</v>
      </c>
      <c r="I361" s="64">
        <f t="shared" si="45"/>
        <v>9.3451736111111128</v>
      </c>
      <c r="J361" s="64"/>
    </row>
    <row r="362" spans="1:16" s="71" customFormat="1" x14ac:dyDescent="0.3">
      <c r="A362" s="67" t="s">
        <v>10</v>
      </c>
      <c r="B362" s="66">
        <v>22</v>
      </c>
      <c r="C362" s="67" t="s">
        <v>3</v>
      </c>
      <c r="D362" s="60">
        <v>34</v>
      </c>
      <c r="E362" s="68">
        <v>44060</v>
      </c>
      <c r="F362" s="69">
        <v>38</v>
      </c>
      <c r="G362" s="66">
        <f>5.93+12.74</f>
        <v>18.670000000000002</v>
      </c>
      <c r="H362" s="70">
        <f t="shared" si="44"/>
        <v>0.49131578947368426</v>
      </c>
      <c r="I362" s="64">
        <f t="shared" si="45"/>
        <v>8.9963157894736856</v>
      </c>
      <c r="J362" s="64"/>
    </row>
    <row r="363" spans="1:16" s="37" customFormat="1" hidden="1" x14ac:dyDescent="0.3">
      <c r="A363" s="38" t="s">
        <v>9</v>
      </c>
      <c r="B363" s="39">
        <v>2</v>
      </c>
      <c r="C363" s="38" t="s">
        <v>3</v>
      </c>
      <c r="D363" s="1">
        <v>35</v>
      </c>
      <c r="E363" s="40">
        <v>44067</v>
      </c>
      <c r="F363" s="41">
        <v>36</v>
      </c>
      <c r="G363" s="39">
        <f>15.66+8.75</f>
        <v>24.41</v>
      </c>
      <c r="H363" s="42">
        <f t="shared" ref="H363:H371" si="46">G363/F363</f>
        <v>0.67805555555555552</v>
      </c>
      <c r="I363" s="14">
        <f t="shared" si="45"/>
        <v>11.971431623931624</v>
      </c>
      <c r="J363" s="86">
        <f>D363</f>
        <v>35</v>
      </c>
      <c r="K363" t="s">
        <v>45</v>
      </c>
      <c r="L363" t="s">
        <v>9</v>
      </c>
      <c r="M363" s="52">
        <f>AVERAGE(H363,H363,H366,H369)</f>
        <v>0.67828260403260399</v>
      </c>
      <c r="N363" s="55">
        <f>STDEV(H363,H363,H366,H369)</f>
        <v>4.6008280200288444E-2</v>
      </c>
      <c r="O363" s="52">
        <f>AVERAGE(I363,I363,I366,I369)</f>
        <v>11.955464846714847</v>
      </c>
      <c r="P363" s="55">
        <f>STDEV(I363,I363,I366,I369)</f>
        <v>0.13917979388980778</v>
      </c>
    </row>
    <row r="364" spans="1:16" hidden="1" x14ac:dyDescent="0.3">
      <c r="A364" s="1" t="s">
        <v>9</v>
      </c>
      <c r="B364" s="4">
        <v>3</v>
      </c>
      <c r="C364" s="1" t="s">
        <v>4</v>
      </c>
      <c r="D364" s="1">
        <v>35</v>
      </c>
      <c r="E364" s="3">
        <v>44067</v>
      </c>
      <c r="F364" s="2">
        <v>34</v>
      </c>
      <c r="G364" s="4">
        <f>7.24+10.04</f>
        <v>17.28</v>
      </c>
      <c r="H364" s="14">
        <f t="shared" si="46"/>
        <v>0.50823529411764712</v>
      </c>
      <c r="I364" s="14">
        <f t="shared" si="45"/>
        <v>11.996780604133546</v>
      </c>
      <c r="J364" s="86"/>
      <c r="K364" t="s">
        <v>46</v>
      </c>
      <c r="L364" t="s">
        <v>9</v>
      </c>
      <c r="M364" s="52">
        <f>AVERAGE(H364,H364,H367,H370)</f>
        <v>0.52072237678855327</v>
      </c>
      <c r="N364" s="55">
        <f>STDEV(H364,H364,H367,H370)</f>
        <v>7.0317137275235905E-2</v>
      </c>
      <c r="O364" s="52">
        <f>AVERAGE(I364,I364,I367,I370)</f>
        <v>11.431466503267973</v>
      </c>
      <c r="P364" s="55">
        <f>STDEV(I364,I364,I367,I370)</f>
        <v>0.67666895617473888</v>
      </c>
    </row>
    <row r="365" spans="1:16" hidden="1" x14ac:dyDescent="0.3">
      <c r="A365" s="1" t="s">
        <v>9</v>
      </c>
      <c r="B365" s="4">
        <v>4</v>
      </c>
      <c r="C365" s="1" t="s">
        <v>5</v>
      </c>
      <c r="D365" s="1">
        <v>35</v>
      </c>
      <c r="E365" s="3">
        <v>44067</v>
      </c>
      <c r="F365" s="2">
        <v>37</v>
      </c>
      <c r="G365" s="4">
        <f>9.3+9.55</f>
        <v>18.850000000000001</v>
      </c>
      <c r="H365" s="14">
        <f t="shared" si="46"/>
        <v>0.50945945945945947</v>
      </c>
      <c r="I365" s="14">
        <f t="shared" si="45"/>
        <v>11.154864864864866</v>
      </c>
      <c r="J365" s="86"/>
      <c r="K365" t="s">
        <v>47</v>
      </c>
      <c r="L365" t="s">
        <v>9</v>
      </c>
      <c r="M365" s="52">
        <f>AVERAGE(H365,H365,H368,H371)</f>
        <v>0.53894589514326352</v>
      </c>
      <c r="N365" s="55">
        <f>STDEV(H365,H365,H368,H371)</f>
        <v>4.6145163215106907E-2</v>
      </c>
      <c r="O365" s="52">
        <f>AVERAGE(I365,I365,I368,I371)</f>
        <v>10.929360343426133</v>
      </c>
      <c r="P365" s="55">
        <f>STDEV(I365,I365,I368,I371)</f>
        <v>0.42949905248977854</v>
      </c>
    </row>
    <row r="366" spans="1:16" hidden="1" x14ac:dyDescent="0.3">
      <c r="A366" s="1" t="s">
        <v>9</v>
      </c>
      <c r="B366" s="4">
        <v>5</v>
      </c>
      <c r="C366" s="1" t="s">
        <v>3</v>
      </c>
      <c r="D366" s="1">
        <v>35</v>
      </c>
      <c r="E366" s="3">
        <v>44067</v>
      </c>
      <c r="F366" s="2">
        <v>35</v>
      </c>
      <c r="G366" s="4">
        <f>12.52+13.2</f>
        <v>25.72</v>
      </c>
      <c r="H366" s="14">
        <f t="shared" si="46"/>
        <v>0.73485714285714288</v>
      </c>
      <c r="I366" s="14">
        <f t="shared" si="45"/>
        <v>12.108455598455597</v>
      </c>
      <c r="J366" s="86"/>
      <c r="K366" t="s">
        <v>45</v>
      </c>
      <c r="L366" s="60" t="s">
        <v>10</v>
      </c>
      <c r="M366" s="52">
        <f>AVERAGE(H372,H372,H375,H378)</f>
        <v>0.4790404411764706</v>
      </c>
      <c r="N366" s="55">
        <f>STDEV(H372,H372,H375,H378)</f>
        <v>9.9975688455499589E-2</v>
      </c>
      <c r="O366" s="52">
        <f>AVERAGE(I372,I372,I375,I378)</f>
        <v>8.8437188493640697</v>
      </c>
      <c r="P366" s="55">
        <f>STDEV(I372,I372,I375,I378)</f>
        <v>0.4826669412523682</v>
      </c>
    </row>
    <row r="367" spans="1:16" hidden="1" x14ac:dyDescent="0.3">
      <c r="A367" s="1" t="s">
        <v>9</v>
      </c>
      <c r="B367" s="4">
        <v>6</v>
      </c>
      <c r="C367" s="1" t="s">
        <v>4</v>
      </c>
      <c r="D367" s="1">
        <v>35</v>
      </c>
      <c r="E367" s="3">
        <v>44067</v>
      </c>
      <c r="F367" s="2">
        <v>37</v>
      </c>
      <c r="G367" s="2">
        <v>16.61</v>
      </c>
      <c r="H367" s="14">
        <f t="shared" si="46"/>
        <v>0.44891891891891889</v>
      </c>
      <c r="I367" s="14">
        <f t="shared" si="45"/>
        <v>10.647837837837837</v>
      </c>
      <c r="J367" s="86"/>
      <c r="K367" t="s">
        <v>46</v>
      </c>
      <c r="L367" s="60" t="s">
        <v>10</v>
      </c>
      <c r="M367" s="52">
        <f>AVERAGE(H373,H373,H376,H379)</f>
        <v>0.42330446981424152</v>
      </c>
      <c r="N367" s="55">
        <f>STDEV(H373,H373,H376,H379)</f>
        <v>8.4262206025567277E-2</v>
      </c>
      <c r="O367" s="52">
        <f>AVERAGE(I373,I373,I376,I379)</f>
        <v>8.0211102618679053</v>
      </c>
      <c r="P367" s="55">
        <f>STDEV(I373,I373,I376,I379)</f>
        <v>0.26084119554168067</v>
      </c>
    </row>
    <row r="368" spans="1:16" hidden="1" x14ac:dyDescent="0.3">
      <c r="A368" s="1" t="s">
        <v>9</v>
      </c>
      <c r="B368" s="4">
        <v>7</v>
      </c>
      <c r="C368" s="1" t="s">
        <v>5</v>
      </c>
      <c r="D368" s="1">
        <v>35</v>
      </c>
      <c r="E368" s="3">
        <v>44067</v>
      </c>
      <c r="F368" s="2">
        <v>35</v>
      </c>
      <c r="G368" s="2">
        <f>16.29+2.27</f>
        <v>18.559999999999999</v>
      </c>
      <c r="H368" s="14">
        <f t="shared" si="46"/>
        <v>0.53028571428571425</v>
      </c>
      <c r="I368" s="14">
        <f t="shared" si="45"/>
        <v>11.122185328185328</v>
      </c>
      <c r="J368" s="86"/>
      <c r="K368" t="s">
        <v>47</v>
      </c>
      <c r="L368" s="60" t="s">
        <v>10</v>
      </c>
      <c r="M368" s="52">
        <f>AVERAGE(H374,H374,H377,H380)</f>
        <v>0.44275975093984959</v>
      </c>
      <c r="N368" s="55">
        <f>STDEV(H374,H374,H377,H380)</f>
        <v>0.21873696132671552</v>
      </c>
      <c r="O368" s="52">
        <f>AVERAGE(I374,I374,I377,I380)</f>
        <v>8.4908149018379291</v>
      </c>
      <c r="P368" s="55">
        <f>STDEV(I374,I374,I377,I380)</f>
        <v>1.1099710438061219</v>
      </c>
    </row>
    <row r="369" spans="1:16" hidden="1" x14ac:dyDescent="0.3">
      <c r="A369" s="1" t="s">
        <v>9</v>
      </c>
      <c r="B369" s="4">
        <v>8</v>
      </c>
      <c r="C369" s="1" t="s">
        <v>3</v>
      </c>
      <c r="D369" s="1">
        <v>35</v>
      </c>
      <c r="E369" s="3">
        <v>44067</v>
      </c>
      <c r="F369" s="2">
        <v>37</v>
      </c>
      <c r="G369" s="4">
        <f>17.55+5.47</f>
        <v>23.02</v>
      </c>
      <c r="H369" s="14">
        <f t="shared" si="46"/>
        <v>0.62216216216216214</v>
      </c>
      <c r="I369" s="14">
        <f t="shared" si="45"/>
        <v>11.770540540540543</v>
      </c>
      <c r="J369" s="14"/>
    </row>
    <row r="370" spans="1:16" hidden="1" x14ac:dyDescent="0.3">
      <c r="A370" s="1" t="s">
        <v>9</v>
      </c>
      <c r="B370" s="4">
        <v>9</v>
      </c>
      <c r="C370" s="1" t="s">
        <v>4</v>
      </c>
      <c r="D370" s="1">
        <v>35</v>
      </c>
      <c r="E370" s="3">
        <v>44067</v>
      </c>
      <c r="F370" s="2">
        <v>36</v>
      </c>
      <c r="G370" s="4">
        <f>8.83+13.4</f>
        <v>22.23</v>
      </c>
      <c r="H370" s="14">
        <f t="shared" si="46"/>
        <v>0.61750000000000005</v>
      </c>
      <c r="I370" s="14">
        <f t="shared" si="45"/>
        <v>11.084466966966966</v>
      </c>
      <c r="J370" s="14"/>
    </row>
    <row r="371" spans="1:16" s="37" customFormat="1" hidden="1" x14ac:dyDescent="0.3">
      <c r="A371" s="38" t="s">
        <v>9</v>
      </c>
      <c r="B371" s="39">
        <v>10</v>
      </c>
      <c r="C371" s="38" t="s">
        <v>5</v>
      </c>
      <c r="D371" s="1">
        <v>35</v>
      </c>
      <c r="E371" s="40">
        <v>44067</v>
      </c>
      <c r="F371" s="41">
        <v>38</v>
      </c>
      <c r="G371" s="72">
        <f>11.52+11.53</f>
        <v>23.049999999999997</v>
      </c>
      <c r="H371" s="42">
        <f t="shared" si="46"/>
        <v>0.606578947368421</v>
      </c>
      <c r="I371" s="14">
        <f t="shared" si="45"/>
        <v>10.285526315789472</v>
      </c>
      <c r="J371" s="14"/>
    </row>
    <row r="372" spans="1:16" s="71" customFormat="1" x14ac:dyDescent="0.3">
      <c r="A372" s="67" t="s">
        <v>10</v>
      </c>
      <c r="B372" s="66">
        <v>13</v>
      </c>
      <c r="C372" s="67" t="s">
        <v>3</v>
      </c>
      <c r="D372" s="60">
        <v>35</v>
      </c>
      <c r="E372" s="68">
        <v>44067</v>
      </c>
      <c r="F372" s="69">
        <v>32</v>
      </c>
      <c r="G372" s="66">
        <f>1.87+16.19</f>
        <v>18.060000000000002</v>
      </c>
      <c r="H372" s="70">
        <f t="shared" ref="H372:H381" si="47">G372/F372</f>
        <v>0.56437500000000007</v>
      </c>
      <c r="I372" s="64">
        <f t="shared" si="45"/>
        <v>9.0465624999999985</v>
      </c>
      <c r="J372" s="64"/>
    </row>
    <row r="373" spans="1:16" s="65" customFormat="1" hidden="1" x14ac:dyDescent="0.3">
      <c r="A373" s="60" t="s">
        <v>10</v>
      </c>
      <c r="B373" s="61">
        <v>14</v>
      </c>
      <c r="C373" s="60" t="s">
        <v>4</v>
      </c>
      <c r="D373" s="60">
        <v>35</v>
      </c>
      <c r="E373" s="62">
        <v>44067</v>
      </c>
      <c r="F373" s="63">
        <v>32</v>
      </c>
      <c r="G373" s="61">
        <f>8.37+4</f>
        <v>12.37</v>
      </c>
      <c r="H373" s="64">
        <f t="shared" si="47"/>
        <v>0.38656249999999998</v>
      </c>
      <c r="I373" s="64">
        <f t="shared" si="45"/>
        <v>7.8305208333333338</v>
      </c>
      <c r="J373" s="64"/>
    </row>
    <row r="374" spans="1:16" s="65" customFormat="1" hidden="1" x14ac:dyDescent="0.3">
      <c r="A374" s="60" t="s">
        <v>10</v>
      </c>
      <c r="B374" s="61">
        <v>15</v>
      </c>
      <c r="C374" s="60" t="s">
        <v>5</v>
      </c>
      <c r="D374" s="60">
        <v>35</v>
      </c>
      <c r="E374" s="62">
        <v>44067</v>
      </c>
      <c r="F374" s="63">
        <v>35</v>
      </c>
      <c r="G374" s="61">
        <f>7.87+2.74</f>
        <v>10.61</v>
      </c>
      <c r="H374" s="64">
        <f t="shared" si="47"/>
        <v>0.3031428571428571</v>
      </c>
      <c r="I374" s="64">
        <f t="shared" si="45"/>
        <v>7.7660676691729327</v>
      </c>
      <c r="J374" s="64"/>
    </row>
    <row r="375" spans="1:16" s="65" customFormat="1" x14ac:dyDescent="0.3">
      <c r="A375" s="60" t="s">
        <v>10</v>
      </c>
      <c r="B375" s="61">
        <v>16</v>
      </c>
      <c r="C375" s="60" t="s">
        <v>3</v>
      </c>
      <c r="D375" s="60">
        <v>35</v>
      </c>
      <c r="E375" s="62">
        <v>44067</v>
      </c>
      <c r="F375" s="63">
        <v>40</v>
      </c>
      <c r="G375" s="61">
        <f>4.63+10.29</f>
        <v>14.919999999999998</v>
      </c>
      <c r="H375" s="64">
        <f t="shared" si="47"/>
        <v>0.37299999999999994</v>
      </c>
      <c r="I375" s="64">
        <f t="shared" si="45"/>
        <v>8.1240000000000006</v>
      </c>
      <c r="J375" s="64"/>
    </row>
    <row r="376" spans="1:16" s="65" customFormat="1" hidden="1" x14ac:dyDescent="0.3">
      <c r="A376" s="60" t="s">
        <v>10</v>
      </c>
      <c r="B376" s="61">
        <v>17</v>
      </c>
      <c r="C376" s="60" t="s">
        <v>4</v>
      </c>
      <c r="D376" s="60">
        <v>35</v>
      </c>
      <c r="E376" s="62">
        <v>44067</v>
      </c>
      <c r="F376" s="63">
        <v>34</v>
      </c>
      <c r="G376" s="63">
        <v>12.61</v>
      </c>
      <c r="H376" s="64">
        <f t="shared" si="47"/>
        <v>0.37088235294117644</v>
      </c>
      <c r="I376" s="64">
        <f t="shared" si="45"/>
        <v>8.3831888544891644</v>
      </c>
      <c r="J376" s="64"/>
    </row>
    <row r="377" spans="1:16" s="65" customFormat="1" hidden="1" x14ac:dyDescent="0.3">
      <c r="A377" s="60" t="s">
        <v>10</v>
      </c>
      <c r="B377" s="61">
        <v>18</v>
      </c>
      <c r="C377" s="60" t="s">
        <v>5</v>
      </c>
      <c r="D377" s="60">
        <v>35</v>
      </c>
      <c r="E377" s="62">
        <v>44067</v>
      </c>
      <c r="F377" s="63">
        <v>38</v>
      </c>
      <c r="G377" s="63">
        <v>15.25</v>
      </c>
      <c r="H377" s="64">
        <f t="shared" si="47"/>
        <v>0.40131578947368424</v>
      </c>
      <c r="I377" s="64">
        <f t="shared" si="45"/>
        <v>8.3225131578947362</v>
      </c>
      <c r="J377" s="64"/>
    </row>
    <row r="378" spans="1:16" s="65" customFormat="1" x14ac:dyDescent="0.3">
      <c r="A378" s="60" t="s">
        <v>10</v>
      </c>
      <c r="B378" s="61">
        <v>19</v>
      </c>
      <c r="C378" s="60" t="s">
        <v>3</v>
      </c>
      <c r="D378" s="60">
        <v>35</v>
      </c>
      <c r="E378" s="62">
        <v>44067</v>
      </c>
      <c r="F378" s="63">
        <v>34</v>
      </c>
      <c r="G378" s="61">
        <v>14.09</v>
      </c>
      <c r="H378" s="64">
        <f t="shared" si="47"/>
        <v>0.41441176470588237</v>
      </c>
      <c r="I378" s="64">
        <f t="shared" si="45"/>
        <v>9.1577503974562795</v>
      </c>
      <c r="J378" s="64"/>
    </row>
    <row r="379" spans="1:16" s="65" customFormat="1" hidden="1" x14ac:dyDescent="0.3">
      <c r="A379" s="60" t="s">
        <v>10</v>
      </c>
      <c r="B379" s="61">
        <v>20</v>
      </c>
      <c r="C379" s="60" t="s">
        <v>4</v>
      </c>
      <c r="D379" s="60">
        <v>35</v>
      </c>
      <c r="E379" s="62">
        <v>44067</v>
      </c>
      <c r="F379" s="63">
        <v>38</v>
      </c>
      <c r="G379" s="61">
        <f>15.96+4.91</f>
        <v>20.87</v>
      </c>
      <c r="H379" s="64">
        <f t="shared" si="47"/>
        <v>0.54921052631578948</v>
      </c>
      <c r="I379" s="64">
        <f t="shared" si="45"/>
        <v>8.0402105263157893</v>
      </c>
      <c r="J379" s="64"/>
    </row>
    <row r="380" spans="1:16" s="65" customFormat="1" hidden="1" x14ac:dyDescent="0.3">
      <c r="A380" s="60" t="s">
        <v>10</v>
      </c>
      <c r="B380" s="61">
        <v>21</v>
      </c>
      <c r="C380" s="60" t="s">
        <v>5</v>
      </c>
      <c r="D380" s="60">
        <v>35</v>
      </c>
      <c r="E380" s="62">
        <v>44067</v>
      </c>
      <c r="F380" s="63">
        <v>32</v>
      </c>
      <c r="G380" s="61">
        <f>18.69+5.74</f>
        <v>24.43</v>
      </c>
      <c r="H380" s="64">
        <f t="shared" si="47"/>
        <v>0.76343749999999999</v>
      </c>
      <c r="I380" s="64">
        <f t="shared" si="45"/>
        <v>10.108611111111113</v>
      </c>
      <c r="J380" s="64"/>
    </row>
    <row r="381" spans="1:16" s="71" customFormat="1" x14ac:dyDescent="0.3">
      <c r="A381" s="67" t="s">
        <v>10</v>
      </c>
      <c r="B381" s="66">
        <v>22</v>
      </c>
      <c r="C381" s="67" t="s">
        <v>3</v>
      </c>
      <c r="D381" s="60">
        <v>35</v>
      </c>
      <c r="E381" s="68">
        <v>44067</v>
      </c>
      <c r="F381" s="69">
        <v>38</v>
      </c>
      <c r="G381" s="72">
        <f>23.4+9.23</f>
        <v>32.629999999999995</v>
      </c>
      <c r="H381" s="73">
        <f t="shared" si="47"/>
        <v>0.85868421052631572</v>
      </c>
      <c r="I381" s="64">
        <f t="shared" si="45"/>
        <v>9.8550000000000004</v>
      </c>
      <c r="J381" s="64"/>
    </row>
    <row r="382" spans="1:16" s="37" customFormat="1" hidden="1" x14ac:dyDescent="0.3">
      <c r="A382" s="38" t="s">
        <v>9</v>
      </c>
      <c r="B382" s="39">
        <v>2</v>
      </c>
      <c r="C382" s="38" t="s">
        <v>3</v>
      </c>
      <c r="D382" s="1">
        <v>36</v>
      </c>
      <c r="E382" s="40">
        <v>44074</v>
      </c>
      <c r="F382" s="41">
        <v>36</v>
      </c>
      <c r="G382" s="39">
        <v>13.05</v>
      </c>
      <c r="H382" s="42">
        <f t="shared" ref="H382:H390" si="48">G382/F382</f>
        <v>0.36250000000000004</v>
      </c>
      <c r="I382" s="14">
        <f t="shared" si="45"/>
        <v>12.333931623931624</v>
      </c>
      <c r="J382" s="86">
        <f>D382</f>
        <v>36</v>
      </c>
      <c r="K382" t="s">
        <v>45</v>
      </c>
      <c r="L382" t="s">
        <v>9</v>
      </c>
      <c r="M382" s="52">
        <f>AVERAGE(H382,H382,H385,H388)</f>
        <v>0.42808976833976836</v>
      </c>
      <c r="N382" s="55">
        <f>STDEV(H382,H382,H385,H388)</f>
        <v>7.7067083260120767E-2</v>
      </c>
      <c r="O382" s="52">
        <f>AVERAGE(I382,I382,I385,I388)</f>
        <v>12.383554615054615</v>
      </c>
      <c r="P382" s="55">
        <f>STDEV(I382,I382,I385,I388)</f>
        <v>0.16263992046803991</v>
      </c>
    </row>
    <row r="383" spans="1:16" hidden="1" x14ac:dyDescent="0.3">
      <c r="A383" s="1" t="s">
        <v>9</v>
      </c>
      <c r="B383" s="4">
        <v>3</v>
      </c>
      <c r="C383" s="1" t="s">
        <v>4</v>
      </c>
      <c r="D383" s="1">
        <v>36</v>
      </c>
      <c r="E383" s="3">
        <v>44074</v>
      </c>
      <c r="F383" s="2">
        <v>34</v>
      </c>
      <c r="G383" s="4">
        <v>13.27</v>
      </c>
      <c r="H383" s="14">
        <f t="shared" si="48"/>
        <v>0.39029411764705879</v>
      </c>
      <c r="I383" s="14">
        <f t="shared" si="45"/>
        <v>12.387074721780605</v>
      </c>
      <c r="J383" s="86"/>
      <c r="K383" t="s">
        <v>46</v>
      </c>
      <c r="L383" t="s">
        <v>9</v>
      </c>
      <c r="M383" s="52">
        <f>AVERAGE(H383,H383,H386,H389)</f>
        <v>0.42119623299770353</v>
      </c>
      <c r="N383" s="55">
        <f>STDEV(H383,H383,H386,H389)</f>
        <v>4.0391149318986609E-2</v>
      </c>
      <c r="O383" s="52">
        <f>AVERAGE(I383,I383,I386,I389)</f>
        <v>11.852662736265678</v>
      </c>
      <c r="P383" s="55">
        <f>STDEV(I383,I383,I386,I389)</f>
        <v>0.64782286141567291</v>
      </c>
    </row>
    <row r="384" spans="1:16" hidden="1" x14ac:dyDescent="0.3">
      <c r="A384" s="1" t="s">
        <v>9</v>
      </c>
      <c r="B384" s="4">
        <v>4</v>
      </c>
      <c r="C384" s="1" t="s">
        <v>5</v>
      </c>
      <c r="D384" s="1">
        <v>36</v>
      </c>
      <c r="E384" s="3">
        <v>44074</v>
      </c>
      <c r="F384" s="2">
        <v>37</v>
      </c>
      <c r="G384" s="4">
        <f>14.88+2.4</f>
        <v>17.28</v>
      </c>
      <c r="H384" s="14">
        <f t="shared" si="48"/>
        <v>0.46702702702702703</v>
      </c>
      <c r="I384" s="14">
        <f t="shared" si="45"/>
        <v>11.621891891891893</v>
      </c>
      <c r="J384" s="86"/>
      <c r="K384" t="s">
        <v>47</v>
      </c>
      <c r="L384" t="s">
        <v>9</v>
      </c>
      <c r="M384" s="52">
        <f>AVERAGE(H384,H384,H387,H390)</f>
        <v>0.49492328794960372</v>
      </c>
      <c r="N384" s="55">
        <f>STDEV(H384,H384,H387,H390)</f>
        <v>4.5070754521314337E-2</v>
      </c>
      <c r="O384" s="52">
        <f>AVERAGE(I384,I384,I387,I390)</f>
        <v>11.424283631375737</v>
      </c>
      <c r="P384" s="55">
        <f>STDEV(I384,I384,I387,I390)</f>
        <v>0.43733348702380698</v>
      </c>
    </row>
    <row r="385" spans="1:16" hidden="1" x14ac:dyDescent="0.3">
      <c r="A385" s="1" t="s">
        <v>9</v>
      </c>
      <c r="B385" s="4">
        <v>5</v>
      </c>
      <c r="C385" s="1" t="s">
        <v>3</v>
      </c>
      <c r="D385" s="1">
        <v>36</v>
      </c>
      <c r="E385" s="3">
        <v>44074</v>
      </c>
      <c r="F385" s="2">
        <v>35</v>
      </c>
      <c r="G385" s="4">
        <v>17.89</v>
      </c>
      <c r="H385" s="14">
        <f t="shared" si="48"/>
        <v>0.51114285714285712</v>
      </c>
      <c r="I385" s="14">
        <f t="shared" si="45"/>
        <v>12.619598455598455</v>
      </c>
      <c r="J385" s="86"/>
      <c r="K385" t="s">
        <v>45</v>
      </c>
      <c r="L385" s="60" t="s">
        <v>10</v>
      </c>
      <c r="M385" s="52">
        <f>AVERAGE(H391,H391,H394,H397)</f>
        <v>0.31541727941176473</v>
      </c>
      <c r="N385" s="55">
        <f>STDEV(H391,H391,H394,H397)</f>
        <v>4.6854949431453116E-2</v>
      </c>
      <c r="O385" s="52">
        <f>AVERAGE(I391,I391,I394,I397)</f>
        <v>9.1591361287758346</v>
      </c>
      <c r="P385" s="55">
        <f>STDEV(I391,I391,I394,I397)</f>
        <v>0.46135299030057514</v>
      </c>
    </row>
    <row r="386" spans="1:16" hidden="1" x14ac:dyDescent="0.3">
      <c r="A386" s="1" t="s">
        <v>9</v>
      </c>
      <c r="B386" s="4">
        <v>6</v>
      </c>
      <c r="C386" s="1" t="s">
        <v>4</v>
      </c>
      <c r="D386" s="1">
        <v>36</v>
      </c>
      <c r="E386" s="3">
        <v>44074</v>
      </c>
      <c r="F386" s="2">
        <v>37</v>
      </c>
      <c r="G386" s="2">
        <v>15.87</v>
      </c>
      <c r="H386" s="14">
        <f t="shared" si="48"/>
        <v>0.42891891891891892</v>
      </c>
      <c r="I386" s="14">
        <f t="shared" si="45"/>
        <v>11.076756756756756</v>
      </c>
      <c r="J386" s="86"/>
      <c r="K386" t="s">
        <v>46</v>
      </c>
      <c r="L386" s="60" t="s">
        <v>10</v>
      </c>
      <c r="M386" s="52">
        <f>AVERAGE(H392,H392,H395,H398)</f>
        <v>0.35309210526315787</v>
      </c>
      <c r="N386" s="55">
        <f>STDEV(H392,H392,H395,H398)</f>
        <v>4.463151946785196E-2</v>
      </c>
      <c r="O386" s="52">
        <f>AVERAGE(I392,I392,I395,I398)</f>
        <v>8.3742023671310637</v>
      </c>
      <c r="P386" s="55">
        <f>STDEV(I392,I392,I395,I398)</f>
        <v>0.30494799838617737</v>
      </c>
    </row>
    <row r="387" spans="1:16" hidden="1" x14ac:dyDescent="0.3">
      <c r="A387" s="1" t="s">
        <v>9</v>
      </c>
      <c r="B387" s="4">
        <v>7</v>
      </c>
      <c r="C387" s="1" t="s">
        <v>5</v>
      </c>
      <c r="D387" s="1">
        <v>36</v>
      </c>
      <c r="E387" s="3">
        <v>44074</v>
      </c>
      <c r="F387" s="2">
        <v>35</v>
      </c>
      <c r="G387" s="2">
        <f>11.01+8.64</f>
        <v>19.649999999999999</v>
      </c>
      <c r="H387" s="14">
        <f t="shared" si="48"/>
        <v>0.56142857142857139</v>
      </c>
      <c r="I387" s="14">
        <f t="shared" si="45"/>
        <v>11.683613899613899</v>
      </c>
      <c r="J387" s="86"/>
      <c r="K387" t="s">
        <v>47</v>
      </c>
      <c r="L387" s="60" t="s">
        <v>10</v>
      </c>
      <c r="M387" s="52">
        <f>AVERAGE(H393,H393,H396,H399)</f>
        <v>0.26433235432330826</v>
      </c>
      <c r="N387" s="55">
        <f>STDEV(H393,H393,H396,H399)</f>
        <v>0.11357012329978419</v>
      </c>
      <c r="O387" s="52">
        <f>AVERAGE(I393,I393,I396,I399)</f>
        <v>8.7551472561612371</v>
      </c>
      <c r="P387" s="55">
        <f>STDEV(I393,I393,I396,I399)</f>
        <v>1.2192742250705224</v>
      </c>
    </row>
    <row r="388" spans="1:16" hidden="1" x14ac:dyDescent="0.3">
      <c r="A388" s="1" t="s">
        <v>9</v>
      </c>
      <c r="B388" s="4">
        <v>8</v>
      </c>
      <c r="C388" s="1" t="s">
        <v>3</v>
      </c>
      <c r="D388" s="1">
        <v>36</v>
      </c>
      <c r="E388" s="3">
        <v>44074</v>
      </c>
      <c r="F388" s="2">
        <v>37</v>
      </c>
      <c r="G388" s="4">
        <v>17.62</v>
      </c>
      <c r="H388" s="14">
        <f t="shared" si="48"/>
        <v>0.47621621621621624</v>
      </c>
      <c r="I388" s="14">
        <f t="shared" si="45"/>
        <v>12.246756756756758</v>
      </c>
      <c r="J388" s="14"/>
    </row>
    <row r="389" spans="1:16" hidden="1" x14ac:dyDescent="0.3">
      <c r="A389" s="1" t="s">
        <v>9</v>
      </c>
      <c r="B389" s="4">
        <v>9</v>
      </c>
      <c r="C389" s="1" t="s">
        <v>4</v>
      </c>
      <c r="D389" s="1">
        <v>36</v>
      </c>
      <c r="E389" s="3">
        <v>44074</v>
      </c>
      <c r="F389" s="2">
        <v>36</v>
      </c>
      <c r="G389" s="4">
        <v>17.11</v>
      </c>
      <c r="H389" s="14">
        <f t="shared" si="48"/>
        <v>0.47527777777777774</v>
      </c>
      <c r="I389" s="14">
        <f t="shared" si="45"/>
        <v>11.559744744744744</v>
      </c>
      <c r="J389" s="14"/>
    </row>
    <row r="390" spans="1:16" s="37" customFormat="1" hidden="1" x14ac:dyDescent="0.3">
      <c r="A390" s="38" t="s">
        <v>9</v>
      </c>
      <c r="B390" s="39">
        <v>10</v>
      </c>
      <c r="C390" s="38" t="s">
        <v>5</v>
      </c>
      <c r="D390" s="1">
        <v>36</v>
      </c>
      <c r="E390" s="40">
        <v>44074</v>
      </c>
      <c r="F390" s="41">
        <v>38</v>
      </c>
      <c r="G390" s="39">
        <f>10.6+7.8</f>
        <v>18.399999999999999</v>
      </c>
      <c r="H390" s="42">
        <f t="shared" si="48"/>
        <v>0.48421052631578942</v>
      </c>
      <c r="I390" s="14">
        <f t="shared" si="45"/>
        <v>10.769736842105262</v>
      </c>
      <c r="J390" s="14"/>
    </row>
    <row r="391" spans="1:16" s="71" customFormat="1" x14ac:dyDescent="0.3">
      <c r="A391" s="67" t="s">
        <v>10</v>
      </c>
      <c r="B391" s="66">
        <v>13</v>
      </c>
      <c r="C391" s="67" t="s">
        <v>3</v>
      </c>
      <c r="D391" s="60">
        <v>36</v>
      </c>
      <c r="E391" s="68">
        <v>44074</v>
      </c>
      <c r="F391" s="69">
        <v>32</v>
      </c>
      <c r="G391" s="66">
        <v>10.77</v>
      </c>
      <c r="H391" s="70">
        <f t="shared" ref="H391:H400" si="49">G391/F391</f>
        <v>0.33656249999999999</v>
      </c>
      <c r="I391" s="64">
        <f t="shared" si="45"/>
        <v>9.3831249999999979</v>
      </c>
      <c r="J391" s="64"/>
    </row>
    <row r="392" spans="1:16" s="65" customFormat="1" hidden="1" x14ac:dyDescent="0.3">
      <c r="A392" s="60" t="s">
        <v>10</v>
      </c>
      <c r="B392" s="61">
        <v>14</v>
      </c>
      <c r="C392" s="60" t="s">
        <v>4</v>
      </c>
      <c r="D392" s="60">
        <v>36</v>
      </c>
      <c r="E392" s="62">
        <v>44074</v>
      </c>
      <c r="F392" s="63">
        <v>32</v>
      </c>
      <c r="G392" s="61">
        <v>10.16</v>
      </c>
      <c r="H392" s="64">
        <f t="shared" si="49"/>
        <v>0.3175</v>
      </c>
      <c r="I392" s="64">
        <f t="shared" si="45"/>
        <v>8.1480208333333337</v>
      </c>
      <c r="J392" s="64"/>
    </row>
    <row r="393" spans="1:16" s="65" customFormat="1" hidden="1" x14ac:dyDescent="0.3">
      <c r="A393" s="60" t="s">
        <v>10</v>
      </c>
      <c r="B393" s="61">
        <v>15</v>
      </c>
      <c r="C393" s="60" t="s">
        <v>5</v>
      </c>
      <c r="D393" s="60">
        <v>36</v>
      </c>
      <c r="E393" s="62">
        <v>44074</v>
      </c>
      <c r="F393" s="63">
        <v>35</v>
      </c>
      <c r="G393" s="61">
        <v>6.12</v>
      </c>
      <c r="H393" s="64">
        <f t="shared" si="49"/>
        <v>0.17485714285714285</v>
      </c>
      <c r="I393" s="64">
        <f t="shared" si="45"/>
        <v>7.9409248120300759</v>
      </c>
      <c r="J393" s="64"/>
    </row>
    <row r="394" spans="1:16" s="65" customFormat="1" x14ac:dyDescent="0.3">
      <c r="A394" s="60" t="s">
        <v>10</v>
      </c>
      <c r="B394" s="61">
        <v>16</v>
      </c>
      <c r="C394" s="60" t="s">
        <v>3</v>
      </c>
      <c r="D394" s="60">
        <v>36</v>
      </c>
      <c r="E394" s="62">
        <v>44074</v>
      </c>
      <c r="F394" s="63">
        <v>40</v>
      </c>
      <c r="G394" s="61">
        <v>13.73</v>
      </c>
      <c r="H394" s="64">
        <f t="shared" si="49"/>
        <v>0.34325</v>
      </c>
      <c r="I394" s="64">
        <f t="shared" si="45"/>
        <v>8.4672499999999999</v>
      </c>
      <c r="J394" s="64"/>
    </row>
    <row r="395" spans="1:16" s="65" customFormat="1" hidden="1" x14ac:dyDescent="0.3">
      <c r="A395" s="60" t="s">
        <v>10</v>
      </c>
      <c r="B395" s="61">
        <v>17</v>
      </c>
      <c r="C395" s="60" t="s">
        <v>4</v>
      </c>
      <c r="D395" s="60">
        <v>36</v>
      </c>
      <c r="E395" s="62">
        <v>44074</v>
      </c>
      <c r="F395" s="63">
        <v>34</v>
      </c>
      <c r="G395" s="63">
        <v>13.94</v>
      </c>
      <c r="H395" s="64">
        <f t="shared" si="49"/>
        <v>0.41</v>
      </c>
      <c r="I395" s="64">
        <f t="shared" si="45"/>
        <v>8.7931888544891645</v>
      </c>
      <c r="J395" s="64"/>
    </row>
    <row r="396" spans="1:16" s="65" customFormat="1" hidden="1" x14ac:dyDescent="0.3">
      <c r="A396" s="60" t="s">
        <v>10</v>
      </c>
      <c r="B396" s="61">
        <v>18</v>
      </c>
      <c r="C396" s="60" t="s">
        <v>5</v>
      </c>
      <c r="D396" s="60">
        <v>36</v>
      </c>
      <c r="E396" s="62">
        <v>44074</v>
      </c>
      <c r="F396" s="63">
        <v>38</v>
      </c>
      <c r="G396" s="63">
        <v>11.25</v>
      </c>
      <c r="H396" s="64">
        <f t="shared" si="49"/>
        <v>0.29605263157894735</v>
      </c>
      <c r="I396" s="64">
        <f t="shared" si="45"/>
        <v>8.6185657894736831</v>
      </c>
      <c r="J396" s="64"/>
    </row>
    <row r="397" spans="1:16" s="65" customFormat="1" x14ac:dyDescent="0.3">
      <c r="A397" s="60" t="s">
        <v>10</v>
      </c>
      <c r="B397" s="61">
        <v>19</v>
      </c>
      <c r="C397" s="60" t="s">
        <v>3</v>
      </c>
      <c r="D397" s="60">
        <v>36</v>
      </c>
      <c r="E397" s="62">
        <v>44074</v>
      </c>
      <c r="F397" s="63">
        <v>34</v>
      </c>
      <c r="G397" s="61">
        <v>8.34</v>
      </c>
      <c r="H397" s="64">
        <f t="shared" si="49"/>
        <v>0.24529411764705883</v>
      </c>
      <c r="I397" s="64">
        <f t="shared" si="45"/>
        <v>9.4030445151033391</v>
      </c>
      <c r="J397" s="64"/>
    </row>
    <row r="398" spans="1:16" s="65" customFormat="1" hidden="1" x14ac:dyDescent="0.3">
      <c r="A398" s="60" t="s">
        <v>10</v>
      </c>
      <c r="B398" s="61">
        <v>20</v>
      </c>
      <c r="C398" s="60" t="s">
        <v>4</v>
      </c>
      <c r="D398" s="60">
        <v>36</v>
      </c>
      <c r="E398" s="62">
        <v>44074</v>
      </c>
      <c r="F398" s="63">
        <v>38</v>
      </c>
      <c r="G398" s="61">
        <v>13.96</v>
      </c>
      <c r="H398" s="64">
        <f t="shared" si="49"/>
        <v>0.36736842105263162</v>
      </c>
      <c r="I398" s="64">
        <f t="shared" si="45"/>
        <v>8.407578947368421</v>
      </c>
      <c r="J398" s="64"/>
    </row>
    <row r="399" spans="1:16" s="65" customFormat="1" hidden="1" x14ac:dyDescent="0.3">
      <c r="A399" s="60" t="s">
        <v>10</v>
      </c>
      <c r="B399" s="61">
        <v>21</v>
      </c>
      <c r="C399" s="60" t="s">
        <v>5</v>
      </c>
      <c r="D399" s="60">
        <v>36</v>
      </c>
      <c r="E399" s="62">
        <v>44074</v>
      </c>
      <c r="F399" s="63">
        <v>32</v>
      </c>
      <c r="G399" s="61">
        <v>13.17</v>
      </c>
      <c r="H399" s="64">
        <f t="shared" si="49"/>
        <v>0.4115625</v>
      </c>
      <c r="I399" s="64">
        <f t="shared" si="45"/>
        <v>10.520173611111113</v>
      </c>
      <c r="J399" s="64"/>
    </row>
    <row r="400" spans="1:16" s="71" customFormat="1" x14ac:dyDescent="0.3">
      <c r="A400" s="67" t="s">
        <v>10</v>
      </c>
      <c r="B400" s="66">
        <v>22</v>
      </c>
      <c r="C400" s="67" t="s">
        <v>3</v>
      </c>
      <c r="D400" s="60">
        <v>36</v>
      </c>
      <c r="E400" s="68">
        <v>44074</v>
      </c>
      <c r="F400" s="69">
        <v>38</v>
      </c>
      <c r="G400" s="66">
        <v>14.48</v>
      </c>
      <c r="H400" s="70">
        <f t="shared" si="49"/>
        <v>0.38105263157894737</v>
      </c>
      <c r="I400" s="64">
        <f t="shared" si="45"/>
        <v>10.236052631578948</v>
      </c>
      <c r="J400" s="64"/>
    </row>
    <row r="401" spans="1:16" s="37" customFormat="1" hidden="1" x14ac:dyDescent="0.3">
      <c r="A401" s="38" t="s">
        <v>9</v>
      </c>
      <c r="B401" s="39">
        <v>2</v>
      </c>
      <c r="C401" s="38" t="s">
        <v>3</v>
      </c>
      <c r="D401" s="1">
        <v>37</v>
      </c>
      <c r="E401" s="40">
        <v>44081</v>
      </c>
      <c r="F401" s="41">
        <v>36</v>
      </c>
      <c r="G401" s="39">
        <f>9.11+2.95</f>
        <v>12.059999999999999</v>
      </c>
      <c r="H401" s="42">
        <f t="shared" ref="H401:H409" si="50">G401/F401</f>
        <v>0.33499999999999996</v>
      </c>
      <c r="I401" s="14">
        <f t="shared" si="45"/>
        <v>12.668931623931623</v>
      </c>
      <c r="J401" s="86">
        <f>D401</f>
        <v>37</v>
      </c>
      <c r="K401" t="s">
        <v>45</v>
      </c>
      <c r="L401" t="s">
        <v>9</v>
      </c>
      <c r="M401" s="52">
        <f>AVERAGE(H401,H401,H404,H407)</f>
        <v>0.31231274131274128</v>
      </c>
      <c r="N401" s="55">
        <f>STDEV(H401,H401,H404,H407)</f>
        <v>3.1542783850997756E-2</v>
      </c>
      <c r="O401" s="52">
        <f>AVERAGE(I401,I401,I404,I407)</f>
        <v>12.695867356367357</v>
      </c>
      <c r="P401" s="55">
        <f>STDEV(I401,I401,I404,I407)</f>
        <v>0.17260624233262056</v>
      </c>
    </row>
    <row r="402" spans="1:16" hidden="1" x14ac:dyDescent="0.3">
      <c r="A402" s="1" t="s">
        <v>9</v>
      </c>
      <c r="B402" s="4">
        <v>3</v>
      </c>
      <c r="C402" s="1" t="s">
        <v>4</v>
      </c>
      <c r="D402" s="1">
        <v>37</v>
      </c>
      <c r="E402" s="3">
        <v>44081</v>
      </c>
      <c r="F402" s="2">
        <v>34</v>
      </c>
      <c r="G402" s="4">
        <v>8.67</v>
      </c>
      <c r="H402" s="14">
        <f t="shared" si="50"/>
        <v>0.255</v>
      </c>
      <c r="I402" s="14">
        <f t="shared" si="45"/>
        <v>12.642074721780606</v>
      </c>
      <c r="J402" s="86"/>
      <c r="K402" t="s">
        <v>46</v>
      </c>
      <c r="L402" t="s">
        <v>9</v>
      </c>
      <c r="M402" s="52">
        <f>AVERAGE(H402,H402,H405,H408)</f>
        <v>0.25657282282282284</v>
      </c>
      <c r="N402" s="55">
        <f>STDEV(H402,H402,H405,H408)</f>
        <v>2.0193884827488434E-2</v>
      </c>
      <c r="O402" s="52">
        <f>AVERAGE(I402,I402,I405,I408)</f>
        <v>12.109235559088502</v>
      </c>
      <c r="P402" s="55">
        <f>STDEV(I402,I402,I405,I408)</f>
        <v>0.65251220249317754</v>
      </c>
    </row>
    <row r="403" spans="1:16" hidden="1" x14ac:dyDescent="0.3">
      <c r="A403" s="1" t="s">
        <v>9</v>
      </c>
      <c r="B403" s="4">
        <v>4</v>
      </c>
      <c r="C403" s="1" t="s">
        <v>5</v>
      </c>
      <c r="D403" s="1">
        <v>37</v>
      </c>
      <c r="E403" s="3">
        <v>44081</v>
      </c>
      <c r="F403" s="2">
        <v>37</v>
      </c>
      <c r="G403" s="4">
        <v>12.09</v>
      </c>
      <c r="H403" s="14">
        <f t="shared" si="50"/>
        <v>0.32675675675675675</v>
      </c>
      <c r="I403" s="14">
        <f t="shared" si="45"/>
        <v>11.94864864864865</v>
      </c>
      <c r="J403" s="86"/>
      <c r="K403" t="s">
        <v>47</v>
      </c>
      <c r="L403" t="s">
        <v>9</v>
      </c>
      <c r="M403" s="52">
        <f>AVERAGE(H403,H403,H406,H409)</f>
        <v>0.30211334078439345</v>
      </c>
      <c r="N403" s="55">
        <f>STDEV(H403,H403,H406,H409)</f>
        <v>4.6407405057391056E-2</v>
      </c>
      <c r="O403" s="52">
        <f>AVERAGE(I403,I403,I406,I409)</f>
        <v>11.726396972160131</v>
      </c>
      <c r="P403" s="55">
        <f>STDEV(I403,I403,I406,I409)</f>
        <v>0.42313796315766022</v>
      </c>
    </row>
    <row r="404" spans="1:16" hidden="1" x14ac:dyDescent="0.3">
      <c r="A404" s="1" t="s">
        <v>9</v>
      </c>
      <c r="B404" s="4">
        <v>5</v>
      </c>
      <c r="C404" s="1" t="s">
        <v>3</v>
      </c>
      <c r="D404" s="1">
        <v>37</v>
      </c>
      <c r="E404" s="3">
        <v>44081</v>
      </c>
      <c r="F404" s="2">
        <v>35</v>
      </c>
      <c r="G404" s="4">
        <v>10.89</v>
      </c>
      <c r="H404" s="14">
        <f t="shared" si="50"/>
        <v>0.31114285714285717</v>
      </c>
      <c r="I404" s="14">
        <f t="shared" si="45"/>
        <v>12.930741312741311</v>
      </c>
      <c r="J404" s="86"/>
      <c r="K404" t="s">
        <v>45</v>
      </c>
      <c r="L404" s="60" t="s">
        <v>10</v>
      </c>
      <c r="M404" s="52">
        <f>AVERAGE(H410,H410,H413,H416)</f>
        <v>0.25910661764705883</v>
      </c>
      <c r="N404" s="55">
        <f>STDEV(H410,H410,H413,H416)</f>
        <v>6.870647109458497E-2</v>
      </c>
      <c r="O404" s="52">
        <f>AVERAGE(I410,I410,I413,I416)</f>
        <v>9.4182427464228926</v>
      </c>
      <c r="P404" s="55">
        <f>STDEV(I410,I410,I413,I416)</f>
        <v>0.48938149497809019</v>
      </c>
    </row>
    <row r="405" spans="1:16" hidden="1" x14ac:dyDescent="0.3">
      <c r="A405" s="1" t="s">
        <v>9</v>
      </c>
      <c r="B405" s="4">
        <v>6</v>
      </c>
      <c r="C405" s="1" t="s">
        <v>4</v>
      </c>
      <c r="D405" s="1">
        <v>37</v>
      </c>
      <c r="E405" s="3">
        <v>44081</v>
      </c>
      <c r="F405" s="2">
        <v>37</v>
      </c>
      <c r="G405" s="2">
        <v>8.64</v>
      </c>
      <c r="H405" s="14">
        <f t="shared" si="50"/>
        <v>0.23351351351351352</v>
      </c>
      <c r="I405" s="14">
        <f t="shared" si="45"/>
        <v>11.310270270270269</v>
      </c>
      <c r="J405" s="86"/>
      <c r="K405" t="s">
        <v>46</v>
      </c>
      <c r="L405" s="60" t="s">
        <v>10</v>
      </c>
      <c r="M405" s="52">
        <f>AVERAGE(H411,H411,H414,H417)</f>
        <v>0.25135497291021669</v>
      </c>
      <c r="N405" s="55">
        <f>STDEV(H411,H411,H414,H417)</f>
        <v>4.1611139986990051E-2</v>
      </c>
      <c r="O405" s="52">
        <f>AVERAGE(I411,I411,I414,I417)</f>
        <v>8.6255573400412793</v>
      </c>
      <c r="P405" s="55">
        <f>STDEV(I411,I411,I414,I417)</f>
        <v>0.34424463349745138</v>
      </c>
    </row>
    <row r="406" spans="1:16" hidden="1" x14ac:dyDescent="0.3">
      <c r="A406" s="1" t="s">
        <v>9</v>
      </c>
      <c r="B406" s="4">
        <v>7</v>
      </c>
      <c r="C406" s="1" t="s">
        <v>5</v>
      </c>
      <c r="D406" s="1">
        <v>37</v>
      </c>
      <c r="E406" s="3">
        <v>44081</v>
      </c>
      <c r="F406" s="2">
        <v>35</v>
      </c>
      <c r="G406" s="2">
        <v>8.14</v>
      </c>
      <c r="H406" s="14">
        <f t="shared" si="50"/>
        <v>0.2325714285714286</v>
      </c>
      <c r="I406" s="14">
        <f t="shared" si="45"/>
        <v>11.916185328185328</v>
      </c>
      <c r="J406" s="86"/>
      <c r="K406" t="s">
        <v>47</v>
      </c>
      <c r="L406" s="60" t="s">
        <v>10</v>
      </c>
      <c r="M406" s="52">
        <f>AVERAGE(H412,H412,H415,H418)</f>
        <v>0.24976069078947366</v>
      </c>
      <c r="N406" s="55">
        <f>STDEV(H412,H412,H415,H418)</f>
        <v>1.8488881110434407E-2</v>
      </c>
      <c r="O406" s="52">
        <f>AVERAGE(I412,I412,I415,I418)</f>
        <v>9.004907946950711</v>
      </c>
      <c r="P406" s="55">
        <f>STDEV(I412,I412,I415,I418)</f>
        <v>1.2221687097644607</v>
      </c>
    </row>
    <row r="407" spans="1:16" hidden="1" x14ac:dyDescent="0.3">
      <c r="A407" s="1" t="s">
        <v>9</v>
      </c>
      <c r="B407" s="4">
        <v>8</v>
      </c>
      <c r="C407" s="1" t="s">
        <v>3</v>
      </c>
      <c r="D407" s="1">
        <v>37</v>
      </c>
      <c r="E407" s="3">
        <v>44081</v>
      </c>
      <c r="F407" s="2">
        <v>37</v>
      </c>
      <c r="G407" s="4">
        <v>9.92</v>
      </c>
      <c r="H407" s="14">
        <f t="shared" si="50"/>
        <v>0.26810810810810809</v>
      </c>
      <c r="I407" s="14">
        <f t="shared" si="45"/>
        <v>12.514864864864867</v>
      </c>
      <c r="J407" s="14"/>
    </row>
    <row r="408" spans="1:16" hidden="1" x14ac:dyDescent="0.3">
      <c r="A408" s="1" t="s">
        <v>9</v>
      </c>
      <c r="B408" s="4">
        <v>9</v>
      </c>
      <c r="C408" s="1" t="s">
        <v>4</v>
      </c>
      <c r="D408" s="1">
        <v>37</v>
      </c>
      <c r="E408" s="3">
        <v>44081</v>
      </c>
      <c r="F408" s="2">
        <v>36</v>
      </c>
      <c r="G408" s="4">
        <v>10.18</v>
      </c>
      <c r="H408" s="14">
        <f t="shared" si="50"/>
        <v>0.28277777777777779</v>
      </c>
      <c r="I408" s="14">
        <f t="shared" si="45"/>
        <v>11.842522522522522</v>
      </c>
      <c r="J408" s="14"/>
    </row>
    <row r="409" spans="1:16" s="37" customFormat="1" hidden="1" x14ac:dyDescent="0.3">
      <c r="A409" s="38" t="s">
        <v>9</v>
      </c>
      <c r="B409" s="39">
        <v>10</v>
      </c>
      <c r="C409" s="38" t="s">
        <v>5</v>
      </c>
      <c r="D409" s="1">
        <v>37</v>
      </c>
      <c r="E409" s="40">
        <v>44081</v>
      </c>
      <c r="F409" s="41">
        <v>38</v>
      </c>
      <c r="G409" s="39">
        <v>12.25</v>
      </c>
      <c r="H409" s="42">
        <f t="shared" si="50"/>
        <v>0.32236842105263158</v>
      </c>
      <c r="I409" s="14">
        <f t="shared" si="45"/>
        <v>11.092105263157894</v>
      </c>
      <c r="J409" s="14"/>
    </row>
    <row r="410" spans="1:16" s="71" customFormat="1" x14ac:dyDescent="0.3">
      <c r="A410" s="67" t="s">
        <v>10</v>
      </c>
      <c r="B410" s="66">
        <v>13</v>
      </c>
      <c r="C410" s="67" t="s">
        <v>3</v>
      </c>
      <c r="D410" s="60">
        <v>37</v>
      </c>
      <c r="E410" s="68">
        <v>44081</v>
      </c>
      <c r="F410" s="69">
        <v>32</v>
      </c>
      <c r="G410" s="72">
        <v>10.14</v>
      </c>
      <c r="H410" s="73">
        <f t="shared" ref="H410:H419" si="51">G410/F410</f>
        <v>0.31687500000000002</v>
      </c>
      <c r="I410" s="64">
        <f t="shared" si="45"/>
        <v>9.6999999999999975</v>
      </c>
      <c r="J410" s="64"/>
    </row>
    <row r="411" spans="1:16" s="65" customFormat="1" hidden="1" x14ac:dyDescent="0.3">
      <c r="A411" s="60" t="s">
        <v>10</v>
      </c>
      <c r="B411" s="61">
        <v>14</v>
      </c>
      <c r="C411" s="60" t="s">
        <v>4</v>
      </c>
      <c r="D411" s="60">
        <v>37</v>
      </c>
      <c r="E411" s="62">
        <v>44081</v>
      </c>
      <c r="F411" s="63">
        <v>32</v>
      </c>
      <c r="G411" s="61">
        <v>6.91</v>
      </c>
      <c r="H411" s="64">
        <f t="shared" si="51"/>
        <v>0.2159375</v>
      </c>
      <c r="I411" s="64">
        <f t="shared" si="45"/>
        <v>8.3639583333333345</v>
      </c>
      <c r="J411" s="64"/>
    </row>
    <row r="412" spans="1:16" s="65" customFormat="1" hidden="1" x14ac:dyDescent="0.3">
      <c r="A412" s="60" t="s">
        <v>10</v>
      </c>
      <c r="B412" s="61">
        <v>15</v>
      </c>
      <c r="C412" s="60" t="s">
        <v>5</v>
      </c>
      <c r="D412" s="60">
        <v>37</v>
      </c>
      <c r="E412" s="62">
        <v>44081</v>
      </c>
      <c r="F412" s="63">
        <v>35</v>
      </c>
      <c r="G412" s="61">
        <v>9.0299999999999994</v>
      </c>
      <c r="H412" s="64">
        <f t="shared" si="51"/>
        <v>0.25800000000000001</v>
      </c>
      <c r="I412" s="64">
        <f t="shared" si="45"/>
        <v>8.1989248120300751</v>
      </c>
      <c r="J412" s="64"/>
    </row>
    <row r="413" spans="1:16" s="65" customFormat="1" x14ac:dyDescent="0.3">
      <c r="A413" s="60" t="s">
        <v>10</v>
      </c>
      <c r="B413" s="61">
        <v>16</v>
      </c>
      <c r="C413" s="60" t="s">
        <v>3</v>
      </c>
      <c r="D413" s="60">
        <v>37</v>
      </c>
      <c r="E413" s="62">
        <v>44081</v>
      </c>
      <c r="F413" s="63">
        <v>40</v>
      </c>
      <c r="G413" s="61">
        <v>8.86</v>
      </c>
      <c r="H413" s="64">
        <f t="shared" si="51"/>
        <v>0.22149999999999997</v>
      </c>
      <c r="I413" s="64">
        <f t="shared" si="45"/>
        <v>8.6887500000000006</v>
      </c>
      <c r="J413" s="64"/>
    </row>
    <row r="414" spans="1:16" s="65" customFormat="1" hidden="1" x14ac:dyDescent="0.3">
      <c r="A414" s="60" t="s">
        <v>10</v>
      </c>
      <c r="B414" s="61">
        <v>17</v>
      </c>
      <c r="C414" s="60" t="s">
        <v>4</v>
      </c>
      <c r="D414" s="60">
        <v>37</v>
      </c>
      <c r="E414" s="62">
        <v>44081</v>
      </c>
      <c r="F414" s="63">
        <v>34</v>
      </c>
      <c r="G414" s="63">
        <v>10.07</v>
      </c>
      <c r="H414" s="64">
        <f t="shared" si="51"/>
        <v>0.29617647058823532</v>
      </c>
      <c r="I414" s="64">
        <f t="shared" si="45"/>
        <v>9.0893653250774005</v>
      </c>
      <c r="J414" s="64"/>
    </row>
    <row r="415" spans="1:16" s="65" customFormat="1" hidden="1" x14ac:dyDescent="0.3">
      <c r="A415" s="60" t="s">
        <v>10</v>
      </c>
      <c r="B415" s="61">
        <v>18</v>
      </c>
      <c r="C415" s="60" t="s">
        <v>5</v>
      </c>
      <c r="D415" s="60">
        <v>37</v>
      </c>
      <c r="E415" s="62">
        <v>44081</v>
      </c>
      <c r="F415" s="63">
        <v>38</v>
      </c>
      <c r="G415" s="63">
        <v>8.44</v>
      </c>
      <c r="H415" s="64">
        <f t="shared" si="51"/>
        <v>0.22210526315789472</v>
      </c>
      <c r="I415" s="64">
        <f t="shared" si="45"/>
        <v>8.8406710526315777</v>
      </c>
      <c r="J415" s="64"/>
    </row>
    <row r="416" spans="1:16" s="65" customFormat="1" x14ac:dyDescent="0.3">
      <c r="A416" s="60" t="s">
        <v>10</v>
      </c>
      <c r="B416" s="61">
        <v>19</v>
      </c>
      <c r="C416" s="60" t="s">
        <v>3</v>
      </c>
      <c r="D416" s="60">
        <v>37</v>
      </c>
      <c r="E416" s="62">
        <v>44081</v>
      </c>
      <c r="F416" s="63">
        <v>34</v>
      </c>
      <c r="G416" s="61">
        <v>6.16</v>
      </c>
      <c r="H416" s="64">
        <f t="shared" si="51"/>
        <v>0.1811764705882353</v>
      </c>
      <c r="I416" s="64">
        <f t="shared" si="45"/>
        <v>9.5842209856915748</v>
      </c>
      <c r="J416" s="64"/>
    </row>
    <row r="417" spans="1:16" s="65" customFormat="1" hidden="1" x14ac:dyDescent="0.3">
      <c r="A417" s="60" t="s">
        <v>10</v>
      </c>
      <c r="B417" s="61">
        <v>20</v>
      </c>
      <c r="C417" s="60" t="s">
        <v>4</v>
      </c>
      <c r="D417" s="60">
        <v>37</v>
      </c>
      <c r="E417" s="62">
        <v>44081</v>
      </c>
      <c r="F417" s="63">
        <v>38</v>
      </c>
      <c r="G417" s="61">
        <v>10.54</v>
      </c>
      <c r="H417" s="64">
        <f t="shared" si="51"/>
        <v>0.27736842105263154</v>
      </c>
      <c r="I417" s="64">
        <f t="shared" si="45"/>
        <v>8.684947368421053</v>
      </c>
      <c r="J417" s="64"/>
    </row>
    <row r="418" spans="1:16" s="65" customFormat="1" hidden="1" x14ac:dyDescent="0.3">
      <c r="A418" s="60" t="s">
        <v>10</v>
      </c>
      <c r="B418" s="61">
        <v>21</v>
      </c>
      <c r="C418" s="60" t="s">
        <v>5</v>
      </c>
      <c r="D418" s="60">
        <v>37</v>
      </c>
      <c r="E418" s="62">
        <v>44081</v>
      </c>
      <c r="F418" s="63">
        <v>32</v>
      </c>
      <c r="G418" s="61">
        <v>8.35</v>
      </c>
      <c r="H418" s="64">
        <f t="shared" si="51"/>
        <v>0.26093749999999999</v>
      </c>
      <c r="I418" s="64">
        <f t="shared" si="45"/>
        <v>10.781111111111114</v>
      </c>
      <c r="J418" s="64"/>
    </row>
    <row r="419" spans="1:16" s="71" customFormat="1" x14ac:dyDescent="0.3">
      <c r="A419" s="67" t="s">
        <v>10</v>
      </c>
      <c r="B419" s="66">
        <v>22</v>
      </c>
      <c r="C419" s="67" t="s">
        <v>3</v>
      </c>
      <c r="D419" s="60">
        <v>37</v>
      </c>
      <c r="E419" s="68">
        <v>44081</v>
      </c>
      <c r="F419" s="69">
        <v>38</v>
      </c>
      <c r="G419" s="72">
        <v>8.15</v>
      </c>
      <c r="H419" s="70">
        <f t="shared" si="51"/>
        <v>0.21447368421052632</v>
      </c>
      <c r="I419" s="64">
        <f t="shared" si="45"/>
        <v>10.450526315789475</v>
      </c>
      <c r="J419" s="64"/>
    </row>
    <row r="420" spans="1:16" s="37" customFormat="1" hidden="1" x14ac:dyDescent="0.3">
      <c r="A420" s="38" t="s">
        <v>9</v>
      </c>
      <c r="B420" s="39">
        <v>2</v>
      </c>
      <c r="C420" s="38" t="s">
        <v>3</v>
      </c>
      <c r="D420" s="1">
        <v>38</v>
      </c>
      <c r="E420" s="40">
        <v>44089</v>
      </c>
      <c r="F420" s="41">
        <v>36</v>
      </c>
      <c r="G420" s="72">
        <f>13.99+3.14</f>
        <v>17.13</v>
      </c>
      <c r="H420" s="42">
        <f t="shared" ref="H420:H428" si="52">G420/F420</f>
        <v>0.47583333333333333</v>
      </c>
      <c r="I420" s="14">
        <f t="shared" si="45"/>
        <v>13.144764957264957</v>
      </c>
      <c r="J420" s="86">
        <f>D420</f>
        <v>38</v>
      </c>
      <c r="K420" t="s">
        <v>45</v>
      </c>
      <c r="L420" t="s">
        <v>9</v>
      </c>
      <c r="M420" s="52">
        <f>AVERAGE(H420,H420,H423,H426)</f>
        <v>0.46720045045045044</v>
      </c>
      <c r="N420" s="55">
        <f>STDEV(H420,H420,H423,H426)</f>
        <v>1.0354867652215816E-2</v>
      </c>
      <c r="O420" s="52">
        <f>AVERAGE(I420,I420,I423,I426)</f>
        <v>13.163067806817807</v>
      </c>
      <c r="P420" s="55">
        <f>STDEV(I420,I420,I423,I426)</f>
        <v>0.17387264108741535</v>
      </c>
    </row>
    <row r="421" spans="1:16" hidden="1" x14ac:dyDescent="0.3">
      <c r="A421" s="1" t="s">
        <v>9</v>
      </c>
      <c r="B421" s="4">
        <v>3</v>
      </c>
      <c r="C421" s="1" t="s">
        <v>4</v>
      </c>
      <c r="D421" s="1">
        <v>38</v>
      </c>
      <c r="E421" s="3">
        <v>44089</v>
      </c>
      <c r="F421" s="2">
        <v>34</v>
      </c>
      <c r="G421" s="4">
        <v>13.51</v>
      </c>
      <c r="H421" s="14">
        <f t="shared" si="52"/>
        <v>0.39735294117647058</v>
      </c>
      <c r="I421" s="14">
        <f t="shared" si="45"/>
        <v>13.039427662957076</v>
      </c>
      <c r="J421" s="86"/>
      <c r="K421" t="s">
        <v>46</v>
      </c>
      <c r="L421" t="s">
        <v>9</v>
      </c>
      <c r="M421" s="52">
        <f>AVERAGE(H421,H421,H424,H427)</f>
        <v>0.36110702614379081</v>
      </c>
      <c r="N421" s="55">
        <f>STDEV(H421,H421,H424,H427)</f>
        <v>5.5767684807816617E-2</v>
      </c>
      <c r="O421" s="52">
        <f>AVERAGE(I421,I421,I424,I427)</f>
        <v>12.470342585232292</v>
      </c>
      <c r="P421" s="55">
        <f>STDEV(I421,I421,I424,I427)</f>
        <v>0.68144503833143466</v>
      </c>
    </row>
    <row r="422" spans="1:16" hidden="1" x14ac:dyDescent="0.3">
      <c r="A422" s="1" t="s">
        <v>9</v>
      </c>
      <c r="B422" s="4">
        <v>4</v>
      </c>
      <c r="C422" s="1" t="s">
        <v>5</v>
      </c>
      <c r="D422" s="1">
        <v>38</v>
      </c>
      <c r="E422" s="3">
        <v>44089</v>
      </c>
      <c r="F422" s="2">
        <v>37</v>
      </c>
      <c r="G422" s="4">
        <v>14.3</v>
      </c>
      <c r="H422" s="14">
        <f t="shared" si="52"/>
        <v>0.38648648648648648</v>
      </c>
      <c r="I422" s="14">
        <f t="shared" si="45"/>
        <v>12.335135135135136</v>
      </c>
      <c r="J422" s="86"/>
      <c r="K422" t="s">
        <v>47</v>
      </c>
      <c r="L422" t="s">
        <v>9</v>
      </c>
      <c r="M422" s="52">
        <f>AVERAGE(H422,H422,H425,H428)</f>
        <v>0.48357219061166423</v>
      </c>
      <c r="N422" s="55">
        <f>STDEV(H422,H422,H425,H428)</f>
        <v>0.1260788271402879</v>
      </c>
      <c r="O422" s="52">
        <f>AVERAGE(I422,I422,I425,I428)</f>
        <v>12.209969162771795</v>
      </c>
      <c r="P422" s="55">
        <f>STDEV(I422,I422,I425,I428)</f>
        <v>0.31397962276601166</v>
      </c>
    </row>
    <row r="423" spans="1:16" hidden="1" x14ac:dyDescent="0.3">
      <c r="A423" s="1" t="s">
        <v>9</v>
      </c>
      <c r="B423" s="4">
        <v>5</v>
      </c>
      <c r="C423" s="1" t="s">
        <v>3</v>
      </c>
      <c r="D423" s="1">
        <v>38</v>
      </c>
      <c r="E423" s="3">
        <v>44089</v>
      </c>
      <c r="F423" s="2">
        <v>35</v>
      </c>
      <c r="G423" s="4">
        <v>16.170000000000002</v>
      </c>
      <c r="H423" s="14">
        <f t="shared" si="52"/>
        <v>0.46200000000000002</v>
      </c>
      <c r="I423" s="14">
        <f t="shared" si="45"/>
        <v>13.392741312741311</v>
      </c>
      <c r="J423" s="86"/>
      <c r="K423" t="s">
        <v>45</v>
      </c>
      <c r="L423" s="60" t="s">
        <v>10</v>
      </c>
      <c r="M423" s="52">
        <f>AVERAGE(H429,H429,H432,H435)</f>
        <v>0.30132536764705881</v>
      </c>
      <c r="N423" s="55">
        <f>STDEV(H429,H429,H432,H435)</f>
        <v>9.930463142696104E-2</v>
      </c>
      <c r="O423" s="52">
        <f>AVERAGE(I429,I429,I432,I435)</f>
        <v>9.7195681140699506</v>
      </c>
      <c r="P423" s="55">
        <f>STDEV(I429,I429,I432,I435)</f>
        <v>0.54483166815477457</v>
      </c>
    </row>
    <row r="424" spans="1:16" hidden="1" x14ac:dyDescent="0.3">
      <c r="A424" s="1" t="s">
        <v>9</v>
      </c>
      <c r="B424" s="4">
        <v>6</v>
      </c>
      <c r="C424" s="1" t="s">
        <v>4</v>
      </c>
      <c r="D424" s="1">
        <v>38</v>
      </c>
      <c r="E424" s="3">
        <v>44089</v>
      </c>
      <c r="F424" s="2">
        <v>37</v>
      </c>
      <c r="G424" s="2">
        <v>13.69</v>
      </c>
      <c r="H424" s="14">
        <f t="shared" si="52"/>
        <v>0.37</v>
      </c>
      <c r="I424" s="14">
        <f t="shared" ref="I424:I487" si="53">I405+H424</f>
        <v>11.680270270270269</v>
      </c>
      <c r="J424" s="86"/>
      <c r="K424" t="s">
        <v>46</v>
      </c>
      <c r="L424" s="60" t="s">
        <v>10</v>
      </c>
      <c r="M424" s="52">
        <f>AVERAGE(H430,H430,H433,H436)</f>
        <v>0.29595830108359134</v>
      </c>
      <c r="N424" s="55">
        <f>STDEV(H430,H430,H433,H436)</f>
        <v>5.5839268390403422E-2</v>
      </c>
      <c r="O424" s="52">
        <f>AVERAGE(I430,I430,I433,I436)</f>
        <v>8.9215156411248717</v>
      </c>
      <c r="P424" s="55">
        <f>STDEV(I430,I430,I433,I436)</f>
        <v>0.38541137621802879</v>
      </c>
    </row>
    <row r="425" spans="1:16" hidden="1" x14ac:dyDescent="0.3">
      <c r="A425" s="1" t="s">
        <v>9</v>
      </c>
      <c r="B425" s="4">
        <v>7</v>
      </c>
      <c r="C425" s="1" t="s">
        <v>5</v>
      </c>
      <c r="D425" s="1">
        <v>38</v>
      </c>
      <c r="E425" s="3">
        <v>44089</v>
      </c>
      <c r="F425" s="2">
        <v>35</v>
      </c>
      <c r="G425" s="2">
        <v>17.850000000000001</v>
      </c>
      <c r="H425" s="14">
        <f t="shared" si="52"/>
        <v>0.51</v>
      </c>
      <c r="I425" s="14">
        <f t="shared" si="53"/>
        <v>12.426185328185328</v>
      </c>
      <c r="J425" s="86"/>
      <c r="K425" t="s">
        <v>47</v>
      </c>
      <c r="L425" s="60" t="s">
        <v>10</v>
      </c>
      <c r="M425" s="52">
        <f>AVERAGE(H431,H431,H434,H437)</f>
        <v>0.27685455827067673</v>
      </c>
      <c r="N425" s="55">
        <f>STDEV(H431,H431,H434,H437)</f>
        <v>3.7528997379836809E-2</v>
      </c>
      <c r="O425" s="52">
        <f>AVERAGE(I431,I431,I434,I437)</f>
        <v>9.281762505221387</v>
      </c>
      <c r="P425" s="55">
        <f>STDEV(I431,I431,I434,I437)</f>
        <v>1.258291470675424</v>
      </c>
    </row>
    <row r="426" spans="1:16" hidden="1" x14ac:dyDescent="0.3">
      <c r="A426" s="1" t="s">
        <v>9</v>
      </c>
      <c r="B426" s="4">
        <v>8</v>
      </c>
      <c r="C426" s="1" t="s">
        <v>3</v>
      </c>
      <c r="D426" s="1">
        <v>38</v>
      </c>
      <c r="E426" s="3">
        <v>44089</v>
      </c>
      <c r="F426" s="2">
        <v>37</v>
      </c>
      <c r="G426" s="4">
        <v>16.84</v>
      </c>
      <c r="H426" s="14">
        <f t="shared" si="52"/>
        <v>0.45513513513513515</v>
      </c>
      <c r="I426" s="14">
        <f t="shared" si="53"/>
        <v>12.970000000000002</v>
      </c>
      <c r="J426" s="14"/>
    </row>
    <row r="427" spans="1:16" hidden="1" x14ac:dyDescent="0.3">
      <c r="A427" s="1" t="s">
        <v>9</v>
      </c>
      <c r="B427" s="4">
        <v>9</v>
      </c>
      <c r="C427" s="1" t="s">
        <v>4</v>
      </c>
      <c r="D427" s="1">
        <v>38</v>
      </c>
      <c r="E427" s="3">
        <v>44089</v>
      </c>
      <c r="F427" s="2">
        <v>36</v>
      </c>
      <c r="G427" s="4">
        <v>10.07</v>
      </c>
      <c r="H427" s="14">
        <f t="shared" si="52"/>
        <v>0.27972222222222221</v>
      </c>
      <c r="I427" s="14">
        <f t="shared" si="53"/>
        <v>12.122244744744744</v>
      </c>
      <c r="J427" s="14"/>
    </row>
    <row r="428" spans="1:16" s="37" customFormat="1" hidden="1" x14ac:dyDescent="0.3">
      <c r="A428" s="38" t="s">
        <v>9</v>
      </c>
      <c r="B428" s="39">
        <v>10</v>
      </c>
      <c r="C428" s="38" t="s">
        <v>5</v>
      </c>
      <c r="D428" s="1">
        <v>38</v>
      </c>
      <c r="E428" s="40">
        <v>44089</v>
      </c>
      <c r="F428" s="41">
        <v>38</v>
      </c>
      <c r="G428" s="72">
        <v>24.75</v>
      </c>
      <c r="H428" s="73">
        <f t="shared" si="52"/>
        <v>0.65131578947368418</v>
      </c>
      <c r="I428" s="14">
        <f t="shared" si="53"/>
        <v>11.743421052631579</v>
      </c>
      <c r="J428" s="14"/>
    </row>
    <row r="429" spans="1:16" s="71" customFormat="1" x14ac:dyDescent="0.3">
      <c r="A429" s="67" t="s">
        <v>10</v>
      </c>
      <c r="B429" s="66">
        <v>13</v>
      </c>
      <c r="C429" s="67" t="s">
        <v>3</v>
      </c>
      <c r="D429" s="60">
        <v>38</v>
      </c>
      <c r="E429" s="68">
        <v>44089</v>
      </c>
      <c r="F429" s="69">
        <v>32</v>
      </c>
      <c r="G429" s="72">
        <v>12.33</v>
      </c>
      <c r="H429" s="73">
        <f t="shared" ref="H429:H438" si="54">G429/F429</f>
        <v>0.3853125</v>
      </c>
      <c r="I429" s="64">
        <f t="shared" si="53"/>
        <v>10.085312499999997</v>
      </c>
      <c r="J429" s="64"/>
    </row>
    <row r="430" spans="1:16" s="65" customFormat="1" hidden="1" x14ac:dyDescent="0.3">
      <c r="A430" s="60" t="s">
        <v>10</v>
      </c>
      <c r="B430" s="61">
        <v>14</v>
      </c>
      <c r="C430" s="60" t="s">
        <v>4</v>
      </c>
      <c r="D430" s="60">
        <v>38</v>
      </c>
      <c r="E430" s="62">
        <v>44089</v>
      </c>
      <c r="F430" s="63">
        <v>32</v>
      </c>
      <c r="G430" s="61">
        <v>7.99</v>
      </c>
      <c r="H430" s="64">
        <f t="shared" si="54"/>
        <v>0.24968750000000001</v>
      </c>
      <c r="I430" s="64">
        <f t="shared" si="53"/>
        <v>8.6136458333333348</v>
      </c>
      <c r="J430" s="64"/>
    </row>
    <row r="431" spans="1:16" s="65" customFormat="1" hidden="1" x14ac:dyDescent="0.3">
      <c r="A431" s="60" t="s">
        <v>10</v>
      </c>
      <c r="B431" s="61">
        <v>15</v>
      </c>
      <c r="C431" s="60" t="s">
        <v>5</v>
      </c>
      <c r="D431" s="60">
        <v>38</v>
      </c>
      <c r="E431" s="62">
        <v>44089</v>
      </c>
      <c r="F431" s="63">
        <v>35</v>
      </c>
      <c r="G431" s="61">
        <v>9.06</v>
      </c>
      <c r="H431" s="64">
        <f t="shared" si="54"/>
        <v>0.2588571428571429</v>
      </c>
      <c r="I431" s="64">
        <f t="shared" si="53"/>
        <v>8.4577819548872171</v>
      </c>
      <c r="J431" s="64"/>
    </row>
    <row r="432" spans="1:16" s="65" customFormat="1" x14ac:dyDescent="0.3">
      <c r="A432" s="60" t="s">
        <v>10</v>
      </c>
      <c r="B432" s="61">
        <v>16</v>
      </c>
      <c r="C432" s="60" t="s">
        <v>3</v>
      </c>
      <c r="D432" s="60">
        <v>38</v>
      </c>
      <c r="E432" s="62">
        <v>44089</v>
      </c>
      <c r="F432" s="63">
        <v>40</v>
      </c>
      <c r="G432" s="61">
        <v>9.74</v>
      </c>
      <c r="H432" s="64">
        <f t="shared" si="54"/>
        <v>0.24349999999999999</v>
      </c>
      <c r="I432" s="64">
        <f t="shared" si="53"/>
        <v>8.9322499999999998</v>
      </c>
      <c r="J432" s="64"/>
    </row>
    <row r="433" spans="1:16" s="65" customFormat="1" hidden="1" x14ac:dyDescent="0.3">
      <c r="A433" s="60" t="s">
        <v>10</v>
      </c>
      <c r="B433" s="61">
        <v>17</v>
      </c>
      <c r="C433" s="60" t="s">
        <v>4</v>
      </c>
      <c r="D433" s="60">
        <v>38</v>
      </c>
      <c r="E433" s="62">
        <v>44089</v>
      </c>
      <c r="F433" s="63">
        <v>34</v>
      </c>
      <c r="G433" s="63">
        <v>10.96</v>
      </c>
      <c r="H433" s="64">
        <f t="shared" si="54"/>
        <v>0.32235294117647062</v>
      </c>
      <c r="I433" s="64">
        <f t="shared" si="53"/>
        <v>9.411718266253871</v>
      </c>
      <c r="J433" s="64"/>
    </row>
    <row r="434" spans="1:16" s="65" customFormat="1" hidden="1" x14ac:dyDescent="0.3">
      <c r="A434" s="60" t="s">
        <v>10</v>
      </c>
      <c r="B434" s="61">
        <v>18</v>
      </c>
      <c r="C434" s="60" t="s">
        <v>5</v>
      </c>
      <c r="D434" s="60">
        <v>38</v>
      </c>
      <c r="E434" s="62">
        <v>44089</v>
      </c>
      <c r="F434" s="63">
        <v>38</v>
      </c>
      <c r="G434" s="63">
        <v>9.75</v>
      </c>
      <c r="H434" s="64">
        <f t="shared" si="54"/>
        <v>0.25657894736842107</v>
      </c>
      <c r="I434" s="64">
        <f t="shared" si="53"/>
        <v>9.0972499999999989</v>
      </c>
      <c r="J434" s="64"/>
    </row>
    <row r="435" spans="1:16" s="65" customFormat="1" x14ac:dyDescent="0.3">
      <c r="A435" s="60" t="s">
        <v>10</v>
      </c>
      <c r="B435" s="61">
        <v>19</v>
      </c>
      <c r="C435" s="60" t="s">
        <v>3</v>
      </c>
      <c r="D435" s="60">
        <v>38</v>
      </c>
      <c r="E435" s="62">
        <v>44089</v>
      </c>
      <c r="F435" s="63">
        <v>34</v>
      </c>
      <c r="G435" s="61">
        <v>6.5</v>
      </c>
      <c r="H435" s="64">
        <f t="shared" si="54"/>
        <v>0.19117647058823528</v>
      </c>
      <c r="I435" s="64">
        <f t="shared" si="53"/>
        <v>9.7753974562798103</v>
      </c>
      <c r="J435" s="64"/>
    </row>
    <row r="436" spans="1:16" s="65" customFormat="1" hidden="1" x14ac:dyDescent="0.3">
      <c r="A436" s="60" t="s">
        <v>10</v>
      </c>
      <c r="B436" s="61">
        <v>20</v>
      </c>
      <c r="C436" s="60" t="s">
        <v>4</v>
      </c>
      <c r="D436" s="60">
        <v>38</v>
      </c>
      <c r="E436" s="62">
        <v>44089</v>
      </c>
      <c r="F436" s="63">
        <v>38</v>
      </c>
      <c r="G436" s="61">
        <v>13.76</v>
      </c>
      <c r="H436" s="64">
        <f t="shared" si="54"/>
        <v>0.36210526315789471</v>
      </c>
      <c r="I436" s="64">
        <f t="shared" si="53"/>
        <v>9.0470526315789481</v>
      </c>
      <c r="J436" s="64"/>
    </row>
    <row r="437" spans="1:16" s="65" customFormat="1" hidden="1" x14ac:dyDescent="0.3">
      <c r="A437" s="60" t="s">
        <v>10</v>
      </c>
      <c r="B437" s="61">
        <v>21</v>
      </c>
      <c r="C437" s="60" t="s">
        <v>5</v>
      </c>
      <c r="D437" s="60">
        <v>38</v>
      </c>
      <c r="E437" s="62">
        <v>44089</v>
      </c>
      <c r="F437" s="63">
        <v>32</v>
      </c>
      <c r="G437" s="61">
        <v>10.66</v>
      </c>
      <c r="H437" s="64">
        <f t="shared" si="54"/>
        <v>0.333125</v>
      </c>
      <c r="I437" s="64">
        <f t="shared" si="53"/>
        <v>11.114236111111115</v>
      </c>
      <c r="J437" s="64"/>
    </row>
    <row r="438" spans="1:16" s="71" customFormat="1" x14ac:dyDescent="0.3">
      <c r="A438" s="67" t="s">
        <v>10</v>
      </c>
      <c r="B438" s="66">
        <v>22</v>
      </c>
      <c r="C438" s="67" t="s">
        <v>3</v>
      </c>
      <c r="D438" s="60">
        <v>38</v>
      </c>
      <c r="E438" s="68">
        <v>44089</v>
      </c>
      <c r="F438" s="69">
        <v>38</v>
      </c>
      <c r="G438" s="72">
        <v>15.62</v>
      </c>
      <c r="H438" s="73">
        <f t="shared" si="54"/>
        <v>0.41105263157894734</v>
      </c>
      <c r="I438" s="64">
        <f t="shared" si="53"/>
        <v>10.861578947368422</v>
      </c>
      <c r="J438" s="64"/>
    </row>
    <row r="439" spans="1:16" s="37" customFormat="1" hidden="1" x14ac:dyDescent="0.3">
      <c r="A439" s="38" t="s">
        <v>9</v>
      </c>
      <c r="B439" s="39">
        <v>2</v>
      </c>
      <c r="C439" s="38" t="s">
        <v>3</v>
      </c>
      <c r="D439" s="1">
        <v>39</v>
      </c>
      <c r="E439" s="40">
        <v>44095</v>
      </c>
      <c r="F439" s="41">
        <v>36</v>
      </c>
      <c r="G439" s="72">
        <f>14.11+6.77</f>
        <v>20.88</v>
      </c>
      <c r="H439" s="73">
        <f t="shared" ref="H439:H447" si="55">G439/F439</f>
        <v>0.57999999999999996</v>
      </c>
      <c r="I439" s="14">
        <f t="shared" si="53"/>
        <v>13.724764957264957</v>
      </c>
      <c r="J439" s="86">
        <f>D439</f>
        <v>39</v>
      </c>
      <c r="K439" t="s">
        <v>45</v>
      </c>
      <c r="L439" t="s">
        <v>9</v>
      </c>
      <c r="M439" s="52">
        <f>AVERAGE(H439,H439,H442,H445)</f>
        <v>0.49312548262548256</v>
      </c>
      <c r="N439" s="55">
        <f>STDEV(H439,H439,H442,H445)</f>
        <v>0.10831386383740238</v>
      </c>
      <c r="O439" s="52">
        <f>AVERAGE(I439,I439,I442,I445)</f>
        <v>13.656193289443289</v>
      </c>
      <c r="P439" s="55">
        <f>STDEV(I439,I439,I442,I445)</f>
        <v>0.22765021887514708</v>
      </c>
    </row>
    <row r="440" spans="1:16" hidden="1" x14ac:dyDescent="0.3">
      <c r="A440" s="1" t="s">
        <v>9</v>
      </c>
      <c r="B440" s="4">
        <v>3</v>
      </c>
      <c r="C440" s="1" t="s">
        <v>4</v>
      </c>
      <c r="D440" s="1">
        <v>39</v>
      </c>
      <c r="E440" s="3">
        <v>44095</v>
      </c>
      <c r="F440" s="2">
        <v>34</v>
      </c>
      <c r="G440" s="4">
        <v>15.92</v>
      </c>
      <c r="H440" s="14">
        <f t="shared" si="55"/>
        <v>0.46823529411764708</v>
      </c>
      <c r="I440" s="14">
        <f t="shared" si="53"/>
        <v>13.507662957074723</v>
      </c>
      <c r="J440" s="86"/>
      <c r="K440" t="s">
        <v>46</v>
      </c>
      <c r="L440" t="s">
        <v>9</v>
      </c>
      <c r="M440" s="52">
        <f>AVERAGE(H440,H440,H443,H446)</f>
        <v>0.43535826267443917</v>
      </c>
      <c r="N440" s="55">
        <f>STDEV(H440,H440,H443,H446)</f>
        <v>6.2709173210750868E-2</v>
      </c>
      <c r="O440" s="52">
        <f>AVERAGE(I440,I440,I443,I446)</f>
        <v>12.905700847906729</v>
      </c>
      <c r="P440" s="55">
        <f>STDEV(I440,I440,I443,I446)</f>
        <v>0.73225989444478456</v>
      </c>
    </row>
    <row r="441" spans="1:16" hidden="1" x14ac:dyDescent="0.3">
      <c r="A441" s="1" t="s">
        <v>9</v>
      </c>
      <c r="B441" s="4">
        <v>4</v>
      </c>
      <c r="C441" s="1" t="s">
        <v>5</v>
      </c>
      <c r="D441" s="1">
        <v>39</v>
      </c>
      <c r="E441" s="3">
        <v>44095</v>
      </c>
      <c r="F441" s="2">
        <v>37</v>
      </c>
      <c r="G441" s="4">
        <v>15.4</v>
      </c>
      <c r="H441" s="14">
        <f t="shared" si="55"/>
        <v>0.41621621621621624</v>
      </c>
      <c r="I441" s="14">
        <f t="shared" si="53"/>
        <v>12.751351351351353</v>
      </c>
      <c r="J441" s="86"/>
      <c r="K441" t="s">
        <v>47</v>
      </c>
      <c r="L441" t="s">
        <v>9</v>
      </c>
      <c r="M441" s="52">
        <f>AVERAGE(H441,H441,H444,H447)</f>
        <v>0.43889194269457432</v>
      </c>
      <c r="N441" s="55">
        <f>STDEV(H441,H441,H444,H447)</f>
        <v>8.7187494763169809E-2</v>
      </c>
      <c r="O441" s="52">
        <f>AVERAGE(I441,I441,I444,I447)</f>
        <v>12.64886110546637</v>
      </c>
      <c r="P441" s="55">
        <f>STDEV(I441,I441,I444,I447)</f>
        <v>0.22859356238875278</v>
      </c>
    </row>
    <row r="442" spans="1:16" hidden="1" x14ac:dyDescent="0.3">
      <c r="A442" s="1" t="s">
        <v>9</v>
      </c>
      <c r="B442" s="4">
        <v>5</v>
      </c>
      <c r="C442" s="1" t="s">
        <v>3</v>
      </c>
      <c r="D442" s="1">
        <v>39</v>
      </c>
      <c r="E442" s="3">
        <v>44095</v>
      </c>
      <c r="F442" s="2">
        <v>35</v>
      </c>
      <c r="G442" s="4">
        <v>15.97</v>
      </c>
      <c r="H442" s="14">
        <f t="shared" si="55"/>
        <v>0.45628571428571429</v>
      </c>
      <c r="I442" s="14">
        <f t="shared" si="53"/>
        <v>13.849027027027025</v>
      </c>
      <c r="J442" s="86"/>
      <c r="K442" t="s">
        <v>45</v>
      </c>
      <c r="L442" s="60" t="s">
        <v>10</v>
      </c>
      <c r="M442" s="52">
        <f>AVERAGE(H448,H448,H451,H454)</f>
        <v>0.24284375000000002</v>
      </c>
      <c r="N442" s="55">
        <f>STDEV(H448,H448,H451,H454)</f>
        <v>6.5232686480143132E-2</v>
      </c>
      <c r="O442" s="52">
        <f>AVERAGE(I448,I448,I451,I454)</f>
        <v>9.9624118640699511</v>
      </c>
      <c r="P442" s="55">
        <f>STDEV(I448,I448,I451,I454)</f>
        <v>0.54495681193281642</v>
      </c>
    </row>
    <row r="443" spans="1:16" hidden="1" x14ac:dyDescent="0.3">
      <c r="A443" s="1" t="s">
        <v>9</v>
      </c>
      <c r="B443" s="4">
        <v>6</v>
      </c>
      <c r="C443" s="1" t="s">
        <v>4</v>
      </c>
      <c r="D443" s="1">
        <v>39</v>
      </c>
      <c r="E443" s="3">
        <v>44095</v>
      </c>
      <c r="F443" s="2">
        <v>37</v>
      </c>
      <c r="G443" s="2">
        <v>12.63</v>
      </c>
      <c r="H443" s="14">
        <f t="shared" si="55"/>
        <v>0.34135135135135136</v>
      </c>
      <c r="I443" s="14">
        <f t="shared" si="53"/>
        <v>12.02162162162162</v>
      </c>
      <c r="J443" s="86"/>
      <c r="K443" t="s">
        <v>46</v>
      </c>
      <c r="L443" s="60" t="s">
        <v>10</v>
      </c>
      <c r="M443" s="52">
        <f>AVERAGE(H449,H449,H452,H455)</f>
        <v>0.28489454334365322</v>
      </c>
      <c r="N443" s="55">
        <f>STDEV(H449,H449,H452,H455)</f>
        <v>1.2314286536300966E-2</v>
      </c>
      <c r="O443" s="52">
        <f>AVERAGE(I449,I449,I452,I455)</f>
        <v>9.2064101844685258</v>
      </c>
      <c r="P443" s="55">
        <f>STDEV(I449,I449,I452,I455)</f>
        <v>0.38004727267230259</v>
      </c>
    </row>
    <row r="444" spans="1:16" hidden="1" x14ac:dyDescent="0.3">
      <c r="A444" s="1" t="s">
        <v>9</v>
      </c>
      <c r="B444" s="4">
        <v>7</v>
      </c>
      <c r="C444" s="1" t="s">
        <v>5</v>
      </c>
      <c r="D444" s="1">
        <v>39</v>
      </c>
      <c r="E444" s="3">
        <v>44095</v>
      </c>
      <c r="F444" s="2">
        <v>35</v>
      </c>
      <c r="G444" s="2">
        <v>12.59</v>
      </c>
      <c r="H444" s="14">
        <f t="shared" si="55"/>
        <v>0.35971428571428571</v>
      </c>
      <c r="I444" s="14">
        <f t="shared" si="53"/>
        <v>12.785899613899614</v>
      </c>
      <c r="J444" s="86"/>
      <c r="K444" t="s">
        <v>47</v>
      </c>
      <c r="L444" s="60" t="s">
        <v>10</v>
      </c>
      <c r="M444" s="52">
        <f>AVERAGE(H450,H450,H453,H456)</f>
        <v>0.28001938439849627</v>
      </c>
      <c r="N444" s="55">
        <f>STDEV(H450,H450,H453,H456)</f>
        <v>0.16190987113927222</v>
      </c>
      <c r="O444" s="52">
        <f>AVERAGE(I450,I450,I453,I456)</f>
        <v>9.5617818896198834</v>
      </c>
      <c r="P444" s="55">
        <f>STDEV(I450,I450,I453,I456)</f>
        <v>1.420143366158003</v>
      </c>
    </row>
    <row r="445" spans="1:16" hidden="1" x14ac:dyDescent="0.3">
      <c r="A445" s="1" t="s">
        <v>9</v>
      </c>
      <c r="B445" s="4">
        <v>8</v>
      </c>
      <c r="C445" s="1" t="s">
        <v>3</v>
      </c>
      <c r="D445" s="1">
        <v>39</v>
      </c>
      <c r="E445" s="3">
        <v>44095</v>
      </c>
      <c r="F445" s="2">
        <v>37</v>
      </c>
      <c r="G445" s="4">
        <v>13.18</v>
      </c>
      <c r="H445" s="14">
        <f t="shared" si="55"/>
        <v>0.35621621621621619</v>
      </c>
      <c r="I445" s="14">
        <f t="shared" si="53"/>
        <v>13.326216216216219</v>
      </c>
      <c r="J445" s="14"/>
    </row>
    <row r="446" spans="1:16" hidden="1" x14ac:dyDescent="0.3">
      <c r="A446" s="1" t="s">
        <v>9</v>
      </c>
      <c r="B446" s="4">
        <v>9</v>
      </c>
      <c r="C446" s="1" t="s">
        <v>4</v>
      </c>
      <c r="D446" s="1">
        <v>39</v>
      </c>
      <c r="E446" s="3">
        <v>44095</v>
      </c>
      <c r="F446" s="2">
        <v>36</v>
      </c>
      <c r="G446" s="4">
        <v>16.690000000000001</v>
      </c>
      <c r="H446" s="14">
        <f t="shared" si="55"/>
        <v>0.46361111111111114</v>
      </c>
      <c r="I446" s="14">
        <f t="shared" si="53"/>
        <v>12.585855855855856</v>
      </c>
      <c r="J446" s="14"/>
    </row>
    <row r="447" spans="1:16" s="37" customFormat="1" hidden="1" x14ac:dyDescent="0.3">
      <c r="A447" s="38" t="s">
        <v>9</v>
      </c>
      <c r="B447" s="39">
        <v>10</v>
      </c>
      <c r="C447" s="38" t="s">
        <v>5</v>
      </c>
      <c r="D447" s="1">
        <v>39</v>
      </c>
      <c r="E447" s="40">
        <v>44095</v>
      </c>
      <c r="F447" s="41">
        <v>38</v>
      </c>
      <c r="G447" s="72">
        <v>21.41</v>
      </c>
      <c r="H447" s="73">
        <f t="shared" si="55"/>
        <v>0.56342105263157893</v>
      </c>
      <c r="I447" s="14">
        <f t="shared" si="53"/>
        <v>12.306842105263158</v>
      </c>
      <c r="J447" s="14"/>
    </row>
    <row r="448" spans="1:16" s="71" customFormat="1" x14ac:dyDescent="0.3">
      <c r="A448" s="67" t="s">
        <v>10</v>
      </c>
      <c r="B448" s="66">
        <v>13</v>
      </c>
      <c r="C448" s="67" t="s">
        <v>3</v>
      </c>
      <c r="D448" s="60">
        <v>39</v>
      </c>
      <c r="E448" s="68">
        <v>44095</v>
      </c>
      <c r="F448" s="69">
        <v>32</v>
      </c>
      <c r="G448" s="66">
        <v>8.83</v>
      </c>
      <c r="H448" s="70">
        <f t="shared" ref="H448:H457" si="56">G448/F448</f>
        <v>0.2759375</v>
      </c>
      <c r="I448" s="64">
        <f t="shared" si="53"/>
        <v>10.361249999999997</v>
      </c>
      <c r="J448" s="64"/>
    </row>
    <row r="449" spans="1:16" s="65" customFormat="1" hidden="1" x14ac:dyDescent="0.3">
      <c r="A449" s="60" t="s">
        <v>10</v>
      </c>
      <c r="B449" s="61">
        <v>14</v>
      </c>
      <c r="C449" s="60" t="s">
        <v>4</v>
      </c>
      <c r="D449" s="60">
        <v>39</v>
      </c>
      <c r="E449" s="62">
        <v>44095</v>
      </c>
      <c r="F449" s="63">
        <v>32</v>
      </c>
      <c r="G449" s="61">
        <v>9.14</v>
      </c>
      <c r="H449" s="64">
        <f t="shared" si="56"/>
        <v>0.28562500000000002</v>
      </c>
      <c r="I449" s="64">
        <f t="shared" si="53"/>
        <v>8.8992708333333344</v>
      </c>
      <c r="J449" s="64"/>
    </row>
    <row r="450" spans="1:16" s="65" customFormat="1" hidden="1" x14ac:dyDescent="0.3">
      <c r="A450" s="60" t="s">
        <v>10</v>
      </c>
      <c r="B450" s="61">
        <v>15</v>
      </c>
      <c r="C450" s="60" t="s">
        <v>5</v>
      </c>
      <c r="D450" s="60">
        <v>39</v>
      </c>
      <c r="E450" s="62">
        <v>44095</v>
      </c>
      <c r="F450" s="63">
        <v>35</v>
      </c>
      <c r="G450" s="61">
        <v>6</v>
      </c>
      <c r="H450" s="64">
        <f t="shared" si="56"/>
        <v>0.17142857142857143</v>
      </c>
      <c r="I450" s="64">
        <f t="shared" si="53"/>
        <v>8.6292105263157879</v>
      </c>
      <c r="J450" s="64"/>
    </row>
    <row r="451" spans="1:16" s="65" customFormat="1" x14ac:dyDescent="0.3">
      <c r="A451" s="60" t="s">
        <v>10</v>
      </c>
      <c r="B451" s="61">
        <v>16</v>
      </c>
      <c r="C451" s="60" t="s">
        <v>3</v>
      </c>
      <c r="D451" s="60">
        <v>39</v>
      </c>
      <c r="E451" s="62">
        <v>44095</v>
      </c>
      <c r="F451" s="63">
        <v>40</v>
      </c>
      <c r="G451" s="61">
        <v>10.98</v>
      </c>
      <c r="H451" s="64">
        <f t="shared" si="56"/>
        <v>0.27450000000000002</v>
      </c>
      <c r="I451" s="64">
        <f t="shared" si="53"/>
        <v>9.2067499999999995</v>
      </c>
      <c r="J451" s="64"/>
    </row>
    <row r="452" spans="1:16" s="65" customFormat="1" hidden="1" x14ac:dyDescent="0.3">
      <c r="A452" s="60" t="s">
        <v>10</v>
      </c>
      <c r="B452" s="61">
        <v>17</v>
      </c>
      <c r="C452" s="60" t="s">
        <v>4</v>
      </c>
      <c r="D452" s="60">
        <v>39</v>
      </c>
      <c r="E452" s="62">
        <v>44095</v>
      </c>
      <c r="F452" s="63">
        <v>34</v>
      </c>
      <c r="G452" s="63">
        <v>9.15</v>
      </c>
      <c r="H452" s="64">
        <f t="shared" si="56"/>
        <v>0.26911764705882352</v>
      </c>
      <c r="I452" s="64">
        <f t="shared" si="53"/>
        <v>9.6808359133126949</v>
      </c>
      <c r="J452" s="64"/>
    </row>
    <row r="453" spans="1:16" s="65" customFormat="1" hidden="1" x14ac:dyDescent="0.3">
      <c r="A453" s="60" t="s">
        <v>10</v>
      </c>
      <c r="B453" s="61">
        <v>18</v>
      </c>
      <c r="C453" s="60" t="s">
        <v>5</v>
      </c>
      <c r="D453" s="60">
        <v>39</v>
      </c>
      <c r="E453" s="62">
        <v>44095</v>
      </c>
      <c r="F453" s="63">
        <v>38</v>
      </c>
      <c r="G453" s="63">
        <v>10</v>
      </c>
      <c r="H453" s="64">
        <f t="shared" si="56"/>
        <v>0.26315789473684209</v>
      </c>
      <c r="I453" s="64">
        <f t="shared" si="53"/>
        <v>9.3604078947368414</v>
      </c>
      <c r="J453" s="64"/>
    </row>
    <row r="454" spans="1:16" s="65" customFormat="1" x14ac:dyDescent="0.3">
      <c r="A454" s="60" t="s">
        <v>10</v>
      </c>
      <c r="B454" s="61">
        <v>19</v>
      </c>
      <c r="C454" s="60" t="s">
        <v>3</v>
      </c>
      <c r="D454" s="60">
        <v>39</v>
      </c>
      <c r="E454" s="62">
        <v>44095</v>
      </c>
      <c r="F454" s="63">
        <v>34</v>
      </c>
      <c r="G454" s="61">
        <v>4.93</v>
      </c>
      <c r="H454" s="64">
        <f t="shared" si="56"/>
        <v>0.14499999999999999</v>
      </c>
      <c r="I454" s="64">
        <f t="shared" si="53"/>
        <v>9.9203974562798098</v>
      </c>
      <c r="J454" s="64"/>
    </row>
    <row r="455" spans="1:16" s="65" customFormat="1" hidden="1" x14ac:dyDescent="0.3">
      <c r="A455" s="60" t="s">
        <v>10</v>
      </c>
      <c r="B455" s="61">
        <v>20</v>
      </c>
      <c r="C455" s="60" t="s">
        <v>4</v>
      </c>
      <c r="D455" s="60">
        <v>39</v>
      </c>
      <c r="E455" s="62">
        <v>44095</v>
      </c>
      <c r="F455" s="63">
        <v>38</v>
      </c>
      <c r="G455" s="61">
        <v>11.37</v>
      </c>
      <c r="H455" s="64">
        <f t="shared" si="56"/>
        <v>0.29921052631578943</v>
      </c>
      <c r="I455" s="64">
        <f t="shared" si="53"/>
        <v>9.3462631578947377</v>
      </c>
      <c r="J455" s="64"/>
    </row>
    <row r="456" spans="1:16" s="65" customFormat="1" hidden="1" x14ac:dyDescent="0.3">
      <c r="A456" s="60" t="s">
        <v>10</v>
      </c>
      <c r="B456" s="61">
        <v>21</v>
      </c>
      <c r="C456" s="60" t="s">
        <v>5</v>
      </c>
      <c r="D456" s="60">
        <v>39</v>
      </c>
      <c r="E456" s="62">
        <v>44095</v>
      </c>
      <c r="F456" s="63">
        <v>32</v>
      </c>
      <c r="G456" s="61">
        <v>16.45</v>
      </c>
      <c r="H456" s="64">
        <f t="shared" si="56"/>
        <v>0.51406249999999998</v>
      </c>
      <c r="I456" s="64">
        <f t="shared" si="53"/>
        <v>11.628298611111115</v>
      </c>
      <c r="J456" s="64"/>
    </row>
    <row r="457" spans="1:16" s="71" customFormat="1" x14ac:dyDescent="0.3">
      <c r="A457" s="67" t="s">
        <v>10</v>
      </c>
      <c r="B457" s="66">
        <v>22</v>
      </c>
      <c r="C457" s="67" t="s">
        <v>3</v>
      </c>
      <c r="D457" s="60">
        <v>39</v>
      </c>
      <c r="E457" s="68">
        <v>44095</v>
      </c>
      <c r="F457" s="69">
        <v>38</v>
      </c>
      <c r="G457" s="72">
        <v>13.91</v>
      </c>
      <c r="H457" s="70">
        <f t="shared" si="56"/>
        <v>0.36605263157894735</v>
      </c>
      <c r="I457" s="64">
        <f t="shared" si="53"/>
        <v>11.227631578947369</v>
      </c>
      <c r="J457" s="64"/>
    </row>
    <row r="458" spans="1:16" s="37" customFormat="1" hidden="1" x14ac:dyDescent="0.3">
      <c r="A458" s="38" t="s">
        <v>9</v>
      </c>
      <c r="B458" s="39">
        <v>2</v>
      </c>
      <c r="C458" s="38" t="s">
        <v>3</v>
      </c>
      <c r="D458" s="1">
        <v>40</v>
      </c>
      <c r="E458" s="40">
        <v>44102</v>
      </c>
      <c r="F458" s="41">
        <v>36</v>
      </c>
      <c r="G458" s="39">
        <v>15.01</v>
      </c>
      <c r="H458" s="42">
        <f t="shared" ref="H458:H466" si="57">G458/F458</f>
        <v>0.41694444444444445</v>
      </c>
      <c r="I458" s="14">
        <f t="shared" si="53"/>
        <v>14.141709401709402</v>
      </c>
      <c r="J458" s="86">
        <f>D458</f>
        <v>40</v>
      </c>
      <c r="K458" t="s">
        <v>45</v>
      </c>
      <c r="L458" t="s">
        <v>9</v>
      </c>
      <c r="M458" s="52">
        <f>AVERAGE(H458,H458,H461,H464)</f>
        <v>0.40401662376662378</v>
      </c>
      <c r="N458" s="55">
        <f>STDEV(H458,H458,H461,H464)</f>
        <v>2.2613058155336901E-2</v>
      </c>
      <c r="O458" s="52">
        <f>AVERAGE(I458,I458,I461,I464)</f>
        <v>14.060209913209913</v>
      </c>
      <c r="P458" s="55">
        <f>STDEV(I458,I458,I461,I464)</f>
        <v>0.21782838505844715</v>
      </c>
    </row>
    <row r="459" spans="1:16" hidden="1" x14ac:dyDescent="0.3">
      <c r="A459" s="1" t="s">
        <v>9</v>
      </c>
      <c r="B459" s="4">
        <v>3</v>
      </c>
      <c r="C459" s="1" t="s">
        <v>4</v>
      </c>
      <c r="D459" s="1">
        <v>40</v>
      </c>
      <c r="E459" s="3">
        <v>44102</v>
      </c>
      <c r="F459" s="2">
        <v>34</v>
      </c>
      <c r="G459" s="4">
        <v>12.71</v>
      </c>
      <c r="H459" s="14">
        <f t="shared" si="57"/>
        <v>0.37382352941176472</v>
      </c>
      <c r="I459" s="14">
        <f t="shared" si="53"/>
        <v>13.881486486486487</v>
      </c>
      <c r="J459" s="86"/>
      <c r="K459" t="s">
        <v>46</v>
      </c>
      <c r="L459" t="s">
        <v>9</v>
      </c>
      <c r="M459" s="52">
        <f>AVERAGE(H459,H459,H462,H465)</f>
        <v>0.3930285064476241</v>
      </c>
      <c r="N459" s="55">
        <f>STDEV(H459,H459,H462,H465)</f>
        <v>7.1339643493797275E-2</v>
      </c>
      <c r="O459" s="52">
        <f>AVERAGE(I459,I459,I462,I465)</f>
        <v>13.298729354354355</v>
      </c>
      <c r="P459" s="55">
        <f>STDEV(I459,I459,I462,I465)</f>
        <v>0.7360048036463307</v>
      </c>
    </row>
    <row r="460" spans="1:16" hidden="1" x14ac:dyDescent="0.3">
      <c r="A460" s="1" t="s">
        <v>9</v>
      </c>
      <c r="B460" s="4">
        <v>4</v>
      </c>
      <c r="C460" s="1" t="s">
        <v>5</v>
      </c>
      <c r="D460" s="1">
        <v>40</v>
      </c>
      <c r="E460" s="3">
        <v>44102</v>
      </c>
      <c r="F460" s="2">
        <v>37</v>
      </c>
      <c r="G460" s="4">
        <v>13.86</v>
      </c>
      <c r="H460" s="14">
        <f t="shared" si="57"/>
        <v>0.3745945945945946</v>
      </c>
      <c r="I460" s="14">
        <f t="shared" si="53"/>
        <v>13.125945945945947</v>
      </c>
      <c r="J460" s="86"/>
      <c r="K460" t="s">
        <v>47</v>
      </c>
      <c r="L460" t="s">
        <v>9</v>
      </c>
      <c r="M460" s="52">
        <f>AVERAGE(H460,H460,H463,H466)</f>
        <v>0.42974654541759805</v>
      </c>
      <c r="N460" s="55">
        <f>STDEV(H460,H460,H463,H466)</f>
        <v>6.628765419061361E-2</v>
      </c>
      <c r="O460" s="52">
        <f>AVERAGE(I460,I460,I463,I466)</f>
        <v>13.078607650883967</v>
      </c>
      <c r="P460" s="55">
        <f>STDEV(I460,I460,I463,I466)</f>
        <v>0.22084181138076855</v>
      </c>
    </row>
    <row r="461" spans="1:16" hidden="1" x14ac:dyDescent="0.3">
      <c r="A461" s="1" t="s">
        <v>9</v>
      </c>
      <c r="B461" s="4">
        <v>5</v>
      </c>
      <c r="C461" s="1" t="s">
        <v>3</v>
      </c>
      <c r="D461" s="1">
        <v>40</v>
      </c>
      <c r="E461" s="3">
        <v>44102</v>
      </c>
      <c r="F461" s="2">
        <v>35</v>
      </c>
      <c r="G461" s="4">
        <v>12.96</v>
      </c>
      <c r="H461" s="14">
        <f t="shared" si="57"/>
        <v>0.37028571428571433</v>
      </c>
      <c r="I461" s="14">
        <f t="shared" si="53"/>
        <v>14.21931274131274</v>
      </c>
      <c r="J461" s="86"/>
      <c r="K461" t="s">
        <v>45</v>
      </c>
      <c r="L461" s="60" t="s">
        <v>10</v>
      </c>
      <c r="M461" s="52">
        <f>AVERAGE(H467,H467,H470,H473)</f>
        <v>0.27030330882352943</v>
      </c>
      <c r="N461" s="55">
        <f>STDEV(H467,H467,H470,H473)</f>
        <v>7.8723712938620058E-2</v>
      </c>
      <c r="O461" s="52">
        <f>AVERAGE(I467,I467,I470,I473)</f>
        <v>10.23271517289348</v>
      </c>
      <c r="P461" s="55">
        <f>STDEV(I467,I467,I470,I473)</f>
        <v>0.58880541570442058</v>
      </c>
    </row>
    <row r="462" spans="1:16" hidden="1" x14ac:dyDescent="0.3">
      <c r="A462" s="1" t="s">
        <v>9</v>
      </c>
      <c r="B462" s="4">
        <v>6</v>
      </c>
      <c r="C462" s="1" t="s">
        <v>4</v>
      </c>
      <c r="D462" s="1">
        <v>40</v>
      </c>
      <c r="E462" s="3">
        <v>44102</v>
      </c>
      <c r="F462" s="2">
        <v>37</v>
      </c>
      <c r="G462" s="2">
        <v>12.18</v>
      </c>
      <c r="H462" s="14">
        <f t="shared" si="57"/>
        <v>0.32918918918918916</v>
      </c>
      <c r="I462" s="14">
        <f t="shared" si="53"/>
        <v>12.35081081081081</v>
      </c>
      <c r="J462" s="86"/>
      <c r="K462" t="s">
        <v>46</v>
      </c>
      <c r="L462" s="60" t="s">
        <v>10</v>
      </c>
      <c r="M462" s="52">
        <f>AVERAGE(H468,H468,H471,H474)</f>
        <v>0.30171052631578943</v>
      </c>
      <c r="N462" s="55">
        <f>STDEV(H468,H468,H471,H474)</f>
        <v>7.855163977157539E-3</v>
      </c>
      <c r="O462" s="52">
        <f>AVERAGE(I468,I468,I471,I474)</f>
        <v>9.5081207107843149</v>
      </c>
      <c r="P462" s="55">
        <f>STDEV(I468,I468,I471,I474)</f>
        <v>0.37406566942708452</v>
      </c>
    </row>
    <row r="463" spans="1:16" hidden="1" x14ac:dyDescent="0.3">
      <c r="A463" s="1" t="s">
        <v>9</v>
      </c>
      <c r="B463" s="4">
        <v>7</v>
      </c>
      <c r="C463" s="1" t="s">
        <v>5</v>
      </c>
      <c r="D463" s="1">
        <v>40</v>
      </c>
      <c r="E463" s="3">
        <v>44102</v>
      </c>
      <c r="F463" s="2">
        <v>35</v>
      </c>
      <c r="G463" s="2">
        <f>8.34+9.42</f>
        <v>17.759999999999998</v>
      </c>
      <c r="H463" s="14">
        <f t="shared" si="57"/>
        <v>0.50742857142857134</v>
      </c>
      <c r="I463" s="14">
        <f t="shared" si="53"/>
        <v>13.293328185328185</v>
      </c>
      <c r="J463" s="86"/>
      <c r="K463" t="s">
        <v>47</v>
      </c>
      <c r="L463" s="60" t="s">
        <v>10</v>
      </c>
      <c r="M463" s="52">
        <f>AVERAGE(H469,H469,H472,H475)</f>
        <v>0.24848437499999998</v>
      </c>
      <c r="N463" s="55">
        <f>STDEV(H469,H469,H472,H475)</f>
        <v>0.14026604534441864</v>
      </c>
      <c r="O463" s="52">
        <f>AVERAGE(I469,I469,I472,I475)</f>
        <v>9.8102662646198837</v>
      </c>
      <c r="P463" s="55">
        <f>STDEV(I469,I469,I472,I475)</f>
        <v>1.560349881977535</v>
      </c>
    </row>
    <row r="464" spans="1:16" hidden="1" x14ac:dyDescent="0.3">
      <c r="A464" s="1" t="s">
        <v>9</v>
      </c>
      <c r="B464" s="4">
        <v>8</v>
      </c>
      <c r="C464" s="1" t="s">
        <v>3</v>
      </c>
      <c r="D464" s="1">
        <v>40</v>
      </c>
      <c r="E464" s="3">
        <v>44102</v>
      </c>
      <c r="F464" s="2">
        <v>37</v>
      </c>
      <c r="G464" s="4">
        <v>15.24</v>
      </c>
      <c r="H464" s="14">
        <f t="shared" si="57"/>
        <v>0.4118918918918919</v>
      </c>
      <c r="I464" s="14">
        <f t="shared" si="53"/>
        <v>13.738108108108111</v>
      </c>
      <c r="J464" s="14"/>
    </row>
    <row r="465" spans="1:16" hidden="1" x14ac:dyDescent="0.3">
      <c r="A465" s="1" t="s">
        <v>9</v>
      </c>
      <c r="B465" s="4">
        <v>9</v>
      </c>
      <c r="C465" s="1" t="s">
        <v>4</v>
      </c>
      <c r="D465" s="1">
        <v>40</v>
      </c>
      <c r="E465" s="3">
        <v>44102</v>
      </c>
      <c r="F465" s="2">
        <v>36</v>
      </c>
      <c r="G465" s="4">
        <f>6.86+10.97</f>
        <v>17.830000000000002</v>
      </c>
      <c r="H465" s="14">
        <f t="shared" si="57"/>
        <v>0.49527777777777782</v>
      </c>
      <c r="I465" s="14">
        <f t="shared" si="53"/>
        <v>13.081133633633634</v>
      </c>
      <c r="J465" s="14"/>
    </row>
    <row r="466" spans="1:16" s="37" customFormat="1" hidden="1" x14ac:dyDescent="0.3">
      <c r="A466" s="38" t="s">
        <v>9</v>
      </c>
      <c r="B466" s="39">
        <v>10</v>
      </c>
      <c r="C466" s="38" t="s">
        <v>5</v>
      </c>
      <c r="D466" s="1">
        <v>40</v>
      </c>
      <c r="E466" s="40">
        <v>44102</v>
      </c>
      <c r="F466" s="41">
        <v>38</v>
      </c>
      <c r="G466" s="39">
        <f>7.18+10.39</f>
        <v>17.57</v>
      </c>
      <c r="H466" s="42">
        <f t="shared" si="57"/>
        <v>0.4623684210526316</v>
      </c>
      <c r="I466" s="14">
        <f t="shared" si="53"/>
        <v>12.76921052631579</v>
      </c>
      <c r="J466" s="14"/>
    </row>
    <row r="467" spans="1:16" s="71" customFormat="1" x14ac:dyDescent="0.3">
      <c r="A467" s="67" t="s">
        <v>10</v>
      </c>
      <c r="B467" s="66">
        <v>13</v>
      </c>
      <c r="C467" s="67" t="s">
        <v>3</v>
      </c>
      <c r="D467" s="60">
        <v>40</v>
      </c>
      <c r="E467" s="68">
        <v>44102</v>
      </c>
      <c r="F467" s="69">
        <v>32</v>
      </c>
      <c r="G467" s="66">
        <v>10.59</v>
      </c>
      <c r="H467" s="70">
        <f t="shared" ref="H467:H476" si="58">G467/F467</f>
        <v>0.3309375</v>
      </c>
      <c r="I467" s="64">
        <f t="shared" si="53"/>
        <v>10.692187499999996</v>
      </c>
      <c r="J467" s="64"/>
    </row>
    <row r="468" spans="1:16" s="65" customFormat="1" hidden="1" x14ac:dyDescent="0.3">
      <c r="A468" s="60" t="s">
        <v>10</v>
      </c>
      <c r="B468" s="61">
        <v>14</v>
      </c>
      <c r="C468" s="60" t="s">
        <v>4</v>
      </c>
      <c r="D468" s="60">
        <v>40</v>
      </c>
      <c r="E468" s="62">
        <v>44102</v>
      </c>
      <c r="F468" s="63">
        <v>32</v>
      </c>
      <c r="G468" s="61">
        <v>9.76</v>
      </c>
      <c r="H468" s="64">
        <f t="shared" si="58"/>
        <v>0.30499999999999999</v>
      </c>
      <c r="I468" s="64">
        <f t="shared" si="53"/>
        <v>9.2042708333333341</v>
      </c>
      <c r="J468" s="64"/>
    </row>
    <row r="469" spans="1:16" s="65" customFormat="1" hidden="1" x14ac:dyDescent="0.3">
      <c r="A469" s="60" t="s">
        <v>10</v>
      </c>
      <c r="B469" s="61">
        <v>15</v>
      </c>
      <c r="C469" s="60" t="s">
        <v>5</v>
      </c>
      <c r="D469" s="60">
        <v>40</v>
      </c>
      <c r="E469" s="62">
        <v>44102</v>
      </c>
      <c r="F469" s="63">
        <v>35</v>
      </c>
      <c r="G469" s="61">
        <v>5.39</v>
      </c>
      <c r="H469" s="64">
        <f t="shared" si="58"/>
        <v>0.154</v>
      </c>
      <c r="I469" s="64">
        <f t="shared" si="53"/>
        <v>8.7832105263157878</v>
      </c>
      <c r="J469" s="64"/>
    </row>
    <row r="470" spans="1:16" s="65" customFormat="1" x14ac:dyDescent="0.3">
      <c r="A470" s="60" t="s">
        <v>10</v>
      </c>
      <c r="B470" s="61">
        <v>16</v>
      </c>
      <c r="C470" s="60" t="s">
        <v>3</v>
      </c>
      <c r="D470" s="60">
        <v>40</v>
      </c>
      <c r="E470" s="62">
        <v>44102</v>
      </c>
      <c r="F470" s="63">
        <v>40</v>
      </c>
      <c r="G470" s="61">
        <v>10.15</v>
      </c>
      <c r="H470" s="64">
        <f t="shared" si="58"/>
        <v>0.25375000000000003</v>
      </c>
      <c r="I470" s="64">
        <f t="shared" si="53"/>
        <v>9.4604999999999997</v>
      </c>
      <c r="J470" s="64"/>
    </row>
    <row r="471" spans="1:16" s="65" customFormat="1" hidden="1" x14ac:dyDescent="0.3">
      <c r="A471" s="60" t="s">
        <v>10</v>
      </c>
      <c r="B471" s="61">
        <v>17</v>
      </c>
      <c r="C471" s="60" t="s">
        <v>4</v>
      </c>
      <c r="D471" s="60">
        <v>40</v>
      </c>
      <c r="E471" s="62">
        <v>44102</v>
      </c>
      <c r="F471" s="63">
        <v>34</v>
      </c>
      <c r="G471" s="63">
        <v>9.86</v>
      </c>
      <c r="H471" s="64">
        <f t="shared" si="58"/>
        <v>0.28999999999999998</v>
      </c>
      <c r="I471" s="64">
        <f t="shared" si="53"/>
        <v>9.970835913312694</v>
      </c>
      <c r="J471" s="64"/>
    </row>
    <row r="472" spans="1:16" s="65" customFormat="1" hidden="1" x14ac:dyDescent="0.3">
      <c r="A472" s="60" t="s">
        <v>10</v>
      </c>
      <c r="B472" s="61">
        <v>18</v>
      </c>
      <c r="C472" s="60" t="s">
        <v>5</v>
      </c>
      <c r="D472" s="60">
        <v>40</v>
      </c>
      <c r="E472" s="62">
        <v>44102</v>
      </c>
      <c r="F472" s="63">
        <v>38</v>
      </c>
      <c r="G472" s="63">
        <v>8.93</v>
      </c>
      <c r="H472" s="64">
        <f t="shared" si="58"/>
        <v>0.23499999999999999</v>
      </c>
      <c r="I472" s="64">
        <f t="shared" si="53"/>
        <v>9.5954078947368409</v>
      </c>
      <c r="J472" s="64"/>
    </row>
    <row r="473" spans="1:16" s="65" customFormat="1" x14ac:dyDescent="0.3">
      <c r="A473" s="60" t="s">
        <v>10</v>
      </c>
      <c r="B473" s="61">
        <v>19</v>
      </c>
      <c r="C473" s="60" t="s">
        <v>3</v>
      </c>
      <c r="D473" s="60">
        <v>40</v>
      </c>
      <c r="E473" s="62">
        <v>44102</v>
      </c>
      <c r="F473" s="63">
        <v>34</v>
      </c>
      <c r="G473" s="61">
        <v>5.63</v>
      </c>
      <c r="H473" s="64">
        <f t="shared" si="58"/>
        <v>0.16558823529411765</v>
      </c>
      <c r="I473" s="64">
        <f t="shared" si="53"/>
        <v>10.085985691573928</v>
      </c>
      <c r="J473" s="64"/>
    </row>
    <row r="474" spans="1:16" s="65" customFormat="1" hidden="1" x14ac:dyDescent="0.3">
      <c r="A474" s="60" t="s">
        <v>10</v>
      </c>
      <c r="B474" s="61">
        <v>20</v>
      </c>
      <c r="C474" s="60" t="s">
        <v>4</v>
      </c>
      <c r="D474" s="60">
        <v>40</v>
      </c>
      <c r="E474" s="62">
        <v>44102</v>
      </c>
      <c r="F474" s="63">
        <v>38</v>
      </c>
      <c r="G474" s="61">
        <v>11.66</v>
      </c>
      <c r="H474" s="64">
        <f t="shared" si="58"/>
        <v>0.30684210526315792</v>
      </c>
      <c r="I474" s="64">
        <f t="shared" si="53"/>
        <v>9.6531052631578955</v>
      </c>
      <c r="J474" s="64"/>
    </row>
    <row r="475" spans="1:16" s="65" customFormat="1" hidden="1" x14ac:dyDescent="0.3">
      <c r="A475" s="60" t="s">
        <v>10</v>
      </c>
      <c r="B475" s="61">
        <v>21</v>
      </c>
      <c r="C475" s="60" t="s">
        <v>5</v>
      </c>
      <c r="D475" s="60">
        <v>40</v>
      </c>
      <c r="E475" s="62">
        <v>44102</v>
      </c>
      <c r="F475" s="63">
        <v>32</v>
      </c>
      <c r="G475" s="61">
        <v>14.43</v>
      </c>
      <c r="H475" s="64">
        <f t="shared" si="58"/>
        <v>0.45093749999999999</v>
      </c>
      <c r="I475" s="64">
        <f t="shared" si="53"/>
        <v>12.079236111111115</v>
      </c>
      <c r="J475" s="64"/>
    </row>
    <row r="476" spans="1:16" s="71" customFormat="1" x14ac:dyDescent="0.3">
      <c r="A476" s="67" t="s">
        <v>10</v>
      </c>
      <c r="B476" s="66">
        <v>22</v>
      </c>
      <c r="C476" s="67" t="s">
        <v>3</v>
      </c>
      <c r="D476" s="60">
        <v>40</v>
      </c>
      <c r="E476" s="68">
        <v>44102</v>
      </c>
      <c r="F476" s="69">
        <v>38</v>
      </c>
      <c r="G476" s="66">
        <v>11.99</v>
      </c>
      <c r="H476" s="70">
        <f t="shared" si="58"/>
        <v>0.31552631578947371</v>
      </c>
      <c r="I476" s="64">
        <f t="shared" si="53"/>
        <v>11.543157894736842</v>
      </c>
      <c r="J476" s="64"/>
    </row>
    <row r="477" spans="1:16" s="37" customFormat="1" hidden="1" x14ac:dyDescent="0.3">
      <c r="A477" s="38" t="s">
        <v>9</v>
      </c>
      <c r="B477" s="39">
        <v>2</v>
      </c>
      <c r="C477" s="38" t="s">
        <v>3</v>
      </c>
      <c r="D477" s="1">
        <v>41</v>
      </c>
      <c r="E477" s="40">
        <v>44110</v>
      </c>
      <c r="F477" s="41">
        <v>36</v>
      </c>
      <c r="G477" s="72">
        <v>19.77</v>
      </c>
      <c r="H477" s="73">
        <f t="shared" ref="H477:H485" si="59">G477/F477</f>
        <v>0.54916666666666669</v>
      </c>
      <c r="I477" s="14">
        <f t="shared" si="53"/>
        <v>14.690876068376069</v>
      </c>
      <c r="J477" s="86">
        <f>D477</f>
        <v>41</v>
      </c>
      <c r="K477" t="s">
        <v>45</v>
      </c>
      <c r="L477" t="s">
        <v>9</v>
      </c>
      <c r="M477" s="52">
        <f>AVERAGE(H477,H477,H480,H483)</f>
        <v>0.45765476190476195</v>
      </c>
      <c r="N477" s="55">
        <f>STDEV(H477,H477,H480,H483)</f>
        <v>0.10971224042543522</v>
      </c>
      <c r="O477" s="52">
        <f>AVERAGE(I477,I477,I480,I483)</f>
        <v>14.517864675114676</v>
      </c>
      <c r="P477" s="55">
        <f>STDEV(I477,I477,I480,I483)</f>
        <v>0.30161098077682974</v>
      </c>
    </row>
    <row r="478" spans="1:16" hidden="1" x14ac:dyDescent="0.3">
      <c r="A478" s="1" t="s">
        <v>9</v>
      </c>
      <c r="B478" s="4">
        <v>3</v>
      </c>
      <c r="C478" s="1" t="s">
        <v>4</v>
      </c>
      <c r="D478" s="1">
        <v>41</v>
      </c>
      <c r="E478" s="3">
        <v>44110</v>
      </c>
      <c r="F478" s="2">
        <v>34</v>
      </c>
      <c r="G478" s="4">
        <f>4.45+11.09</f>
        <v>15.54</v>
      </c>
      <c r="H478" s="14">
        <f t="shared" si="59"/>
        <v>0.45705882352941174</v>
      </c>
      <c r="I478" s="14">
        <f t="shared" si="53"/>
        <v>14.338545310015899</v>
      </c>
      <c r="J478" s="86"/>
      <c r="K478" t="s">
        <v>46</v>
      </c>
      <c r="L478" t="s">
        <v>9</v>
      </c>
      <c r="M478" s="52">
        <f>AVERAGE(H478,H478,H481,H484)</f>
        <v>0.45014727963257378</v>
      </c>
      <c r="N478" s="55">
        <f>STDEV(H478,H478,H481,H484)</f>
        <v>3.0622534887758249E-2</v>
      </c>
      <c r="O478" s="52">
        <f>AVERAGE(I478,I478,I481,I484)</f>
        <v>13.748876633986928</v>
      </c>
      <c r="P478" s="55">
        <f>STDEV(I478,I478,I481,I484)</f>
        <v>0.75565259579816557</v>
      </c>
    </row>
    <row r="479" spans="1:16" hidden="1" x14ac:dyDescent="0.3">
      <c r="A479" s="1" t="s">
        <v>9</v>
      </c>
      <c r="B479" s="4">
        <v>4</v>
      </c>
      <c r="C479" s="1" t="s">
        <v>5</v>
      </c>
      <c r="D479" s="1">
        <v>41</v>
      </c>
      <c r="E479" s="3">
        <v>44110</v>
      </c>
      <c r="F479" s="2">
        <v>37</v>
      </c>
      <c r="G479" s="4">
        <v>13.44</v>
      </c>
      <c r="H479" s="14">
        <f t="shared" si="59"/>
        <v>0.36324324324324325</v>
      </c>
      <c r="I479" s="14">
        <f t="shared" si="53"/>
        <v>13.48918918918919</v>
      </c>
      <c r="J479" s="86"/>
      <c r="K479" t="s">
        <v>47</v>
      </c>
      <c r="L479" t="s">
        <v>9</v>
      </c>
      <c r="M479" s="52">
        <f>AVERAGE(H479,H479,H482,H485)</f>
        <v>0.40754267425320057</v>
      </c>
      <c r="N479" s="55">
        <f>STDEV(H479,H479,H482,H485)</f>
        <v>5.3257790146207323E-2</v>
      </c>
      <c r="O479" s="52">
        <f>AVERAGE(I479,I479,I482,I485)</f>
        <v>13.486150325137167</v>
      </c>
      <c r="P479" s="55">
        <f>STDEV(I479,I479,I482,I485)</f>
        <v>0.22882290377051165</v>
      </c>
    </row>
    <row r="480" spans="1:16" hidden="1" x14ac:dyDescent="0.3">
      <c r="A480" s="1" t="s">
        <v>9</v>
      </c>
      <c r="B480" s="4">
        <v>5</v>
      </c>
      <c r="C480" s="1" t="s">
        <v>3</v>
      </c>
      <c r="D480" s="1">
        <v>41</v>
      </c>
      <c r="E480" s="3">
        <v>44110</v>
      </c>
      <c r="F480" s="2">
        <v>35</v>
      </c>
      <c r="G480" s="4">
        <v>14.08</v>
      </c>
      <c r="H480" s="14">
        <f t="shared" si="59"/>
        <v>0.4022857142857143</v>
      </c>
      <c r="I480" s="14">
        <f t="shared" si="53"/>
        <v>14.621598455598454</v>
      </c>
      <c r="J480" s="86"/>
      <c r="K480" t="s">
        <v>45</v>
      </c>
      <c r="L480" s="60" t="s">
        <v>10</v>
      </c>
      <c r="M480" s="52">
        <f>AVERAGE(H486,H486,H489,H492)</f>
        <v>0.37288602941176469</v>
      </c>
      <c r="N480" s="55">
        <f>STDEV(H486,H486,H489,H492)</f>
        <v>0.14659858280928148</v>
      </c>
      <c r="O480" s="52">
        <f>AVERAGE(I486,I486,I489,I492)</f>
        <v>10.605601202305245</v>
      </c>
      <c r="P480" s="55">
        <f>STDEV(I486,I486,I489,I492)</f>
        <v>0.70993279452594948</v>
      </c>
    </row>
    <row r="481" spans="1:16" hidden="1" x14ac:dyDescent="0.3">
      <c r="A481" s="1" t="s">
        <v>9</v>
      </c>
      <c r="B481" s="4">
        <v>6</v>
      </c>
      <c r="C481" s="1" t="s">
        <v>4</v>
      </c>
      <c r="D481" s="1">
        <v>41</v>
      </c>
      <c r="E481" s="3">
        <v>44110</v>
      </c>
      <c r="F481" s="2">
        <v>37</v>
      </c>
      <c r="G481" s="2">
        <v>15.06</v>
      </c>
      <c r="H481" s="14">
        <f t="shared" si="59"/>
        <v>0.40702702702702703</v>
      </c>
      <c r="I481" s="14">
        <f t="shared" si="53"/>
        <v>12.757837837837837</v>
      </c>
      <c r="J481" s="86"/>
      <c r="K481" t="s">
        <v>46</v>
      </c>
      <c r="L481" s="60" t="s">
        <v>10</v>
      </c>
      <c r="M481" s="52">
        <f>AVERAGE(H487,H487,H490,H493)</f>
        <v>0.31232198142414858</v>
      </c>
      <c r="N481" s="55">
        <f>STDEV(H487,H487,H490,H493)</f>
        <v>2.8675803128317315E-2</v>
      </c>
      <c r="O481" s="52">
        <f>AVERAGE(I487,I487,I490,I493)</f>
        <v>9.8204426922084629</v>
      </c>
      <c r="P481" s="55">
        <f>STDEV(I487,I487,I490,I493)</f>
        <v>0.40136144437194227</v>
      </c>
    </row>
    <row r="482" spans="1:16" hidden="1" x14ac:dyDescent="0.3">
      <c r="A482" s="1" t="s">
        <v>9</v>
      </c>
      <c r="B482" s="4">
        <v>7</v>
      </c>
      <c r="C482" s="1" t="s">
        <v>5</v>
      </c>
      <c r="D482" s="1">
        <v>41</v>
      </c>
      <c r="E482" s="3">
        <v>44110</v>
      </c>
      <c r="F482" s="2">
        <v>35</v>
      </c>
      <c r="G482" s="2">
        <v>16.45</v>
      </c>
      <c r="H482" s="14">
        <f t="shared" si="59"/>
        <v>0.47</v>
      </c>
      <c r="I482" s="14">
        <f t="shared" si="53"/>
        <v>13.763328185328186</v>
      </c>
      <c r="J482" s="86"/>
      <c r="K482" t="s">
        <v>47</v>
      </c>
      <c r="L482" s="60" t="s">
        <v>10</v>
      </c>
      <c r="M482" s="52">
        <f>AVERAGE(H488,H488,H491,H494)</f>
        <v>0.30819560620300751</v>
      </c>
      <c r="N482" s="55">
        <f>STDEV(H488,H488,H491,H494)</f>
        <v>6.9230033611886923E-3</v>
      </c>
      <c r="O482" s="52">
        <f>AVERAGE(I488,I488,I491,I494)</f>
        <v>10.118461870822891</v>
      </c>
      <c r="P482" s="55">
        <f>STDEV(I488,I488,I491,I494)</f>
        <v>1.5672064093775335</v>
      </c>
    </row>
    <row r="483" spans="1:16" hidden="1" x14ac:dyDescent="0.3">
      <c r="A483" s="1" t="s">
        <v>9</v>
      </c>
      <c r="B483" s="4">
        <v>8</v>
      </c>
      <c r="C483" s="1" t="s">
        <v>3</v>
      </c>
      <c r="D483" s="1">
        <v>41</v>
      </c>
      <c r="E483" s="3">
        <v>44110</v>
      </c>
      <c r="F483" s="2">
        <v>37</v>
      </c>
      <c r="G483" s="4">
        <v>12.21</v>
      </c>
      <c r="H483" s="14">
        <f t="shared" si="59"/>
        <v>0.33</v>
      </c>
      <c r="I483" s="14">
        <f t="shared" si="53"/>
        <v>14.068108108108111</v>
      </c>
      <c r="J483" s="14"/>
    </row>
    <row r="484" spans="1:16" hidden="1" x14ac:dyDescent="0.3">
      <c r="A484" s="1" t="s">
        <v>9</v>
      </c>
      <c r="B484" s="4">
        <v>9</v>
      </c>
      <c r="C484" s="1" t="s">
        <v>4</v>
      </c>
      <c r="D484" s="1">
        <v>41</v>
      </c>
      <c r="E484" s="3">
        <v>44110</v>
      </c>
      <c r="F484" s="2">
        <v>36</v>
      </c>
      <c r="G484" s="4">
        <v>17.260000000000002</v>
      </c>
      <c r="H484" s="14">
        <f t="shared" si="59"/>
        <v>0.47944444444444451</v>
      </c>
      <c r="I484" s="14">
        <f t="shared" si="53"/>
        <v>13.560578078078079</v>
      </c>
      <c r="J484" s="14"/>
    </row>
    <row r="485" spans="1:16" s="37" customFormat="1" hidden="1" x14ac:dyDescent="0.3">
      <c r="A485" s="38" t="s">
        <v>9</v>
      </c>
      <c r="B485" s="39">
        <v>10</v>
      </c>
      <c r="C485" s="38" t="s">
        <v>5</v>
      </c>
      <c r="D485" s="1">
        <v>41</v>
      </c>
      <c r="E485" s="40">
        <v>44110</v>
      </c>
      <c r="F485" s="41">
        <v>38</v>
      </c>
      <c r="G485" s="39">
        <v>16.48</v>
      </c>
      <c r="H485" s="42">
        <f t="shared" si="59"/>
        <v>0.43368421052631578</v>
      </c>
      <c r="I485" s="14">
        <f t="shared" si="53"/>
        <v>13.202894736842106</v>
      </c>
      <c r="J485" s="14"/>
    </row>
    <row r="486" spans="1:16" s="71" customFormat="1" x14ac:dyDescent="0.3">
      <c r="A486" s="67" t="s">
        <v>10</v>
      </c>
      <c r="B486" s="66">
        <v>13</v>
      </c>
      <c r="C486" s="67" t="s">
        <v>3</v>
      </c>
      <c r="D486" s="60">
        <v>41</v>
      </c>
      <c r="E486" s="68">
        <v>44110</v>
      </c>
      <c r="F486" s="69">
        <v>32</v>
      </c>
      <c r="G486" s="72">
        <v>15.9</v>
      </c>
      <c r="H486" s="73">
        <f t="shared" ref="H486:H495" si="60">G486/F486</f>
        <v>0.49687500000000001</v>
      </c>
      <c r="I486" s="64">
        <f t="shared" si="53"/>
        <v>11.189062499999995</v>
      </c>
      <c r="J486" s="64"/>
    </row>
    <row r="487" spans="1:16" s="65" customFormat="1" hidden="1" x14ac:dyDescent="0.3">
      <c r="A487" s="60" t="s">
        <v>10</v>
      </c>
      <c r="B487" s="61">
        <v>14</v>
      </c>
      <c r="C487" s="60" t="s">
        <v>4</v>
      </c>
      <c r="D487" s="60">
        <v>41</v>
      </c>
      <c r="E487" s="62">
        <v>44110</v>
      </c>
      <c r="F487" s="63">
        <v>32</v>
      </c>
      <c r="G487" s="61">
        <v>9.1999999999999993</v>
      </c>
      <c r="H487" s="64">
        <f t="shared" si="60"/>
        <v>0.28749999999999998</v>
      </c>
      <c r="I487" s="64">
        <f t="shared" si="53"/>
        <v>9.4917708333333337</v>
      </c>
      <c r="J487" s="64"/>
    </row>
    <row r="488" spans="1:16" s="65" customFormat="1" hidden="1" x14ac:dyDescent="0.3">
      <c r="A488" s="60" t="s">
        <v>10</v>
      </c>
      <c r="B488" s="61">
        <v>15</v>
      </c>
      <c r="C488" s="60" t="s">
        <v>5</v>
      </c>
      <c r="D488" s="60">
        <v>41</v>
      </c>
      <c r="E488" s="62">
        <v>44110</v>
      </c>
      <c r="F488" s="63">
        <v>35</v>
      </c>
      <c r="G488" s="61">
        <v>10.61</v>
      </c>
      <c r="H488" s="64">
        <f t="shared" si="60"/>
        <v>0.3031428571428571</v>
      </c>
      <c r="I488" s="64">
        <f t="shared" ref="I488:I551" si="61">I469+H488</f>
        <v>9.0863533834586452</v>
      </c>
      <c r="J488" s="64"/>
    </row>
    <row r="489" spans="1:16" s="65" customFormat="1" x14ac:dyDescent="0.3">
      <c r="A489" s="60" t="s">
        <v>10</v>
      </c>
      <c r="B489" s="61">
        <v>16</v>
      </c>
      <c r="C489" s="60" t="s">
        <v>3</v>
      </c>
      <c r="D489" s="60">
        <v>41</v>
      </c>
      <c r="E489" s="62">
        <v>44110</v>
      </c>
      <c r="F489" s="63">
        <v>40</v>
      </c>
      <c r="G489" s="61">
        <v>11.5</v>
      </c>
      <c r="H489" s="64">
        <f t="shared" si="60"/>
        <v>0.28749999999999998</v>
      </c>
      <c r="I489" s="64">
        <f t="shared" si="61"/>
        <v>9.7479999999999993</v>
      </c>
      <c r="J489" s="64"/>
    </row>
    <row r="490" spans="1:16" s="65" customFormat="1" hidden="1" x14ac:dyDescent="0.3">
      <c r="A490" s="60" t="s">
        <v>10</v>
      </c>
      <c r="B490" s="61">
        <v>17</v>
      </c>
      <c r="C490" s="60" t="s">
        <v>4</v>
      </c>
      <c r="D490" s="60">
        <v>41</v>
      </c>
      <c r="E490" s="62">
        <v>44110</v>
      </c>
      <c r="F490" s="63">
        <v>34</v>
      </c>
      <c r="G490" s="63">
        <v>11.5</v>
      </c>
      <c r="H490" s="64">
        <f t="shared" si="60"/>
        <v>0.33823529411764708</v>
      </c>
      <c r="I490" s="64">
        <f t="shared" si="61"/>
        <v>10.309071207430341</v>
      </c>
      <c r="J490" s="64"/>
    </row>
    <row r="491" spans="1:16" s="65" customFormat="1" hidden="1" x14ac:dyDescent="0.3">
      <c r="A491" s="60" t="s">
        <v>10</v>
      </c>
      <c r="B491" s="61">
        <v>18</v>
      </c>
      <c r="C491" s="60" t="s">
        <v>5</v>
      </c>
      <c r="D491" s="60">
        <v>41</v>
      </c>
      <c r="E491" s="62">
        <v>44110</v>
      </c>
      <c r="F491" s="63">
        <v>38</v>
      </c>
      <c r="G491" s="63">
        <v>11.73</v>
      </c>
      <c r="H491" s="64">
        <f t="shared" si="60"/>
        <v>0.30868421052631578</v>
      </c>
      <c r="I491" s="64">
        <f t="shared" si="61"/>
        <v>9.9040921052631568</v>
      </c>
      <c r="J491" s="64"/>
    </row>
    <row r="492" spans="1:16" s="65" customFormat="1" x14ac:dyDescent="0.3">
      <c r="A492" s="60" t="s">
        <v>10</v>
      </c>
      <c r="B492" s="61">
        <v>19</v>
      </c>
      <c r="C492" s="60" t="s">
        <v>3</v>
      </c>
      <c r="D492" s="60">
        <v>41</v>
      </c>
      <c r="E492" s="62">
        <v>44110</v>
      </c>
      <c r="F492" s="63">
        <v>34</v>
      </c>
      <c r="G492" s="61">
        <v>7.15</v>
      </c>
      <c r="H492" s="64">
        <f t="shared" si="60"/>
        <v>0.21029411764705883</v>
      </c>
      <c r="I492" s="64">
        <f t="shared" si="61"/>
        <v>10.296279809220987</v>
      </c>
      <c r="J492" s="64"/>
    </row>
    <row r="493" spans="1:16" s="65" customFormat="1" hidden="1" x14ac:dyDescent="0.3">
      <c r="A493" s="60" t="s">
        <v>10</v>
      </c>
      <c r="B493" s="61">
        <v>20</v>
      </c>
      <c r="C493" s="60" t="s">
        <v>4</v>
      </c>
      <c r="D493" s="60">
        <v>41</v>
      </c>
      <c r="E493" s="62">
        <v>44110</v>
      </c>
      <c r="F493" s="63">
        <v>38</v>
      </c>
      <c r="G493" s="61">
        <v>12.77</v>
      </c>
      <c r="H493" s="64">
        <f t="shared" si="60"/>
        <v>0.33605263157894738</v>
      </c>
      <c r="I493" s="64">
        <f t="shared" si="61"/>
        <v>9.9891578947368433</v>
      </c>
      <c r="J493" s="64"/>
    </row>
    <row r="494" spans="1:16" s="65" customFormat="1" hidden="1" x14ac:dyDescent="0.3">
      <c r="A494" s="60" t="s">
        <v>10</v>
      </c>
      <c r="B494" s="61">
        <v>21</v>
      </c>
      <c r="C494" s="60" t="s">
        <v>5</v>
      </c>
      <c r="D494" s="60">
        <v>41</v>
      </c>
      <c r="E494" s="62">
        <v>44110</v>
      </c>
      <c r="F494" s="63">
        <v>32</v>
      </c>
      <c r="G494" s="61">
        <v>10.17</v>
      </c>
      <c r="H494" s="64">
        <f t="shared" si="60"/>
        <v>0.3178125</v>
      </c>
      <c r="I494" s="64">
        <f t="shared" si="61"/>
        <v>12.397048611111115</v>
      </c>
      <c r="J494" s="64"/>
    </row>
    <row r="495" spans="1:16" s="71" customFormat="1" x14ac:dyDescent="0.3">
      <c r="A495" s="67" t="s">
        <v>10</v>
      </c>
      <c r="B495" s="66">
        <v>22</v>
      </c>
      <c r="C495" s="67" t="s">
        <v>3</v>
      </c>
      <c r="D495" s="60">
        <v>41</v>
      </c>
      <c r="E495" s="68">
        <v>44110</v>
      </c>
      <c r="F495" s="69">
        <v>38</v>
      </c>
      <c r="G495" s="72">
        <v>18.62</v>
      </c>
      <c r="H495" s="73">
        <f t="shared" si="60"/>
        <v>0.49000000000000005</v>
      </c>
      <c r="I495" s="64">
        <f t="shared" si="61"/>
        <v>12.033157894736842</v>
      </c>
      <c r="J495" s="64"/>
    </row>
    <row r="496" spans="1:16" s="37" customFormat="1" hidden="1" x14ac:dyDescent="0.3">
      <c r="A496" s="38" t="s">
        <v>9</v>
      </c>
      <c r="B496" s="39">
        <v>2</v>
      </c>
      <c r="C496" s="38" t="s">
        <v>3</v>
      </c>
      <c r="D496" s="1">
        <v>42</v>
      </c>
      <c r="E496" s="40">
        <v>44116</v>
      </c>
      <c r="F496" s="41">
        <v>36</v>
      </c>
      <c r="G496" s="39">
        <v>14.66</v>
      </c>
      <c r="H496" s="42">
        <f t="shared" ref="H496:H504" si="62">G496/F496</f>
        <v>0.40722222222222221</v>
      </c>
      <c r="I496" s="14">
        <f t="shared" si="61"/>
        <v>15.098098290598291</v>
      </c>
      <c r="J496" s="86">
        <f>D496</f>
        <v>42</v>
      </c>
      <c r="K496" t="s">
        <v>45</v>
      </c>
      <c r="L496" t="s">
        <v>9</v>
      </c>
      <c r="M496" s="52">
        <f>AVERAGE(H496,H496,H499,H502)</f>
        <v>0.39486593736593739</v>
      </c>
      <c r="N496" s="55">
        <f>STDEV(H496,H496,H499,H502)</f>
        <v>2.189940508081625E-2</v>
      </c>
      <c r="O496" s="52">
        <f>AVERAGE(I496,I496,I499,I502)</f>
        <v>14.912730612480612</v>
      </c>
      <c r="P496" s="55">
        <f>STDEV(I496,I496,I499,I502)</f>
        <v>0.32350827216538863</v>
      </c>
    </row>
    <row r="497" spans="1:16" hidden="1" x14ac:dyDescent="0.3">
      <c r="A497" s="1" t="s">
        <v>9</v>
      </c>
      <c r="B497" s="4">
        <v>3</v>
      </c>
      <c r="C497" s="1" t="s">
        <v>4</v>
      </c>
      <c r="D497" s="1">
        <v>42</v>
      </c>
      <c r="E497" s="3">
        <v>44116</v>
      </c>
      <c r="F497" s="2">
        <v>34</v>
      </c>
      <c r="G497" s="4">
        <v>15.11</v>
      </c>
      <c r="H497" s="14">
        <f t="shared" si="62"/>
        <v>0.44441176470588234</v>
      </c>
      <c r="I497" s="14">
        <f t="shared" si="61"/>
        <v>14.782957074721782</v>
      </c>
      <c r="J497" s="86"/>
      <c r="K497" t="s">
        <v>46</v>
      </c>
      <c r="L497" t="s">
        <v>9</v>
      </c>
      <c r="M497" s="52">
        <f>AVERAGE(H497,H497,H500,H503)</f>
        <v>0.42169349496555375</v>
      </c>
      <c r="N497" s="55">
        <f>STDEV(H497,H497,H500,H503)</f>
        <v>3.333514943605552E-2</v>
      </c>
      <c r="O497" s="52">
        <f>AVERAGE(I497,I497,I500,I503)</f>
        <v>14.170570128952482</v>
      </c>
      <c r="P497" s="55">
        <f>STDEV(I497,I497,I500,I503)</f>
        <v>0.78824290186005508</v>
      </c>
    </row>
    <row r="498" spans="1:16" hidden="1" x14ac:dyDescent="0.3">
      <c r="A498" s="1" t="s">
        <v>9</v>
      </c>
      <c r="B498" s="4">
        <v>4</v>
      </c>
      <c r="C498" s="1" t="s">
        <v>5</v>
      </c>
      <c r="D498" s="1">
        <v>42</v>
      </c>
      <c r="E498" s="3">
        <v>44116</v>
      </c>
      <c r="F498" s="2">
        <v>37</v>
      </c>
      <c r="G498" s="4">
        <f>6.11+10.6</f>
        <v>16.71</v>
      </c>
      <c r="H498" s="14">
        <f t="shared" si="62"/>
        <v>0.45162162162162167</v>
      </c>
      <c r="I498" s="14">
        <f t="shared" si="61"/>
        <v>13.940810810810811</v>
      </c>
      <c r="J498" s="86"/>
      <c r="K498" t="s">
        <v>47</v>
      </c>
      <c r="L498" t="s">
        <v>9</v>
      </c>
      <c r="M498" s="52">
        <f>AVERAGE(H498,H498,H501,H504)</f>
        <v>0.43720178825441985</v>
      </c>
      <c r="N498" s="55">
        <f>STDEV(H498,H498,H501,H504)</f>
        <v>1.7275466458655356E-2</v>
      </c>
      <c r="O498" s="52">
        <f>AVERAGE(I498,I498,I501,I504)</f>
        <v>13.923352113391587</v>
      </c>
      <c r="P498" s="55">
        <f>STDEV(I498,I498,I501,I504)</f>
        <v>0.22509625378905482</v>
      </c>
    </row>
    <row r="499" spans="1:16" hidden="1" x14ac:dyDescent="0.3">
      <c r="A499" s="1" t="s">
        <v>9</v>
      </c>
      <c r="B499" s="4">
        <v>5</v>
      </c>
      <c r="C499" s="1" t="s">
        <v>3</v>
      </c>
      <c r="D499" s="1">
        <v>42</v>
      </c>
      <c r="E499" s="3">
        <v>44116</v>
      </c>
      <c r="F499" s="2">
        <v>35</v>
      </c>
      <c r="G499" s="4">
        <v>14.1</v>
      </c>
      <c r="H499" s="14">
        <f t="shared" si="62"/>
        <v>0.40285714285714286</v>
      </c>
      <c r="I499" s="14">
        <f t="shared" si="61"/>
        <v>15.024455598455596</v>
      </c>
      <c r="J499" s="86"/>
      <c r="K499" t="s">
        <v>45</v>
      </c>
      <c r="L499" s="60" t="s">
        <v>10</v>
      </c>
      <c r="M499" s="52">
        <f>AVERAGE(H505,H505,H508,H511)</f>
        <v>0.26190625000000001</v>
      </c>
      <c r="N499" s="55">
        <f>STDEV(H505,H505,H508,H511)</f>
        <v>4.5834749031166307E-2</v>
      </c>
      <c r="O499" s="52">
        <f>AVERAGE(I505,I505,I508,I511)</f>
        <v>10.867507452305244</v>
      </c>
      <c r="P499" s="55">
        <f>STDEV(I505,I505,I508,I511)</f>
        <v>0.7461217526119216</v>
      </c>
    </row>
    <row r="500" spans="1:16" hidden="1" x14ac:dyDescent="0.3">
      <c r="A500" s="1" t="s">
        <v>9</v>
      </c>
      <c r="B500" s="4">
        <v>6</v>
      </c>
      <c r="C500" s="1" t="s">
        <v>4</v>
      </c>
      <c r="D500" s="1">
        <v>42</v>
      </c>
      <c r="E500" s="3">
        <v>44116</v>
      </c>
      <c r="F500" s="2">
        <v>37</v>
      </c>
      <c r="G500" s="2">
        <v>13.83</v>
      </c>
      <c r="H500" s="14">
        <f t="shared" si="62"/>
        <v>0.3737837837837838</v>
      </c>
      <c r="I500" s="14">
        <f t="shared" si="61"/>
        <v>13.131621621621621</v>
      </c>
      <c r="J500" s="86"/>
      <c r="K500" t="s">
        <v>46</v>
      </c>
      <c r="L500" s="60" t="s">
        <v>10</v>
      </c>
      <c r="M500" s="52">
        <f>AVERAGE(H506,H506,H509,H512)</f>
        <v>0.30898993808049535</v>
      </c>
      <c r="N500" s="55">
        <f>STDEV(H506,H506,H509,H512)</f>
        <v>1.1527075517423152E-2</v>
      </c>
      <c r="O500" s="52">
        <f>AVERAGE(I506,I506,I509,I512)</f>
        <v>10.129432630288958</v>
      </c>
      <c r="P500" s="55">
        <f>STDEV(I506,I506,I509,I512)</f>
        <v>0.41281015572803609</v>
      </c>
    </row>
    <row r="501" spans="1:16" hidden="1" x14ac:dyDescent="0.3">
      <c r="A501" s="1" t="s">
        <v>9</v>
      </c>
      <c r="B501" s="4">
        <v>7</v>
      </c>
      <c r="C501" s="1" t="s">
        <v>5</v>
      </c>
      <c r="D501" s="1">
        <v>42</v>
      </c>
      <c r="E501" s="3">
        <v>44116</v>
      </c>
      <c r="F501" s="2">
        <v>35</v>
      </c>
      <c r="G501" s="2">
        <v>14.6</v>
      </c>
      <c r="H501" s="14">
        <f t="shared" si="62"/>
        <v>0.41714285714285715</v>
      </c>
      <c r="I501" s="14">
        <f t="shared" si="61"/>
        <v>14.180471042471043</v>
      </c>
      <c r="J501" s="86"/>
      <c r="K501" t="s">
        <v>47</v>
      </c>
      <c r="L501" s="60" t="s">
        <v>10</v>
      </c>
      <c r="M501" s="52">
        <f>AVERAGE(H507,H507,H510,H513)</f>
        <v>0.26806296992481204</v>
      </c>
      <c r="N501" s="55">
        <f>STDEV(H507,H507,H510,H513)</f>
        <v>5.3181051502709194E-2</v>
      </c>
      <c r="O501" s="52">
        <f>AVERAGE(I507,I507,I510,I513)</f>
        <v>10.386524840747702</v>
      </c>
      <c r="P501" s="55">
        <f>STDEV(I507,I507,I510,I513)</f>
        <v>1.6060571141416335</v>
      </c>
    </row>
    <row r="502" spans="1:16" hidden="1" x14ac:dyDescent="0.3">
      <c r="A502" s="1" t="s">
        <v>9</v>
      </c>
      <c r="B502" s="4">
        <v>8</v>
      </c>
      <c r="C502" s="1" t="s">
        <v>3</v>
      </c>
      <c r="D502" s="1">
        <v>42</v>
      </c>
      <c r="E502" s="3">
        <v>44116</v>
      </c>
      <c r="F502" s="2">
        <v>37</v>
      </c>
      <c r="G502" s="4">
        <v>13.4</v>
      </c>
      <c r="H502" s="14">
        <f t="shared" si="62"/>
        <v>0.36216216216216218</v>
      </c>
      <c r="I502" s="14">
        <f t="shared" si="61"/>
        <v>14.430270270270274</v>
      </c>
      <c r="J502" s="14"/>
    </row>
    <row r="503" spans="1:16" hidden="1" x14ac:dyDescent="0.3">
      <c r="A503" s="1" t="s">
        <v>9</v>
      </c>
      <c r="B503" s="4">
        <v>9</v>
      </c>
      <c r="C503" s="1" t="s">
        <v>4</v>
      </c>
      <c r="D503" s="1">
        <v>42</v>
      </c>
      <c r="E503" s="3">
        <v>44116</v>
      </c>
      <c r="F503" s="2">
        <v>36</v>
      </c>
      <c r="G503" s="4">
        <v>15.27</v>
      </c>
      <c r="H503" s="14">
        <f t="shared" si="62"/>
        <v>0.42416666666666664</v>
      </c>
      <c r="I503" s="14">
        <f t="shared" si="61"/>
        <v>13.984744744744745</v>
      </c>
      <c r="J503" s="14"/>
    </row>
    <row r="504" spans="1:16" s="37" customFormat="1" hidden="1" x14ac:dyDescent="0.3">
      <c r="A504" s="38" t="s">
        <v>9</v>
      </c>
      <c r="B504" s="39">
        <v>10</v>
      </c>
      <c r="C504" s="38" t="s">
        <v>5</v>
      </c>
      <c r="D504" s="1">
        <v>42</v>
      </c>
      <c r="E504" s="40">
        <v>44116</v>
      </c>
      <c r="F504" s="41">
        <v>38</v>
      </c>
      <c r="G504" s="39">
        <v>16.28</v>
      </c>
      <c r="H504" s="42">
        <f t="shared" si="62"/>
        <v>0.42842105263157898</v>
      </c>
      <c r="I504" s="14">
        <f t="shared" si="61"/>
        <v>13.631315789473685</v>
      </c>
      <c r="J504" s="14"/>
    </row>
    <row r="505" spans="1:16" s="71" customFormat="1" x14ac:dyDescent="0.3">
      <c r="A505" s="67" t="s">
        <v>10</v>
      </c>
      <c r="B505" s="66">
        <v>13</v>
      </c>
      <c r="C505" s="67" t="s">
        <v>3</v>
      </c>
      <c r="D505" s="60">
        <v>42</v>
      </c>
      <c r="E505" s="68">
        <v>44116</v>
      </c>
      <c r="F505" s="69">
        <v>32</v>
      </c>
      <c r="G505" s="66">
        <v>9.57</v>
      </c>
      <c r="H505" s="70">
        <f t="shared" ref="H505:H514" si="63">G505/F505</f>
        <v>0.29906250000000001</v>
      </c>
      <c r="I505" s="64">
        <f t="shared" si="61"/>
        <v>11.488124999999995</v>
      </c>
      <c r="J505" s="64"/>
    </row>
    <row r="506" spans="1:16" s="65" customFormat="1" hidden="1" x14ac:dyDescent="0.3">
      <c r="A506" s="60" t="s">
        <v>10</v>
      </c>
      <c r="B506" s="61">
        <v>14</v>
      </c>
      <c r="C506" s="60" t="s">
        <v>4</v>
      </c>
      <c r="D506" s="60">
        <v>42</v>
      </c>
      <c r="E506" s="62">
        <v>44116</v>
      </c>
      <c r="F506" s="63">
        <v>32</v>
      </c>
      <c r="G506" s="61">
        <v>9.6</v>
      </c>
      <c r="H506" s="64">
        <f t="shared" si="63"/>
        <v>0.3</v>
      </c>
      <c r="I506" s="64">
        <f t="shared" si="61"/>
        <v>9.7917708333333344</v>
      </c>
      <c r="J506" s="64"/>
    </row>
    <row r="507" spans="1:16" s="65" customFormat="1" hidden="1" x14ac:dyDescent="0.3">
      <c r="A507" s="60" t="s">
        <v>10</v>
      </c>
      <c r="B507" s="61">
        <v>15</v>
      </c>
      <c r="C507" s="60" t="s">
        <v>5</v>
      </c>
      <c r="D507" s="60">
        <v>42</v>
      </c>
      <c r="E507" s="62">
        <v>44116</v>
      </c>
      <c r="F507" s="63">
        <v>35</v>
      </c>
      <c r="G507" s="61">
        <v>9.2200000000000006</v>
      </c>
      <c r="H507" s="64">
        <f t="shared" si="63"/>
        <v>0.26342857142857146</v>
      </c>
      <c r="I507" s="64">
        <f t="shared" si="61"/>
        <v>9.3497819548872165</v>
      </c>
      <c r="J507" s="64"/>
    </row>
    <row r="508" spans="1:16" s="65" customFormat="1" x14ac:dyDescent="0.3">
      <c r="A508" s="60" t="s">
        <v>10</v>
      </c>
      <c r="B508" s="61">
        <v>16</v>
      </c>
      <c r="C508" s="60" t="s">
        <v>3</v>
      </c>
      <c r="D508" s="60">
        <v>42</v>
      </c>
      <c r="E508" s="62">
        <v>44116</v>
      </c>
      <c r="F508" s="63">
        <v>40</v>
      </c>
      <c r="G508" s="61">
        <v>9.7799999999999994</v>
      </c>
      <c r="H508" s="64">
        <f t="shared" si="63"/>
        <v>0.2445</v>
      </c>
      <c r="I508" s="64">
        <f t="shared" si="61"/>
        <v>9.9924999999999997</v>
      </c>
      <c r="J508" s="64"/>
    </row>
    <row r="509" spans="1:16" s="65" customFormat="1" hidden="1" x14ac:dyDescent="0.3">
      <c r="A509" s="60" t="s">
        <v>10</v>
      </c>
      <c r="B509" s="61">
        <v>17</v>
      </c>
      <c r="C509" s="60" t="s">
        <v>4</v>
      </c>
      <c r="D509" s="60">
        <v>42</v>
      </c>
      <c r="E509" s="62">
        <v>44116</v>
      </c>
      <c r="F509" s="63">
        <v>34</v>
      </c>
      <c r="G509" s="63">
        <v>11.02</v>
      </c>
      <c r="H509" s="64">
        <f t="shared" si="63"/>
        <v>0.32411764705882351</v>
      </c>
      <c r="I509" s="64">
        <f t="shared" si="61"/>
        <v>10.633188854489164</v>
      </c>
      <c r="J509" s="64"/>
    </row>
    <row r="510" spans="1:16" s="65" customFormat="1" hidden="1" x14ac:dyDescent="0.3">
      <c r="A510" s="60" t="s">
        <v>10</v>
      </c>
      <c r="B510" s="61">
        <v>18</v>
      </c>
      <c r="C510" s="60" t="s">
        <v>5</v>
      </c>
      <c r="D510" s="60">
        <v>42</v>
      </c>
      <c r="E510" s="62">
        <v>44116</v>
      </c>
      <c r="F510" s="63">
        <v>38</v>
      </c>
      <c r="G510" s="63">
        <v>7.9</v>
      </c>
      <c r="H510" s="64">
        <f t="shared" si="63"/>
        <v>0.20789473684210527</v>
      </c>
      <c r="I510" s="64">
        <f t="shared" si="61"/>
        <v>10.111986842105262</v>
      </c>
      <c r="J510" s="64"/>
    </row>
    <row r="511" spans="1:16" s="65" customFormat="1" x14ac:dyDescent="0.3">
      <c r="A511" s="60" t="s">
        <v>10</v>
      </c>
      <c r="B511" s="61">
        <v>19</v>
      </c>
      <c r="C511" s="60" t="s">
        <v>3</v>
      </c>
      <c r="D511" s="60">
        <v>42</v>
      </c>
      <c r="E511" s="62">
        <v>44116</v>
      </c>
      <c r="F511" s="63">
        <v>34</v>
      </c>
      <c r="G511" s="61">
        <v>6.97</v>
      </c>
      <c r="H511" s="64">
        <f t="shared" si="63"/>
        <v>0.20499999999999999</v>
      </c>
      <c r="I511" s="64">
        <f t="shared" si="61"/>
        <v>10.501279809220987</v>
      </c>
      <c r="J511" s="64"/>
    </row>
    <row r="512" spans="1:16" s="65" customFormat="1" hidden="1" x14ac:dyDescent="0.3">
      <c r="A512" s="60" t="s">
        <v>10</v>
      </c>
      <c r="B512" s="61">
        <v>20</v>
      </c>
      <c r="C512" s="60" t="s">
        <v>4</v>
      </c>
      <c r="D512" s="60">
        <v>42</v>
      </c>
      <c r="E512" s="62">
        <v>44116</v>
      </c>
      <c r="F512" s="63">
        <v>38</v>
      </c>
      <c r="G512" s="61">
        <v>11.85</v>
      </c>
      <c r="H512" s="64">
        <f t="shared" si="63"/>
        <v>0.31184210526315786</v>
      </c>
      <c r="I512" s="64">
        <f t="shared" si="61"/>
        <v>10.301000000000002</v>
      </c>
      <c r="J512" s="64"/>
    </row>
    <row r="513" spans="1:16" s="65" customFormat="1" hidden="1" x14ac:dyDescent="0.3">
      <c r="A513" s="60" t="s">
        <v>10</v>
      </c>
      <c r="B513" s="61">
        <v>21</v>
      </c>
      <c r="C513" s="60" t="s">
        <v>5</v>
      </c>
      <c r="D513" s="60">
        <v>42</v>
      </c>
      <c r="E513" s="62">
        <v>44116</v>
      </c>
      <c r="F513" s="63">
        <v>32</v>
      </c>
      <c r="G513" s="61">
        <v>10.8</v>
      </c>
      <c r="H513" s="64">
        <f t="shared" si="63"/>
        <v>0.33750000000000002</v>
      </c>
      <c r="I513" s="64">
        <f t="shared" si="61"/>
        <v>12.734548611111116</v>
      </c>
      <c r="J513" s="64"/>
    </row>
    <row r="514" spans="1:16" s="71" customFormat="1" x14ac:dyDescent="0.3">
      <c r="A514" s="67" t="s">
        <v>10</v>
      </c>
      <c r="B514" s="66">
        <v>22</v>
      </c>
      <c r="C514" s="67" t="s">
        <v>3</v>
      </c>
      <c r="D514" s="60">
        <v>42</v>
      </c>
      <c r="E514" s="68">
        <v>44116</v>
      </c>
      <c r="F514" s="69">
        <v>38</v>
      </c>
      <c r="G514" s="72">
        <v>13.97</v>
      </c>
      <c r="H514" s="70">
        <f t="shared" si="63"/>
        <v>0.36763157894736842</v>
      </c>
      <c r="I514" s="64">
        <f t="shared" si="61"/>
        <v>12.40078947368421</v>
      </c>
      <c r="J514" s="64"/>
    </row>
    <row r="515" spans="1:16" s="37" customFormat="1" hidden="1" x14ac:dyDescent="0.3">
      <c r="A515" s="38" t="s">
        <v>9</v>
      </c>
      <c r="B515" s="39">
        <v>2</v>
      </c>
      <c r="C515" s="38" t="s">
        <v>3</v>
      </c>
      <c r="D515" s="1">
        <v>43</v>
      </c>
      <c r="E515" s="40">
        <v>44123</v>
      </c>
      <c r="F515" s="41">
        <v>36</v>
      </c>
      <c r="G515" s="39">
        <v>9.1</v>
      </c>
      <c r="H515" s="42">
        <f t="shared" ref="H515:H523" si="64">G515/F515</f>
        <v>0.25277777777777777</v>
      </c>
      <c r="I515" s="14">
        <f t="shared" si="61"/>
        <v>15.350876068376069</v>
      </c>
      <c r="J515" s="86">
        <f>D515</f>
        <v>43</v>
      </c>
      <c r="K515" t="s">
        <v>45</v>
      </c>
      <c r="L515" t="s">
        <v>9</v>
      </c>
      <c r="M515" s="52">
        <f>AVERAGE(H515,H515,H518,H521)</f>
        <v>0.27166688116688115</v>
      </c>
      <c r="N515" s="55">
        <f>STDEV(H515,H515,H518,H521)</f>
        <v>2.3293855735149954E-2</v>
      </c>
      <c r="O515" s="52">
        <f>AVERAGE(I515,I515,I518,I521)</f>
        <v>15.184397493647493</v>
      </c>
      <c r="P515" s="55">
        <f>STDEV(I515,I515,I518,I521)</f>
        <v>0.31595951402361111</v>
      </c>
    </row>
    <row r="516" spans="1:16" hidden="1" x14ac:dyDescent="0.3">
      <c r="A516" s="1" t="s">
        <v>9</v>
      </c>
      <c r="B516" s="4">
        <v>3</v>
      </c>
      <c r="C516" s="1" t="s">
        <v>4</v>
      </c>
      <c r="D516" s="1">
        <v>43</v>
      </c>
      <c r="E516" s="3">
        <v>44123</v>
      </c>
      <c r="F516" s="2">
        <v>34</v>
      </c>
      <c r="G516" s="4">
        <v>10.84</v>
      </c>
      <c r="H516" s="14">
        <f t="shared" si="64"/>
        <v>0.31882352941176473</v>
      </c>
      <c r="I516" s="14">
        <f t="shared" si="61"/>
        <v>15.101780604133547</v>
      </c>
      <c r="J516" s="86"/>
      <c r="K516" t="s">
        <v>46</v>
      </c>
      <c r="L516" t="s">
        <v>9</v>
      </c>
      <c r="M516" s="52">
        <f>AVERAGE(H516,H516,H519,H522)</f>
        <v>0.32507617912029679</v>
      </c>
      <c r="N516" s="55">
        <f>STDEV(H516,H516,H519,H522)</f>
        <v>4.710063545614715E-2</v>
      </c>
      <c r="O516" s="52">
        <f>AVERAGE(I516,I516,I519,I522)</f>
        <v>14.495646308072779</v>
      </c>
      <c r="P516" s="55">
        <f>STDEV(I516,I516,I519,I522)</f>
        <v>0.80358932711212461</v>
      </c>
    </row>
    <row r="517" spans="1:16" hidden="1" x14ac:dyDescent="0.3">
      <c r="A517" s="1" t="s">
        <v>9</v>
      </c>
      <c r="B517" s="4">
        <v>4</v>
      </c>
      <c r="C517" s="1" t="s">
        <v>5</v>
      </c>
      <c r="D517" s="1">
        <v>43</v>
      </c>
      <c r="E517" s="3">
        <v>44123</v>
      </c>
      <c r="F517" s="2">
        <v>37</v>
      </c>
      <c r="G517" s="4">
        <v>8.93</v>
      </c>
      <c r="H517" s="14">
        <f t="shared" si="64"/>
        <v>0.24135135135135136</v>
      </c>
      <c r="I517" s="14">
        <f t="shared" si="61"/>
        <v>14.182162162162163</v>
      </c>
      <c r="J517" s="86"/>
      <c r="K517" t="s">
        <v>47</v>
      </c>
      <c r="L517" t="s">
        <v>9</v>
      </c>
      <c r="M517" s="52">
        <f>AVERAGE(H517,H517,H520,H523)</f>
        <v>0.28587868319447268</v>
      </c>
      <c r="N517" s="55">
        <f>STDEV(H517,H517,H520,H523)</f>
        <v>5.6910239203462665E-2</v>
      </c>
      <c r="O517" s="52">
        <f>AVERAGE(I517,I517,I520,I523)</f>
        <v>14.209230796586059</v>
      </c>
      <c r="P517" s="55">
        <f>STDEV(I517,I517,I520,I523)</f>
        <v>0.25054565138252616</v>
      </c>
    </row>
    <row r="518" spans="1:16" hidden="1" x14ac:dyDescent="0.3">
      <c r="A518" s="1" t="s">
        <v>9</v>
      </c>
      <c r="B518" s="4">
        <v>5</v>
      </c>
      <c r="C518" s="1" t="s">
        <v>3</v>
      </c>
      <c r="D518" s="1">
        <v>43</v>
      </c>
      <c r="E518" s="3">
        <v>44123</v>
      </c>
      <c r="F518" s="2">
        <v>35</v>
      </c>
      <c r="G518" s="4">
        <v>10.52</v>
      </c>
      <c r="H518" s="14">
        <f t="shared" si="64"/>
        <v>0.30057142857142854</v>
      </c>
      <c r="I518" s="14">
        <f t="shared" si="61"/>
        <v>15.325027027027025</v>
      </c>
      <c r="J518" s="86"/>
      <c r="K518" t="s">
        <v>45</v>
      </c>
      <c r="L518" s="60" t="s">
        <v>10</v>
      </c>
      <c r="M518" s="52">
        <f>AVERAGE(H524,H524,H527,H530)</f>
        <v>0.37640073529411761</v>
      </c>
      <c r="N518" s="55">
        <f>STDEV(H524,H524,H527,H530)</f>
        <v>0.14689703802859494</v>
      </c>
      <c r="O518" s="52">
        <f>AVERAGE(I524,I524,I527,I530)</f>
        <v>11.243908187599361</v>
      </c>
      <c r="P518" s="55">
        <f>STDEV(I524,I524,I527,I530)</f>
        <v>0.8753107178270868</v>
      </c>
    </row>
    <row r="519" spans="1:16" hidden="1" x14ac:dyDescent="0.3">
      <c r="A519" s="1" t="s">
        <v>9</v>
      </c>
      <c r="B519" s="4">
        <v>6</v>
      </c>
      <c r="C519" s="1" t="s">
        <v>4</v>
      </c>
      <c r="D519" s="1">
        <v>43</v>
      </c>
      <c r="E519" s="3">
        <v>44123</v>
      </c>
      <c r="F519" s="2">
        <v>37</v>
      </c>
      <c r="G519" s="2">
        <v>10.15</v>
      </c>
      <c r="H519" s="14">
        <f t="shared" si="64"/>
        <v>0.27432432432432435</v>
      </c>
      <c r="I519" s="14">
        <f t="shared" si="61"/>
        <v>13.405945945945945</v>
      </c>
      <c r="J519" s="86"/>
      <c r="K519" t="s">
        <v>46</v>
      </c>
      <c r="L519" s="60" t="s">
        <v>10</v>
      </c>
      <c r="M519" s="52">
        <f>AVERAGE(H525,H525,H528,H531)</f>
        <v>0.26086155185758514</v>
      </c>
      <c r="N519" s="55">
        <f>STDEV(H525,H525,H528,H531)</f>
        <v>5.1318322867337868E-2</v>
      </c>
      <c r="O519" s="52">
        <f>AVERAGE(I525,I525,I528,I531)</f>
        <v>10.390294182146544</v>
      </c>
      <c r="P519" s="55">
        <f>STDEV(I525,I525,I528,I531)</f>
        <v>0.46362621004085375</v>
      </c>
    </row>
    <row r="520" spans="1:16" hidden="1" x14ac:dyDescent="0.3">
      <c r="A520" s="1" t="s">
        <v>9</v>
      </c>
      <c r="B520" s="4">
        <v>7</v>
      </c>
      <c r="C520" s="1" t="s">
        <v>5</v>
      </c>
      <c r="D520" s="1">
        <v>43</v>
      </c>
      <c r="E520" s="3">
        <v>44123</v>
      </c>
      <c r="F520" s="2">
        <v>35</v>
      </c>
      <c r="G520" s="2">
        <v>12.61</v>
      </c>
      <c r="H520" s="14">
        <f t="shared" si="64"/>
        <v>0.36028571428571426</v>
      </c>
      <c r="I520" s="14">
        <f t="shared" si="61"/>
        <v>14.540756756756757</v>
      </c>
      <c r="J520" s="86"/>
      <c r="K520" t="s">
        <v>47</v>
      </c>
      <c r="L520" s="60" t="s">
        <v>10</v>
      </c>
      <c r="M520" s="52">
        <f>AVERAGE(H526,H526,H529,H532)</f>
        <v>0.29913451597744362</v>
      </c>
      <c r="N520" s="55">
        <f>STDEV(H526,H526,H529,H532)</f>
        <v>6.502417656714872E-2</v>
      </c>
      <c r="O520" s="52">
        <f>AVERAGE(I526,I526,I529,I532)</f>
        <v>10.685659356725147</v>
      </c>
      <c r="P520" s="55">
        <f>STDEV(I526,I526,I529,I532)</f>
        <v>1.6709742128522715</v>
      </c>
    </row>
    <row r="521" spans="1:16" hidden="1" x14ac:dyDescent="0.3">
      <c r="A521" s="1" t="s">
        <v>9</v>
      </c>
      <c r="B521" s="4">
        <v>8</v>
      </c>
      <c r="C521" s="1" t="s">
        <v>3</v>
      </c>
      <c r="D521" s="1">
        <v>43</v>
      </c>
      <c r="E521" s="3">
        <v>44123</v>
      </c>
      <c r="F521" s="2">
        <v>37</v>
      </c>
      <c r="G521" s="4">
        <v>10.38</v>
      </c>
      <c r="H521" s="14">
        <f t="shared" si="64"/>
        <v>0.28054054054054056</v>
      </c>
      <c r="I521" s="14">
        <f t="shared" si="61"/>
        <v>14.710810810810814</v>
      </c>
      <c r="J521" s="14"/>
    </row>
    <row r="522" spans="1:16" hidden="1" x14ac:dyDescent="0.3">
      <c r="A522" s="1" t="s">
        <v>9</v>
      </c>
      <c r="B522" s="4">
        <v>9</v>
      </c>
      <c r="C522" s="1" t="s">
        <v>4</v>
      </c>
      <c r="D522" s="1">
        <v>43</v>
      </c>
      <c r="E522" s="3">
        <v>44123</v>
      </c>
      <c r="F522" s="2">
        <v>36</v>
      </c>
      <c r="G522" s="4">
        <v>13.98</v>
      </c>
      <c r="H522" s="14">
        <f t="shared" si="64"/>
        <v>0.38833333333333336</v>
      </c>
      <c r="I522" s="14">
        <f t="shared" si="61"/>
        <v>14.373078078078079</v>
      </c>
      <c r="J522" s="14"/>
    </row>
    <row r="523" spans="1:16" s="37" customFormat="1" hidden="1" x14ac:dyDescent="0.3">
      <c r="A523" s="38" t="s">
        <v>9</v>
      </c>
      <c r="B523" s="39">
        <v>10</v>
      </c>
      <c r="C523" s="38" t="s">
        <v>5</v>
      </c>
      <c r="D523" s="1">
        <v>43</v>
      </c>
      <c r="E523" s="40">
        <v>44123</v>
      </c>
      <c r="F523" s="41">
        <v>38</v>
      </c>
      <c r="G523" s="39">
        <v>11.42</v>
      </c>
      <c r="H523" s="42">
        <f t="shared" si="64"/>
        <v>0.3005263157894737</v>
      </c>
      <c r="I523" s="14">
        <f t="shared" si="61"/>
        <v>13.93184210526316</v>
      </c>
      <c r="J523" s="14"/>
    </row>
    <row r="524" spans="1:16" s="71" customFormat="1" x14ac:dyDescent="0.3">
      <c r="A524" s="67" t="s">
        <v>10</v>
      </c>
      <c r="B524" s="66">
        <v>13</v>
      </c>
      <c r="C524" s="67" t="s">
        <v>3</v>
      </c>
      <c r="D524" s="60">
        <v>43</v>
      </c>
      <c r="E524" s="68">
        <v>44123</v>
      </c>
      <c r="F524" s="69">
        <v>32</v>
      </c>
      <c r="G524" s="72">
        <v>15.98</v>
      </c>
      <c r="H524" s="73">
        <f t="shared" ref="H524:H533" si="65">G524/F524</f>
        <v>0.49937500000000001</v>
      </c>
      <c r="I524" s="64">
        <f t="shared" si="61"/>
        <v>11.987499999999995</v>
      </c>
      <c r="J524" s="64"/>
    </row>
    <row r="525" spans="1:16" s="65" customFormat="1" hidden="1" x14ac:dyDescent="0.3">
      <c r="A525" s="60" t="s">
        <v>10</v>
      </c>
      <c r="B525" s="61">
        <v>14</v>
      </c>
      <c r="C525" s="60" t="s">
        <v>4</v>
      </c>
      <c r="D525" s="60">
        <v>43</v>
      </c>
      <c r="E525" s="62">
        <v>44123</v>
      </c>
      <c r="F525" s="63">
        <v>32</v>
      </c>
      <c r="G525" s="61">
        <v>6.95</v>
      </c>
      <c r="H525" s="64">
        <f t="shared" si="65"/>
        <v>0.21718750000000001</v>
      </c>
      <c r="I525" s="64">
        <f t="shared" si="61"/>
        <v>10.008958333333334</v>
      </c>
      <c r="J525" s="64"/>
    </row>
    <row r="526" spans="1:16" s="65" customFormat="1" hidden="1" x14ac:dyDescent="0.3">
      <c r="A526" s="60" t="s">
        <v>10</v>
      </c>
      <c r="B526" s="61">
        <v>15</v>
      </c>
      <c r="C526" s="60" t="s">
        <v>5</v>
      </c>
      <c r="D526" s="60">
        <v>43</v>
      </c>
      <c r="E526" s="62">
        <v>44123</v>
      </c>
      <c r="F526" s="63">
        <v>35</v>
      </c>
      <c r="G526" s="61">
        <v>9.08</v>
      </c>
      <c r="H526" s="64">
        <f t="shared" si="65"/>
        <v>0.25942857142857145</v>
      </c>
      <c r="I526" s="64">
        <f t="shared" si="61"/>
        <v>9.6092105263157883</v>
      </c>
      <c r="J526" s="64"/>
    </row>
    <row r="527" spans="1:16" s="65" customFormat="1" x14ac:dyDescent="0.3">
      <c r="A527" s="60" t="s">
        <v>10</v>
      </c>
      <c r="B527" s="61">
        <v>16</v>
      </c>
      <c r="C527" s="60" t="s">
        <v>3</v>
      </c>
      <c r="D527" s="60">
        <v>43</v>
      </c>
      <c r="E527" s="62">
        <v>44123</v>
      </c>
      <c r="F527" s="63">
        <v>40</v>
      </c>
      <c r="G527" s="61">
        <v>11.98</v>
      </c>
      <c r="H527" s="64">
        <f t="shared" si="65"/>
        <v>0.29949999999999999</v>
      </c>
      <c r="I527" s="64">
        <f t="shared" si="61"/>
        <v>10.292</v>
      </c>
      <c r="J527" s="64"/>
    </row>
    <row r="528" spans="1:16" s="65" customFormat="1" hidden="1" x14ac:dyDescent="0.3">
      <c r="A528" s="60" t="s">
        <v>10</v>
      </c>
      <c r="B528" s="61">
        <v>17</v>
      </c>
      <c r="C528" s="60" t="s">
        <v>4</v>
      </c>
      <c r="D528" s="60">
        <v>43</v>
      </c>
      <c r="E528" s="62">
        <v>44123</v>
      </c>
      <c r="F528" s="63">
        <v>34</v>
      </c>
      <c r="G528" s="63">
        <v>10.75</v>
      </c>
      <c r="H528" s="64">
        <f t="shared" si="65"/>
        <v>0.31617647058823528</v>
      </c>
      <c r="I528" s="64">
        <f t="shared" si="61"/>
        <v>10.9493653250774</v>
      </c>
      <c r="J528" s="64"/>
    </row>
    <row r="529" spans="1:16" s="65" customFormat="1" hidden="1" x14ac:dyDescent="0.3">
      <c r="A529" s="60" t="s">
        <v>10</v>
      </c>
      <c r="B529" s="61">
        <v>18</v>
      </c>
      <c r="C529" s="60" t="s">
        <v>5</v>
      </c>
      <c r="D529" s="60">
        <v>43</v>
      </c>
      <c r="E529" s="62">
        <v>44123</v>
      </c>
      <c r="F529" s="63">
        <v>38</v>
      </c>
      <c r="G529" s="63">
        <v>10.73</v>
      </c>
      <c r="H529" s="64">
        <f t="shared" si="65"/>
        <v>0.2823684210526316</v>
      </c>
      <c r="I529" s="64">
        <f t="shared" si="61"/>
        <v>10.394355263157893</v>
      </c>
      <c r="J529" s="64"/>
    </row>
    <row r="530" spans="1:16" s="65" customFormat="1" x14ac:dyDescent="0.3">
      <c r="A530" s="60" t="s">
        <v>10</v>
      </c>
      <c r="B530" s="61">
        <v>19</v>
      </c>
      <c r="C530" s="60" t="s">
        <v>3</v>
      </c>
      <c r="D530" s="60">
        <v>43</v>
      </c>
      <c r="E530" s="62">
        <v>44123</v>
      </c>
      <c r="F530" s="63">
        <v>34</v>
      </c>
      <c r="G530" s="61">
        <v>7.05</v>
      </c>
      <c r="H530" s="64">
        <f t="shared" si="65"/>
        <v>0.20735294117647057</v>
      </c>
      <c r="I530" s="64">
        <f t="shared" si="61"/>
        <v>10.708632750397458</v>
      </c>
      <c r="J530" s="64"/>
    </row>
    <row r="531" spans="1:16" s="65" customFormat="1" hidden="1" x14ac:dyDescent="0.3">
      <c r="A531" s="60" t="s">
        <v>10</v>
      </c>
      <c r="B531" s="61">
        <v>20</v>
      </c>
      <c r="C531" s="60" t="s">
        <v>4</v>
      </c>
      <c r="D531" s="60">
        <v>43</v>
      </c>
      <c r="E531" s="62">
        <v>44123</v>
      </c>
      <c r="F531" s="63">
        <v>38</v>
      </c>
      <c r="G531" s="61">
        <v>11.13</v>
      </c>
      <c r="H531" s="64">
        <f t="shared" si="65"/>
        <v>0.29289473684210526</v>
      </c>
      <c r="I531" s="64">
        <f t="shared" si="61"/>
        <v>10.593894736842108</v>
      </c>
      <c r="J531" s="64"/>
    </row>
    <row r="532" spans="1:16" s="65" customFormat="1" hidden="1" x14ac:dyDescent="0.3">
      <c r="A532" s="60" t="s">
        <v>10</v>
      </c>
      <c r="B532" s="61">
        <v>21</v>
      </c>
      <c r="C532" s="60" t="s">
        <v>5</v>
      </c>
      <c r="D532" s="60">
        <v>43</v>
      </c>
      <c r="E532" s="62">
        <v>44123</v>
      </c>
      <c r="F532" s="63">
        <v>32</v>
      </c>
      <c r="G532" s="61">
        <v>12.65</v>
      </c>
      <c r="H532" s="64">
        <f t="shared" si="65"/>
        <v>0.39531250000000001</v>
      </c>
      <c r="I532" s="64">
        <f t="shared" si="61"/>
        <v>13.129861111111115</v>
      </c>
      <c r="J532" s="64"/>
    </row>
    <row r="533" spans="1:16" s="71" customFormat="1" x14ac:dyDescent="0.3">
      <c r="A533" s="67" t="s">
        <v>10</v>
      </c>
      <c r="B533" s="66">
        <v>22</v>
      </c>
      <c r="C533" s="67" t="s">
        <v>3</v>
      </c>
      <c r="D533" s="60">
        <v>43</v>
      </c>
      <c r="E533" s="68">
        <v>44123</v>
      </c>
      <c r="F533" s="69">
        <v>38</v>
      </c>
      <c r="G533" s="72">
        <v>13.36</v>
      </c>
      <c r="H533" s="70">
        <f t="shared" si="65"/>
        <v>0.35157894736842105</v>
      </c>
      <c r="I533" s="64">
        <f t="shared" si="61"/>
        <v>12.752368421052632</v>
      </c>
      <c r="J533" s="64"/>
    </row>
    <row r="534" spans="1:16" s="37" customFormat="1" hidden="1" x14ac:dyDescent="0.3">
      <c r="A534" s="38" t="s">
        <v>9</v>
      </c>
      <c r="B534" s="39">
        <v>2</v>
      </c>
      <c r="C534" s="38" t="s">
        <v>3</v>
      </c>
      <c r="D534" s="1">
        <v>44</v>
      </c>
      <c r="E534" s="40">
        <v>44130</v>
      </c>
      <c r="F534" s="41">
        <v>36</v>
      </c>
      <c r="G534" s="39">
        <v>12.87</v>
      </c>
      <c r="H534" s="42">
        <f t="shared" ref="H534:H542" si="66">G534/F534</f>
        <v>0.35749999999999998</v>
      </c>
      <c r="I534" s="14">
        <f t="shared" si="61"/>
        <v>15.708376068376069</v>
      </c>
      <c r="J534" s="86">
        <f>D534</f>
        <v>44</v>
      </c>
      <c r="K534" t="s">
        <v>45</v>
      </c>
      <c r="L534" t="s">
        <v>9</v>
      </c>
      <c r="M534" s="52">
        <f>AVERAGE(H534,H534,H537,H540)</f>
        <v>0.33006274131274127</v>
      </c>
      <c r="N534" s="55">
        <f>STDEV(H534,H534,H537,H540)</f>
        <v>4.8217582978711072E-2</v>
      </c>
      <c r="O534" s="52">
        <f>AVERAGE(I534,I534,I537,I540)</f>
        <v>15.514460234960236</v>
      </c>
      <c r="P534" s="55">
        <f>STDEV(I534,I534,I537,I540)</f>
        <v>0.36409447577088777</v>
      </c>
    </row>
    <row r="535" spans="1:16" hidden="1" x14ac:dyDescent="0.3">
      <c r="A535" s="1" t="s">
        <v>9</v>
      </c>
      <c r="B535" s="4">
        <v>3</v>
      </c>
      <c r="C535" s="1" t="s">
        <v>4</v>
      </c>
      <c r="D535" s="1">
        <v>44</v>
      </c>
      <c r="E535" s="3">
        <v>44130</v>
      </c>
      <c r="F535" s="2">
        <v>34</v>
      </c>
      <c r="G535" s="4">
        <v>15.76</v>
      </c>
      <c r="H535" s="14">
        <f t="shared" si="66"/>
        <v>0.46352941176470586</v>
      </c>
      <c r="I535" s="14">
        <f t="shared" si="61"/>
        <v>15.565310015898252</v>
      </c>
      <c r="J535" s="86"/>
      <c r="K535" t="s">
        <v>46</v>
      </c>
      <c r="L535" t="s">
        <v>9</v>
      </c>
      <c r="M535" s="52">
        <f>AVERAGE(H535,H535,H538,H541)</f>
        <v>0.3898521683448154</v>
      </c>
      <c r="N535" s="55">
        <f>STDEV(H535,H535,H538,H541)</f>
        <v>9.4636907910006104E-2</v>
      </c>
      <c r="O535" s="52">
        <f>AVERAGE(I535,I535,I538,I541)</f>
        <v>14.885498476417593</v>
      </c>
      <c r="P535" s="55">
        <f>STDEV(I535,I535,I538,I541)</f>
        <v>0.89807274257906156</v>
      </c>
    </row>
    <row r="536" spans="1:16" hidden="1" x14ac:dyDescent="0.3">
      <c r="A536" s="1" t="s">
        <v>9</v>
      </c>
      <c r="B536" s="4">
        <v>4</v>
      </c>
      <c r="C536" s="1" t="s">
        <v>5</v>
      </c>
      <c r="D536" s="1">
        <v>44</v>
      </c>
      <c r="E536" s="3">
        <v>44130</v>
      </c>
      <c r="F536" s="2">
        <v>37</v>
      </c>
      <c r="G536" s="4">
        <v>14.36</v>
      </c>
      <c r="H536" s="14">
        <f t="shared" si="66"/>
        <v>0.38810810810810809</v>
      </c>
      <c r="I536" s="14">
        <f t="shared" si="61"/>
        <v>14.570270270270271</v>
      </c>
      <c r="J536" s="86"/>
      <c r="K536" t="s">
        <v>47</v>
      </c>
      <c r="L536" t="s">
        <v>9</v>
      </c>
      <c r="M536" s="52">
        <f>AVERAGE(H536,H536,H539,H542)</f>
        <v>0.33470818939239994</v>
      </c>
      <c r="N536" s="55">
        <f>STDEV(H536,H536,H539,H542)</f>
        <v>6.6915586291786205E-2</v>
      </c>
      <c r="O536" s="52">
        <f>AVERAGE(I536,I536,I539,I542)</f>
        <v>14.54393898597846</v>
      </c>
      <c r="P536" s="55">
        <f>STDEV(I536,I536,I539,I542)</f>
        <v>0.27625944724089119</v>
      </c>
    </row>
    <row r="537" spans="1:16" hidden="1" x14ac:dyDescent="0.3">
      <c r="A537" s="1" t="s">
        <v>9</v>
      </c>
      <c r="B537" s="4">
        <v>5</v>
      </c>
      <c r="C537" s="1" t="s">
        <v>3</v>
      </c>
      <c r="D537" s="1">
        <v>44</v>
      </c>
      <c r="E537" s="3">
        <v>44130</v>
      </c>
      <c r="F537" s="2">
        <v>35</v>
      </c>
      <c r="G537" s="4">
        <v>12.15</v>
      </c>
      <c r="H537" s="14">
        <f t="shared" si="66"/>
        <v>0.34714285714285714</v>
      </c>
      <c r="I537" s="14">
        <f t="shared" si="61"/>
        <v>15.672169884169882</v>
      </c>
      <c r="J537" s="86"/>
      <c r="K537" t="s">
        <v>45</v>
      </c>
      <c r="L537" s="60" t="s">
        <v>10</v>
      </c>
      <c r="M537" s="52">
        <f>AVERAGE(H543,H543,H546,H549)</f>
        <v>0.24599080882352942</v>
      </c>
      <c r="N537" s="55">
        <f>STDEV(H543,H543,H546,H549)</f>
        <v>4.7127358612834125E-2</v>
      </c>
      <c r="O537" s="52">
        <f>AVERAGE(I543,I543,I546,I549)</f>
        <v>11.489898996422891</v>
      </c>
      <c r="P537" s="55">
        <f>STDEV(I543,I543,I546,I549)</f>
        <v>0.91447646240821168</v>
      </c>
    </row>
    <row r="538" spans="1:16" hidden="1" x14ac:dyDescent="0.3">
      <c r="A538" s="1" t="s">
        <v>9</v>
      </c>
      <c r="B538" s="4">
        <v>6</v>
      </c>
      <c r="C538" s="1" t="s">
        <v>4</v>
      </c>
      <c r="D538" s="1">
        <v>44</v>
      </c>
      <c r="E538" s="3">
        <v>44130</v>
      </c>
      <c r="F538" s="2">
        <v>37</v>
      </c>
      <c r="G538" s="2">
        <v>9.82</v>
      </c>
      <c r="H538" s="14">
        <f t="shared" si="66"/>
        <v>0.26540540540540541</v>
      </c>
      <c r="I538" s="14">
        <f t="shared" si="61"/>
        <v>13.671351351351349</v>
      </c>
      <c r="J538" s="86"/>
      <c r="K538" t="s">
        <v>46</v>
      </c>
      <c r="L538" s="60" t="s">
        <v>10</v>
      </c>
      <c r="M538" s="52">
        <f>AVERAGE(H544,H544,H547,H550)</f>
        <v>0.21577689628482971</v>
      </c>
      <c r="N538" s="55">
        <f>STDEV(H544,H544,H547,H550)</f>
        <v>7.4026400578778906E-2</v>
      </c>
      <c r="O538" s="52">
        <f>AVERAGE(I544,I544,I547,I550)</f>
        <v>10.606071078431373</v>
      </c>
      <c r="P538" s="55">
        <f>STDEV(I544,I544,I547,I550)</f>
        <v>0.53730248497316047</v>
      </c>
    </row>
    <row r="539" spans="1:16" hidden="1" x14ac:dyDescent="0.3">
      <c r="A539" s="1" t="s">
        <v>9</v>
      </c>
      <c r="B539" s="4">
        <v>7</v>
      </c>
      <c r="C539" s="1" t="s">
        <v>5</v>
      </c>
      <c r="D539" s="1">
        <v>44</v>
      </c>
      <c r="E539" s="3">
        <v>44130</v>
      </c>
      <c r="F539" s="2">
        <v>35</v>
      </c>
      <c r="G539" s="2">
        <v>10.96</v>
      </c>
      <c r="H539" s="14">
        <f t="shared" si="66"/>
        <v>0.31314285714285717</v>
      </c>
      <c r="I539" s="14">
        <f t="shared" si="61"/>
        <v>14.853899613899614</v>
      </c>
      <c r="J539" s="86"/>
      <c r="K539" t="s">
        <v>47</v>
      </c>
      <c r="L539" s="60" t="s">
        <v>10</v>
      </c>
      <c r="M539" s="52">
        <f>AVERAGE(H545,H545,H548,H551)</f>
        <v>0.2808613721804511</v>
      </c>
      <c r="N539" s="55">
        <f>STDEV(H545,H545,H548,H551)</f>
        <v>4.521709854310859E-2</v>
      </c>
      <c r="O539" s="52">
        <f>AVERAGE(I545,I545,I548,I551)</f>
        <v>10.966520728905596</v>
      </c>
      <c r="P539" s="55">
        <f>STDEV(I545,I545,I548,I551)</f>
        <v>1.7161456935867792</v>
      </c>
    </row>
    <row r="540" spans="1:16" hidden="1" x14ac:dyDescent="0.3">
      <c r="A540" s="1" t="s">
        <v>9</v>
      </c>
      <c r="B540" s="4">
        <v>8</v>
      </c>
      <c r="C540" s="1" t="s">
        <v>3</v>
      </c>
      <c r="D540" s="1">
        <v>44</v>
      </c>
      <c r="E540" s="3">
        <v>44130</v>
      </c>
      <c r="F540" s="2">
        <v>37</v>
      </c>
      <c r="G540" s="4">
        <v>9.5500000000000007</v>
      </c>
      <c r="H540" s="14">
        <f t="shared" si="66"/>
        <v>0.25810810810810814</v>
      </c>
      <c r="I540" s="14">
        <f t="shared" si="61"/>
        <v>14.968918918918922</v>
      </c>
      <c r="J540" s="14"/>
    </row>
    <row r="541" spans="1:16" hidden="1" x14ac:dyDescent="0.3">
      <c r="A541" s="1" t="s">
        <v>9</v>
      </c>
      <c r="B541" s="4">
        <v>9</v>
      </c>
      <c r="C541" s="1" t="s">
        <v>4</v>
      </c>
      <c r="D541" s="1">
        <v>44</v>
      </c>
      <c r="E541" s="3">
        <v>44130</v>
      </c>
      <c r="F541" s="2">
        <v>36</v>
      </c>
      <c r="G541" s="4">
        <v>13.21</v>
      </c>
      <c r="H541" s="14">
        <f t="shared" si="66"/>
        <v>0.36694444444444446</v>
      </c>
      <c r="I541" s="14">
        <f t="shared" si="61"/>
        <v>14.740022522522523</v>
      </c>
      <c r="J541" s="14"/>
    </row>
    <row r="542" spans="1:16" s="37" customFormat="1" hidden="1" x14ac:dyDescent="0.3">
      <c r="A542" s="38" t="s">
        <v>9</v>
      </c>
      <c r="B542" s="39">
        <v>10</v>
      </c>
      <c r="C542" s="38" t="s">
        <v>5</v>
      </c>
      <c r="D542" s="1">
        <v>44</v>
      </c>
      <c r="E542" s="40">
        <v>44130</v>
      </c>
      <c r="F542" s="41">
        <v>38</v>
      </c>
      <c r="G542" s="39">
        <v>9.48</v>
      </c>
      <c r="H542" s="42">
        <f t="shared" si="66"/>
        <v>0.24947368421052632</v>
      </c>
      <c r="I542" s="14">
        <f t="shared" si="61"/>
        <v>14.181315789473686</v>
      </c>
      <c r="J542" s="14"/>
    </row>
    <row r="543" spans="1:16" s="71" customFormat="1" x14ac:dyDescent="0.3">
      <c r="A543" s="67" t="s">
        <v>10</v>
      </c>
      <c r="B543" s="66">
        <v>13</v>
      </c>
      <c r="C543" s="67" t="s">
        <v>3</v>
      </c>
      <c r="D543" s="60">
        <v>44</v>
      </c>
      <c r="E543" s="68">
        <v>44130</v>
      </c>
      <c r="F543" s="69">
        <v>32</v>
      </c>
      <c r="G543" s="66">
        <v>9.07</v>
      </c>
      <c r="H543" s="70">
        <f t="shared" ref="H543:H552" si="67">G543/F543</f>
        <v>0.28343750000000001</v>
      </c>
      <c r="I543" s="64">
        <f t="shared" si="61"/>
        <v>12.270937499999995</v>
      </c>
      <c r="J543" s="64"/>
    </row>
    <row r="544" spans="1:16" s="65" customFormat="1" hidden="1" x14ac:dyDescent="0.3">
      <c r="A544" s="60" t="s">
        <v>10</v>
      </c>
      <c r="B544" s="61">
        <v>14</v>
      </c>
      <c r="C544" s="60" t="s">
        <v>4</v>
      </c>
      <c r="D544" s="60">
        <v>44</v>
      </c>
      <c r="E544" s="62">
        <v>44130</v>
      </c>
      <c r="F544" s="63">
        <v>32</v>
      </c>
      <c r="G544" s="61">
        <v>4.9000000000000004</v>
      </c>
      <c r="H544" s="64">
        <f t="shared" si="67"/>
        <v>0.15312500000000001</v>
      </c>
      <c r="I544" s="64">
        <f t="shared" si="61"/>
        <v>10.162083333333333</v>
      </c>
      <c r="J544" s="64"/>
    </row>
    <row r="545" spans="1:10" s="65" customFormat="1" hidden="1" x14ac:dyDescent="0.3">
      <c r="A545" s="60" t="s">
        <v>10</v>
      </c>
      <c r="B545" s="61">
        <v>15</v>
      </c>
      <c r="C545" s="60" t="s">
        <v>5</v>
      </c>
      <c r="D545" s="60">
        <v>44</v>
      </c>
      <c r="E545" s="62">
        <v>44130</v>
      </c>
      <c r="F545" s="63">
        <v>35</v>
      </c>
      <c r="G545" s="61">
        <v>8.77</v>
      </c>
      <c r="H545" s="64">
        <f t="shared" si="67"/>
        <v>0.25057142857142856</v>
      </c>
      <c r="I545" s="64">
        <f t="shared" si="61"/>
        <v>9.8597819548872163</v>
      </c>
      <c r="J545" s="64"/>
    </row>
    <row r="546" spans="1:10" s="65" customFormat="1" x14ac:dyDescent="0.3">
      <c r="A546" s="60" t="s">
        <v>10</v>
      </c>
      <c r="B546" s="61">
        <v>16</v>
      </c>
      <c r="C546" s="60" t="s">
        <v>3</v>
      </c>
      <c r="D546" s="60">
        <v>44</v>
      </c>
      <c r="E546" s="62">
        <v>44130</v>
      </c>
      <c r="F546" s="63">
        <v>40</v>
      </c>
      <c r="G546" s="61">
        <v>9.26</v>
      </c>
      <c r="H546" s="64">
        <f t="shared" si="67"/>
        <v>0.23149999999999998</v>
      </c>
      <c r="I546" s="64">
        <f t="shared" si="61"/>
        <v>10.5235</v>
      </c>
      <c r="J546" s="64"/>
    </row>
    <row r="547" spans="1:10" s="65" customFormat="1" hidden="1" x14ac:dyDescent="0.3">
      <c r="A547" s="60" t="s">
        <v>10</v>
      </c>
      <c r="B547" s="61">
        <v>17</v>
      </c>
      <c r="C547" s="60" t="s">
        <v>4</v>
      </c>
      <c r="D547" s="60">
        <v>44</v>
      </c>
      <c r="E547" s="62">
        <v>44130</v>
      </c>
      <c r="F547" s="63">
        <v>34</v>
      </c>
      <c r="G547" s="63">
        <v>10.119999999999999</v>
      </c>
      <c r="H547" s="64">
        <f t="shared" si="67"/>
        <v>0.29764705882352938</v>
      </c>
      <c r="I547" s="64">
        <f t="shared" si="61"/>
        <v>11.247012383900929</v>
      </c>
      <c r="J547" s="64"/>
    </row>
    <row r="548" spans="1:10" s="65" customFormat="1" hidden="1" x14ac:dyDescent="0.3">
      <c r="A548" s="60" t="s">
        <v>10</v>
      </c>
      <c r="B548" s="61">
        <v>18</v>
      </c>
      <c r="C548" s="60" t="s">
        <v>5</v>
      </c>
      <c r="D548" s="60">
        <v>44</v>
      </c>
      <c r="E548" s="62">
        <v>44130</v>
      </c>
      <c r="F548" s="63">
        <v>38</v>
      </c>
      <c r="G548" s="63">
        <v>10.49</v>
      </c>
      <c r="H548" s="64">
        <f t="shared" si="67"/>
        <v>0.27605263157894738</v>
      </c>
      <c r="I548" s="64">
        <f t="shared" si="61"/>
        <v>10.67040789473684</v>
      </c>
      <c r="J548" s="64"/>
    </row>
    <row r="549" spans="1:10" s="65" customFormat="1" x14ac:dyDescent="0.3">
      <c r="A549" s="60" t="s">
        <v>10</v>
      </c>
      <c r="B549" s="61">
        <v>19</v>
      </c>
      <c r="C549" s="60" t="s">
        <v>3</v>
      </c>
      <c r="D549" s="60">
        <v>44</v>
      </c>
      <c r="E549" s="62">
        <v>44130</v>
      </c>
      <c r="F549" s="63">
        <v>34</v>
      </c>
      <c r="G549" s="61">
        <v>6.31</v>
      </c>
      <c r="H549" s="64">
        <f t="shared" si="67"/>
        <v>0.18558823529411764</v>
      </c>
      <c r="I549" s="64">
        <f t="shared" si="61"/>
        <v>10.894220985691575</v>
      </c>
      <c r="J549" s="64"/>
    </row>
    <row r="550" spans="1:10" s="65" customFormat="1" hidden="1" x14ac:dyDescent="0.3">
      <c r="A550" s="60" t="s">
        <v>10</v>
      </c>
      <c r="B550" s="61">
        <v>20</v>
      </c>
      <c r="C550" s="60" t="s">
        <v>4</v>
      </c>
      <c r="D550" s="60">
        <v>44</v>
      </c>
      <c r="E550" s="62">
        <v>44130</v>
      </c>
      <c r="F550" s="63">
        <v>38</v>
      </c>
      <c r="G550" s="61">
        <v>9.85</v>
      </c>
      <c r="H550" s="64">
        <f t="shared" si="67"/>
        <v>0.25921052631578945</v>
      </c>
      <c r="I550" s="64">
        <f t="shared" si="61"/>
        <v>10.853105263157897</v>
      </c>
      <c r="J550" s="64"/>
    </row>
    <row r="551" spans="1:10" s="65" customFormat="1" hidden="1" x14ac:dyDescent="0.3">
      <c r="A551" s="60" t="s">
        <v>10</v>
      </c>
      <c r="B551" s="61">
        <v>21</v>
      </c>
      <c r="C551" s="60" t="s">
        <v>5</v>
      </c>
      <c r="D551" s="60">
        <v>44</v>
      </c>
      <c r="E551" s="62">
        <v>44130</v>
      </c>
      <c r="F551" s="63">
        <v>32</v>
      </c>
      <c r="G551" s="61">
        <v>11.08</v>
      </c>
      <c r="H551" s="64">
        <f t="shared" si="67"/>
        <v>0.34625</v>
      </c>
      <c r="I551" s="64">
        <f t="shared" si="61"/>
        <v>13.476111111111114</v>
      </c>
      <c r="J551" s="64"/>
    </row>
    <row r="552" spans="1:10" s="71" customFormat="1" x14ac:dyDescent="0.3">
      <c r="A552" s="67" t="s">
        <v>10</v>
      </c>
      <c r="B552" s="66">
        <v>22</v>
      </c>
      <c r="C552" s="67" t="s">
        <v>3</v>
      </c>
      <c r="D552" s="60">
        <v>44</v>
      </c>
      <c r="E552" s="68">
        <v>44130</v>
      </c>
      <c r="F552" s="69">
        <v>38</v>
      </c>
      <c r="G552" s="72">
        <v>12.92</v>
      </c>
      <c r="H552" s="70">
        <f t="shared" si="67"/>
        <v>0.34</v>
      </c>
      <c r="I552" s="64">
        <f t="shared" ref="I552" si="68">I533+H552</f>
        <v>13.092368421052631</v>
      </c>
      <c r="J552" s="64"/>
    </row>
  </sheetData>
  <autoFilter ref="A1:I552" xr:uid="{00000000-0001-0000-0100-000000000000}">
    <filterColumn colId="0">
      <filters>
        <filter val="Kollektor"/>
      </filters>
    </filterColumn>
    <filterColumn colId="2">
      <filters>
        <filter val="Steinwolle"/>
      </filters>
    </filterColumn>
  </autoFilter>
  <mergeCells count="31">
    <mergeCell ref="J173:J178"/>
    <mergeCell ref="J2:J7"/>
    <mergeCell ref="M1:N1"/>
    <mergeCell ref="O1:P1"/>
    <mergeCell ref="J21:J26"/>
    <mergeCell ref="J40:J45"/>
    <mergeCell ref="J59:J64"/>
    <mergeCell ref="J78:J83"/>
    <mergeCell ref="J97:J102"/>
    <mergeCell ref="J116:J121"/>
    <mergeCell ref="J135:J140"/>
    <mergeCell ref="J154:J159"/>
    <mergeCell ref="J401:J406"/>
    <mergeCell ref="J192:J197"/>
    <mergeCell ref="J211:J216"/>
    <mergeCell ref="J230:J235"/>
    <mergeCell ref="J249:J254"/>
    <mergeCell ref="J268:J273"/>
    <mergeCell ref="J287:J292"/>
    <mergeCell ref="J306:J311"/>
    <mergeCell ref="J325:J330"/>
    <mergeCell ref="J344:J349"/>
    <mergeCell ref="J363:J368"/>
    <mergeCell ref="J382:J387"/>
    <mergeCell ref="J534:J539"/>
    <mergeCell ref="J420:J425"/>
    <mergeCell ref="J439:J444"/>
    <mergeCell ref="J458:J463"/>
    <mergeCell ref="J477:J482"/>
    <mergeCell ref="J496:J501"/>
    <mergeCell ref="J515:J520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4"/>
  <sheetViews>
    <sheetView topLeftCell="A31" zoomScaleNormal="100" workbookViewId="0">
      <selection activeCell="E46" sqref="E46"/>
    </sheetView>
  </sheetViews>
  <sheetFormatPr baseColWidth="10" defaultRowHeight="14.4" x14ac:dyDescent="0.3"/>
  <cols>
    <col min="4" max="4" width="13.44140625" bestFit="1" customWidth="1"/>
    <col min="5" max="5" width="17.21875" bestFit="1" customWidth="1"/>
  </cols>
  <sheetData>
    <row r="1" spans="1:11" x14ac:dyDescent="0.3">
      <c r="A1" s="1" t="s">
        <v>8</v>
      </c>
      <c r="B1" s="1" t="s">
        <v>0</v>
      </c>
      <c r="C1" s="1" t="s">
        <v>7</v>
      </c>
      <c r="D1" s="1" t="s">
        <v>20</v>
      </c>
      <c r="E1" s="1" t="s">
        <v>21</v>
      </c>
      <c r="F1" s="1"/>
      <c r="G1" s="1"/>
      <c r="H1" s="1" t="s">
        <v>20</v>
      </c>
      <c r="I1" s="1" t="s">
        <v>20</v>
      </c>
      <c r="J1" s="1" t="s">
        <v>21</v>
      </c>
      <c r="K1" s="1" t="s">
        <v>21</v>
      </c>
    </row>
    <row r="2" spans="1:11" x14ac:dyDescent="0.3">
      <c r="A2" s="44">
        <v>2</v>
      </c>
      <c r="B2" s="44" t="s">
        <v>3</v>
      </c>
      <c r="C2" s="44" t="s">
        <v>9</v>
      </c>
      <c r="D2" s="44">
        <v>37</v>
      </c>
      <c r="E2" s="47">
        <v>11.8</v>
      </c>
      <c r="H2" s="1" t="s">
        <v>22</v>
      </c>
      <c r="I2" s="1" t="s">
        <v>22</v>
      </c>
      <c r="J2" s="1" t="s">
        <v>22</v>
      </c>
      <c r="K2" s="1" t="s">
        <v>22</v>
      </c>
    </row>
    <row r="3" spans="1:11" x14ac:dyDescent="0.3">
      <c r="A3" s="44">
        <v>2</v>
      </c>
      <c r="B3" s="44" t="s">
        <v>3</v>
      </c>
      <c r="C3" s="44" t="s">
        <v>9</v>
      </c>
      <c r="D3" s="44">
        <v>31</v>
      </c>
      <c r="E3" s="47">
        <v>11.1</v>
      </c>
    </row>
    <row r="4" spans="1:11" x14ac:dyDescent="0.3">
      <c r="A4" s="44">
        <v>2</v>
      </c>
      <c r="B4" s="44" t="s">
        <v>3</v>
      </c>
      <c r="C4" s="44" t="s">
        <v>9</v>
      </c>
      <c r="D4" s="44">
        <v>34</v>
      </c>
      <c r="E4" s="47">
        <v>11.45</v>
      </c>
      <c r="K4" s="57"/>
    </row>
    <row r="5" spans="1:11" x14ac:dyDescent="0.3">
      <c r="A5" s="44">
        <v>2</v>
      </c>
      <c r="B5" s="44" t="s">
        <v>3</v>
      </c>
      <c r="C5" s="44" t="s">
        <v>9</v>
      </c>
      <c r="D5" s="44">
        <v>36</v>
      </c>
      <c r="E5" s="47">
        <v>11.9</v>
      </c>
      <c r="F5" t="s">
        <v>3</v>
      </c>
      <c r="G5" t="s">
        <v>23</v>
      </c>
      <c r="H5" s="51">
        <f>AVERAGE(D2:D5)</f>
        <v>34.5</v>
      </c>
      <c r="I5" s="54">
        <f>STDEV(D2:D5)</f>
        <v>2.6457513110645907</v>
      </c>
      <c r="J5" s="51">
        <f>AVERAGE(E2:E5)</f>
        <v>11.562499999999998</v>
      </c>
      <c r="K5" s="54">
        <f>STDEV(E2:E5)</f>
        <v>0.36371921404658702</v>
      </c>
    </row>
    <row r="6" spans="1:11" x14ac:dyDescent="0.3">
      <c r="A6" s="45">
        <v>3</v>
      </c>
      <c r="B6" s="45" t="s">
        <v>4</v>
      </c>
      <c r="C6" s="45" t="s">
        <v>9</v>
      </c>
      <c r="D6" s="45">
        <v>34</v>
      </c>
      <c r="E6" s="48">
        <v>11.5</v>
      </c>
      <c r="G6" t="s">
        <v>24</v>
      </c>
      <c r="H6" s="51">
        <f>AVERAGE(D14:D17)</f>
        <v>37.5</v>
      </c>
      <c r="I6" s="54">
        <f>STDEV(D14:D17)</f>
        <v>0.57735026918962573</v>
      </c>
      <c r="J6" s="51">
        <f>AVERAGE(E14:E17)</f>
        <v>11.862500000000001</v>
      </c>
      <c r="K6" s="54">
        <f>STDEV(E14:E17)</f>
        <v>4.7871355387816818E-2</v>
      </c>
    </row>
    <row r="7" spans="1:11" x14ac:dyDescent="0.3">
      <c r="A7" s="45">
        <v>3</v>
      </c>
      <c r="B7" s="45" t="s">
        <v>4</v>
      </c>
      <c r="C7" s="45" t="s">
        <v>9</v>
      </c>
      <c r="D7" s="45">
        <v>34</v>
      </c>
      <c r="E7" s="48">
        <v>11.35</v>
      </c>
      <c r="G7" t="s">
        <v>28</v>
      </c>
      <c r="H7" s="51">
        <f>AVERAGE(D26:D29)</f>
        <v>35.75</v>
      </c>
      <c r="I7" s="54">
        <f>STDEV(D26:D29)</f>
        <v>1.707825127659933</v>
      </c>
      <c r="J7" s="51">
        <f>AVERAGE(E26:E29)</f>
        <v>11.299999999999999</v>
      </c>
      <c r="K7" s="54">
        <f>STDEV(E26:E29)</f>
        <v>0.23452078799117115</v>
      </c>
    </row>
    <row r="8" spans="1:11" x14ac:dyDescent="0.3">
      <c r="A8" s="45">
        <v>3</v>
      </c>
      <c r="B8" s="45" t="s">
        <v>4</v>
      </c>
      <c r="C8" s="45" t="s">
        <v>9</v>
      </c>
      <c r="D8" s="45">
        <v>36</v>
      </c>
      <c r="E8" s="48">
        <v>11.75</v>
      </c>
      <c r="H8" s="52"/>
      <c r="I8" s="55"/>
      <c r="J8" s="52"/>
      <c r="K8" s="55"/>
    </row>
    <row r="9" spans="1:11" x14ac:dyDescent="0.3">
      <c r="A9" s="45">
        <v>3</v>
      </c>
      <c r="B9" s="45" t="s">
        <v>4</v>
      </c>
      <c r="C9" s="45" t="s">
        <v>9</v>
      </c>
      <c r="D9" s="45">
        <v>35</v>
      </c>
      <c r="E9" s="48">
        <v>11.25</v>
      </c>
      <c r="F9" t="s">
        <v>4</v>
      </c>
      <c r="G9" t="s">
        <v>25</v>
      </c>
      <c r="H9" s="53">
        <f>AVERAGE(D6:D9)</f>
        <v>34.75</v>
      </c>
      <c r="I9" s="56">
        <f>STDEV(D6:D9)</f>
        <v>0.9574271077563381</v>
      </c>
      <c r="J9" s="53">
        <f>AVERAGE(E6:E9)</f>
        <v>11.4625</v>
      </c>
      <c r="K9" s="56">
        <f>STDEV(E6:E9)</f>
        <v>0.21746647251166487</v>
      </c>
    </row>
    <row r="10" spans="1:11" x14ac:dyDescent="0.3">
      <c r="A10" s="46">
        <v>4</v>
      </c>
      <c r="B10" s="46" t="s">
        <v>5</v>
      </c>
      <c r="C10" s="46" t="s">
        <v>9</v>
      </c>
      <c r="D10" s="46">
        <v>35</v>
      </c>
      <c r="E10" s="49">
        <v>11.1</v>
      </c>
      <c r="G10" t="s">
        <v>29</v>
      </c>
      <c r="H10" s="53">
        <f>AVERAGE(D18:D21)</f>
        <v>34.75</v>
      </c>
      <c r="I10" s="56">
        <f>STDEV(D18:D21)</f>
        <v>1.707825127659933</v>
      </c>
      <c r="J10" s="53">
        <f>AVERAGE(E18:E21)</f>
        <v>11.5</v>
      </c>
      <c r="K10" s="56">
        <f>STDEV(E18:E21)</f>
        <v>0.34880749227427238</v>
      </c>
    </row>
    <row r="11" spans="1:11" x14ac:dyDescent="0.3">
      <c r="A11" s="46">
        <v>4</v>
      </c>
      <c r="B11" s="46" t="s">
        <v>5</v>
      </c>
      <c r="C11" s="46" t="s">
        <v>9</v>
      </c>
      <c r="D11" s="46">
        <v>37</v>
      </c>
      <c r="E11" s="49">
        <v>12</v>
      </c>
      <c r="G11" t="s">
        <v>27</v>
      </c>
      <c r="H11" s="53">
        <f>AVERAGE(D30:D33)</f>
        <v>36.5</v>
      </c>
      <c r="I11" s="56">
        <f>STDEV(D30:D33)</f>
        <v>2.5166114784235831</v>
      </c>
      <c r="J11" s="53">
        <f>AVERAGE(E30:E33)</f>
        <v>11.637500000000001</v>
      </c>
      <c r="K11" s="56">
        <f>STDEV(E30:E33)</f>
        <v>0.44229515032385297</v>
      </c>
    </row>
    <row r="12" spans="1:11" x14ac:dyDescent="0.3">
      <c r="A12" s="46">
        <v>4</v>
      </c>
      <c r="B12" s="46" t="s">
        <v>5</v>
      </c>
      <c r="C12" s="46" t="s">
        <v>9</v>
      </c>
      <c r="D12" s="46">
        <v>39</v>
      </c>
      <c r="E12" s="49">
        <v>12.3</v>
      </c>
      <c r="H12" s="52"/>
      <c r="I12" s="57"/>
      <c r="J12" s="52"/>
      <c r="K12" s="57"/>
    </row>
    <row r="13" spans="1:11" x14ac:dyDescent="0.3">
      <c r="A13" s="46">
        <v>4</v>
      </c>
      <c r="B13" s="46" t="s">
        <v>5</v>
      </c>
      <c r="C13" s="46" t="s">
        <v>9</v>
      </c>
      <c r="D13" s="46">
        <v>39</v>
      </c>
      <c r="E13" s="49">
        <v>12.1</v>
      </c>
      <c r="F13" t="s">
        <v>5</v>
      </c>
      <c r="G13" t="s">
        <v>30</v>
      </c>
      <c r="H13" s="50">
        <f>AVERAGE(D10:D13)</f>
        <v>37.5</v>
      </c>
      <c r="I13" s="58">
        <f>STDEV(D10:D13)</f>
        <v>1.9148542155126762</v>
      </c>
      <c r="J13" s="50">
        <f>AVERAGE(E10:E13)</f>
        <v>11.875000000000002</v>
      </c>
      <c r="K13" s="58">
        <f>STDEV(E10:E13)</f>
        <v>0.53150729063673285</v>
      </c>
    </row>
    <row r="14" spans="1:11" x14ac:dyDescent="0.3">
      <c r="A14" s="44">
        <v>5</v>
      </c>
      <c r="B14" s="44" t="s">
        <v>3</v>
      </c>
      <c r="C14" s="44" t="s">
        <v>9</v>
      </c>
      <c r="D14" s="44">
        <v>38</v>
      </c>
      <c r="E14" s="47">
        <v>11.9</v>
      </c>
      <c r="G14" t="s">
        <v>26</v>
      </c>
      <c r="H14" s="50">
        <f>AVERAGE(D22:D25)</f>
        <v>34.25</v>
      </c>
      <c r="I14" s="58">
        <f>STDEV(D22:D25)</f>
        <v>0.9574271077563381</v>
      </c>
      <c r="J14" s="50">
        <f>AVERAGE(E22:E25)</f>
        <v>11.4</v>
      </c>
      <c r="K14" s="58">
        <f>STDEV(E22:E25)</f>
        <v>0.32914029430219188</v>
      </c>
    </row>
    <row r="15" spans="1:11" x14ac:dyDescent="0.3">
      <c r="A15" s="44">
        <v>5</v>
      </c>
      <c r="B15" s="44" t="s">
        <v>3</v>
      </c>
      <c r="C15" s="44" t="s">
        <v>9</v>
      </c>
      <c r="D15" s="44">
        <v>37</v>
      </c>
      <c r="E15" s="47">
        <v>11.8</v>
      </c>
      <c r="G15" t="s">
        <v>31</v>
      </c>
      <c r="H15" s="50">
        <f>AVERAGE(D34:D37)</f>
        <v>34.25</v>
      </c>
      <c r="I15" s="58">
        <f>STDEV(D34:D37)</f>
        <v>1.5</v>
      </c>
      <c r="J15" s="50">
        <f>AVERAGE(E34:E37)</f>
        <v>11.587499999999999</v>
      </c>
      <c r="K15" s="58">
        <f>STDEV(E34:E37)</f>
        <v>0.50723925978443996</v>
      </c>
    </row>
    <row r="16" spans="1:11" x14ac:dyDescent="0.3">
      <c r="A16" s="44">
        <v>5</v>
      </c>
      <c r="B16" s="44" t="s">
        <v>3</v>
      </c>
      <c r="C16" s="44" t="s">
        <v>9</v>
      </c>
      <c r="D16" s="44">
        <v>38</v>
      </c>
      <c r="E16" s="47">
        <v>11.9</v>
      </c>
      <c r="H16" s="52"/>
      <c r="I16" s="57"/>
      <c r="J16" s="52"/>
      <c r="K16" s="57"/>
    </row>
    <row r="17" spans="1:11" x14ac:dyDescent="0.3">
      <c r="A17" s="44">
        <v>5</v>
      </c>
      <c r="B17" s="44" t="s">
        <v>3</v>
      </c>
      <c r="C17" s="44" t="s">
        <v>9</v>
      </c>
      <c r="D17" s="44">
        <v>37</v>
      </c>
      <c r="E17" s="47">
        <v>11.85</v>
      </c>
      <c r="H17" s="52"/>
      <c r="I17" s="57"/>
      <c r="J17" s="52"/>
      <c r="K17" s="57"/>
    </row>
    <row r="18" spans="1:11" x14ac:dyDescent="0.3">
      <c r="A18" s="45">
        <v>6</v>
      </c>
      <c r="B18" s="45" t="s">
        <v>4</v>
      </c>
      <c r="C18" s="45" t="s">
        <v>9</v>
      </c>
      <c r="D18" s="45">
        <v>34</v>
      </c>
      <c r="E18" s="48">
        <v>11.25</v>
      </c>
      <c r="F18" s="44" t="s">
        <v>3</v>
      </c>
      <c r="G18" t="s">
        <v>9</v>
      </c>
      <c r="H18" s="51">
        <f>AVERAGE(D2:D5,D14:D17,D26:D29)</f>
        <v>35.916666666666664</v>
      </c>
      <c r="I18" s="54">
        <f>STDEV(D2:D5,D14:D17,D26:D29)</f>
        <v>2.1087839379532691</v>
      </c>
      <c r="J18" s="51">
        <f>AVERAGE(E2:E5,E14:E17,E26:E29)</f>
        <v>11.574999999999998</v>
      </c>
      <c r="K18" s="54">
        <f>STDEV(E2:E5,E14:E17,E26:E29)</f>
        <v>0.33063300170760623</v>
      </c>
    </row>
    <row r="19" spans="1:11" x14ac:dyDescent="0.3">
      <c r="A19" s="45">
        <v>6</v>
      </c>
      <c r="B19" s="45" t="s">
        <v>4</v>
      </c>
      <c r="C19" s="45" t="s">
        <v>9</v>
      </c>
      <c r="D19" s="45">
        <v>37</v>
      </c>
      <c r="E19" s="48">
        <v>11.95</v>
      </c>
      <c r="F19" s="45" t="s">
        <v>4</v>
      </c>
      <c r="G19" t="s">
        <v>9</v>
      </c>
      <c r="H19" s="53">
        <f>AVERAGE(D6:D9,D18:D21,D30:D33)</f>
        <v>35.333333333333336</v>
      </c>
      <c r="I19" s="56">
        <f>STDEV(D6:D9,D18:D21,D30:D33)</f>
        <v>1.8748737331221843</v>
      </c>
      <c r="J19" s="53">
        <f>AVERAGE(E6:E9,E18:E21,E30:E33)</f>
        <v>11.533333333333331</v>
      </c>
      <c r="K19" s="56">
        <f>STDEV(E6:E9,E18:E21,E30:E33)</f>
        <v>0.32497086116459817</v>
      </c>
    </row>
    <row r="20" spans="1:11" x14ac:dyDescent="0.3">
      <c r="A20" s="45">
        <v>6</v>
      </c>
      <c r="B20" s="45" t="s">
        <v>4</v>
      </c>
      <c r="C20" s="45" t="s">
        <v>9</v>
      </c>
      <c r="D20" s="45">
        <v>35</v>
      </c>
      <c r="E20" s="48">
        <v>11.6</v>
      </c>
      <c r="F20" s="46" t="s">
        <v>5</v>
      </c>
      <c r="G20" t="s">
        <v>9</v>
      </c>
      <c r="H20" s="50">
        <f>AVERAGE(D10:D13,D22:D25,D34:D37)</f>
        <v>35.333333333333336</v>
      </c>
      <c r="I20" s="58">
        <f>STDEV(D10:D13,D22:D25,D34:D37)</f>
        <v>2.1033883198882761</v>
      </c>
      <c r="J20" s="50">
        <f>AVERAGE(E10:E13,E22:E25,E34:E37)</f>
        <v>11.620833333333335</v>
      </c>
      <c r="K20" s="58">
        <f>STDEV(E10:E13,E22:E25,E34:E37)</f>
        <v>0.46732232079706143</v>
      </c>
    </row>
    <row r="21" spans="1:11" x14ac:dyDescent="0.3">
      <c r="A21" s="45">
        <v>6</v>
      </c>
      <c r="B21" s="45" t="s">
        <v>4</v>
      </c>
      <c r="C21" s="45" t="s">
        <v>9</v>
      </c>
      <c r="D21" s="45">
        <v>33</v>
      </c>
      <c r="E21" s="48">
        <v>11.2</v>
      </c>
      <c r="H21" s="52"/>
      <c r="I21" s="57"/>
      <c r="J21" s="52"/>
      <c r="K21" s="57"/>
    </row>
    <row r="22" spans="1:11" x14ac:dyDescent="0.3">
      <c r="A22" s="46">
        <v>7</v>
      </c>
      <c r="B22" s="46" t="s">
        <v>5</v>
      </c>
      <c r="C22" s="46" t="s">
        <v>9</v>
      </c>
      <c r="D22" s="46">
        <v>35</v>
      </c>
      <c r="E22" s="49">
        <v>11.8</v>
      </c>
      <c r="H22" s="52"/>
      <c r="I22" s="57"/>
      <c r="J22" s="52"/>
      <c r="K22" s="57"/>
    </row>
    <row r="23" spans="1:11" x14ac:dyDescent="0.3">
      <c r="A23" s="46">
        <v>7</v>
      </c>
      <c r="B23" s="46" t="s">
        <v>5</v>
      </c>
      <c r="C23" s="46" t="s">
        <v>9</v>
      </c>
      <c r="D23" s="46">
        <v>35</v>
      </c>
      <c r="E23" s="49">
        <v>11.45</v>
      </c>
      <c r="H23" s="52"/>
      <c r="I23" s="57"/>
      <c r="J23" s="52"/>
      <c r="K23" s="57"/>
    </row>
    <row r="24" spans="1:11" x14ac:dyDescent="0.3">
      <c r="A24" s="46">
        <v>7</v>
      </c>
      <c r="B24" s="46" t="s">
        <v>5</v>
      </c>
      <c r="C24" s="46" t="s">
        <v>9</v>
      </c>
      <c r="D24" s="46">
        <v>33</v>
      </c>
      <c r="E24" s="49">
        <v>11</v>
      </c>
      <c r="H24" s="52"/>
      <c r="I24" s="57"/>
      <c r="J24" s="52"/>
      <c r="K24" s="57"/>
    </row>
    <row r="25" spans="1:11" x14ac:dyDescent="0.3">
      <c r="A25" s="46">
        <v>7</v>
      </c>
      <c r="B25" s="46" t="s">
        <v>5</v>
      </c>
      <c r="C25" s="46" t="s">
        <v>9</v>
      </c>
      <c r="D25" s="46">
        <v>34</v>
      </c>
      <c r="E25" s="49">
        <v>11.35</v>
      </c>
      <c r="H25" s="52"/>
      <c r="I25" s="57"/>
      <c r="J25" s="52"/>
      <c r="K25" s="57"/>
    </row>
    <row r="26" spans="1:11" x14ac:dyDescent="0.3">
      <c r="A26" s="44">
        <v>8</v>
      </c>
      <c r="B26" s="44" t="s">
        <v>3</v>
      </c>
      <c r="C26" s="44" t="s">
        <v>9</v>
      </c>
      <c r="D26" s="44">
        <v>35</v>
      </c>
      <c r="E26" s="47">
        <v>11.2</v>
      </c>
      <c r="H26" s="52"/>
      <c r="I26" s="57"/>
      <c r="J26" s="52"/>
      <c r="K26" s="57"/>
    </row>
    <row r="27" spans="1:11" x14ac:dyDescent="0.3">
      <c r="A27" s="44">
        <v>8</v>
      </c>
      <c r="B27" s="44" t="s">
        <v>3</v>
      </c>
      <c r="C27" s="44" t="s">
        <v>9</v>
      </c>
      <c r="D27" s="44">
        <v>34</v>
      </c>
      <c r="E27" s="47">
        <v>11.35</v>
      </c>
      <c r="H27" s="52"/>
      <c r="I27" s="57"/>
      <c r="J27" s="52"/>
      <c r="K27" s="57"/>
    </row>
    <row r="28" spans="1:11" x14ac:dyDescent="0.3">
      <c r="A28" s="44">
        <v>8</v>
      </c>
      <c r="B28" s="44" t="s">
        <v>3</v>
      </c>
      <c r="C28" s="44" t="s">
        <v>9</v>
      </c>
      <c r="D28" s="44">
        <v>38</v>
      </c>
      <c r="E28" s="47">
        <v>11.05</v>
      </c>
      <c r="H28" s="52"/>
      <c r="I28" s="57"/>
      <c r="J28" s="52"/>
      <c r="K28" s="57"/>
    </row>
    <row r="29" spans="1:11" x14ac:dyDescent="0.3">
      <c r="A29" s="44">
        <v>8</v>
      </c>
      <c r="B29" s="44" t="s">
        <v>3</v>
      </c>
      <c r="C29" s="44" t="s">
        <v>9</v>
      </c>
      <c r="D29" s="44">
        <v>36</v>
      </c>
      <c r="E29" s="47">
        <v>11.6</v>
      </c>
      <c r="H29" s="52"/>
      <c r="I29" s="57"/>
      <c r="J29" s="52"/>
      <c r="K29" s="57"/>
    </row>
    <row r="30" spans="1:11" x14ac:dyDescent="0.3">
      <c r="A30" s="45">
        <v>9</v>
      </c>
      <c r="B30" s="45" t="s">
        <v>4</v>
      </c>
      <c r="C30" s="45" t="s">
        <v>9</v>
      </c>
      <c r="D30" s="45">
        <v>36</v>
      </c>
      <c r="E30" s="48">
        <v>11.6</v>
      </c>
      <c r="H30" s="52"/>
      <c r="I30" s="57"/>
      <c r="J30" s="52"/>
      <c r="K30" s="57"/>
    </row>
    <row r="31" spans="1:11" x14ac:dyDescent="0.3">
      <c r="A31" s="45">
        <v>9</v>
      </c>
      <c r="B31" s="45" t="s">
        <v>4</v>
      </c>
      <c r="C31" s="45" t="s">
        <v>9</v>
      </c>
      <c r="D31" s="45">
        <v>34</v>
      </c>
      <c r="E31" s="48">
        <v>11.05</v>
      </c>
      <c r="H31" s="52"/>
      <c r="I31" s="55"/>
      <c r="J31" s="52"/>
      <c r="K31" s="55"/>
    </row>
    <row r="32" spans="1:11" x14ac:dyDescent="0.3">
      <c r="A32" s="45">
        <v>9</v>
      </c>
      <c r="B32" s="45" t="s">
        <v>4</v>
      </c>
      <c r="C32" s="45" t="s">
        <v>9</v>
      </c>
      <c r="D32" s="45">
        <v>36</v>
      </c>
      <c r="E32" s="48">
        <v>11.8</v>
      </c>
      <c r="H32" s="52"/>
      <c r="I32" s="55"/>
      <c r="J32" s="52"/>
      <c r="K32" s="55"/>
    </row>
    <row r="33" spans="1:11" x14ac:dyDescent="0.3">
      <c r="A33" s="45">
        <v>9</v>
      </c>
      <c r="B33" s="45" t="s">
        <v>4</v>
      </c>
      <c r="C33" s="45" t="s">
        <v>9</v>
      </c>
      <c r="D33" s="45">
        <v>40</v>
      </c>
      <c r="E33" s="48">
        <v>12.1</v>
      </c>
      <c r="H33" s="52"/>
      <c r="I33" s="57"/>
      <c r="J33" s="52"/>
      <c r="K33" s="57"/>
    </row>
    <row r="34" spans="1:11" x14ac:dyDescent="0.3">
      <c r="A34" s="46">
        <v>10</v>
      </c>
      <c r="B34" s="46" t="s">
        <v>5</v>
      </c>
      <c r="C34" s="46" t="s">
        <v>9</v>
      </c>
      <c r="D34" s="46">
        <v>35</v>
      </c>
      <c r="E34" s="49">
        <v>12.2</v>
      </c>
      <c r="H34" s="52"/>
      <c r="I34" s="57"/>
      <c r="J34" s="52"/>
      <c r="K34" s="57"/>
    </row>
    <row r="35" spans="1:11" x14ac:dyDescent="0.3">
      <c r="A35" s="46">
        <v>10</v>
      </c>
      <c r="B35" s="46" t="s">
        <v>5</v>
      </c>
      <c r="C35" s="46" t="s">
        <v>9</v>
      </c>
      <c r="D35" s="46">
        <v>33</v>
      </c>
      <c r="E35" s="49">
        <v>11.1</v>
      </c>
      <c r="H35" s="52"/>
      <c r="I35" s="57"/>
      <c r="J35" s="52"/>
      <c r="K35" s="57"/>
    </row>
    <row r="36" spans="1:11" x14ac:dyDescent="0.3">
      <c r="A36" s="46">
        <v>10</v>
      </c>
      <c r="B36" s="46" t="s">
        <v>5</v>
      </c>
      <c r="C36" s="46" t="s">
        <v>9</v>
      </c>
      <c r="D36" s="46">
        <v>33</v>
      </c>
      <c r="E36" s="49">
        <v>11.25</v>
      </c>
      <c r="H36" s="52"/>
      <c r="I36" s="57"/>
      <c r="J36" s="52"/>
      <c r="K36" s="57"/>
    </row>
    <row r="37" spans="1:11" x14ac:dyDescent="0.3">
      <c r="A37" s="46">
        <v>10</v>
      </c>
      <c r="B37" s="46" t="s">
        <v>5</v>
      </c>
      <c r="C37" s="46" t="s">
        <v>9</v>
      </c>
      <c r="D37" s="46">
        <v>36</v>
      </c>
      <c r="E37" s="49">
        <v>11.8</v>
      </c>
      <c r="H37" s="52"/>
      <c r="I37" s="57"/>
      <c r="J37" s="52"/>
      <c r="K37" s="57"/>
    </row>
    <row r="38" spans="1:11" x14ac:dyDescent="0.3">
      <c r="E38" s="35"/>
      <c r="H38" s="52"/>
      <c r="I38" s="55"/>
      <c r="J38" s="52"/>
      <c r="K38" s="55"/>
    </row>
    <row r="39" spans="1:11" x14ac:dyDescent="0.3">
      <c r="A39" s="44">
        <v>13</v>
      </c>
      <c r="B39" s="44" t="s">
        <v>3</v>
      </c>
      <c r="C39" s="44" t="s">
        <v>10</v>
      </c>
      <c r="D39" s="44">
        <v>33</v>
      </c>
      <c r="E39" s="47">
        <v>11.45</v>
      </c>
      <c r="F39" t="s">
        <v>3</v>
      </c>
      <c r="G39" t="s">
        <v>32</v>
      </c>
      <c r="H39" s="51">
        <f>AVERAGE(D39:D42)</f>
        <v>32.25</v>
      </c>
      <c r="I39" s="54">
        <f>STDEV(D39:D42)</f>
        <v>0.9574271077563381</v>
      </c>
      <c r="J39" s="51">
        <f>AVERAGE(E39:E42)</f>
        <v>11.3</v>
      </c>
      <c r="K39" s="54">
        <f>STDEV(E39:E42)</f>
        <v>0.50662280511902202</v>
      </c>
    </row>
    <row r="40" spans="1:11" x14ac:dyDescent="0.3">
      <c r="A40" s="44">
        <v>13</v>
      </c>
      <c r="B40" s="44" t="s">
        <v>3</v>
      </c>
      <c r="C40" s="44" t="s">
        <v>10</v>
      </c>
      <c r="D40" s="44">
        <v>32</v>
      </c>
      <c r="E40" s="47">
        <v>10.95</v>
      </c>
      <c r="G40" t="s">
        <v>33</v>
      </c>
      <c r="H40" s="51">
        <f>AVERAGE(D51:D54)</f>
        <v>32.75</v>
      </c>
      <c r="I40" s="54">
        <f>STDEV(D51:D54)</f>
        <v>2.0615528128088303</v>
      </c>
      <c r="J40" s="51">
        <f>AVERAGE(E51:E54)</f>
        <v>11.6875</v>
      </c>
      <c r="K40" s="54">
        <f>STDEV(E51:E54)</f>
        <v>0.81891696770796019</v>
      </c>
    </row>
    <row r="41" spans="1:11" x14ac:dyDescent="0.3">
      <c r="A41" s="44">
        <v>13</v>
      </c>
      <c r="B41" s="44" t="s">
        <v>3</v>
      </c>
      <c r="C41" s="44" t="s">
        <v>10</v>
      </c>
      <c r="D41" s="44">
        <v>31</v>
      </c>
      <c r="E41" s="47">
        <v>10.85</v>
      </c>
      <c r="G41" t="s">
        <v>34</v>
      </c>
      <c r="H41" s="51">
        <f>AVERAGE(D63:D66)</f>
        <v>32.25</v>
      </c>
      <c r="I41" s="54">
        <f>STDEV(D63:D66)</f>
        <v>2.2173557826083452</v>
      </c>
      <c r="J41" s="51">
        <f>AVERAGE(E63:E66)</f>
        <v>10.875</v>
      </c>
      <c r="K41" s="54">
        <f>STDEV(E63:E66)</f>
        <v>1.7533301647626598</v>
      </c>
    </row>
    <row r="42" spans="1:11" x14ac:dyDescent="0.3">
      <c r="A42" s="44">
        <v>13</v>
      </c>
      <c r="B42" s="44" t="s">
        <v>3</v>
      </c>
      <c r="C42" s="44" t="s">
        <v>10</v>
      </c>
      <c r="D42" s="44">
        <v>33</v>
      </c>
      <c r="E42" s="47">
        <v>11.95</v>
      </c>
      <c r="H42" s="52"/>
      <c r="I42" s="57"/>
      <c r="J42" s="52"/>
      <c r="K42" s="57"/>
    </row>
    <row r="43" spans="1:11" x14ac:dyDescent="0.3">
      <c r="A43" s="45">
        <v>14</v>
      </c>
      <c r="B43" s="45" t="s">
        <v>4</v>
      </c>
      <c r="C43" s="45" t="s">
        <v>10</v>
      </c>
      <c r="D43" s="45">
        <v>34</v>
      </c>
      <c r="E43" s="48">
        <v>12.05</v>
      </c>
      <c r="F43" t="s">
        <v>4</v>
      </c>
      <c r="G43" t="s">
        <v>35</v>
      </c>
      <c r="H43" s="53">
        <f>AVERAGE(D43:D46)</f>
        <v>32.25</v>
      </c>
      <c r="I43" s="56">
        <f>STDEV(D43:D46)</f>
        <v>2.8722813232690143</v>
      </c>
      <c r="J43" s="53">
        <f>AVERAGE(E43:E46)</f>
        <v>11.662499999999998</v>
      </c>
      <c r="K43" s="56">
        <f>STDEV(E43:E46)</f>
        <v>0.60190669265814467</v>
      </c>
    </row>
    <row r="44" spans="1:11" x14ac:dyDescent="0.3">
      <c r="A44" s="45">
        <v>14</v>
      </c>
      <c r="B44" s="45" t="s">
        <v>4</v>
      </c>
      <c r="C44" s="45" t="s">
        <v>10</v>
      </c>
      <c r="D44" s="45">
        <v>33</v>
      </c>
      <c r="E44" s="48">
        <v>12.1</v>
      </c>
      <c r="G44" t="s">
        <v>36</v>
      </c>
      <c r="H44" s="53">
        <f>AVERAGE(D55:D58)</f>
        <v>32.5</v>
      </c>
      <c r="I44" s="56">
        <f>STDEV(D55:D58)</f>
        <v>2.0816659994661326</v>
      </c>
      <c r="J44" s="53">
        <f>AVERAGE(E55:E58)</f>
        <v>11.75</v>
      </c>
      <c r="K44" s="56">
        <f>STDEV(E55:E58)</f>
        <v>0.65574385243019995</v>
      </c>
    </row>
    <row r="45" spans="1:11" x14ac:dyDescent="0.3">
      <c r="A45" s="45">
        <v>14</v>
      </c>
      <c r="B45" s="45" t="s">
        <v>4</v>
      </c>
      <c r="C45" s="45" t="s">
        <v>10</v>
      </c>
      <c r="D45" s="45">
        <v>34</v>
      </c>
      <c r="E45" s="48">
        <v>11.7</v>
      </c>
      <c r="G45" t="s">
        <v>37</v>
      </c>
      <c r="H45" s="53">
        <f>AVERAGE(D67:D70)</f>
        <v>32.25</v>
      </c>
      <c r="I45" s="56">
        <f>STDEV(D67:D70)</f>
        <v>1.5</v>
      </c>
      <c r="J45" s="53">
        <f>AVERAGE(E67:E70)</f>
        <v>11.4625</v>
      </c>
      <c r="K45" s="56">
        <f>STDEV(E67:E70)</f>
        <v>0.28686524130097552</v>
      </c>
    </row>
    <row r="46" spans="1:11" x14ac:dyDescent="0.3">
      <c r="A46" s="45">
        <v>14</v>
      </c>
      <c r="B46" s="45" t="s">
        <v>4</v>
      </c>
      <c r="C46" s="45" t="s">
        <v>10</v>
      </c>
      <c r="D46" s="45">
        <v>28</v>
      </c>
      <c r="E46" s="48">
        <v>10.8</v>
      </c>
      <c r="H46" s="52"/>
      <c r="I46" s="57"/>
      <c r="J46" s="52"/>
      <c r="K46" s="57"/>
    </row>
    <row r="47" spans="1:11" x14ac:dyDescent="0.3">
      <c r="A47" s="46">
        <v>15</v>
      </c>
      <c r="B47" s="46" t="s">
        <v>5</v>
      </c>
      <c r="C47" s="46" t="s">
        <v>10</v>
      </c>
      <c r="D47" s="46">
        <v>31</v>
      </c>
      <c r="E47" s="49">
        <v>11.55</v>
      </c>
      <c r="F47" t="s">
        <v>5</v>
      </c>
      <c r="G47" t="s">
        <v>30</v>
      </c>
      <c r="H47" s="50">
        <f>AVERAGE(D47:D50)</f>
        <v>31.5</v>
      </c>
      <c r="I47" s="58">
        <f>STDEV(D47:D50)</f>
        <v>0.57735026918962573</v>
      </c>
      <c r="J47" s="50">
        <f>AVERAGE(E47:E50)</f>
        <v>11.225000000000001</v>
      </c>
      <c r="K47" s="58">
        <f>STDEV(E47:E50)</f>
        <v>0.34761089357690378</v>
      </c>
    </row>
    <row r="48" spans="1:11" x14ac:dyDescent="0.3">
      <c r="A48" s="46">
        <v>15</v>
      </c>
      <c r="B48" s="46" t="s">
        <v>5</v>
      </c>
      <c r="C48" s="46" t="s">
        <v>10</v>
      </c>
      <c r="D48" s="46">
        <v>32</v>
      </c>
      <c r="E48" s="49">
        <v>11.4</v>
      </c>
      <c r="G48" t="s">
        <v>26</v>
      </c>
      <c r="H48" s="50">
        <f>AVERAGE(D59:D62)</f>
        <v>33</v>
      </c>
      <c r="I48" s="58">
        <f>STDEV(D59:D62)</f>
        <v>1.4142135623730951</v>
      </c>
      <c r="J48" s="50">
        <f>AVERAGE(E59:E62)</f>
        <v>12.112500000000001</v>
      </c>
      <c r="K48" s="58">
        <f>STDEV(E59:E62)</f>
        <v>0.52658490926598589</v>
      </c>
    </row>
    <row r="49" spans="1:11" x14ac:dyDescent="0.3">
      <c r="A49" s="46">
        <v>15</v>
      </c>
      <c r="B49" s="46" t="s">
        <v>5</v>
      </c>
      <c r="C49" s="46" t="s">
        <v>10</v>
      </c>
      <c r="D49" s="46">
        <v>31</v>
      </c>
      <c r="E49" s="49">
        <v>10.75</v>
      </c>
      <c r="G49" t="s">
        <v>31</v>
      </c>
      <c r="H49" s="50">
        <f>AVERAGE(D71:D74)</f>
        <v>33</v>
      </c>
      <c r="I49" s="58">
        <f>STDEV(D71:D74)</f>
        <v>0.81649658092772603</v>
      </c>
      <c r="J49" s="50">
        <f>AVERAGE(E71:E74)</f>
        <v>11.925000000000001</v>
      </c>
      <c r="K49" s="58">
        <f>STDEV(E71:E74)</f>
        <v>0.39264063297965829</v>
      </c>
    </row>
    <row r="50" spans="1:11" x14ac:dyDescent="0.3">
      <c r="A50" s="46">
        <v>15</v>
      </c>
      <c r="B50" s="46" t="s">
        <v>5</v>
      </c>
      <c r="C50" s="46" t="s">
        <v>10</v>
      </c>
      <c r="D50" s="46">
        <v>32</v>
      </c>
      <c r="E50" s="49">
        <v>11.2</v>
      </c>
      <c r="H50" s="52"/>
      <c r="I50" s="57"/>
      <c r="J50" s="52"/>
      <c r="K50" s="57"/>
    </row>
    <row r="51" spans="1:11" x14ac:dyDescent="0.3">
      <c r="A51" s="44">
        <v>16</v>
      </c>
      <c r="B51" s="44" t="s">
        <v>3</v>
      </c>
      <c r="C51" s="44" t="s">
        <v>10</v>
      </c>
      <c r="D51" s="44">
        <v>33</v>
      </c>
      <c r="E51" s="47">
        <v>11.35</v>
      </c>
      <c r="H51" s="52"/>
      <c r="I51" s="57"/>
      <c r="J51" s="52"/>
      <c r="K51" s="57"/>
    </row>
    <row r="52" spans="1:11" x14ac:dyDescent="0.3">
      <c r="A52" s="44">
        <v>16</v>
      </c>
      <c r="B52" s="44" t="s">
        <v>3</v>
      </c>
      <c r="C52" s="44" t="s">
        <v>10</v>
      </c>
      <c r="D52" s="44">
        <v>35</v>
      </c>
      <c r="E52" s="47">
        <v>12.5</v>
      </c>
      <c r="F52" s="44" t="s">
        <v>3</v>
      </c>
      <c r="G52" t="s">
        <v>10</v>
      </c>
      <c r="H52" s="51">
        <f>AVERAGE(D39:D42,D51:D54,D63:D66)</f>
        <v>32.416666666666664</v>
      </c>
      <c r="I52" s="54">
        <f>STDEV(D39:D42,D51:D54,D63:D66)</f>
        <v>1.6764862244009224</v>
      </c>
      <c r="J52" s="51">
        <f>AVERAGE(E39:E42,E51:E54,E63:E66)</f>
        <v>11.287500000000003</v>
      </c>
      <c r="K52" s="54">
        <f>STDEV(E39:E42,E51:E54,E63:E66)</f>
        <v>1.1006454717780172</v>
      </c>
    </row>
    <row r="53" spans="1:11" x14ac:dyDescent="0.3">
      <c r="A53" s="44">
        <v>16</v>
      </c>
      <c r="B53" s="44" t="s">
        <v>3</v>
      </c>
      <c r="C53" s="44" t="s">
        <v>10</v>
      </c>
      <c r="D53" s="44">
        <v>33</v>
      </c>
      <c r="E53" s="47">
        <v>12.2</v>
      </c>
      <c r="F53" s="45" t="s">
        <v>4</v>
      </c>
      <c r="G53" t="s">
        <v>10</v>
      </c>
      <c r="H53" s="53">
        <f>AVERAGE(D43:D46,D55:D58,D67:D70)</f>
        <v>32.333333333333336</v>
      </c>
      <c r="I53" s="56">
        <f>STDEV(D43:D46,D55:D58,D67:D70)</f>
        <v>2.0150945537631881</v>
      </c>
      <c r="J53" s="53">
        <f>AVERAGE(E43:E46,E55:E58,E67:E70)</f>
        <v>11.625</v>
      </c>
      <c r="K53" s="56">
        <f>STDEV(E43:E46,E55:E58,E67:E70)</f>
        <v>0.5042996944458541</v>
      </c>
    </row>
    <row r="54" spans="1:11" x14ac:dyDescent="0.3">
      <c r="A54" s="44">
        <v>16</v>
      </c>
      <c r="B54" s="44" t="s">
        <v>3</v>
      </c>
      <c r="C54" s="44" t="s">
        <v>10</v>
      </c>
      <c r="D54" s="44">
        <v>30</v>
      </c>
      <c r="E54" s="47">
        <v>10.7</v>
      </c>
      <c r="F54" s="46" t="s">
        <v>5</v>
      </c>
      <c r="G54" t="s">
        <v>10</v>
      </c>
      <c r="H54" s="50">
        <f>AVERAGE(D47:D50,D59:D62,D71:D74)</f>
        <v>32.5</v>
      </c>
      <c r="I54" s="58">
        <f>STDEV(D47:D50,D59:D62,D71:D74)</f>
        <v>1.1677484162422844</v>
      </c>
      <c r="J54" s="50">
        <f>AVERAGE(E47:E50,E59:E62,E71:E74)</f>
        <v>11.754166666666665</v>
      </c>
      <c r="K54" s="58">
        <f>STDEV(E47:E50,E59:E62,E71:E74)</f>
        <v>0.55655528735138948</v>
      </c>
    </row>
    <row r="55" spans="1:11" x14ac:dyDescent="0.3">
      <c r="A55" s="45">
        <v>17</v>
      </c>
      <c r="B55" s="45" t="s">
        <v>4</v>
      </c>
      <c r="C55" s="45" t="s">
        <v>10</v>
      </c>
      <c r="D55" s="45">
        <v>35</v>
      </c>
      <c r="E55" s="48">
        <v>12.1</v>
      </c>
    </row>
    <row r="56" spans="1:11" x14ac:dyDescent="0.3">
      <c r="A56" s="45">
        <v>17</v>
      </c>
      <c r="B56" s="45" t="s">
        <v>4</v>
      </c>
      <c r="C56" s="45" t="s">
        <v>10</v>
      </c>
      <c r="D56" s="45">
        <v>33</v>
      </c>
      <c r="E56" s="48">
        <v>12.4</v>
      </c>
      <c r="H56" s="35"/>
      <c r="I56" s="35"/>
      <c r="J56" s="35"/>
      <c r="K56" s="35"/>
    </row>
    <row r="57" spans="1:11" x14ac:dyDescent="0.3">
      <c r="A57" s="45">
        <v>17</v>
      </c>
      <c r="B57" s="45" t="s">
        <v>4</v>
      </c>
      <c r="C57" s="45" t="s">
        <v>10</v>
      </c>
      <c r="D57" s="45">
        <v>32</v>
      </c>
      <c r="E57" s="48">
        <v>11.6</v>
      </c>
      <c r="H57" s="35"/>
      <c r="I57" s="35"/>
      <c r="J57" s="35"/>
      <c r="K57" s="35"/>
    </row>
    <row r="58" spans="1:11" x14ac:dyDescent="0.3">
      <c r="A58" s="45">
        <v>17</v>
      </c>
      <c r="B58" s="45" t="s">
        <v>4</v>
      </c>
      <c r="C58" s="45" t="s">
        <v>10</v>
      </c>
      <c r="D58" s="45">
        <v>30</v>
      </c>
      <c r="E58" s="48">
        <v>10.9</v>
      </c>
    </row>
    <row r="59" spans="1:11" x14ac:dyDescent="0.3">
      <c r="A59" s="46">
        <v>18</v>
      </c>
      <c r="B59" s="46" t="s">
        <v>5</v>
      </c>
      <c r="C59" s="46" t="s">
        <v>10</v>
      </c>
      <c r="D59" s="46">
        <v>32</v>
      </c>
      <c r="E59" s="49">
        <v>11.5</v>
      </c>
      <c r="H59" s="35"/>
      <c r="I59" s="35"/>
      <c r="J59" s="35"/>
      <c r="K59" s="35"/>
    </row>
    <row r="60" spans="1:11" x14ac:dyDescent="0.3">
      <c r="A60" s="46">
        <v>18</v>
      </c>
      <c r="B60" s="46" t="s">
        <v>5</v>
      </c>
      <c r="C60" s="46" t="s">
        <v>10</v>
      </c>
      <c r="D60" s="46">
        <v>35</v>
      </c>
      <c r="E60" s="49">
        <v>12.6</v>
      </c>
      <c r="H60" s="35"/>
      <c r="I60" s="35"/>
      <c r="J60" s="35"/>
      <c r="K60" s="35"/>
    </row>
    <row r="61" spans="1:11" x14ac:dyDescent="0.3">
      <c r="A61" s="46">
        <v>18</v>
      </c>
      <c r="B61" s="46" t="s">
        <v>5</v>
      </c>
      <c r="C61" s="46" t="s">
        <v>10</v>
      </c>
      <c r="D61" s="46">
        <v>33</v>
      </c>
      <c r="E61" s="49">
        <v>12.5</v>
      </c>
      <c r="H61" s="35"/>
      <c r="I61" s="35"/>
      <c r="J61" s="35"/>
      <c r="K61" s="35"/>
    </row>
    <row r="62" spans="1:11" x14ac:dyDescent="0.3">
      <c r="A62" s="46">
        <v>18</v>
      </c>
      <c r="B62" s="46" t="s">
        <v>5</v>
      </c>
      <c r="C62" s="46" t="s">
        <v>10</v>
      </c>
      <c r="D62" s="46">
        <v>32</v>
      </c>
      <c r="E62" s="49">
        <v>11.85</v>
      </c>
    </row>
    <row r="63" spans="1:11" x14ac:dyDescent="0.3">
      <c r="A63" s="44">
        <v>19</v>
      </c>
      <c r="B63" s="44" t="s">
        <v>3</v>
      </c>
      <c r="C63" s="44" t="s">
        <v>10</v>
      </c>
      <c r="D63" s="44">
        <v>31</v>
      </c>
      <c r="E63" s="47">
        <v>9.65</v>
      </c>
      <c r="H63" s="35"/>
      <c r="I63" s="35"/>
      <c r="J63" s="35"/>
      <c r="K63" s="35"/>
    </row>
    <row r="64" spans="1:11" x14ac:dyDescent="0.3">
      <c r="A64" s="44">
        <v>19</v>
      </c>
      <c r="B64" s="44" t="s">
        <v>3</v>
      </c>
      <c r="C64" s="44" t="s">
        <v>10</v>
      </c>
      <c r="D64" s="44">
        <v>30</v>
      </c>
      <c r="E64" s="47">
        <v>9.9</v>
      </c>
      <c r="H64" s="35"/>
      <c r="I64" s="35"/>
      <c r="J64" s="35"/>
      <c r="K64" s="35"/>
    </row>
    <row r="65" spans="1:11" x14ac:dyDescent="0.3">
      <c r="A65" s="44">
        <v>19</v>
      </c>
      <c r="B65" s="44" t="s">
        <v>3</v>
      </c>
      <c r="C65" s="44" t="s">
        <v>10</v>
      </c>
      <c r="D65" s="44">
        <v>35</v>
      </c>
      <c r="E65" s="47">
        <v>13.45</v>
      </c>
      <c r="H65" s="35"/>
      <c r="I65" s="35"/>
      <c r="J65" s="35"/>
      <c r="K65" s="35"/>
    </row>
    <row r="66" spans="1:11" x14ac:dyDescent="0.3">
      <c r="A66" s="44">
        <v>19</v>
      </c>
      <c r="B66" s="44" t="s">
        <v>3</v>
      </c>
      <c r="C66" s="44" t="s">
        <v>10</v>
      </c>
      <c r="D66" s="44">
        <v>33</v>
      </c>
      <c r="E66" s="47">
        <v>10.5</v>
      </c>
    </row>
    <row r="67" spans="1:11" x14ac:dyDescent="0.3">
      <c r="A67" s="45">
        <v>20</v>
      </c>
      <c r="B67" s="45" t="s">
        <v>4</v>
      </c>
      <c r="C67" s="45" t="s">
        <v>10</v>
      </c>
      <c r="D67" s="45">
        <v>34</v>
      </c>
      <c r="E67" s="48">
        <v>11.8</v>
      </c>
      <c r="H67" s="35"/>
      <c r="I67" s="35"/>
      <c r="J67" s="35"/>
      <c r="K67" s="35"/>
    </row>
    <row r="68" spans="1:11" x14ac:dyDescent="0.3">
      <c r="A68" s="45">
        <v>20</v>
      </c>
      <c r="B68" s="45" t="s">
        <v>4</v>
      </c>
      <c r="C68" s="45" t="s">
        <v>10</v>
      </c>
      <c r="D68" s="45">
        <v>31</v>
      </c>
      <c r="E68" s="48">
        <v>11.2</v>
      </c>
      <c r="H68" s="35"/>
      <c r="I68" s="35"/>
      <c r="J68" s="35"/>
      <c r="K68" s="35"/>
    </row>
    <row r="69" spans="1:11" x14ac:dyDescent="0.3">
      <c r="A69" s="45">
        <v>20</v>
      </c>
      <c r="B69" s="45" t="s">
        <v>4</v>
      </c>
      <c r="C69" s="45" t="s">
        <v>10</v>
      </c>
      <c r="D69" s="45">
        <v>31</v>
      </c>
      <c r="E69" s="48">
        <v>11.25</v>
      </c>
      <c r="H69" s="35"/>
      <c r="I69" s="35"/>
      <c r="J69" s="35"/>
      <c r="K69" s="35"/>
    </row>
    <row r="70" spans="1:11" x14ac:dyDescent="0.3">
      <c r="A70" s="45">
        <v>20</v>
      </c>
      <c r="B70" s="45" t="s">
        <v>4</v>
      </c>
      <c r="C70" s="45" t="s">
        <v>10</v>
      </c>
      <c r="D70" s="45">
        <v>33</v>
      </c>
      <c r="E70" s="48">
        <v>11.6</v>
      </c>
    </row>
    <row r="71" spans="1:11" x14ac:dyDescent="0.3">
      <c r="A71" s="46">
        <v>21</v>
      </c>
      <c r="B71" s="46" t="s">
        <v>5</v>
      </c>
      <c r="C71" s="46" t="s">
        <v>10</v>
      </c>
      <c r="D71" s="46">
        <v>32</v>
      </c>
      <c r="E71" s="49">
        <v>11.35</v>
      </c>
    </row>
    <row r="72" spans="1:11" x14ac:dyDescent="0.3">
      <c r="A72" s="46">
        <v>21</v>
      </c>
      <c r="B72" s="46" t="s">
        <v>5</v>
      </c>
      <c r="C72" s="46" t="s">
        <v>10</v>
      </c>
      <c r="D72" s="46">
        <v>33</v>
      </c>
      <c r="E72" s="49">
        <v>12.15</v>
      </c>
    </row>
    <row r="73" spans="1:11" x14ac:dyDescent="0.3">
      <c r="A73" s="46">
        <v>21</v>
      </c>
      <c r="B73" s="46" t="s">
        <v>5</v>
      </c>
      <c r="C73" s="46" t="s">
        <v>10</v>
      </c>
      <c r="D73" s="46">
        <v>34</v>
      </c>
      <c r="E73" s="49">
        <v>12</v>
      </c>
    </row>
    <row r="74" spans="1:11" x14ac:dyDescent="0.3">
      <c r="A74" s="46">
        <v>21</v>
      </c>
      <c r="B74" s="46" t="s">
        <v>5</v>
      </c>
      <c r="C74" s="46" t="s">
        <v>10</v>
      </c>
      <c r="D74" s="46">
        <v>33</v>
      </c>
      <c r="E74" s="49">
        <v>12.2</v>
      </c>
    </row>
  </sheetData>
  <pageMargins left="0.7" right="0.7" top="0.78740157499999996" bottom="0.78740157499999996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5A5B-93E5-4795-835D-52D3F018EA1B}">
  <dimension ref="A1:AD28"/>
  <sheetViews>
    <sheetView workbookViewId="0">
      <selection activeCell="A18" sqref="A18:XFD18"/>
    </sheetView>
  </sheetViews>
  <sheetFormatPr baseColWidth="10" defaultRowHeight="14.4" x14ac:dyDescent="0.3"/>
  <cols>
    <col min="2" max="2" width="13.5546875" bestFit="1" customWidth="1"/>
  </cols>
  <sheetData>
    <row r="1" spans="1:30" s="1" customFormat="1" x14ac:dyDescent="0.3">
      <c r="A1" s="1" t="s">
        <v>82</v>
      </c>
    </row>
    <row r="3" spans="1:30" x14ac:dyDescent="0.3">
      <c r="A3" t="s">
        <v>53</v>
      </c>
      <c r="B3" s="78"/>
      <c r="C3" s="78">
        <v>17</v>
      </c>
      <c r="D3" s="78">
        <v>18</v>
      </c>
      <c r="E3" s="78">
        <v>19</v>
      </c>
      <c r="F3" s="78">
        <v>20</v>
      </c>
      <c r="G3" s="78">
        <v>21</v>
      </c>
      <c r="H3" s="78">
        <v>22</v>
      </c>
      <c r="I3" s="78">
        <v>23</v>
      </c>
      <c r="J3" s="78">
        <v>24</v>
      </c>
      <c r="K3" s="78">
        <v>25</v>
      </c>
      <c r="L3" s="78">
        <v>26</v>
      </c>
      <c r="M3" s="78">
        <v>27</v>
      </c>
      <c r="N3" s="78">
        <v>28</v>
      </c>
      <c r="O3" s="78">
        <v>29</v>
      </c>
      <c r="P3" s="78">
        <v>30</v>
      </c>
      <c r="Q3" s="78">
        <v>31</v>
      </c>
      <c r="R3" s="78">
        <v>32</v>
      </c>
      <c r="S3" s="78">
        <v>33</v>
      </c>
      <c r="T3" s="78">
        <v>34</v>
      </c>
      <c r="U3" s="78">
        <v>35</v>
      </c>
      <c r="V3" s="78">
        <v>36</v>
      </c>
      <c r="W3" s="78">
        <v>37</v>
      </c>
      <c r="X3" s="78">
        <v>38</v>
      </c>
      <c r="Y3" s="78">
        <v>39</v>
      </c>
      <c r="Z3" s="78">
        <v>40</v>
      </c>
      <c r="AA3" s="78">
        <v>41</v>
      </c>
      <c r="AB3" s="78">
        <v>42</v>
      </c>
      <c r="AC3" s="78">
        <v>43</v>
      </c>
      <c r="AD3" s="78">
        <v>44</v>
      </c>
    </row>
    <row r="4" spans="1:30" x14ac:dyDescent="0.3">
      <c r="A4" t="s">
        <v>50</v>
      </c>
      <c r="B4" s="78" t="s">
        <v>48</v>
      </c>
      <c r="C4" s="79">
        <v>0.56000000000000005</v>
      </c>
      <c r="D4" s="79">
        <v>1.4533333333333334</v>
      </c>
      <c r="E4" s="79">
        <v>2.0566666666666666</v>
      </c>
      <c r="F4" s="79">
        <v>2.5566666666666666</v>
      </c>
      <c r="G4" s="79">
        <v>3.043333333333333</v>
      </c>
      <c r="H4" s="79">
        <v>3.8699999999999997</v>
      </c>
      <c r="I4" s="79">
        <v>4.5</v>
      </c>
      <c r="J4" s="79">
        <v>5.1933333333333342</v>
      </c>
      <c r="K4" s="79">
        <v>5.87</v>
      </c>
      <c r="L4" s="79">
        <v>6.623333333333334</v>
      </c>
      <c r="M4" s="79">
        <v>7.3466666666666667</v>
      </c>
      <c r="N4" s="79">
        <v>7.97</v>
      </c>
      <c r="O4" s="79">
        <v>8.5333333333333332</v>
      </c>
      <c r="P4" s="79">
        <v>8.9466666666666672</v>
      </c>
      <c r="Q4" s="79">
        <v>9.5933333333333337</v>
      </c>
      <c r="R4" s="79">
        <v>10.113333333333332</v>
      </c>
      <c r="S4" s="79">
        <v>10.556666666666667</v>
      </c>
      <c r="T4" s="79">
        <v>11.269999999999998</v>
      </c>
      <c r="U4" s="79">
        <v>11.949999999999998</v>
      </c>
      <c r="V4" s="79">
        <v>12.4</v>
      </c>
      <c r="W4" s="79">
        <v>12.703333333333333</v>
      </c>
      <c r="X4" s="79">
        <v>13.166666666666666</v>
      </c>
      <c r="Y4" s="79">
        <v>13.633333333333333</v>
      </c>
      <c r="Z4" s="79">
        <v>14.033333333333333</v>
      </c>
      <c r="AA4" s="79">
        <v>14.459999999999999</v>
      </c>
      <c r="AB4" s="79">
        <v>14.85</v>
      </c>
      <c r="AC4" s="79">
        <v>15.13</v>
      </c>
      <c r="AD4" s="79">
        <v>15.450000000000001</v>
      </c>
    </row>
    <row r="5" spans="1:30" x14ac:dyDescent="0.3">
      <c r="B5" s="78" t="s">
        <v>49</v>
      </c>
      <c r="C5" s="79">
        <v>0.35250000000000004</v>
      </c>
      <c r="D5" s="79">
        <v>1.1274999999999999</v>
      </c>
      <c r="E5" s="79">
        <v>1.5199999999999998</v>
      </c>
      <c r="F5" s="79">
        <v>1.9749999999999999</v>
      </c>
      <c r="G5" s="79">
        <v>2.4449999999999998</v>
      </c>
      <c r="H5" s="79">
        <v>2.9424999999999999</v>
      </c>
      <c r="I5" s="79">
        <v>3.4200000000000004</v>
      </c>
      <c r="J5" s="79">
        <v>3.8600000000000003</v>
      </c>
      <c r="K5" s="79">
        <v>4.5349999999999993</v>
      </c>
      <c r="L5" s="79">
        <v>5.1924999999999999</v>
      </c>
      <c r="M5" s="79">
        <v>5.73</v>
      </c>
      <c r="N5" s="79">
        <v>6.21</v>
      </c>
      <c r="O5" s="79">
        <v>6.57</v>
      </c>
      <c r="P5" s="79">
        <v>6.9625000000000004</v>
      </c>
      <c r="Q5" s="79">
        <v>7.3174999999999999</v>
      </c>
      <c r="R5" s="79">
        <v>7.6974999999999998</v>
      </c>
      <c r="S5" s="79">
        <v>8.0399999999999991</v>
      </c>
      <c r="T5" s="79">
        <v>8.4924999999999997</v>
      </c>
      <c r="U5" s="79">
        <v>9.0474999999999994</v>
      </c>
      <c r="V5" s="79">
        <v>9.3725000000000005</v>
      </c>
      <c r="W5" s="79">
        <v>9.6050000000000004</v>
      </c>
      <c r="X5" s="79">
        <v>9.9149999999999991</v>
      </c>
      <c r="Y5" s="79">
        <v>10.18</v>
      </c>
      <c r="Z5" s="79">
        <v>10.445</v>
      </c>
      <c r="AA5" s="79">
        <v>10.817499999999999</v>
      </c>
      <c r="AB5" s="79">
        <v>11.095000000000001</v>
      </c>
      <c r="AC5" s="79">
        <v>11.435</v>
      </c>
      <c r="AD5" s="79">
        <v>11.692499999999999</v>
      </c>
    </row>
    <row r="6" spans="1:30" x14ac:dyDescent="0.3">
      <c r="B6" s="78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</row>
    <row r="7" spans="1:30" x14ac:dyDescent="0.3">
      <c r="A7" t="s">
        <v>51</v>
      </c>
      <c r="B7" s="78" t="s">
        <v>48</v>
      </c>
      <c r="C7" s="79">
        <v>4.9999999999999989E-2</v>
      </c>
      <c r="D7" s="79">
        <v>6.5064070986477179E-2</v>
      </c>
      <c r="E7" s="79">
        <v>7.3711147958320039E-2</v>
      </c>
      <c r="F7" s="79">
        <v>5.5075705472860968E-2</v>
      </c>
      <c r="G7" s="79">
        <v>9.0737717258774761E-2</v>
      </c>
      <c r="H7" s="79">
        <v>0.22068076490713875</v>
      </c>
      <c r="I7" s="79">
        <v>0.23515952032609724</v>
      </c>
      <c r="J7" s="79">
        <v>0.28431203515386638</v>
      </c>
      <c r="K7" s="79">
        <v>0.2762245463386625</v>
      </c>
      <c r="L7" s="79">
        <v>0.29263173671584802</v>
      </c>
      <c r="M7" s="79">
        <v>0.33501243758005955</v>
      </c>
      <c r="N7" s="79">
        <v>0.30999999999999978</v>
      </c>
      <c r="O7" s="79">
        <v>0.25106440076867403</v>
      </c>
      <c r="P7" s="79">
        <v>0.18175074506954059</v>
      </c>
      <c r="Q7" s="79">
        <v>0.12013880860626787</v>
      </c>
      <c r="R7" s="79">
        <v>1.154700538379227E-2</v>
      </c>
      <c r="S7" s="79">
        <v>9.7125348562223254E-2</v>
      </c>
      <c r="T7" s="79">
        <v>0.11135528725659934</v>
      </c>
      <c r="U7" s="79">
        <v>0.17088007490635015</v>
      </c>
      <c r="V7" s="79">
        <v>0.19467922333931739</v>
      </c>
      <c r="W7" s="79">
        <v>0.21197484127446228</v>
      </c>
      <c r="X7" s="79">
        <v>0.21126602503321096</v>
      </c>
      <c r="Y7" s="79">
        <v>0.27061657993059718</v>
      </c>
      <c r="Z7" s="79">
        <v>0.25716402029314522</v>
      </c>
      <c r="AA7" s="79">
        <v>0.33955853692699239</v>
      </c>
      <c r="AB7" s="79">
        <v>0.36592348927063917</v>
      </c>
      <c r="AC7" s="79">
        <v>0.36386810797320446</v>
      </c>
      <c r="AD7" s="79">
        <v>0.41617304093369661</v>
      </c>
    </row>
    <row r="8" spans="1:30" x14ac:dyDescent="0.3">
      <c r="B8" s="78" t="s">
        <v>49</v>
      </c>
      <c r="C8" s="79">
        <v>7.1821538088050821E-2</v>
      </c>
      <c r="D8" s="79">
        <v>9.0691785736085231E-2</v>
      </c>
      <c r="E8" s="79">
        <v>8.1649658092772637E-2</v>
      </c>
      <c r="F8" s="79">
        <v>6.4549722436790316E-2</v>
      </c>
      <c r="G8" s="79">
        <v>0.11357816691600543</v>
      </c>
      <c r="H8" s="79">
        <v>0.11898879499067681</v>
      </c>
      <c r="I8" s="79">
        <v>0.11401754250991372</v>
      </c>
      <c r="J8" s="79">
        <v>0.20412414523193156</v>
      </c>
      <c r="K8" s="79">
        <v>0.24200550957915543</v>
      </c>
      <c r="L8" s="79">
        <v>0.23528351691806504</v>
      </c>
      <c r="M8" s="79">
        <v>0.28902133715927147</v>
      </c>
      <c r="N8" s="79">
        <v>0.34380226875342174</v>
      </c>
      <c r="O8" s="79">
        <v>0.41577237362127228</v>
      </c>
      <c r="P8" s="79">
        <v>0.48999149652485458</v>
      </c>
      <c r="Q8" s="79">
        <v>0.54199477242251437</v>
      </c>
      <c r="R8" s="79">
        <v>0.546709856017492</v>
      </c>
      <c r="S8" s="79">
        <v>0.54887764270980011</v>
      </c>
      <c r="T8" s="79">
        <v>0.5386015843521692</v>
      </c>
      <c r="U8" s="79">
        <v>0.714860126178541</v>
      </c>
      <c r="V8" s="79">
        <v>0.72292807387733959</v>
      </c>
      <c r="W8" s="79">
        <v>0.7213182376732199</v>
      </c>
      <c r="X8" s="79">
        <v>0.79835247019513067</v>
      </c>
      <c r="Y8" s="79">
        <v>0.84526130082162521</v>
      </c>
      <c r="Z8" s="79">
        <v>0.88605868880114214</v>
      </c>
      <c r="AA8" s="79">
        <v>1.0027088311169896</v>
      </c>
      <c r="AB8" s="79">
        <v>1.069906537974229</v>
      </c>
      <c r="AC8" s="79">
        <v>1.1363538181394033</v>
      </c>
      <c r="AD8" s="79">
        <v>1.1979531153875207</v>
      </c>
    </row>
    <row r="9" spans="1:30" x14ac:dyDescent="0.3"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t="s">
        <v>52</v>
      </c>
      <c r="B10" s="78" t="s">
        <v>48</v>
      </c>
      <c r="C10" s="78" t="s">
        <v>83</v>
      </c>
      <c r="D10" s="78" t="s">
        <v>83</v>
      </c>
      <c r="E10" s="78" t="s">
        <v>83</v>
      </c>
      <c r="F10" s="78" t="s">
        <v>83</v>
      </c>
      <c r="G10" s="78" t="s">
        <v>83</v>
      </c>
      <c r="H10" s="78" t="s">
        <v>83</v>
      </c>
      <c r="I10" s="78" t="s">
        <v>83</v>
      </c>
      <c r="J10" s="78" t="s">
        <v>83</v>
      </c>
      <c r="K10" s="78" t="s">
        <v>83</v>
      </c>
      <c r="L10" s="78" t="s">
        <v>83</v>
      </c>
      <c r="M10" s="78" t="s">
        <v>83</v>
      </c>
      <c r="N10" s="78" t="s">
        <v>83</v>
      </c>
      <c r="O10" s="78" t="s">
        <v>83</v>
      </c>
      <c r="P10" s="78" t="s">
        <v>83</v>
      </c>
      <c r="Q10" s="78" t="s">
        <v>83</v>
      </c>
      <c r="R10" s="78" t="s">
        <v>83</v>
      </c>
      <c r="S10" s="78" t="s">
        <v>83</v>
      </c>
      <c r="T10" s="78" t="s">
        <v>83</v>
      </c>
      <c r="U10" s="78" t="s">
        <v>83</v>
      </c>
      <c r="V10" s="78" t="s">
        <v>83</v>
      </c>
      <c r="W10" s="78" t="s">
        <v>83</v>
      </c>
      <c r="X10" s="78" t="s">
        <v>83</v>
      </c>
      <c r="Y10" s="78" t="s">
        <v>83</v>
      </c>
      <c r="Z10" s="78" t="s">
        <v>83</v>
      </c>
      <c r="AA10" s="78" t="s">
        <v>83</v>
      </c>
      <c r="AB10" s="78" t="s">
        <v>83</v>
      </c>
      <c r="AC10" s="78" t="s">
        <v>83</v>
      </c>
      <c r="AD10" s="78" t="s">
        <v>83</v>
      </c>
    </row>
    <row r="11" spans="1:30" x14ac:dyDescent="0.3">
      <c r="B11" s="78" t="s">
        <v>49</v>
      </c>
      <c r="C11" s="78" t="s">
        <v>84</v>
      </c>
      <c r="D11" s="78" t="s">
        <v>84</v>
      </c>
      <c r="E11" s="78" t="s">
        <v>84</v>
      </c>
      <c r="F11" s="78" t="s">
        <v>84</v>
      </c>
      <c r="G11" s="78" t="s">
        <v>84</v>
      </c>
      <c r="H11" s="78" t="s">
        <v>84</v>
      </c>
      <c r="I11" s="78" t="s">
        <v>84</v>
      </c>
      <c r="J11" s="78" t="s">
        <v>84</v>
      </c>
      <c r="K11" s="78" t="s">
        <v>84</v>
      </c>
      <c r="L11" s="78" t="s">
        <v>84</v>
      </c>
      <c r="M11" s="78" t="s">
        <v>84</v>
      </c>
      <c r="N11" s="78" t="s">
        <v>84</v>
      </c>
      <c r="O11" s="78" t="s">
        <v>84</v>
      </c>
      <c r="P11" s="78" t="s">
        <v>84</v>
      </c>
      <c r="Q11" s="78" t="s">
        <v>84</v>
      </c>
      <c r="R11" s="78" t="s">
        <v>84</v>
      </c>
      <c r="S11" s="78" t="s">
        <v>84</v>
      </c>
      <c r="T11" s="78" t="s">
        <v>84</v>
      </c>
      <c r="U11" s="78" t="s">
        <v>84</v>
      </c>
      <c r="V11" s="78" t="s">
        <v>84</v>
      </c>
      <c r="W11" s="78" t="s">
        <v>84</v>
      </c>
      <c r="X11" s="78" t="s">
        <v>84</v>
      </c>
      <c r="Y11" s="78" t="s">
        <v>84</v>
      </c>
      <c r="Z11" s="78" t="s">
        <v>84</v>
      </c>
      <c r="AA11" s="78" t="s">
        <v>84</v>
      </c>
      <c r="AB11" s="78" t="s">
        <v>84</v>
      </c>
      <c r="AC11" s="78" t="s">
        <v>84</v>
      </c>
      <c r="AD11" s="78" t="s">
        <v>84</v>
      </c>
    </row>
    <row r="13" spans="1:30" x14ac:dyDescent="0.3">
      <c r="C13" t="s">
        <v>85</v>
      </c>
      <c r="D13" t="s">
        <v>85</v>
      </c>
      <c r="E13" t="s">
        <v>85</v>
      </c>
      <c r="F13" t="s">
        <v>85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</row>
    <row r="15" spans="1:30" x14ac:dyDescent="0.3">
      <c r="A15" s="1" t="s">
        <v>86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7" spans="1:30" x14ac:dyDescent="0.3">
      <c r="A17" t="s">
        <v>53</v>
      </c>
      <c r="B17" s="78"/>
      <c r="C17" s="81" t="s">
        <v>54</v>
      </c>
      <c r="D17" s="81" t="s">
        <v>55</v>
      </c>
      <c r="E17" s="81" t="s">
        <v>56</v>
      </c>
      <c r="F17" s="81" t="s">
        <v>57</v>
      </c>
      <c r="G17" s="81" t="s">
        <v>58</v>
      </c>
      <c r="H17" s="81" t="s">
        <v>59</v>
      </c>
      <c r="I17" s="81" t="s">
        <v>60</v>
      </c>
      <c r="J17" s="81" t="s">
        <v>61</v>
      </c>
      <c r="K17" s="81" t="s">
        <v>62</v>
      </c>
      <c r="L17" s="81" t="s">
        <v>63</v>
      </c>
      <c r="M17" s="81" t="s">
        <v>64</v>
      </c>
      <c r="N17" s="81" t="s">
        <v>65</v>
      </c>
      <c r="O17" s="81" t="s">
        <v>66</v>
      </c>
      <c r="P17" s="81" t="s">
        <v>67</v>
      </c>
      <c r="Q17" s="81" t="s">
        <v>68</v>
      </c>
      <c r="R17" s="81" t="s">
        <v>69</v>
      </c>
      <c r="S17" s="81" t="s">
        <v>70</v>
      </c>
      <c r="T17" s="81" t="s">
        <v>71</v>
      </c>
      <c r="U17" s="81" t="s">
        <v>72</v>
      </c>
      <c r="V17" s="81" t="s">
        <v>73</v>
      </c>
      <c r="W17" s="81" t="s">
        <v>74</v>
      </c>
      <c r="X17" s="81" t="s">
        <v>75</v>
      </c>
      <c r="Y17" s="81" t="s">
        <v>76</v>
      </c>
      <c r="Z17" s="81" t="s">
        <v>77</v>
      </c>
      <c r="AA17" s="81" t="s">
        <v>78</v>
      </c>
      <c r="AB17" s="81" t="s">
        <v>79</v>
      </c>
      <c r="AC17" s="81" t="s">
        <v>80</v>
      </c>
      <c r="AD17" s="81" t="s">
        <v>81</v>
      </c>
    </row>
    <row r="18" spans="1:30" x14ac:dyDescent="0.3">
      <c r="A18" t="s">
        <v>50</v>
      </c>
      <c r="B18" s="78" t="s">
        <v>3</v>
      </c>
      <c r="C18" s="83">
        <v>0.56000000000000005</v>
      </c>
      <c r="D18" s="83">
        <v>1.4400000000000002</v>
      </c>
      <c r="E18" s="83">
        <v>2.0566666666666666</v>
      </c>
      <c r="F18" s="83">
        <v>2.4633333333333334</v>
      </c>
      <c r="G18" s="83">
        <v>3.043333333333333</v>
      </c>
      <c r="H18" s="83">
        <v>3.8699999999999997</v>
      </c>
      <c r="I18" s="83">
        <v>4.5</v>
      </c>
      <c r="J18" s="83">
        <v>5.1933333333333342</v>
      </c>
      <c r="K18" s="83">
        <v>5.87</v>
      </c>
      <c r="L18" s="83">
        <v>6.623333333333334</v>
      </c>
      <c r="M18" s="83">
        <v>7.3466666666666667</v>
      </c>
      <c r="N18" s="83">
        <v>7.97</v>
      </c>
      <c r="O18" s="83">
        <v>8.5333333333333332</v>
      </c>
      <c r="P18" s="83">
        <v>8.9466666666666672</v>
      </c>
      <c r="Q18" s="83">
        <v>9.5933333333333337</v>
      </c>
      <c r="R18" s="83">
        <v>10.113333333333332</v>
      </c>
      <c r="S18" s="83">
        <v>10.556666666666667</v>
      </c>
      <c r="T18" s="83">
        <v>11.269999999999998</v>
      </c>
      <c r="U18" s="83">
        <v>11.949999999999998</v>
      </c>
      <c r="V18" s="83">
        <v>12.4</v>
      </c>
      <c r="W18" s="83">
        <v>12.703333333333333</v>
      </c>
      <c r="X18" s="83">
        <v>13.166666666666666</v>
      </c>
      <c r="Y18" s="83">
        <v>13.633333333333333</v>
      </c>
      <c r="Z18" s="83">
        <v>14.033333333333333</v>
      </c>
      <c r="AA18" s="83">
        <v>14.459999999999999</v>
      </c>
      <c r="AB18" s="83">
        <v>14.85</v>
      </c>
      <c r="AC18" s="83">
        <v>15.13</v>
      </c>
      <c r="AD18" s="83">
        <v>15.450000000000001</v>
      </c>
    </row>
    <row r="19" spans="1:30" x14ac:dyDescent="0.3">
      <c r="B19" s="78" t="s">
        <v>5</v>
      </c>
      <c r="C19" s="83">
        <v>0.61666666666666659</v>
      </c>
      <c r="D19" s="83">
        <v>1.3366666666666667</v>
      </c>
      <c r="E19" s="83">
        <v>1.9200000000000002</v>
      </c>
      <c r="F19" s="83">
        <v>2.4633333333333334</v>
      </c>
      <c r="G19" s="83">
        <v>2.8833333333333333</v>
      </c>
      <c r="H19" s="83">
        <v>3.6300000000000003</v>
      </c>
      <c r="I19" s="83">
        <v>4.2333333333333334</v>
      </c>
      <c r="J19" s="83">
        <v>4.9400000000000004</v>
      </c>
      <c r="K19" s="83">
        <v>5.5933333333333337</v>
      </c>
      <c r="L19" s="83">
        <v>6.2366666666666672</v>
      </c>
      <c r="M19" s="83">
        <v>6.9266666666666667</v>
      </c>
      <c r="N19" s="83">
        <v>7.5133333333333328</v>
      </c>
      <c r="O19" s="83">
        <v>7.98</v>
      </c>
      <c r="P19" s="83">
        <v>8.336666666666666</v>
      </c>
      <c r="Q19" s="83">
        <v>8.83</v>
      </c>
      <c r="R19" s="83">
        <v>9.3033333333333346</v>
      </c>
      <c r="S19" s="83">
        <v>9.6833333333333336</v>
      </c>
      <c r="T19" s="83">
        <v>10.306666666666667</v>
      </c>
      <c r="U19" s="83">
        <v>10.853333333333333</v>
      </c>
      <c r="V19" s="83">
        <v>11.356666666666664</v>
      </c>
      <c r="W19" s="83">
        <v>11.653333333333331</v>
      </c>
      <c r="X19" s="83">
        <v>12.17</v>
      </c>
      <c r="Y19" s="83">
        <v>12.616666666666667</v>
      </c>
      <c r="Z19" s="83">
        <v>13.063333333333333</v>
      </c>
      <c r="AA19" s="83">
        <v>13.483333333333334</v>
      </c>
      <c r="AB19" s="83">
        <v>13.916666666666666</v>
      </c>
      <c r="AC19" s="83">
        <v>14.216666666666667</v>
      </c>
      <c r="AD19" s="83">
        <v>14.533333333333333</v>
      </c>
    </row>
    <row r="20" spans="1:30" x14ac:dyDescent="0.3">
      <c r="B20" s="78" t="s">
        <v>87</v>
      </c>
      <c r="C20" s="83">
        <v>0.57999999999999996</v>
      </c>
      <c r="D20" s="83">
        <v>1.4400000000000002</v>
      </c>
      <c r="E20" s="83">
        <v>2.0166666666666666</v>
      </c>
      <c r="F20" s="83">
        <v>2.5700000000000003</v>
      </c>
      <c r="G20" s="83">
        <v>3.0566666666666666</v>
      </c>
      <c r="H20" s="83">
        <v>3.7966666666666664</v>
      </c>
      <c r="I20" s="83">
        <v>4.4366666666666674</v>
      </c>
      <c r="J20" s="83">
        <v>5.1066666666666665</v>
      </c>
      <c r="K20" s="83">
        <v>5.7100000000000009</v>
      </c>
      <c r="L20" s="83">
        <v>6.53</v>
      </c>
      <c r="M20" s="83">
        <v>7.2033333333333331</v>
      </c>
      <c r="N20" s="83">
        <v>7.82</v>
      </c>
      <c r="O20" s="83">
        <v>8.2900000000000009</v>
      </c>
      <c r="P20" s="83">
        <v>8.6933333333333334</v>
      </c>
      <c r="Q20" s="83">
        <v>9.1833333333333336</v>
      </c>
      <c r="R20" s="83">
        <v>9.5833333333333339</v>
      </c>
      <c r="S20" s="83">
        <v>9.9533333333333331</v>
      </c>
      <c r="T20" s="83">
        <v>10.719999999999999</v>
      </c>
      <c r="U20" s="83">
        <v>11.243333333333332</v>
      </c>
      <c r="V20" s="83">
        <v>11.676666666666668</v>
      </c>
      <c r="W20" s="83">
        <v>11.930000000000001</v>
      </c>
      <c r="X20" s="83">
        <v>12.28</v>
      </c>
      <c r="Y20" s="83">
        <v>12.706666666666669</v>
      </c>
      <c r="Z20" s="83">
        <v>13.103333333333333</v>
      </c>
      <c r="AA20" s="83">
        <v>13.553333333333335</v>
      </c>
      <c r="AB20" s="83">
        <v>13.963333333333333</v>
      </c>
      <c r="AC20" s="83">
        <v>14.293333333333331</v>
      </c>
      <c r="AD20" s="83">
        <v>14.660000000000002</v>
      </c>
    </row>
    <row r="21" spans="1:30" x14ac:dyDescent="0.3">
      <c r="B21" s="78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78"/>
      <c r="AC21" s="78"/>
      <c r="AD21" s="78"/>
    </row>
    <row r="22" spans="1:30" x14ac:dyDescent="0.3">
      <c r="A22" t="s">
        <v>51</v>
      </c>
      <c r="B22" s="78" t="s">
        <v>3</v>
      </c>
      <c r="C22" s="83">
        <v>4.9999999999999989E-2</v>
      </c>
      <c r="D22" s="83">
        <v>4.0000000000000036E-2</v>
      </c>
      <c r="E22" s="83">
        <v>7.3711147958320039E-2</v>
      </c>
      <c r="F22" s="83">
        <v>0.28290163190291673</v>
      </c>
      <c r="G22" s="83">
        <v>9.0737717258774761E-2</v>
      </c>
      <c r="H22" s="83">
        <v>0.22068076490713875</v>
      </c>
      <c r="I22" s="83">
        <v>0.23515952032609724</v>
      </c>
      <c r="J22" s="83">
        <v>0.28431203515386638</v>
      </c>
      <c r="K22" s="83">
        <v>0.2762245463386625</v>
      </c>
      <c r="L22" s="83">
        <v>0.29263173671584802</v>
      </c>
      <c r="M22" s="83">
        <v>0.33501243758005955</v>
      </c>
      <c r="N22" s="83">
        <v>0.30999999999999978</v>
      </c>
      <c r="O22" s="83">
        <v>0.25106440076867403</v>
      </c>
      <c r="P22" s="83">
        <v>0.18175074506954059</v>
      </c>
      <c r="Q22" s="83">
        <v>0.12013880860626787</v>
      </c>
      <c r="R22" s="83">
        <v>1.154700538379227E-2</v>
      </c>
      <c r="S22" s="83">
        <v>9.7125348562223254E-2</v>
      </c>
      <c r="T22" s="83">
        <v>0.11135528725659934</v>
      </c>
      <c r="U22" s="83">
        <v>0.17088007490635015</v>
      </c>
      <c r="V22" s="83">
        <v>0.19467922333931739</v>
      </c>
      <c r="W22" s="83">
        <v>0.21197484127446228</v>
      </c>
      <c r="X22" s="83">
        <v>0.21126602503321096</v>
      </c>
      <c r="Y22" s="83">
        <v>0.27061657993059718</v>
      </c>
      <c r="Z22" s="83">
        <v>0.25716402029314522</v>
      </c>
      <c r="AA22" s="83">
        <v>0.33955853692699239</v>
      </c>
      <c r="AB22" s="83">
        <v>0.36499999999999999</v>
      </c>
      <c r="AC22" s="79">
        <v>0.36399999999999999</v>
      </c>
      <c r="AD22" s="79">
        <v>0.41599999999999998</v>
      </c>
    </row>
    <row r="23" spans="1:30" x14ac:dyDescent="0.3">
      <c r="B23" s="78" t="s">
        <v>5</v>
      </c>
      <c r="C23" s="83">
        <v>8.5049005481153767E-2</v>
      </c>
      <c r="D23" s="83">
        <v>0.29670411748631548</v>
      </c>
      <c r="E23" s="83">
        <v>0.32787192621510014</v>
      </c>
      <c r="F23" s="83">
        <v>0.28290163190291673</v>
      </c>
      <c r="G23" s="83">
        <v>0.32562759915789302</v>
      </c>
      <c r="H23" s="83">
        <v>0.35791060336346586</v>
      </c>
      <c r="I23" s="83">
        <v>0.43096790290383963</v>
      </c>
      <c r="J23" s="83">
        <v>0.48774993593028831</v>
      </c>
      <c r="K23" s="83">
        <v>0.50520622851795216</v>
      </c>
      <c r="L23" s="83">
        <v>0.3813572253587616</v>
      </c>
      <c r="M23" s="83">
        <v>0.45544849690533989</v>
      </c>
      <c r="N23" s="83">
        <v>0.48603840726153918</v>
      </c>
      <c r="O23" s="83">
        <v>0.51739733281106148</v>
      </c>
      <c r="P23" s="83">
        <v>0.4909514572066499</v>
      </c>
      <c r="Q23" s="83">
        <v>0.5915234568468094</v>
      </c>
      <c r="R23" s="83">
        <v>0.61500677503043355</v>
      </c>
      <c r="S23" s="83">
        <v>0.62388567328744859</v>
      </c>
      <c r="T23" s="83">
        <v>0.54353779384080936</v>
      </c>
      <c r="U23" s="83">
        <v>0.48809152147249363</v>
      </c>
      <c r="V23" s="83">
        <v>0.50895317400850615</v>
      </c>
      <c r="W23" s="83">
        <v>0.48809152147249257</v>
      </c>
      <c r="X23" s="83">
        <v>0.37509998667022076</v>
      </c>
      <c r="Y23" s="83">
        <v>0.26633312473917514</v>
      </c>
      <c r="Z23" s="83">
        <v>0.2663331247391762</v>
      </c>
      <c r="AA23" s="83">
        <v>0.28005951748393321</v>
      </c>
      <c r="AB23" s="83">
        <v>0.27500000000000002</v>
      </c>
      <c r="AC23" s="79">
        <v>0.307</v>
      </c>
      <c r="AD23" s="79">
        <v>0.33700000000000002</v>
      </c>
    </row>
    <row r="24" spans="1:30" x14ac:dyDescent="0.3">
      <c r="B24" s="78" t="s">
        <v>87</v>
      </c>
      <c r="C24" s="83">
        <v>0.10148891565092216</v>
      </c>
      <c r="D24" s="83">
        <v>4.0000000000000036E-2</v>
      </c>
      <c r="E24" s="83">
        <v>8.962886439832507E-2</v>
      </c>
      <c r="F24" s="83">
        <v>0.13892443989449813</v>
      </c>
      <c r="G24" s="83">
        <v>0.13316656236958774</v>
      </c>
      <c r="H24" s="83">
        <v>0.16441816606851353</v>
      </c>
      <c r="I24" s="83">
        <v>0.15502687938977983</v>
      </c>
      <c r="J24" s="83">
        <v>0.10408329997330662</v>
      </c>
      <c r="K24" s="83">
        <v>0.21071307505705492</v>
      </c>
      <c r="L24" s="83">
        <v>0.30347981810987018</v>
      </c>
      <c r="M24" s="83">
        <v>0.37287173844813337</v>
      </c>
      <c r="N24" s="83">
        <v>0.4331281565541546</v>
      </c>
      <c r="O24" s="83">
        <v>0.39051248379533338</v>
      </c>
      <c r="P24" s="83">
        <v>0.37072002014098571</v>
      </c>
      <c r="Q24" s="83">
        <v>0.51675268101223482</v>
      </c>
      <c r="R24" s="83">
        <v>0.54353779384080914</v>
      </c>
      <c r="S24" s="83">
        <v>0.55247926054588981</v>
      </c>
      <c r="T24" s="83">
        <v>0.68036754772696217</v>
      </c>
      <c r="U24" s="83">
        <v>0.68966175284216902</v>
      </c>
      <c r="V24" s="83">
        <v>0.66274680937242814</v>
      </c>
      <c r="W24" s="83">
        <v>0.66955208908642816</v>
      </c>
      <c r="X24" s="83">
        <v>0.69397406291589858</v>
      </c>
      <c r="Y24" s="83">
        <v>0.75182001392177211</v>
      </c>
      <c r="Z24" s="83">
        <v>0.76526683799399942</v>
      </c>
      <c r="AA24" s="83">
        <v>0.79002109676472143</v>
      </c>
      <c r="AB24" s="83">
        <v>0.82499999999999996</v>
      </c>
      <c r="AC24" s="79">
        <v>0.84799999999999998</v>
      </c>
      <c r="AD24" s="79">
        <v>0.95299999999999996</v>
      </c>
    </row>
    <row r="25" spans="1:30" x14ac:dyDescent="0.3">
      <c r="B25" s="78"/>
      <c r="C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</row>
    <row r="26" spans="1:30" x14ac:dyDescent="0.3">
      <c r="A26" t="s">
        <v>52</v>
      </c>
      <c r="B26" s="78" t="s">
        <v>3</v>
      </c>
      <c r="C26" s="78" t="s">
        <v>83</v>
      </c>
      <c r="D26" s="78" t="s">
        <v>83</v>
      </c>
      <c r="E26" s="78" t="s">
        <v>83</v>
      </c>
      <c r="F26" s="78" t="s">
        <v>83</v>
      </c>
      <c r="G26" s="78" t="s">
        <v>83</v>
      </c>
      <c r="H26" s="78" t="s">
        <v>83</v>
      </c>
      <c r="I26" s="78" t="s">
        <v>83</v>
      </c>
      <c r="J26" s="78" t="s">
        <v>83</v>
      </c>
      <c r="K26" s="78" t="s">
        <v>83</v>
      </c>
      <c r="L26" s="78" t="s">
        <v>83</v>
      </c>
      <c r="M26" s="78" t="s">
        <v>83</v>
      </c>
      <c r="N26" s="78" t="s">
        <v>83</v>
      </c>
      <c r="O26" s="78" t="s">
        <v>83</v>
      </c>
      <c r="P26" s="78" t="s">
        <v>83</v>
      </c>
      <c r="Q26" s="78" t="s">
        <v>83</v>
      </c>
      <c r="R26" s="78" t="s">
        <v>83</v>
      </c>
      <c r="S26" s="78" t="s">
        <v>83</v>
      </c>
      <c r="T26" s="78" t="s">
        <v>83</v>
      </c>
      <c r="U26" s="78" t="s">
        <v>83</v>
      </c>
      <c r="V26" s="78" t="s">
        <v>83</v>
      </c>
      <c r="W26" s="78" t="s">
        <v>83</v>
      </c>
      <c r="X26" s="78" t="s">
        <v>83</v>
      </c>
      <c r="Y26" s="78" t="s">
        <v>83</v>
      </c>
      <c r="Z26" s="78" t="s">
        <v>83</v>
      </c>
      <c r="AA26" s="78" t="s">
        <v>83</v>
      </c>
      <c r="AB26" s="78" t="s">
        <v>83</v>
      </c>
      <c r="AC26" s="78" t="s">
        <v>83</v>
      </c>
      <c r="AD26" s="78" t="s">
        <v>83</v>
      </c>
    </row>
    <row r="27" spans="1:30" x14ac:dyDescent="0.3">
      <c r="B27" s="78" t="s">
        <v>5</v>
      </c>
      <c r="C27" s="78" t="s">
        <v>83</v>
      </c>
      <c r="D27" s="78" t="s">
        <v>83</v>
      </c>
      <c r="E27" s="78" t="s">
        <v>83</v>
      </c>
      <c r="F27" s="78" t="s">
        <v>83</v>
      </c>
      <c r="G27" s="78" t="s">
        <v>83</v>
      </c>
      <c r="H27" s="78" t="s">
        <v>83</v>
      </c>
      <c r="I27" s="78" t="s">
        <v>83</v>
      </c>
      <c r="J27" s="78" t="s">
        <v>83</v>
      </c>
      <c r="K27" s="78" t="s">
        <v>83</v>
      </c>
      <c r="L27" s="78" t="s">
        <v>83</v>
      </c>
      <c r="M27" s="78" t="s">
        <v>83</v>
      </c>
      <c r="N27" s="78" t="s">
        <v>83</v>
      </c>
      <c r="O27" s="78" t="s">
        <v>83</v>
      </c>
      <c r="P27" s="78" t="s">
        <v>83</v>
      </c>
      <c r="Q27" s="78" t="s">
        <v>83</v>
      </c>
      <c r="R27" s="78" t="s">
        <v>83</v>
      </c>
      <c r="S27" s="78" t="s">
        <v>83</v>
      </c>
      <c r="T27" s="78" t="s">
        <v>83</v>
      </c>
      <c r="U27" s="78" t="s">
        <v>83</v>
      </c>
      <c r="V27" s="78" t="s">
        <v>83</v>
      </c>
      <c r="W27" s="78" t="s">
        <v>83</v>
      </c>
      <c r="X27" s="78" t="s">
        <v>83</v>
      </c>
      <c r="Y27" s="78" t="s">
        <v>83</v>
      </c>
      <c r="Z27" s="78" t="s">
        <v>83</v>
      </c>
      <c r="AA27" s="78" t="s">
        <v>83</v>
      </c>
      <c r="AB27" s="78" t="s">
        <v>83</v>
      </c>
      <c r="AC27" s="78" t="s">
        <v>83</v>
      </c>
      <c r="AD27" s="78" t="s">
        <v>83</v>
      </c>
    </row>
    <row r="28" spans="1:30" x14ac:dyDescent="0.3">
      <c r="B28" s="78" t="s">
        <v>87</v>
      </c>
      <c r="C28" s="78" t="s">
        <v>83</v>
      </c>
      <c r="D28" s="78" t="s">
        <v>83</v>
      </c>
      <c r="E28" s="78" t="s">
        <v>83</v>
      </c>
      <c r="F28" s="78" t="s">
        <v>83</v>
      </c>
      <c r="G28" s="78" t="s">
        <v>83</v>
      </c>
      <c r="H28" s="78" t="s">
        <v>83</v>
      </c>
      <c r="I28" s="78" t="s">
        <v>83</v>
      </c>
      <c r="J28" s="78" t="s">
        <v>83</v>
      </c>
      <c r="K28" s="78" t="s">
        <v>83</v>
      </c>
      <c r="L28" s="78" t="s">
        <v>83</v>
      </c>
      <c r="M28" s="78" t="s">
        <v>83</v>
      </c>
      <c r="N28" s="78" t="s">
        <v>83</v>
      </c>
      <c r="O28" s="78" t="s">
        <v>83</v>
      </c>
      <c r="P28" s="78" t="s">
        <v>83</v>
      </c>
      <c r="Q28" s="78" t="s">
        <v>83</v>
      </c>
      <c r="R28" s="78" t="s">
        <v>83</v>
      </c>
      <c r="S28" s="78" t="s">
        <v>83</v>
      </c>
      <c r="T28" s="78" t="s">
        <v>83</v>
      </c>
      <c r="U28" s="78" t="s">
        <v>83</v>
      </c>
      <c r="V28" s="78" t="s">
        <v>83</v>
      </c>
      <c r="W28" s="78" t="s">
        <v>83</v>
      </c>
      <c r="X28" s="78" t="s">
        <v>83</v>
      </c>
      <c r="Y28" s="78" t="s">
        <v>83</v>
      </c>
      <c r="Z28" s="78" t="s">
        <v>83</v>
      </c>
      <c r="AA28" s="78" t="s">
        <v>83</v>
      </c>
      <c r="AB28" s="78" t="s">
        <v>83</v>
      </c>
      <c r="AC28" s="78" t="s">
        <v>83</v>
      </c>
      <c r="AD28" s="78" t="s">
        <v>83</v>
      </c>
    </row>
  </sheetData>
  <phoneticPr fontId="7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2</vt:i4>
      </vt:variant>
    </vt:vector>
  </HeadingPairs>
  <TitlesOfParts>
    <vt:vector size="6" baseType="lpstr">
      <vt:lpstr>Erträge</vt:lpstr>
      <vt:lpstr>Erträge_R</vt:lpstr>
      <vt:lpstr>Längen_Rispen</vt:lpstr>
      <vt:lpstr>Tab_Erträge_Statistik</vt:lpstr>
      <vt:lpstr>Kum. Erträge lichtabhängig</vt:lpstr>
      <vt:lpstr>Kum. Erträge Substrate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Nerlich</dc:creator>
  <cp:lastModifiedBy>Dennis Dannehl</cp:lastModifiedBy>
  <cp:lastPrinted>2020-04-10T20:24:24Z</cp:lastPrinted>
  <dcterms:created xsi:type="dcterms:W3CDTF">2020-04-10T20:19:16Z</dcterms:created>
  <dcterms:modified xsi:type="dcterms:W3CDTF">2023-03-29T10:54:25Z</dcterms:modified>
</cp:coreProperties>
</file>