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ixon\Downloads\"/>
    </mc:Choice>
  </mc:AlternateContent>
  <xr:revisionPtr revIDLastSave="0" documentId="13_ncr:1_{2E28B632-DF00-461F-8893-0271D3C16B90}" xr6:coauthVersionLast="41" xr6:coauthVersionMax="41" xr10:uidLastSave="{00000000-0000-0000-0000-000000000000}"/>
  <bookViews>
    <workbookView xWindow="-120" yWindow="-120" windowWidth="20730" windowHeight="11160" firstSheet="9" activeTab="10" xr2:uid="{00000000-000D-0000-FFFF-FFFF00000000}"/>
  </bookViews>
  <sheets>
    <sheet name="Prices" sheetId="1" r:id="rId1"/>
    <sheet name="Hydrogen_Production" sheetId="2" r:id="rId2"/>
    <sheet name="Hydrogen_Transmission" sheetId="4" r:id="rId3"/>
    <sheet name="Hydrogen_Distribution" sheetId="5" r:id="rId4"/>
    <sheet name="Hydrogen_Storage" sheetId="8" r:id="rId5"/>
    <sheet name="H2_Synthetic_Fuels" sheetId="3" r:id="rId6"/>
    <sheet name="Hydrogen_Feedstock_Use" sheetId="6" r:id="rId7"/>
    <sheet name="Hydrogen_Vehicles" sheetId="7" r:id="rId8"/>
    <sheet name="Hydrogen_Trains" sheetId="12" r:id="rId9"/>
    <sheet name="Hydrogen_Domestic_Boilers" sheetId="11" r:id="rId10"/>
    <sheet name="Hydrogen_Industrial_Boilers" sheetId="15" r:id="rId11"/>
    <sheet name="Hydrogen_Stationary_FuelCells" sheetId="1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5" l="1"/>
  <c r="G4" i="15"/>
  <c r="D10" i="15"/>
  <c r="E10" i="15" s="1"/>
  <c r="F10" i="15" s="1"/>
  <c r="J10" i="15" s="1"/>
  <c r="C14" i="15"/>
  <c r="J13" i="15"/>
  <c r="H13" i="15"/>
  <c r="G13" i="15"/>
  <c r="F13" i="15"/>
  <c r="D13" i="15"/>
  <c r="C13" i="15"/>
  <c r="F11" i="15"/>
  <c r="E11" i="15"/>
  <c r="D11" i="15"/>
  <c r="C11" i="15"/>
  <c r="H9" i="15"/>
  <c r="I9" i="15" s="1"/>
  <c r="J9" i="15" s="1"/>
  <c r="D9" i="15"/>
  <c r="E9" i="15" s="1"/>
  <c r="F9" i="15" s="1"/>
  <c r="D7" i="15"/>
  <c r="E7" i="15" s="1"/>
  <c r="F7" i="15" s="1"/>
  <c r="H6" i="15"/>
  <c r="I6" i="15" s="1"/>
  <c r="J6" i="15" s="1"/>
  <c r="D6" i="15"/>
  <c r="E6" i="15" s="1"/>
  <c r="F6" i="15" s="1"/>
  <c r="H5" i="15"/>
  <c r="I5" i="15" s="1"/>
  <c r="D5" i="15"/>
  <c r="E5" i="15" s="1"/>
  <c r="D4" i="15"/>
  <c r="K14" i="11"/>
  <c r="L4" i="11"/>
  <c r="M4" i="11" s="1"/>
  <c r="N4" i="11" s="1"/>
  <c r="N13" i="11"/>
  <c r="L13" i="11"/>
  <c r="K13" i="11"/>
  <c r="L9" i="11"/>
  <c r="M9" i="11" s="1"/>
  <c r="N9" i="11" s="1"/>
  <c r="L6" i="11"/>
  <c r="M6" i="11" s="1"/>
  <c r="N6" i="11" s="1"/>
  <c r="L5" i="11"/>
  <c r="G14" i="11"/>
  <c r="J13" i="11"/>
  <c r="H13" i="11"/>
  <c r="G13" i="11"/>
  <c r="J11" i="11"/>
  <c r="I11" i="11"/>
  <c r="H11" i="11"/>
  <c r="G11" i="11"/>
  <c r="H9" i="11"/>
  <c r="I9" i="11" s="1"/>
  <c r="J9" i="11" s="1"/>
  <c r="H7" i="11"/>
  <c r="I7" i="11" s="1"/>
  <c r="J7" i="11" s="1"/>
  <c r="H6" i="11"/>
  <c r="I6" i="11" s="1"/>
  <c r="J6" i="11" s="1"/>
  <c r="H5" i="11"/>
  <c r="H4" i="11"/>
  <c r="I4" i="11" s="1"/>
  <c r="J4" i="11" s="1"/>
  <c r="C14" i="11"/>
  <c r="F13" i="11"/>
  <c r="D13" i="11"/>
  <c r="C13" i="11"/>
  <c r="F11" i="11"/>
  <c r="E11" i="11"/>
  <c r="D11" i="11"/>
  <c r="C11" i="11"/>
  <c r="F10" i="11"/>
  <c r="E10" i="11"/>
  <c r="D10" i="11"/>
  <c r="C10" i="11"/>
  <c r="D9" i="11"/>
  <c r="E9" i="11" s="1"/>
  <c r="F9" i="11" s="1"/>
  <c r="D7" i="11"/>
  <c r="E7" i="11" s="1"/>
  <c r="F7" i="11" s="1"/>
  <c r="D6" i="11"/>
  <c r="E6" i="11" s="1"/>
  <c r="F6" i="11" s="1"/>
  <c r="G14" i="15" l="1"/>
  <c r="H4" i="15"/>
  <c r="I4" i="15" s="1"/>
  <c r="J4" i="15" s="1"/>
  <c r="G7" i="15"/>
  <c r="H7" i="15" s="1"/>
  <c r="I7" i="15" s="1"/>
  <c r="J7" i="15" s="1"/>
  <c r="H10" i="15"/>
  <c r="I10" i="15"/>
  <c r="D14" i="15"/>
  <c r="F5" i="15"/>
  <c r="J5" i="15"/>
  <c r="E4" i="15"/>
  <c r="F4" i="15" s="1"/>
  <c r="L7" i="11"/>
  <c r="M7" i="11" s="1"/>
  <c r="N7" i="11" s="1"/>
  <c r="L14" i="11"/>
  <c r="M5" i="11"/>
  <c r="H14" i="11"/>
  <c r="I5" i="11"/>
  <c r="D5" i="11"/>
  <c r="D4" i="11"/>
  <c r="E4" i="11" s="1"/>
  <c r="F4" i="11" s="1"/>
  <c r="I14" i="15" l="1"/>
  <c r="J14" i="15"/>
  <c r="H14" i="15"/>
  <c r="F14" i="15"/>
  <c r="E14" i="15"/>
  <c r="M14" i="11"/>
  <c r="N5" i="11"/>
  <c r="N14" i="11" s="1"/>
  <c r="J5" i="11"/>
  <c r="J14" i="11" s="1"/>
  <c r="I14" i="11"/>
  <c r="D14" i="11"/>
  <c r="E5" i="11"/>
  <c r="F5" i="11" l="1"/>
  <c r="F14" i="11" s="1"/>
  <c r="E14" i="11"/>
  <c r="F42" i="12" l="1"/>
  <c r="E42" i="12"/>
  <c r="D42" i="12"/>
  <c r="C42" i="12"/>
  <c r="F25" i="12"/>
  <c r="E25" i="12"/>
  <c r="D25" i="12"/>
  <c r="C25" i="12"/>
  <c r="F8" i="12" l="1"/>
  <c r="E8" i="12"/>
  <c r="D8" i="12"/>
  <c r="D13" i="12" s="1"/>
  <c r="C8" i="12"/>
  <c r="C13" i="12" s="1"/>
  <c r="C48" i="12"/>
  <c r="C47" i="12"/>
  <c r="D45" i="12"/>
  <c r="D30" i="12"/>
  <c r="C30" i="12"/>
  <c r="F31" i="12"/>
  <c r="E31" i="12"/>
  <c r="D31" i="12"/>
  <c r="C31" i="12"/>
  <c r="C14" i="12"/>
  <c r="D11" i="12"/>
  <c r="C49" i="12" l="1"/>
  <c r="C15" i="12"/>
  <c r="F47" i="12"/>
  <c r="E47" i="12"/>
  <c r="E45" i="12"/>
  <c r="D48" i="12"/>
  <c r="D47" i="12"/>
  <c r="F30" i="12"/>
  <c r="F32" i="12" s="1"/>
  <c r="E30" i="12"/>
  <c r="E32" i="12" s="1"/>
  <c r="E13" i="12"/>
  <c r="F13" i="12"/>
  <c r="C32" i="12"/>
  <c r="E11" i="12"/>
  <c r="D14" i="12"/>
  <c r="D15" i="12" s="1"/>
  <c r="D32" i="12"/>
  <c r="D49" i="12" l="1"/>
  <c r="F45" i="12"/>
  <c r="F48" i="12" s="1"/>
  <c r="F49" i="12" s="1"/>
  <c r="E48" i="12"/>
  <c r="E49" i="12"/>
  <c r="E14" i="12"/>
  <c r="F11" i="12"/>
  <c r="F14" i="12" s="1"/>
  <c r="F15" i="12" s="1"/>
  <c r="E15" i="12"/>
  <c r="B16" i="1" l="1"/>
  <c r="F89" i="3" l="1"/>
  <c r="D89" i="3"/>
  <c r="C89" i="3"/>
  <c r="F171" i="3"/>
  <c r="E171" i="3"/>
  <c r="D171" i="3"/>
  <c r="D178" i="3" s="1"/>
  <c r="C171" i="3"/>
  <c r="C178" i="3" s="1"/>
  <c r="F176" i="3"/>
  <c r="D176" i="3"/>
  <c r="C176" i="3"/>
  <c r="C175" i="3"/>
  <c r="D175" i="3" s="1"/>
  <c r="E175" i="3" s="1"/>
  <c r="F175" i="3" s="1"/>
  <c r="E173" i="3"/>
  <c r="F178" i="3"/>
  <c r="E168" i="3"/>
  <c r="J152" i="3"/>
  <c r="H152" i="3"/>
  <c r="G152" i="3"/>
  <c r="H153" i="3"/>
  <c r="J157" i="3"/>
  <c r="H157" i="3"/>
  <c r="G157" i="3"/>
  <c r="J154" i="3"/>
  <c r="I154" i="3"/>
  <c r="H154" i="3"/>
  <c r="G154" i="3"/>
  <c r="F157" i="3"/>
  <c r="D157" i="3"/>
  <c r="C157" i="3"/>
  <c r="C156" i="3"/>
  <c r="D156" i="3" s="1"/>
  <c r="E156" i="3" s="1"/>
  <c r="F156" i="3" s="1"/>
  <c r="F154" i="3"/>
  <c r="E154" i="3"/>
  <c r="D154" i="3"/>
  <c r="C154" i="3"/>
  <c r="E153" i="3"/>
  <c r="E152" i="3"/>
  <c r="F150" i="3"/>
  <c r="F159" i="3" s="1"/>
  <c r="D150" i="3"/>
  <c r="D159" i="3" s="1"/>
  <c r="C150" i="3"/>
  <c r="C159" i="3" s="1"/>
  <c r="E147" i="3"/>
  <c r="E150" i="3" s="1"/>
  <c r="J136" i="3"/>
  <c r="H136" i="3"/>
  <c r="G136" i="3"/>
  <c r="F136" i="3"/>
  <c r="D136" i="3"/>
  <c r="C136" i="3"/>
  <c r="J133" i="3"/>
  <c r="I133" i="3"/>
  <c r="H133" i="3"/>
  <c r="G133" i="3"/>
  <c r="F133" i="3"/>
  <c r="E133" i="3"/>
  <c r="D133" i="3"/>
  <c r="C133" i="3"/>
  <c r="I132" i="3"/>
  <c r="E132" i="3"/>
  <c r="I131" i="3"/>
  <c r="E131" i="3"/>
  <c r="J129" i="3"/>
  <c r="J138" i="3" s="1"/>
  <c r="H129" i="3"/>
  <c r="H138" i="3" s="1"/>
  <c r="G129" i="3"/>
  <c r="G138" i="3" s="1"/>
  <c r="F129" i="3"/>
  <c r="F138" i="3" s="1"/>
  <c r="D129" i="3"/>
  <c r="D138" i="3" s="1"/>
  <c r="C129" i="3"/>
  <c r="C138" i="3" s="1"/>
  <c r="I126" i="3"/>
  <c r="E126" i="3"/>
  <c r="H117" i="3"/>
  <c r="J115" i="3"/>
  <c r="H115" i="3"/>
  <c r="G115" i="3"/>
  <c r="J112" i="3"/>
  <c r="I112" i="3"/>
  <c r="H112" i="3"/>
  <c r="G112" i="3"/>
  <c r="I111" i="3"/>
  <c r="I110" i="3"/>
  <c r="J108" i="3"/>
  <c r="J117" i="3" s="1"/>
  <c r="H108" i="3"/>
  <c r="G108" i="3"/>
  <c r="G117" i="3" s="1"/>
  <c r="I105" i="3"/>
  <c r="I108" i="3" s="1"/>
  <c r="I117" i="3" s="1"/>
  <c r="F115" i="3"/>
  <c r="D115" i="3"/>
  <c r="C115" i="3"/>
  <c r="F112" i="3"/>
  <c r="E112" i="3"/>
  <c r="D112" i="3"/>
  <c r="C112" i="3"/>
  <c r="E111" i="3"/>
  <c r="E110" i="3"/>
  <c r="F108" i="3"/>
  <c r="F117" i="3" s="1"/>
  <c r="D108" i="3"/>
  <c r="D117" i="3" s="1"/>
  <c r="C108" i="3"/>
  <c r="C117" i="3" s="1"/>
  <c r="E105" i="3"/>
  <c r="D96" i="3"/>
  <c r="F94" i="3"/>
  <c r="D94" i="3"/>
  <c r="C94" i="3"/>
  <c r="C93" i="3"/>
  <c r="D93" i="3" s="1"/>
  <c r="E93" i="3" s="1"/>
  <c r="F93" i="3" s="1"/>
  <c r="E91" i="3"/>
  <c r="F96" i="3"/>
  <c r="C96" i="3"/>
  <c r="E86" i="3"/>
  <c r="E89" i="3" s="1"/>
  <c r="C74" i="3"/>
  <c r="D74" i="3" s="1"/>
  <c r="J71" i="3"/>
  <c r="J153" i="3" s="1"/>
  <c r="H71" i="3"/>
  <c r="G71" i="3"/>
  <c r="G153" i="3" s="1"/>
  <c r="J65" i="3"/>
  <c r="J68" i="3" s="1"/>
  <c r="J77" i="3" s="1"/>
  <c r="H65" i="3"/>
  <c r="H68" i="3" s="1"/>
  <c r="H77" i="3" s="1"/>
  <c r="G65" i="3"/>
  <c r="G68" i="3" s="1"/>
  <c r="G77" i="3" s="1"/>
  <c r="J75" i="3"/>
  <c r="H75" i="3"/>
  <c r="G75" i="3"/>
  <c r="J72" i="3"/>
  <c r="I72" i="3"/>
  <c r="H72" i="3"/>
  <c r="G72" i="3"/>
  <c r="I70" i="3"/>
  <c r="I152" i="3" s="1"/>
  <c r="F72" i="3"/>
  <c r="E72" i="3"/>
  <c r="D72" i="3"/>
  <c r="C72" i="3"/>
  <c r="F64" i="2"/>
  <c r="J64" i="2" s="1"/>
  <c r="D64" i="2"/>
  <c r="H64" i="2" s="1"/>
  <c r="C64" i="2"/>
  <c r="G64" i="2" s="1"/>
  <c r="F75" i="3"/>
  <c r="D75" i="3"/>
  <c r="C75" i="3"/>
  <c r="E71" i="3"/>
  <c r="E70" i="3"/>
  <c r="F68" i="3"/>
  <c r="F77" i="3" s="1"/>
  <c r="D68" i="3"/>
  <c r="D77" i="3" s="1"/>
  <c r="C68" i="3"/>
  <c r="C77" i="3" s="1"/>
  <c r="E65" i="3"/>
  <c r="J54" i="3"/>
  <c r="H54" i="3"/>
  <c r="G54" i="3"/>
  <c r="J51" i="3"/>
  <c r="I51" i="3"/>
  <c r="H51" i="3"/>
  <c r="G51" i="3"/>
  <c r="I50" i="3"/>
  <c r="I49" i="3"/>
  <c r="J47" i="3"/>
  <c r="J56" i="3" s="1"/>
  <c r="H47" i="3"/>
  <c r="H56" i="3" s="1"/>
  <c r="G47" i="3"/>
  <c r="G56" i="3" s="1"/>
  <c r="I44" i="3"/>
  <c r="I47" i="3" s="1"/>
  <c r="F51" i="3"/>
  <c r="E51" i="3"/>
  <c r="D51" i="3"/>
  <c r="C51" i="3"/>
  <c r="F47" i="3"/>
  <c r="F56" i="3" s="1"/>
  <c r="D47" i="3"/>
  <c r="D56" i="3" s="1"/>
  <c r="C47" i="3"/>
  <c r="C56" i="3" s="1"/>
  <c r="F54" i="3"/>
  <c r="D54" i="3"/>
  <c r="C54" i="3"/>
  <c r="E50" i="3"/>
  <c r="E49" i="3"/>
  <c r="E44" i="3"/>
  <c r="E47" i="3" s="1"/>
  <c r="E56" i="3" s="1"/>
  <c r="J33" i="3"/>
  <c r="H33" i="3"/>
  <c r="G33" i="3"/>
  <c r="J30" i="3"/>
  <c r="I30" i="3"/>
  <c r="H30" i="3"/>
  <c r="G30" i="3"/>
  <c r="I29" i="3"/>
  <c r="I28" i="3"/>
  <c r="J26" i="3"/>
  <c r="J35" i="3" s="1"/>
  <c r="H26" i="3"/>
  <c r="H35" i="3" s="1"/>
  <c r="G26" i="3"/>
  <c r="G35" i="3" s="1"/>
  <c r="I23" i="3"/>
  <c r="I26" i="3" s="1"/>
  <c r="F30" i="3"/>
  <c r="E30" i="3"/>
  <c r="D30" i="3"/>
  <c r="C30" i="3"/>
  <c r="E29" i="3"/>
  <c r="E28" i="3"/>
  <c r="F26" i="3"/>
  <c r="F35" i="3" s="1"/>
  <c r="D26" i="3"/>
  <c r="D35" i="3" s="1"/>
  <c r="C26" i="3"/>
  <c r="C35" i="3" s="1"/>
  <c r="F33" i="3"/>
  <c r="D33" i="3"/>
  <c r="C33" i="3"/>
  <c r="E23" i="3"/>
  <c r="E26" i="3" s="1"/>
  <c r="J70" i="2"/>
  <c r="G147" i="3" l="1"/>
  <c r="G150" i="3" s="1"/>
  <c r="G159" i="3" s="1"/>
  <c r="H147" i="3"/>
  <c r="H150" i="3" s="1"/>
  <c r="H159" i="3" s="1"/>
  <c r="I71" i="3"/>
  <c r="I153" i="3" s="1"/>
  <c r="E64" i="2"/>
  <c r="I64" i="2" s="1"/>
  <c r="J147" i="3"/>
  <c r="J150" i="3" s="1"/>
  <c r="J159" i="3" s="1"/>
  <c r="I147" i="3"/>
  <c r="I150" i="3" s="1"/>
  <c r="I159" i="3" s="1"/>
  <c r="E178" i="3"/>
  <c r="E159" i="3"/>
  <c r="E129" i="3"/>
  <c r="E138" i="3" s="1"/>
  <c r="I129" i="3"/>
  <c r="I138" i="3" s="1"/>
  <c r="E108" i="3"/>
  <c r="E117" i="3" s="1"/>
  <c r="I65" i="3"/>
  <c r="I68" i="3" s="1"/>
  <c r="E35" i="3"/>
  <c r="E96" i="3"/>
  <c r="I35" i="3"/>
  <c r="E74" i="3"/>
  <c r="F74" i="3" s="1"/>
  <c r="E68" i="3"/>
  <c r="E77" i="3" s="1"/>
  <c r="I56" i="3"/>
  <c r="I77" i="3" l="1"/>
  <c r="J73" i="2" l="1"/>
  <c r="H73" i="2"/>
  <c r="G73" i="2"/>
  <c r="J71" i="2"/>
  <c r="I71" i="2"/>
  <c r="H71" i="2"/>
  <c r="G71" i="2"/>
  <c r="J67" i="2"/>
  <c r="J75" i="2" s="1"/>
  <c r="H67" i="2"/>
  <c r="H75" i="2" s="1"/>
  <c r="G67" i="2"/>
  <c r="G75" i="2" s="1"/>
  <c r="I67" i="2"/>
  <c r="B18" i="1"/>
  <c r="G74" i="3" l="1"/>
  <c r="G72" i="2"/>
  <c r="G156" i="3"/>
  <c r="G76" i="2"/>
  <c r="G77" i="2" s="1"/>
  <c r="H72" i="2"/>
  <c r="I75" i="2"/>
  <c r="F71" i="2"/>
  <c r="E71" i="2"/>
  <c r="D71" i="2"/>
  <c r="C71" i="2"/>
  <c r="C72" i="2"/>
  <c r="D72" i="2" s="1"/>
  <c r="E72" i="2" s="1"/>
  <c r="F72" i="2" s="1"/>
  <c r="E70" i="2"/>
  <c r="E67" i="2"/>
  <c r="E75" i="2" s="1"/>
  <c r="F73" i="2"/>
  <c r="D73" i="2"/>
  <c r="C73" i="2"/>
  <c r="F67" i="2"/>
  <c r="F75" i="2" s="1"/>
  <c r="D67" i="2"/>
  <c r="D75" i="2" s="1"/>
  <c r="C67" i="2"/>
  <c r="C75" i="2" s="1"/>
  <c r="H15" i="3"/>
  <c r="J13" i="3"/>
  <c r="H13" i="3"/>
  <c r="G13" i="3"/>
  <c r="G12" i="3"/>
  <c r="H12" i="3" s="1"/>
  <c r="J11" i="3"/>
  <c r="I11" i="3"/>
  <c r="H11" i="3"/>
  <c r="G11" i="3"/>
  <c r="I10" i="3"/>
  <c r="J7" i="3"/>
  <c r="J15" i="3" s="1"/>
  <c r="H7" i="3"/>
  <c r="G7" i="3"/>
  <c r="G15" i="3" s="1"/>
  <c r="I4" i="3"/>
  <c r="I7" i="3" s="1"/>
  <c r="C12" i="3"/>
  <c r="D12" i="3" s="1"/>
  <c r="E12" i="3" s="1"/>
  <c r="F7" i="3"/>
  <c r="F15" i="3" s="1"/>
  <c r="D7" i="3"/>
  <c r="D15" i="3" s="1"/>
  <c r="C7" i="3"/>
  <c r="C15" i="3" s="1"/>
  <c r="F13" i="3"/>
  <c r="D13" i="3"/>
  <c r="C13" i="3"/>
  <c r="E10" i="3"/>
  <c r="E4" i="3"/>
  <c r="E7" i="3" s="1"/>
  <c r="B30" i="1"/>
  <c r="B31" i="1" s="1"/>
  <c r="F6" i="2"/>
  <c r="D6" i="2"/>
  <c r="C6" i="2"/>
  <c r="G56" i="2"/>
  <c r="J54" i="2"/>
  <c r="H54" i="2"/>
  <c r="G54" i="2"/>
  <c r="J52" i="2"/>
  <c r="I52" i="2"/>
  <c r="H52" i="2"/>
  <c r="G52" i="2"/>
  <c r="J48" i="2"/>
  <c r="J56" i="2" s="1"/>
  <c r="I48" i="2"/>
  <c r="I56" i="2" s="1"/>
  <c r="H48" i="2"/>
  <c r="H56" i="2" s="1"/>
  <c r="G48" i="2"/>
  <c r="F52" i="2"/>
  <c r="E52" i="2"/>
  <c r="D52" i="2"/>
  <c r="C52" i="2"/>
  <c r="F48" i="2"/>
  <c r="F56" i="2" s="1"/>
  <c r="E48" i="2"/>
  <c r="D48" i="2"/>
  <c r="C48" i="2"/>
  <c r="C56" i="2" s="1"/>
  <c r="F54" i="2"/>
  <c r="D54" i="2"/>
  <c r="C54" i="2"/>
  <c r="D56" i="2"/>
  <c r="I36" i="2"/>
  <c r="J29" i="2"/>
  <c r="H29" i="2"/>
  <c r="G29" i="2"/>
  <c r="G37" i="2" s="1"/>
  <c r="N13" i="2"/>
  <c r="M13" i="2"/>
  <c r="L13" i="2"/>
  <c r="K13" i="2"/>
  <c r="J13" i="2"/>
  <c r="I13" i="2"/>
  <c r="H13" i="2"/>
  <c r="G13" i="2"/>
  <c r="F13" i="2"/>
  <c r="E13" i="2"/>
  <c r="D13" i="2"/>
  <c r="C13" i="2"/>
  <c r="E10" i="1"/>
  <c r="F7" i="1"/>
  <c r="N15" i="2" s="1"/>
  <c r="D7" i="1"/>
  <c r="E7" i="1" s="1"/>
  <c r="C7" i="1"/>
  <c r="G15" i="2" s="1"/>
  <c r="N10" i="2"/>
  <c r="L10" i="2"/>
  <c r="K10" i="2"/>
  <c r="J10" i="2"/>
  <c r="H10" i="2"/>
  <c r="G10" i="2"/>
  <c r="F10" i="2"/>
  <c r="F18" i="2" s="1"/>
  <c r="D10" i="2"/>
  <c r="D18" i="2" s="1"/>
  <c r="C10" i="2"/>
  <c r="C18" i="2" s="1"/>
  <c r="M8" i="2"/>
  <c r="M10" i="2" s="1"/>
  <c r="I8" i="2"/>
  <c r="I10" i="2" s="1"/>
  <c r="E8" i="2"/>
  <c r="E10" i="2" s="1"/>
  <c r="J37" i="2"/>
  <c r="H37" i="2"/>
  <c r="J35" i="2"/>
  <c r="H35" i="2"/>
  <c r="G35" i="2"/>
  <c r="J33" i="2"/>
  <c r="I33" i="2"/>
  <c r="H33" i="2"/>
  <c r="G33" i="2"/>
  <c r="I32" i="2"/>
  <c r="I26" i="2"/>
  <c r="I29" i="2" s="1"/>
  <c r="F33" i="2"/>
  <c r="E33" i="2"/>
  <c r="D33" i="2"/>
  <c r="C33" i="2"/>
  <c r="F29" i="2"/>
  <c r="F37" i="2" s="1"/>
  <c r="D29" i="2"/>
  <c r="D37" i="2" s="1"/>
  <c r="C29" i="2"/>
  <c r="C37" i="2" s="1"/>
  <c r="F35" i="2"/>
  <c r="D35" i="2"/>
  <c r="C35" i="2"/>
  <c r="E32" i="2"/>
  <c r="E26" i="2"/>
  <c r="E29" i="2" s="1"/>
  <c r="E37" i="2" s="1"/>
  <c r="N14" i="2"/>
  <c r="L14" i="2"/>
  <c r="M14" i="2" s="1"/>
  <c r="K14" i="2"/>
  <c r="N5" i="2"/>
  <c r="N6" i="2" s="1"/>
  <c r="L5" i="2"/>
  <c r="L6" i="2" s="1"/>
  <c r="K5" i="2"/>
  <c r="K6" i="2" s="1"/>
  <c r="N17" i="2"/>
  <c r="L17" i="2"/>
  <c r="K17" i="2"/>
  <c r="K16" i="2"/>
  <c r="J14" i="2"/>
  <c r="H14" i="2"/>
  <c r="G14" i="2"/>
  <c r="J5" i="2"/>
  <c r="J11" i="2" s="1"/>
  <c r="H5" i="2"/>
  <c r="H6" i="2" s="1"/>
  <c r="G5" i="2"/>
  <c r="G11" i="2" s="1"/>
  <c r="F11" i="2"/>
  <c r="D11" i="2"/>
  <c r="C11" i="2"/>
  <c r="J17" i="2"/>
  <c r="H17" i="2"/>
  <c r="G17" i="2"/>
  <c r="G16" i="2"/>
  <c r="H16" i="2" s="1"/>
  <c r="E14" i="2"/>
  <c r="E5" i="2"/>
  <c r="E11" i="2" s="1"/>
  <c r="C16" i="2"/>
  <c r="D16" i="2" s="1"/>
  <c r="F17" i="2"/>
  <c r="D17" i="2"/>
  <c r="C17" i="2"/>
  <c r="B15" i="1"/>
  <c r="G53" i="2" s="1"/>
  <c r="H53" i="2" s="1"/>
  <c r="B14" i="1"/>
  <c r="G18" i="2" l="1"/>
  <c r="E18" i="2"/>
  <c r="J6" i="2"/>
  <c r="J18" i="2" s="1"/>
  <c r="I17" i="2"/>
  <c r="E13" i="15"/>
  <c r="I13" i="15"/>
  <c r="M13" i="11"/>
  <c r="E13" i="11"/>
  <c r="I13" i="11"/>
  <c r="E6" i="2"/>
  <c r="G6" i="2"/>
  <c r="C76" i="2"/>
  <c r="C34" i="2"/>
  <c r="D34" i="2" s="1"/>
  <c r="G12" i="11"/>
  <c r="K12" i="11"/>
  <c r="L12" i="11" s="1"/>
  <c r="M12" i="11" s="1"/>
  <c r="N12" i="11" s="1"/>
  <c r="C12" i="11"/>
  <c r="G12" i="15"/>
  <c r="H12" i="15" s="1"/>
  <c r="I12" i="15" s="1"/>
  <c r="J12" i="15" s="1"/>
  <c r="C12" i="15"/>
  <c r="C15" i="2"/>
  <c r="F15" i="2"/>
  <c r="K15" i="2"/>
  <c r="J15" i="2"/>
  <c r="C53" i="2"/>
  <c r="D53" i="2" s="1"/>
  <c r="D57" i="2" s="1"/>
  <c r="D58" i="2" s="1"/>
  <c r="D15" i="2"/>
  <c r="L15" i="2"/>
  <c r="H15" i="2"/>
  <c r="E134" i="3"/>
  <c r="E52" i="3"/>
  <c r="I31" i="3"/>
  <c r="E8" i="3"/>
  <c r="I8" i="3"/>
  <c r="I155" i="3"/>
  <c r="E31" i="3"/>
  <c r="E113" i="3"/>
  <c r="I113" i="3"/>
  <c r="I52" i="3"/>
  <c r="E155" i="3"/>
  <c r="I134" i="3"/>
  <c r="E92" i="3"/>
  <c r="E97" i="3" s="1"/>
  <c r="E98" i="3" s="1"/>
  <c r="E99" i="3" s="1"/>
  <c r="I73" i="3"/>
  <c r="E174" i="3"/>
  <c r="E179" i="3" s="1"/>
  <c r="E180" i="3" s="1"/>
  <c r="E181" i="3" s="1"/>
  <c r="E73" i="3"/>
  <c r="M15" i="2"/>
  <c r="E73" i="2"/>
  <c r="E76" i="2" s="1"/>
  <c r="E77" i="2" s="1"/>
  <c r="M17" i="2"/>
  <c r="G53" i="3"/>
  <c r="C53" i="3"/>
  <c r="G135" i="3"/>
  <c r="C135" i="3"/>
  <c r="E75" i="3"/>
  <c r="E54" i="3"/>
  <c r="E33" i="3"/>
  <c r="E157" i="3"/>
  <c r="E115" i="3"/>
  <c r="I115" i="3"/>
  <c r="I54" i="3"/>
  <c r="I136" i="3"/>
  <c r="I33" i="3"/>
  <c r="E94" i="3"/>
  <c r="E176" i="3"/>
  <c r="I75" i="3"/>
  <c r="E136" i="3"/>
  <c r="I157" i="3"/>
  <c r="I73" i="2"/>
  <c r="C32" i="3"/>
  <c r="C114" i="3"/>
  <c r="G114" i="3"/>
  <c r="G32" i="3"/>
  <c r="I13" i="3"/>
  <c r="G134" i="3"/>
  <c r="C31" i="3"/>
  <c r="G155" i="3"/>
  <c r="G160" i="3" s="1"/>
  <c r="G161" i="3" s="1"/>
  <c r="G162" i="3" s="1"/>
  <c r="C52" i="3"/>
  <c r="C134" i="3"/>
  <c r="C8" i="3"/>
  <c r="G8" i="3"/>
  <c r="C113" i="3"/>
  <c r="C174" i="3"/>
  <c r="C179" i="3" s="1"/>
  <c r="C180" i="3" s="1"/>
  <c r="C181" i="3" s="1"/>
  <c r="C73" i="3"/>
  <c r="C78" i="3" s="1"/>
  <c r="C79" i="3" s="1"/>
  <c r="C80" i="3" s="1"/>
  <c r="G113" i="3"/>
  <c r="G52" i="3"/>
  <c r="G31" i="3"/>
  <c r="C155" i="3"/>
  <c r="C160" i="3" s="1"/>
  <c r="C161" i="3" s="1"/>
  <c r="C162" i="3" s="1"/>
  <c r="C92" i="3"/>
  <c r="C97" i="3" s="1"/>
  <c r="C98" i="3" s="1"/>
  <c r="C99" i="3" s="1"/>
  <c r="G73" i="3"/>
  <c r="G78" i="3" s="1"/>
  <c r="G79" i="3" s="1"/>
  <c r="G80" i="3" s="1"/>
  <c r="E13" i="3"/>
  <c r="I54" i="2"/>
  <c r="G34" i="2"/>
  <c r="G38" i="2" s="1"/>
  <c r="G39" i="2" s="1"/>
  <c r="C11" i="3" s="1"/>
  <c r="C16" i="3" s="1"/>
  <c r="H156" i="3"/>
  <c r="E54" i="2"/>
  <c r="H155" i="3"/>
  <c r="D52" i="3"/>
  <c r="H113" i="3"/>
  <c r="H52" i="3"/>
  <c r="D134" i="3"/>
  <c r="H134" i="3"/>
  <c r="D73" i="3"/>
  <c r="D78" i="3" s="1"/>
  <c r="D79" i="3" s="1"/>
  <c r="D80" i="3" s="1"/>
  <c r="D8" i="3"/>
  <c r="H8" i="3"/>
  <c r="D31" i="3"/>
  <c r="D113" i="3"/>
  <c r="H31" i="3"/>
  <c r="D92" i="3"/>
  <c r="D97" i="3" s="1"/>
  <c r="D98" i="3" s="1"/>
  <c r="D99" i="3" s="1"/>
  <c r="D155" i="3"/>
  <c r="D160" i="3" s="1"/>
  <c r="D161" i="3" s="1"/>
  <c r="D162" i="3" s="1"/>
  <c r="H73" i="3"/>
  <c r="D174" i="3"/>
  <c r="D179" i="3" s="1"/>
  <c r="D180" i="3" s="1"/>
  <c r="D181" i="3" s="1"/>
  <c r="E17" i="2"/>
  <c r="E35" i="2"/>
  <c r="I35" i="2"/>
  <c r="F52" i="3"/>
  <c r="F134" i="3"/>
  <c r="F8" i="3"/>
  <c r="J8" i="3"/>
  <c r="F155" i="3"/>
  <c r="F160" i="3" s="1"/>
  <c r="F161" i="3" s="1"/>
  <c r="F162" i="3" s="1"/>
  <c r="F31" i="3"/>
  <c r="F113" i="3"/>
  <c r="J113" i="3"/>
  <c r="J52" i="3"/>
  <c r="J31" i="3"/>
  <c r="J155" i="3"/>
  <c r="F92" i="3"/>
  <c r="F97" i="3" s="1"/>
  <c r="F98" i="3" s="1"/>
  <c r="F99" i="3" s="1"/>
  <c r="J73" i="3"/>
  <c r="F73" i="3"/>
  <c r="F78" i="3" s="1"/>
  <c r="F79" i="3" s="1"/>
  <c r="F80" i="3" s="1"/>
  <c r="F174" i="3"/>
  <c r="F179" i="3" s="1"/>
  <c r="F180" i="3" s="1"/>
  <c r="F181" i="3" s="1"/>
  <c r="J134" i="3"/>
  <c r="H74" i="3"/>
  <c r="I15" i="3"/>
  <c r="I72" i="2"/>
  <c r="H76" i="2"/>
  <c r="H77" i="2" s="1"/>
  <c r="F76" i="2"/>
  <c r="F77" i="2" s="1"/>
  <c r="C38" i="2"/>
  <c r="G57" i="2"/>
  <c r="G58" i="2" s="1"/>
  <c r="D38" i="2"/>
  <c r="D39" i="2" s="1"/>
  <c r="D76" i="2"/>
  <c r="D77" i="2" s="1"/>
  <c r="C77" i="2"/>
  <c r="I12" i="3"/>
  <c r="H16" i="3"/>
  <c r="G16" i="3"/>
  <c r="E15" i="3"/>
  <c r="F12" i="3"/>
  <c r="H57" i="2"/>
  <c r="H58" i="2" s="1"/>
  <c r="I53" i="2"/>
  <c r="E56" i="2"/>
  <c r="C57" i="2"/>
  <c r="C58" i="2" s="1"/>
  <c r="I5" i="2"/>
  <c r="E15" i="2"/>
  <c r="I15" i="2"/>
  <c r="K19" i="2"/>
  <c r="M5" i="2"/>
  <c r="K11" i="2"/>
  <c r="K18" i="2" s="1"/>
  <c r="L11" i="2"/>
  <c r="L18" i="2" s="1"/>
  <c r="I37" i="2"/>
  <c r="C39" i="2"/>
  <c r="E34" i="2"/>
  <c r="L16" i="2"/>
  <c r="N11" i="2"/>
  <c r="N18" i="2" s="1"/>
  <c r="I14" i="2"/>
  <c r="I11" i="2"/>
  <c r="H11" i="2"/>
  <c r="H18" i="2" s="1"/>
  <c r="H19" i="2"/>
  <c r="I16" i="2"/>
  <c r="G19" i="2"/>
  <c r="E16" i="2"/>
  <c r="D12" i="11" l="1"/>
  <c r="C15" i="11"/>
  <c r="C16" i="11" s="1"/>
  <c r="M11" i="2"/>
  <c r="M6" i="2"/>
  <c r="M18" i="2" s="1"/>
  <c r="L11" i="11"/>
  <c r="L15" i="11" s="1"/>
  <c r="L16" i="11" s="1"/>
  <c r="H11" i="15"/>
  <c r="H15" i="15" s="1"/>
  <c r="H16" i="15" s="1"/>
  <c r="G15" i="11"/>
  <c r="G16" i="11" s="1"/>
  <c r="H12" i="11"/>
  <c r="G11" i="15"/>
  <c r="G15" i="15" s="1"/>
  <c r="G16" i="15" s="1"/>
  <c r="K11" i="11"/>
  <c r="K15" i="11" s="1"/>
  <c r="K16" i="11" s="1"/>
  <c r="H34" i="2"/>
  <c r="H38" i="2" s="1"/>
  <c r="I6" i="2"/>
  <c r="I18" i="2" s="1"/>
  <c r="D12" i="15"/>
  <c r="C15" i="15"/>
  <c r="C16" i="15" s="1"/>
  <c r="C17" i="3"/>
  <c r="G17" i="3"/>
  <c r="E38" i="2"/>
  <c r="E39" i="2" s="1"/>
  <c r="E53" i="2"/>
  <c r="H17" i="3"/>
  <c r="D114" i="3"/>
  <c r="C118" i="3"/>
  <c r="C119" i="3" s="1"/>
  <c r="C120" i="3" s="1"/>
  <c r="D32" i="3"/>
  <c r="C36" i="3"/>
  <c r="C37" i="3" s="1"/>
  <c r="C38" i="3" s="1"/>
  <c r="E160" i="3"/>
  <c r="E161" i="3" s="1"/>
  <c r="E162" i="3" s="1"/>
  <c r="E78" i="3"/>
  <c r="E79" i="3" s="1"/>
  <c r="E80" i="3" s="1"/>
  <c r="H53" i="3"/>
  <c r="G57" i="3"/>
  <c r="G58" i="3" s="1"/>
  <c r="G59" i="3" s="1"/>
  <c r="I156" i="3"/>
  <c r="J156" i="3" s="1"/>
  <c r="J160" i="3" s="1"/>
  <c r="J161" i="3" s="1"/>
  <c r="J162" i="3" s="1"/>
  <c r="H160" i="3"/>
  <c r="H161" i="3" s="1"/>
  <c r="H162" i="3" s="1"/>
  <c r="D135" i="3"/>
  <c r="C139" i="3"/>
  <c r="C140" i="3" s="1"/>
  <c r="C141" i="3" s="1"/>
  <c r="H32" i="3"/>
  <c r="G36" i="3"/>
  <c r="G37" i="3" s="1"/>
  <c r="G38" i="3" s="1"/>
  <c r="H135" i="3"/>
  <c r="G139" i="3"/>
  <c r="G140" i="3" s="1"/>
  <c r="G141" i="3" s="1"/>
  <c r="I74" i="3"/>
  <c r="H78" i="3"/>
  <c r="H79" i="3" s="1"/>
  <c r="H80" i="3" s="1"/>
  <c r="H114" i="3"/>
  <c r="G118" i="3"/>
  <c r="G119" i="3" s="1"/>
  <c r="G120" i="3" s="1"/>
  <c r="D53" i="3"/>
  <c r="C57" i="3"/>
  <c r="C58" i="3" s="1"/>
  <c r="C59" i="3" s="1"/>
  <c r="J72" i="2"/>
  <c r="J76" i="2" s="1"/>
  <c r="J77" i="2" s="1"/>
  <c r="I76" i="2"/>
  <c r="I77" i="2" s="1"/>
  <c r="I16" i="3"/>
  <c r="I17" i="3" s="1"/>
  <c r="J12" i="3"/>
  <c r="J16" i="3" s="1"/>
  <c r="J17" i="3" s="1"/>
  <c r="K20" i="2"/>
  <c r="E19" i="2"/>
  <c r="I57" i="2"/>
  <c r="I58" i="2" s="1"/>
  <c r="J53" i="2"/>
  <c r="J57" i="2" s="1"/>
  <c r="J58" i="2" s="1"/>
  <c r="E20" i="2"/>
  <c r="G20" i="2"/>
  <c r="H39" i="2"/>
  <c r="D11" i="3" s="1"/>
  <c r="D16" i="3" s="1"/>
  <c r="D17" i="3" s="1"/>
  <c r="I34" i="2"/>
  <c r="I38" i="2" s="1"/>
  <c r="F34" i="2"/>
  <c r="M16" i="2"/>
  <c r="L19" i="2"/>
  <c r="L20" i="2" s="1"/>
  <c r="H20" i="2"/>
  <c r="I19" i="2"/>
  <c r="I20" i="2" s="1"/>
  <c r="J16" i="2"/>
  <c r="J19" i="2" s="1"/>
  <c r="J20" i="2" s="1"/>
  <c r="F16" i="2"/>
  <c r="E12" i="15" l="1"/>
  <c r="D15" i="15"/>
  <c r="D16" i="15" s="1"/>
  <c r="I11" i="15"/>
  <c r="I15" i="15" s="1"/>
  <c r="I16" i="15" s="1"/>
  <c r="M11" i="11"/>
  <c r="M15" i="11" s="1"/>
  <c r="M16" i="11" s="1"/>
  <c r="I12" i="11"/>
  <c r="H15" i="11"/>
  <c r="H16" i="11" s="1"/>
  <c r="E12" i="11"/>
  <c r="D15" i="11"/>
  <c r="D16" i="11" s="1"/>
  <c r="F53" i="2"/>
  <c r="E57" i="2"/>
  <c r="E58" i="2" s="1"/>
  <c r="J74" i="3"/>
  <c r="J78" i="3" s="1"/>
  <c r="J79" i="3" s="1"/>
  <c r="J80" i="3" s="1"/>
  <c r="I78" i="3"/>
  <c r="I79" i="3" s="1"/>
  <c r="I80" i="3" s="1"/>
  <c r="I135" i="3"/>
  <c r="H139" i="3"/>
  <c r="H140" i="3" s="1"/>
  <c r="H141" i="3" s="1"/>
  <c r="I32" i="3"/>
  <c r="H36" i="3"/>
  <c r="H37" i="3" s="1"/>
  <c r="H38" i="3" s="1"/>
  <c r="E135" i="3"/>
  <c r="D139" i="3"/>
  <c r="D140" i="3" s="1"/>
  <c r="D141" i="3" s="1"/>
  <c r="I53" i="3"/>
  <c r="H57" i="3"/>
  <c r="H58" i="3" s="1"/>
  <c r="H59" i="3" s="1"/>
  <c r="I160" i="3"/>
  <c r="I161" i="3" s="1"/>
  <c r="I162" i="3" s="1"/>
  <c r="I114" i="3"/>
  <c r="H118" i="3"/>
  <c r="H119" i="3" s="1"/>
  <c r="H120" i="3" s="1"/>
  <c r="D36" i="3"/>
  <c r="D37" i="3" s="1"/>
  <c r="D38" i="3" s="1"/>
  <c r="E32" i="3"/>
  <c r="D57" i="3"/>
  <c r="D58" i="3" s="1"/>
  <c r="D59" i="3" s="1"/>
  <c r="E53" i="3"/>
  <c r="E114" i="3"/>
  <c r="D118" i="3"/>
  <c r="D119" i="3" s="1"/>
  <c r="D120" i="3" s="1"/>
  <c r="F38" i="2"/>
  <c r="F39" i="2" s="1"/>
  <c r="J34" i="2"/>
  <c r="I39" i="2"/>
  <c r="E11" i="3" s="1"/>
  <c r="E16" i="3" s="1"/>
  <c r="E17" i="3" s="1"/>
  <c r="N16" i="2"/>
  <c r="N19" i="2" s="1"/>
  <c r="N20" i="2" s="1"/>
  <c r="M19" i="2"/>
  <c r="M20" i="2" s="1"/>
  <c r="F12" i="11" l="1"/>
  <c r="F15" i="11" s="1"/>
  <c r="F16" i="11" s="1"/>
  <c r="E15" i="11"/>
  <c r="E16" i="11" s="1"/>
  <c r="J12" i="11"/>
  <c r="J15" i="11" s="1"/>
  <c r="J16" i="11" s="1"/>
  <c r="I15" i="11"/>
  <c r="I16" i="11" s="1"/>
  <c r="J11" i="15"/>
  <c r="J15" i="15" s="1"/>
  <c r="J16" i="15" s="1"/>
  <c r="N11" i="11"/>
  <c r="N15" i="11" s="1"/>
  <c r="N16" i="11" s="1"/>
  <c r="F12" i="15"/>
  <c r="F15" i="15" s="1"/>
  <c r="F16" i="15" s="1"/>
  <c r="E15" i="15"/>
  <c r="E16" i="15" s="1"/>
  <c r="F57" i="2"/>
  <c r="F58" i="2" s="1"/>
  <c r="F114" i="3"/>
  <c r="F118" i="3" s="1"/>
  <c r="F119" i="3" s="1"/>
  <c r="F120" i="3" s="1"/>
  <c r="E118" i="3"/>
  <c r="E119" i="3" s="1"/>
  <c r="E120" i="3" s="1"/>
  <c r="J114" i="3"/>
  <c r="J118" i="3" s="1"/>
  <c r="J119" i="3" s="1"/>
  <c r="J120" i="3" s="1"/>
  <c r="I118" i="3"/>
  <c r="I119" i="3" s="1"/>
  <c r="I120" i="3" s="1"/>
  <c r="F135" i="3"/>
  <c r="F139" i="3" s="1"/>
  <c r="F140" i="3" s="1"/>
  <c r="F141" i="3" s="1"/>
  <c r="E139" i="3"/>
  <c r="E140" i="3" s="1"/>
  <c r="E141" i="3" s="1"/>
  <c r="J32" i="3"/>
  <c r="J36" i="3" s="1"/>
  <c r="J37" i="3" s="1"/>
  <c r="J38" i="3" s="1"/>
  <c r="I36" i="3"/>
  <c r="I37" i="3" s="1"/>
  <c r="I38" i="3" s="1"/>
  <c r="E36" i="3"/>
  <c r="E37" i="3" s="1"/>
  <c r="E38" i="3" s="1"/>
  <c r="F32" i="3"/>
  <c r="F36" i="3" s="1"/>
  <c r="F37" i="3" s="1"/>
  <c r="F38" i="3" s="1"/>
  <c r="J53" i="3"/>
  <c r="J57" i="3" s="1"/>
  <c r="J58" i="3" s="1"/>
  <c r="J59" i="3" s="1"/>
  <c r="I57" i="3"/>
  <c r="I58" i="3" s="1"/>
  <c r="I59" i="3" s="1"/>
  <c r="J135" i="3"/>
  <c r="J139" i="3" s="1"/>
  <c r="J140" i="3" s="1"/>
  <c r="J141" i="3" s="1"/>
  <c r="I139" i="3"/>
  <c r="I140" i="3" s="1"/>
  <c r="I141" i="3" s="1"/>
  <c r="F53" i="3"/>
  <c r="F57" i="3" s="1"/>
  <c r="F58" i="3" s="1"/>
  <c r="F59" i="3" s="1"/>
  <c r="E57" i="3"/>
  <c r="E58" i="3" s="1"/>
  <c r="E59" i="3" s="1"/>
  <c r="J38" i="2"/>
  <c r="J39" i="2" s="1"/>
  <c r="F11" i="3" s="1"/>
  <c r="F16" i="3" s="1"/>
  <c r="F17" i="3" s="1"/>
  <c r="F19" i="2" l="1"/>
  <c r="F20" i="2" s="1"/>
  <c r="D19" i="2"/>
  <c r="D20" i="2" s="1"/>
  <c r="C19" i="2"/>
  <c r="C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Panos Evangelos</author>
  </authors>
  <commentList>
    <comment ref="G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Own Assumptions</t>
        </r>
      </text>
    </comment>
  </commentList>
</comments>
</file>

<file path=xl/sharedStrings.xml><?xml version="1.0" encoding="utf-8"?>
<sst xmlns="http://schemas.openxmlformats.org/spreadsheetml/2006/main" count="1245" uniqueCount="413">
  <si>
    <t>Commodity Prices</t>
  </si>
  <si>
    <t>Coal</t>
  </si>
  <si>
    <t>Gas</t>
  </si>
  <si>
    <t xml:space="preserve">Gas </t>
  </si>
  <si>
    <t>Price</t>
  </si>
  <si>
    <t>Unit</t>
  </si>
  <si>
    <t>USD/GJ</t>
  </si>
  <si>
    <t>USD/t-CO2</t>
  </si>
  <si>
    <t>Units: USD2017 constant prices</t>
  </si>
  <si>
    <t>Tech description:</t>
  </si>
  <si>
    <t>Total Investment Cost</t>
  </si>
  <si>
    <t>Discount Rate</t>
  </si>
  <si>
    <t>%</t>
  </si>
  <si>
    <t>Lifetime</t>
  </si>
  <si>
    <t>years</t>
  </si>
  <si>
    <t>FOM cost</t>
  </si>
  <si>
    <t>USD/kWe/yr</t>
  </si>
  <si>
    <t>VOM cost</t>
  </si>
  <si>
    <t>USD/GJ/yr</t>
  </si>
  <si>
    <t>Avail. Factor</t>
  </si>
  <si>
    <t>Efficiency</t>
  </si>
  <si>
    <t>Alkaline Electrolysis</t>
  </si>
  <si>
    <t>Today</t>
  </si>
  <si>
    <t>Fuel Price</t>
  </si>
  <si>
    <t>Carbon Content</t>
  </si>
  <si>
    <t>Carbon Price</t>
  </si>
  <si>
    <t>Production Cost</t>
  </si>
  <si>
    <t>tn CO2/GJ</t>
  </si>
  <si>
    <t>USD/tn CO2</t>
  </si>
  <si>
    <t>Carbon content in tn/GJ</t>
  </si>
  <si>
    <t>Wood/Pellet</t>
  </si>
  <si>
    <t>Electricity</t>
  </si>
  <si>
    <t>PEM Electrolysis</t>
  </si>
  <si>
    <t>SOEC Electrolysis</t>
  </si>
  <si>
    <t>Natural gas reforming</t>
  </si>
  <si>
    <t>Years</t>
  </si>
  <si>
    <t>Stack lifetime</t>
  </si>
  <si>
    <t>Natural gas reforming with CCS</t>
  </si>
  <si>
    <t>Operating hours</t>
  </si>
  <si>
    <t>Full load hours</t>
  </si>
  <si>
    <t>Hours</t>
  </si>
  <si>
    <t>Note: source IEA, 2019. The future of hydrogen</t>
  </si>
  <si>
    <t>All monetary units are USD2017 constant prices</t>
  </si>
  <si>
    <t>CO2 capture rate</t>
  </si>
  <si>
    <t>Coal gasification</t>
  </si>
  <si>
    <t>Coal gasification with CCS</t>
  </si>
  <si>
    <t>Conversion factors of hydrogen</t>
  </si>
  <si>
    <t>kWh</t>
  </si>
  <si>
    <t>GJ</t>
  </si>
  <si>
    <t>Methanation</t>
  </si>
  <si>
    <t>USD/kW</t>
  </si>
  <si>
    <t>Hydrogen</t>
  </si>
  <si>
    <t>(Synthetic gas)</t>
  </si>
  <si>
    <t>(Synthetic liquids)</t>
  </si>
  <si>
    <t>Biomass gasification</t>
  </si>
  <si>
    <t>(own estimations)</t>
  </si>
  <si>
    <t>Wood (own assumption)</t>
  </si>
  <si>
    <t>Wood for CCS</t>
  </si>
  <si>
    <t>Biomass gasification with CCS</t>
  </si>
  <si>
    <t>Fischer - Tropsch</t>
  </si>
  <si>
    <t>Ammonia</t>
  </si>
  <si>
    <r>
      <t>USD/tNH</t>
    </r>
    <r>
      <rPr>
        <i/>
        <vertAlign val="subscript"/>
        <sz val="8"/>
        <color theme="3" tint="-0.249977111117893"/>
        <rFont val="Arial"/>
        <family val="2"/>
      </rPr>
      <t>3</t>
    </r>
  </si>
  <si>
    <r>
      <t>USD/kW</t>
    </r>
    <r>
      <rPr>
        <i/>
        <vertAlign val="subscript"/>
        <sz val="8"/>
        <color theme="3" tint="-0.249977111117893"/>
        <rFont val="Arial"/>
        <family val="2"/>
      </rPr>
      <t>e</t>
    </r>
  </si>
  <si>
    <r>
      <t>USD/kWH</t>
    </r>
    <r>
      <rPr>
        <i/>
        <vertAlign val="subscript"/>
        <sz val="8"/>
        <color theme="3" tint="-0.249977111117893"/>
        <rFont val="Arial"/>
        <family val="2"/>
      </rPr>
      <t>2</t>
    </r>
  </si>
  <si>
    <r>
      <t>CO</t>
    </r>
    <r>
      <rPr>
        <vertAlign val="subscript"/>
        <sz val="8"/>
        <color theme="3" tint="-0.249977111117893"/>
        <rFont val="Arial"/>
        <family val="2"/>
      </rPr>
      <t>2</t>
    </r>
    <r>
      <rPr>
        <sz val="8"/>
        <color theme="3" tint="-0.249977111117893"/>
        <rFont val="Arial"/>
        <family val="2"/>
      </rPr>
      <t xml:space="preserve"> price</t>
    </r>
  </si>
  <si>
    <r>
      <t>1 kg H</t>
    </r>
    <r>
      <rPr>
        <vertAlign val="subscript"/>
        <sz val="8"/>
        <color theme="1"/>
        <rFont val="Arial"/>
        <family val="2"/>
      </rPr>
      <t>2</t>
    </r>
  </si>
  <si>
    <t>from Natural Gas</t>
  </si>
  <si>
    <t>Gas Consumption</t>
  </si>
  <si>
    <r>
      <t>USD/tNH</t>
    </r>
    <r>
      <rPr>
        <i/>
        <vertAlign val="subscript"/>
        <sz val="8"/>
        <color theme="3" tint="-0.249977111117893"/>
        <rFont val="Arial"/>
        <family val="2"/>
      </rPr>
      <t>3/</t>
    </r>
    <r>
      <rPr>
        <i/>
        <sz val="8"/>
        <color theme="3" tint="-0.249977111117893"/>
        <rFont val="Arial"/>
        <family val="2"/>
      </rPr>
      <t xml:space="preserve"> yr</t>
    </r>
  </si>
  <si>
    <r>
      <t>GJ/tNH</t>
    </r>
    <r>
      <rPr>
        <i/>
        <vertAlign val="subscript"/>
        <sz val="8"/>
        <color theme="3" tint="-0.249977111117893"/>
        <rFont val="Arial"/>
        <family val="2"/>
      </rPr>
      <t>3</t>
    </r>
  </si>
  <si>
    <t>Electricity Consumption</t>
  </si>
  <si>
    <t>Gas Price</t>
  </si>
  <si>
    <t>Electricity price</t>
  </si>
  <si>
    <r>
      <t>USD/tNH</t>
    </r>
    <r>
      <rPr>
        <b/>
        <i/>
        <vertAlign val="subscript"/>
        <sz val="8"/>
        <color theme="3" tint="-0.249977111117893"/>
        <rFont val="Arial"/>
        <family val="2"/>
      </rPr>
      <t>3</t>
    </r>
  </si>
  <si>
    <r>
      <t>USD/GJ NH</t>
    </r>
    <r>
      <rPr>
        <i/>
        <vertAlign val="subscript"/>
        <sz val="8"/>
        <color theme="1"/>
        <rFont val="Arial"/>
        <family val="2"/>
      </rPr>
      <t>3</t>
    </r>
  </si>
  <si>
    <t>Conversion factors of Ammonia</t>
  </si>
  <si>
    <t>1 t NH3</t>
  </si>
  <si>
    <t>source: https://energynow.ca/wp-content/uploads/2014/12/Conversion-Factors-EnergyNow.pdf</t>
  </si>
  <si>
    <t>from Natural Gas with CCS</t>
  </si>
  <si>
    <t>from Coal gasification</t>
  </si>
  <si>
    <t>Coal Consumption</t>
  </si>
  <si>
    <t>Coal Price</t>
  </si>
  <si>
    <t>from Coal gasification with CCS</t>
  </si>
  <si>
    <t>from Biomass gasification</t>
  </si>
  <si>
    <t>Biomass Consumption</t>
  </si>
  <si>
    <t>Biomass  Price</t>
  </si>
  <si>
    <t>from Biomass gasification with CCS (own estimation)</t>
  </si>
  <si>
    <t>from Electrolysis</t>
  </si>
  <si>
    <t>Methanol</t>
  </si>
  <si>
    <t>USD/tMeOH</t>
  </si>
  <si>
    <t>GJ/tMeOH</t>
  </si>
  <si>
    <t>USD/tMeOH/ yr</t>
  </si>
  <si>
    <t>USD/GJ MeOH</t>
  </si>
  <si>
    <t>Conversion factors of Methanol</t>
  </si>
  <si>
    <t>1 t MeOH</t>
  </si>
  <si>
    <t>Technology</t>
  </si>
  <si>
    <t>Distance</t>
  </si>
  <si>
    <t>km</t>
  </si>
  <si>
    <t>Design throughput</t>
  </si>
  <si>
    <t>kg/m3</t>
  </si>
  <si>
    <t>Gas density</t>
  </si>
  <si>
    <t>Gas velocity</t>
  </si>
  <si>
    <t>m/s</t>
  </si>
  <si>
    <t>CAPEX</t>
  </si>
  <si>
    <t>USD/km</t>
  </si>
  <si>
    <t>Utilisation</t>
  </si>
  <si>
    <t>Function of supply route</t>
  </si>
  <si>
    <t>LOHC*</t>
  </si>
  <si>
    <t>-</t>
  </si>
  <si>
    <t>Liquefaction</t>
  </si>
  <si>
    <t>Installed capacity</t>
  </si>
  <si>
    <t>Discount rate</t>
  </si>
  <si>
    <t>Fuel Cost</t>
  </si>
  <si>
    <t>Fixed Costs</t>
  </si>
  <si>
    <r>
      <t>1 t H</t>
    </r>
    <r>
      <rPr>
        <vertAlign val="subscript"/>
        <sz val="8"/>
        <color theme="1"/>
        <rFont val="Arial"/>
        <family val="2"/>
      </rPr>
      <t>2</t>
    </r>
  </si>
  <si>
    <t>Start-up toluene</t>
  </si>
  <si>
    <t>kt</t>
  </si>
  <si>
    <t>Toluene cost</t>
  </si>
  <si>
    <t>USD/t-Tol</t>
  </si>
  <si>
    <t>Toluene markup</t>
  </si>
  <si>
    <t>#</t>
  </si>
  <si>
    <t>Based on days of storage needed for a given ship loading frequency</t>
  </si>
  <si>
    <t>Parameter</t>
  </si>
  <si>
    <t>Units</t>
  </si>
  <si>
    <t>ktH2/y</t>
  </si>
  <si>
    <t>GH2: 340</t>
  </si>
  <si>
    <t>CAPEX/km</t>
  </si>
  <si>
    <t>USD million/km</t>
  </si>
  <si>
    <t>Capacity CAPEX</t>
  </si>
  <si>
    <t>USD million</t>
  </si>
  <si>
    <t>Annual OPEX</t>
  </si>
  <si>
    <t>% of CAPEX</t>
  </si>
  <si>
    <t>Electricity use</t>
  </si>
  <si>
    <t>kWh/kgH2</t>
  </si>
  <si>
    <t>ktTol/y</t>
  </si>
  <si>
    <t>Plant CAPEX</t>
  </si>
  <si>
    <t>Natural gas use</t>
  </si>
  <si>
    <t>USD/tTol</t>
  </si>
  <si>
    <t>Export terminal</t>
  </si>
  <si>
    <t>Capacity/tank</t>
  </si>
  <si>
    <t>No. of tanks</t>
  </si>
  <si>
    <t>CAPEX/tank</t>
  </si>
  <si>
    <t>Boil off rate</t>
  </si>
  <si>
    <t>%/day</t>
  </si>
  <si>
    <t>Flash rate</t>
  </si>
  <si>
    <t>Capacity/ship</t>
  </si>
  <si>
    <t>CAPEX/ship</t>
  </si>
  <si>
    <t>Ship speed</t>
  </si>
  <si>
    <t>km/h</t>
  </si>
  <si>
    <t>No. of ships used</t>
  </si>
  <si>
    <t>Function of distance</t>
  </si>
  <si>
    <t>Fuel use</t>
  </si>
  <si>
    <t>MJ/km</t>
  </si>
  <si>
    <t>Boil-off rate</t>
  </si>
  <si>
    <t>Import terminal</t>
  </si>
  <si>
    <t>Based on 20 days of storage capacity</t>
  </si>
  <si>
    <t>Capacity</t>
  </si>
  <si>
    <t>ktTol/y or ktNH3/y</t>
  </si>
  <si>
    <t>Heat required</t>
  </si>
  <si>
    <t>Plant power</t>
  </si>
  <si>
    <t>H2 purification</t>
  </si>
  <si>
    <t>(PSA) power</t>
  </si>
  <si>
    <t>H2 recovery rate</t>
  </si>
  <si>
    <t>Transmission of hydrogen</t>
  </si>
  <si>
    <t>tH2 or tTol or tNH3</t>
  </si>
  <si>
    <r>
      <t xml:space="preserve">Pipelines </t>
    </r>
    <r>
      <rPr>
        <b/>
        <vertAlign val="superscript"/>
        <sz val="8"/>
        <color theme="3" tint="-0.249977111117893"/>
        <rFont val="Arial"/>
        <family val="2"/>
      </rPr>
      <t>1</t>
    </r>
  </si>
  <si>
    <r>
      <t xml:space="preserve">Conversion  </t>
    </r>
    <r>
      <rPr>
        <b/>
        <vertAlign val="superscript"/>
        <sz val="8"/>
        <color theme="3" tint="-0.249977111117893"/>
        <rFont val="Arial"/>
        <family val="2"/>
      </rPr>
      <t>2</t>
    </r>
  </si>
  <si>
    <r>
      <t xml:space="preserve">Seaborne transport </t>
    </r>
    <r>
      <rPr>
        <b/>
        <vertAlign val="superscript"/>
        <sz val="8"/>
        <color theme="3" tint="-0.249977111117893"/>
        <rFont val="Arial"/>
        <family val="2"/>
      </rPr>
      <t>3</t>
    </r>
  </si>
  <si>
    <r>
      <t xml:space="preserve">Reconversion </t>
    </r>
    <r>
      <rPr>
        <b/>
        <vertAlign val="superscript"/>
        <sz val="8"/>
        <color theme="3" tint="-0.249977111117893"/>
        <rFont val="Arial"/>
        <family val="2"/>
      </rPr>
      <t>4</t>
    </r>
  </si>
  <si>
    <t>PSA H2 recovery rate</t>
  </si>
  <si>
    <t>Notes: GH2 = gaseous hydrogen. PSA = Pressure swing adsorption. System lifetime assumed to be 30 years, unless stated otherwise;</t>
  </si>
  <si>
    <t>discount rate = 8%; utilisation of production, conversion and reconversion capacity = 90%.</t>
  </si>
  <si>
    <t>1 Transmission pipeline for hydrogen gas based on Baufumé (2013): Pipeline CAPEX (USD/km) = 4 000 000D2 + 598 600D + 329 000;</t>
  </si>
  <si>
    <t>where D (internal diameter in cm) = √(F/v)/*2*100; v = gas velocity (m/s); F (volumetric flow in m3/s) = Q/; Q = gas throughput</t>
  </si>
  <si>
    <t>(kg/s);  = gas density (kg/m3). Based on real gas law (pressure = 100 bar).</t>
  </si>
  <si>
    <t>2 Conversion: LOHC = Toluene +H2  MCH. Toluene mark-up is the quantity of new toluene required reach year. Data for ammonia</t>
  </si>
  <si>
    <t>conversion are included in the table on ammonia above.</t>
  </si>
  <si>
    <t>3 Ship carrying liquid hydrogen uses boil-off gas for propulsion; LOHC and ammonia ship uses heavy fuel oil. It is assumed that fuel</t>
  </si>
  <si>
    <t>consumption can be obtained from boil-off losses in the storage tank, so the fuel for the ship would not incur an additional energy</t>
  </si>
  <si>
    <t>penalty.</t>
  </si>
  <si>
    <t>4 Reconversion: LOHC = MCH  Toluene + H2; Ammonia = NH3  N2 +H2.</t>
  </si>
  <si>
    <t>Sources: Baufumé et al. (2013), “GIS-based scenario calculations for a nationwide German hydrogen pipeline infrastructure”; IAE</t>
  </si>
  <si>
    <t>(2019), “Institute of   pplied Energy (Japan) data based on revisions from Economical Evaluation and Characteristic   nalyses for</t>
  </si>
  <si>
    <t>Energy Carrier Systems (FY 2014-FY 2015) Final Report”; ETSAP (2011), LOHC Ship Cost from: Oil and Natural Gas Logistics; IMO</t>
  </si>
  <si>
    <t>(2014), Third IMO Greenhouse Gas Study 2014.</t>
  </si>
  <si>
    <t>* LOHC = Liquid Organic Hydrogen Carriers</t>
  </si>
  <si>
    <t>Distribution of hydrogen</t>
  </si>
  <si>
    <t>Pipelines</t>
  </si>
  <si>
    <t>Inlet pressure</t>
  </si>
  <si>
    <t>bar</t>
  </si>
  <si>
    <t>End use case dependent</t>
  </si>
  <si>
    <t>Design throughput (Q)</t>
  </si>
  <si>
    <t>t/y</t>
  </si>
  <si>
    <t>GH2: 365</t>
  </si>
  <si>
    <t>Depreciation period</t>
  </si>
  <si>
    <t>Speed</t>
  </si>
  <si>
    <t>Driver cost</t>
  </si>
  <si>
    <t>USD/h</t>
  </si>
  <si>
    <t>Trailers</t>
  </si>
  <si>
    <t>LH2: 1 000</t>
  </si>
  <si>
    <t>GH2: 650</t>
  </si>
  <si>
    <t>Net capacity</t>
  </si>
  <si>
    <t>kgH2</t>
  </si>
  <si>
    <t>LH2: 4300</t>
  </si>
  <si>
    <t>GH2: 670</t>
  </si>
  <si>
    <t>hrs</t>
  </si>
  <si>
    <t>LH2: 3</t>
  </si>
  <si>
    <t>GH2: 1.5</t>
  </si>
  <si>
    <t>Station lifetime</t>
  </si>
  <si>
    <t>yrs</t>
  </si>
  <si>
    <t>Station size</t>
  </si>
  <si>
    <t>kg/day</t>
  </si>
  <si>
    <t>OPEX as % of CAPEX</t>
  </si>
  <si>
    <t>Electricity demand</t>
  </si>
  <si>
    <t>LH2:0.6</t>
  </si>
  <si>
    <t>GH2: 1.6</t>
  </si>
  <si>
    <t>Heat demand</t>
  </si>
  <si>
    <t>Boil off</t>
  </si>
  <si>
    <t>% of total</t>
  </si>
  <si>
    <t>LH2: 3%</t>
  </si>
  <si>
    <t>weight</t>
  </si>
  <si>
    <t>GH2: 0.5%</t>
  </si>
  <si>
    <t>USD thousand</t>
  </si>
  <si>
    <t>Loading/unloading time</t>
  </si>
  <si>
    <t xml:space="preserve">Gas density </t>
  </si>
  <si>
    <t xml:space="preserve">Gas velocity </t>
  </si>
  <si>
    <t xml:space="preserve">Design throughput </t>
  </si>
  <si>
    <t>See road transport</t>
  </si>
  <si>
    <r>
      <t xml:space="preserve">Pipelines (high pressure) </t>
    </r>
    <r>
      <rPr>
        <b/>
        <vertAlign val="superscript"/>
        <sz val="8"/>
        <color theme="3" tint="-0.249977111117893"/>
        <rFont val="Arial"/>
        <family val="2"/>
      </rPr>
      <t>1</t>
    </r>
  </si>
  <si>
    <r>
      <t xml:space="preserve">Pipelines (low pressure) </t>
    </r>
    <r>
      <rPr>
        <b/>
        <vertAlign val="superscript"/>
        <sz val="8"/>
        <color theme="3" tint="-0.249977111117893"/>
        <rFont val="Arial"/>
        <family val="2"/>
      </rPr>
      <t>2</t>
    </r>
  </si>
  <si>
    <r>
      <t xml:space="preserve">Trucks </t>
    </r>
    <r>
      <rPr>
        <b/>
        <vertAlign val="superscript"/>
        <sz val="8"/>
        <color theme="3" tint="-0.249977111117893"/>
        <rFont val="Arial"/>
        <family val="2"/>
      </rPr>
      <t>3</t>
    </r>
  </si>
  <si>
    <r>
      <t xml:space="preserve">H2 refuelling stations </t>
    </r>
    <r>
      <rPr>
        <b/>
        <vertAlign val="superscript"/>
        <sz val="8"/>
        <color theme="3" tint="-0.249977111117893"/>
        <rFont val="Arial"/>
        <family val="2"/>
      </rPr>
      <t>4</t>
    </r>
  </si>
  <si>
    <t>Note: LH2 = liquid hydrogen.</t>
  </si>
  <si>
    <t>1 Distribution pipeline for hydrogen gas based on Baufumé (2013): Pipeline CAPEX (USD/km) = 3 400 000D2 + 598 600D + 329 000</t>
  </si>
  <si>
    <t>(Baufumé, 2013); where D (internal diameter in cm) = √(F/v)/*2*100; v = gas velocity (m/s); F (volumetric flow in m3/s) = Q/; Q = gas</t>
  </si>
  <si>
    <t>throughput (kg/s);  = gas density (kg/m3) (high-pressure pipeline = 80 bar; low-pressure pipeline = 7 bar).</t>
  </si>
  <si>
    <t>2 Pipeline with lower throughput to hydrogen refuelling stations, taking partial flow from high-pressure distribution pipe.</t>
  </si>
  <si>
    <t>3 Journey distance doubled to account for journey time and fuel cost calculations, and loading time for LOHC should be doubled for</t>
  </si>
  <si>
    <t>toluene being returned to site of origin.</t>
  </si>
  <si>
    <t>4 H2 refuelling station in the case of LOHC and ammonia includes costs for LOHC and ammonia reconversion technology, electricity</t>
  </si>
  <si>
    <t>and natural gas for heat. CAPEX for large fuel cell station (1 000 kg/day) scaled up from small size reference station receiving</t>
  </si>
  <si>
    <t>compressed hydrogen gas according to CAPEX = X*Y*(Z/). X = reference station cost (EUR 600 000); Y= installation factor (1.3); </t>
  </si>
  <si>
    <t>= station multiplier (LH2 = 0.9, GH2 = 0.6, LOHC = 1.4, ammonia = 1.4);  =  reference station size (210 kg/day); and  = scaling factor</t>
  </si>
  <si>
    <t>(LH2 = 0.6, GH2: 0.7, LOHC = 0.66, ammonia = 0.6).</t>
  </si>
  <si>
    <t>Sources: Baufamé et alǤ (2013), “GIS-based scenario calculations for a nationwide German hydrogen pipeline infrastructure”; Reuß et</t>
  </si>
  <si>
    <t>al. (2017), “Seasonal storage and alternative carriers:</t>
  </si>
  <si>
    <t>flexible hydrogen supply chain model”; Reuß et alǤ (2019), “   hydrogen</t>
  </si>
  <si>
    <t>supply chain with spatial resolution: Comparative analysis of infrastructure technologies in Germany”.</t>
  </si>
  <si>
    <t>Route</t>
  </si>
  <si>
    <t>BF-BOF</t>
  </si>
  <si>
    <t>USD/tcrude steel</t>
  </si>
  <si>
    <t>Electricity consumption</t>
  </si>
  <si>
    <t>GJ/tcrude steel</t>
  </si>
  <si>
    <t>Coal consumption</t>
  </si>
  <si>
    <t>Natural gas consumption</t>
  </si>
  <si>
    <t>Natural gas-based DRI-EAF</t>
  </si>
  <si>
    <t>Natural gas-based DRI-EAF w/CCUS</t>
  </si>
  <si>
    <t>Hydrogen-based DRI-EAF</t>
  </si>
  <si>
    <t>Biomass consumption</t>
  </si>
  <si>
    <t>Oxygen-rich smelt reduction w/CCUS</t>
  </si>
  <si>
    <t>Notes: 25-year lifetime and 95% availability assumed for all equipment. Capture rate of 95% assumed for CCUS routes. Hydrogen-</t>
  </si>
  <si>
    <t>based DRI-EAF parameters include the electrolyser costs (see Hydrogen table). The hydrogen requirement for this route is estimated</t>
  </si>
  <si>
    <t>to lie in the range of 47-68 kg/t of DRI, with the mid-point of this range used for the cost calculations. For the DRI-EAF routes, a 95%</t>
  </si>
  <si>
    <t>charge of DRI to the EAF is considered. An iron ore (58% Fe content) cost of USD 60/t and a scrap cost of USD 260/t is assumed for all</t>
  </si>
  <si>
    <t>process routes, regions and time periods. Costs of electrodes, alloys and other wearing components are considered as a part of the</t>
  </si>
  <si>
    <t>fixed OPEX.</t>
  </si>
  <si>
    <t>BF-BOF = Blust furnance - basic oxygen furnance</t>
  </si>
  <si>
    <t>DRI-EAF = Direct reduction of iron-electric arc furnance</t>
  </si>
  <si>
    <t>Powertrain</t>
  </si>
  <si>
    <t>Cars</t>
  </si>
  <si>
    <t>Trucks</t>
  </si>
  <si>
    <t>Ships</t>
  </si>
  <si>
    <t>Mileage</t>
  </si>
  <si>
    <t>km/yr</t>
  </si>
  <si>
    <t>Glider</t>
  </si>
  <si>
    <t>Power</t>
  </si>
  <si>
    <t>kW</t>
  </si>
  <si>
    <t>FCEV</t>
  </si>
  <si>
    <t>Fuel cell cost</t>
  </si>
  <si>
    <t>250 / 95</t>
  </si>
  <si>
    <t>2 000 / 1 000</t>
  </si>
  <si>
    <t>USD/kWh</t>
  </si>
  <si>
    <t>15 / 9</t>
  </si>
  <si>
    <t>18 / 9</t>
  </si>
  <si>
    <t>Battery</t>
  </si>
  <si>
    <t>1 487 / 1 770</t>
  </si>
  <si>
    <t>O&amp;M</t>
  </si>
  <si>
    <t>USD/kg</t>
  </si>
  <si>
    <t>9.2 / 5</t>
  </si>
  <si>
    <t>7.3 / 5</t>
  </si>
  <si>
    <t>Size</t>
  </si>
  <si>
    <t>200 / 1 000</t>
  </si>
  <si>
    <t>500 / 1 300</t>
  </si>
  <si>
    <t>0.9 / 1.8</t>
  </si>
  <si>
    <t>1.2 / 2.1</t>
  </si>
  <si>
    <t>10 / 33</t>
  </si>
  <si>
    <t>10 / 40</t>
  </si>
  <si>
    <t>Battery cost</t>
  </si>
  <si>
    <t>200 / 100</t>
  </si>
  <si>
    <t>Motor</t>
  </si>
  <si>
    <t>Fuel tank</t>
  </si>
  <si>
    <t>ICE - Hybrid</t>
  </si>
  <si>
    <t>Note: O&amp;M = operation and maintenance. For ships, engine efficiency is assumed to be 50% for ICEs, 60% for fuel cells, and 95% for</t>
  </si>
  <si>
    <t>electric motors. A 20% margin (between costs and prices) is assumed for all vehicle components on all powertrains, including the</t>
  </si>
  <si>
    <t>glider. Current ammonia price (using SMR with CCS) is USD 460/tonne; the future price (using electrolysis) is USD 355/tonne. The</t>
  </si>
  <si>
    <t>synthetic fuel cost is USD 260/tonne today and USD 140/tonne in the future. Bulk carriers come in a wide range of sizes, from small</t>
  </si>
  <si>
    <t>ships of only a few hundred tonnes deadweight (the total weight that a ship can carry) to over 360 000 tonnes. The bulk carrier</t>
  </si>
  <si>
    <t>considered here is comparable to a Panamax ship with a length of 200-230 metres, a draft of 13-15 metres and a beam close to 30</t>
  </si>
  <si>
    <t>metres. For all vehicle types, depreciation is set at representative values, and is assumed to be the same for all powertrains.</t>
  </si>
  <si>
    <t>1 Percentage of total vehicle cost (CAPEX) equivalent to the glider and powertrain-specific components.</t>
  </si>
  <si>
    <t>2 Where there are two values in a single cell they refer to current and long-term values respectively.</t>
  </si>
  <si>
    <t>3 The current hydrogen price for ships is USD 3.6/kgH2 (assuming low-cost gas with CCUS) and the long term price is USD 3.8/kgH2</t>
  </si>
  <si>
    <t>(assuming the it is produced via electrolysis, in the regions with the lowest production costs)</t>
  </si>
  <si>
    <t>4HRS and charging infrastructure (including catenary lines) are assumed to have an economic lifetime of 30 years.</t>
  </si>
  <si>
    <t>5 LNG figures from (Danish Maritime Authority, 2012) and (Faber 2017) with the ratio between hydrogen and LNG from (Taljegard et</t>
  </si>
  <si>
    <t>al., 2014)</t>
  </si>
  <si>
    <t>6 Slow charger (4 kW) cost is USD 650, fast public charger (47 kW) cost is USD 33 000. Cars assume a 50/50 split between these two.</t>
  </si>
  <si>
    <t>Tesla mega charger (1 600 kW), with a cost of USD 220 000, is used for trucks.</t>
  </si>
  <si>
    <t>7 Battery size is proportional to vehicle range. Values shown are for 500 km.</t>
  </si>
  <si>
    <t>8 Base electricity price does not include additional costs of installing and operating dedicated charging infrastructure</t>
  </si>
  <si>
    <t>9 ICE technologies refer to gasoline for cars, diesel for trucks and very low sulphur fuel oil for ships.</t>
  </si>
  <si>
    <t>10 The first value refers to very low sulphur fuel oil, the second value to hydrogen and ammonia.</t>
  </si>
  <si>
    <t>Sources: US DOE (2019), “Fuel Cell R&amp;D Overview”; IEA (2019a), Global EV Outlook 2019: Overcoming The Challenges Of Transport</t>
  </si>
  <si>
    <t>Electrification; IEA (2019b). Mobility Model; sources for hydrogen refuelling station as per Figure 4 in Chapter 5.</t>
  </si>
  <si>
    <t>Steel Industry routes</t>
  </si>
  <si>
    <t>Transport vehicles</t>
  </si>
  <si>
    <r>
      <t xml:space="preserve">Salvage value </t>
    </r>
    <r>
      <rPr>
        <vertAlign val="superscript"/>
        <sz val="8"/>
        <color theme="3" tint="-0.249977111117893"/>
        <rFont val="Arial"/>
        <family val="2"/>
      </rPr>
      <t>1</t>
    </r>
  </si>
  <si>
    <t>Common to all vehicles</t>
  </si>
  <si>
    <t>Hydrogen tank</t>
  </si>
  <si>
    <t>Fuel consumption</t>
  </si>
  <si>
    <t>Electric motor</t>
  </si>
  <si>
    <t>Delivered H2 price</t>
  </si>
  <si>
    <r>
      <t xml:space="preserve">200 / 50 </t>
    </r>
    <r>
      <rPr>
        <vertAlign val="superscript"/>
        <sz val="8"/>
        <color theme="3" tint="-0.249977111117893"/>
        <rFont val="Arial"/>
        <family val="2"/>
      </rPr>
      <t>2</t>
    </r>
  </si>
  <si>
    <r>
      <t xml:space="preserve">3.6 / 3.8 </t>
    </r>
    <r>
      <rPr>
        <vertAlign val="superscript"/>
        <sz val="8"/>
        <color theme="3" tint="-0.249977111117893"/>
        <rFont val="Arial"/>
        <family val="2"/>
      </rPr>
      <t>3</t>
    </r>
  </si>
  <si>
    <r>
      <t xml:space="preserve">Based on LNG </t>
    </r>
    <r>
      <rPr>
        <vertAlign val="superscript"/>
        <sz val="8"/>
        <color theme="3" tint="-0.249977111117893"/>
        <rFont val="Arial"/>
        <family val="2"/>
      </rPr>
      <t>5</t>
    </r>
  </si>
  <si>
    <r>
      <t xml:space="preserve">Battery size </t>
    </r>
    <r>
      <rPr>
        <vertAlign val="superscript"/>
        <sz val="8"/>
        <color theme="3" tint="-0.249977111117893"/>
        <rFont val="Arial"/>
        <family val="2"/>
      </rPr>
      <t>7</t>
    </r>
  </si>
  <si>
    <r>
      <t xml:space="preserve">Base electricity price </t>
    </r>
    <r>
      <rPr>
        <vertAlign val="superscript"/>
        <sz val="8"/>
        <color theme="3" tint="-0.249977111117893"/>
        <rFont val="Arial"/>
        <family val="2"/>
      </rPr>
      <t>8</t>
    </r>
  </si>
  <si>
    <r>
      <t xml:space="preserve">216 / 650 </t>
    </r>
    <r>
      <rPr>
        <vertAlign val="superscript"/>
        <sz val="8"/>
        <color theme="3" tint="-0.249977111117893"/>
        <rFont val="Arial"/>
        <family val="2"/>
      </rPr>
      <t>10</t>
    </r>
  </si>
  <si>
    <r>
      <t xml:space="preserve">Hydrogen refuelling station </t>
    </r>
    <r>
      <rPr>
        <b/>
        <vertAlign val="superscript"/>
        <sz val="8"/>
        <color theme="3" tint="-0.249977111117893"/>
        <rFont val="Arial"/>
        <family val="2"/>
      </rPr>
      <t>4</t>
    </r>
  </si>
  <si>
    <r>
      <t xml:space="preserve">BEV </t>
    </r>
    <r>
      <rPr>
        <b/>
        <vertAlign val="superscript"/>
        <sz val="8"/>
        <color theme="3" tint="-0.249977111117893"/>
        <rFont val="Arial"/>
        <family val="2"/>
      </rPr>
      <t>6</t>
    </r>
  </si>
  <si>
    <r>
      <t xml:space="preserve">ICE </t>
    </r>
    <r>
      <rPr>
        <b/>
        <vertAlign val="superscript"/>
        <sz val="8"/>
        <color theme="3" tint="-0.249977111117893"/>
        <rFont val="Arial"/>
        <family val="2"/>
      </rPr>
      <t>9</t>
    </r>
  </si>
  <si>
    <t>Large scale and long.term storage</t>
  </si>
  <si>
    <t>Sources: Element Energy (2018), “Hydrogen supply chain evidence base”; ETI (2018), “Salt cavern appraisal for hydrogen and gas</t>
  </si>
  <si>
    <t>storage”; Northern Gas Networks (2018), H21 North of England; Kruck et al. (2013), “Overview on all known underground storage</t>
  </si>
  <si>
    <t>technologies for hydrogen”; Roberts, Dolan and Harris (2018), “Role of carbon resources in emerging hydrogen energy systems”;</t>
  </si>
  <si>
    <t>Schmidt et al. (2019), “Projecting the future levelized cost of electricity storage technologies”; Tzimas et al. (2003), “Hydrogen</t>
  </si>
  <si>
    <t>storage: State-of-the-art and future perspective”.</t>
  </si>
  <si>
    <t>Compressed hydrogen</t>
  </si>
  <si>
    <t>CAPEX - power- related</t>
  </si>
  <si>
    <t>CAPEX - energy-related</t>
  </si>
  <si>
    <t>OPEX power-related</t>
  </si>
  <si>
    <t>OPEX energy-related</t>
  </si>
  <si>
    <t>Round-trip efficiency</t>
  </si>
  <si>
    <t>USD/vehicle</t>
  </si>
  <si>
    <t xml:space="preserve">Fuel Cell </t>
  </si>
  <si>
    <t>USD/vehicle/yr</t>
  </si>
  <si>
    <t>Annual Mileage</t>
  </si>
  <si>
    <t>Fuel cost</t>
  </si>
  <si>
    <t>Fuel Costs</t>
  </si>
  <si>
    <t>USD/km/yr</t>
  </si>
  <si>
    <t>Vehicle cost</t>
  </si>
  <si>
    <t>Diesel</t>
  </si>
  <si>
    <t>Oil</t>
  </si>
  <si>
    <t>km/MJ</t>
  </si>
  <si>
    <t>Electric</t>
  </si>
  <si>
    <t>Fuel price</t>
  </si>
  <si>
    <t>Buses</t>
  </si>
  <si>
    <t>Passenger Rail</t>
  </si>
  <si>
    <t>PEFC</t>
  </si>
  <si>
    <t>SOFC</t>
  </si>
  <si>
    <t>MCFC</t>
  </si>
  <si>
    <t>PAFC</t>
  </si>
  <si>
    <t>Cons.</t>
  </si>
  <si>
    <t>Base</t>
  </si>
  <si>
    <t>Opt.</t>
  </si>
  <si>
    <t>Electrical Capacity</t>
  </si>
  <si>
    <t>Electrical Efficiency</t>
  </si>
  <si>
    <t>LHV</t>
  </si>
  <si>
    <t>CHP Efficiency</t>
  </si>
  <si>
    <t>Heat Temperature</t>
  </si>
  <si>
    <t>°C</t>
  </si>
  <si>
    <t>System Lifetime</t>
  </si>
  <si>
    <t>Stack Lifetime</t>
  </si>
  <si>
    <t>thousand</t>
  </si>
  <si>
    <t>hours</t>
  </si>
  <si>
    <t>Capital Costs</t>
  </si>
  <si>
    <t>CHF/kW</t>
  </si>
  <si>
    <t>O&amp;M Costs</t>
  </si>
  <si>
    <t>Operating hours per year</t>
  </si>
  <si>
    <t>all</t>
  </si>
  <si>
    <t>CHF/KWth</t>
  </si>
  <si>
    <t>CHF/KWth/yr</t>
  </si>
  <si>
    <t>CHF/GJ/yr</t>
  </si>
  <si>
    <t>CHF/GJ</t>
  </si>
  <si>
    <t>CHF/tn CO2</t>
  </si>
  <si>
    <t>Annual Fixed Costs</t>
  </si>
  <si>
    <t>Annual Fuel Cost</t>
  </si>
  <si>
    <t>Size 17 kWth</t>
  </si>
  <si>
    <t>Gas Boiler Residential</t>
  </si>
  <si>
    <t>Size 117 kWth</t>
  </si>
  <si>
    <t>H2 Boiler Residential</t>
  </si>
  <si>
    <t>Size 5.4 kWth</t>
  </si>
  <si>
    <t>Gas Boiler Industry</t>
  </si>
  <si>
    <t>H2 Boiler Industry</t>
  </si>
  <si>
    <t>Size  2900 kWth</t>
  </si>
  <si>
    <t>Size 150 kWth</t>
  </si>
  <si>
    <t>Low</t>
  </si>
  <si>
    <t>High</t>
  </si>
  <si>
    <t>Fuel cell CHP plants costs and perfomance</t>
  </si>
  <si>
    <t>Natural gas CHP plants cost and performance</t>
  </si>
  <si>
    <t>CHP Gas</t>
  </si>
  <si>
    <t>Variable O&amp;M Costs</t>
  </si>
  <si>
    <t>cents/kWh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</si>
</sst>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%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3" tint="-0.249977111117893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3" tint="-0.249977111117893"/>
      <name val="Arial"/>
      <family val="2"/>
    </font>
    <font>
      <i/>
      <sz val="8"/>
      <color theme="3" tint="-0.249977111117893"/>
      <name val="Arial"/>
      <family val="2"/>
    </font>
    <font>
      <b/>
      <sz val="8"/>
      <color rgb="FFFF0000"/>
      <name val="Arial"/>
      <family val="2"/>
    </font>
    <font>
      <sz val="8"/>
      <color theme="3" tint="-0.499984740745262"/>
      <name val="Arial"/>
      <family val="2"/>
    </font>
    <font>
      <b/>
      <i/>
      <sz val="8"/>
      <color theme="3" tint="-0.249977111117893"/>
      <name val="Arial"/>
      <family val="2"/>
    </font>
    <font>
      <b/>
      <sz val="8"/>
      <name val="Arial"/>
      <family val="2"/>
    </font>
    <font>
      <i/>
      <vertAlign val="subscript"/>
      <sz val="8"/>
      <color theme="3" tint="-0.249977111117893"/>
      <name val="Arial"/>
      <family val="2"/>
    </font>
    <font>
      <vertAlign val="subscript"/>
      <sz val="8"/>
      <color theme="3" tint="-0.249977111117893"/>
      <name val="Arial"/>
      <family val="2"/>
    </font>
    <font>
      <vertAlign val="subscript"/>
      <sz val="8"/>
      <color theme="1"/>
      <name val="Arial"/>
      <family val="2"/>
    </font>
    <font>
      <b/>
      <i/>
      <vertAlign val="subscript"/>
      <sz val="8"/>
      <color theme="3" tint="-0.249977111117893"/>
      <name val="Arial"/>
      <family val="2"/>
    </font>
    <font>
      <i/>
      <sz val="8"/>
      <color theme="1"/>
      <name val="Arial"/>
      <family val="2"/>
    </font>
    <font>
      <i/>
      <vertAlign val="subscript"/>
      <sz val="8"/>
      <color theme="1"/>
      <name val="Arial"/>
      <family val="2"/>
    </font>
    <font>
      <b/>
      <vertAlign val="superscript"/>
      <sz val="8"/>
      <color theme="3" tint="-0.249977111117893"/>
      <name val="Arial"/>
      <family val="2"/>
    </font>
    <font>
      <vertAlign val="superscript"/>
      <sz val="8"/>
      <color theme="3" tint="-0.249977111117893"/>
      <name val="Arial"/>
      <family val="2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rgb="FFE5E5E5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A6A6A6"/>
      </right>
      <top style="medium">
        <color indexed="64"/>
      </top>
      <bottom/>
      <diagonal/>
    </border>
    <border>
      <left/>
      <right style="medium">
        <color rgb="FFA6A6A6"/>
      </right>
      <top/>
      <bottom/>
      <diagonal/>
    </border>
    <border>
      <left/>
      <right/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/>
      <top style="medium">
        <color rgb="FFA6A6A6"/>
      </top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A6A6A6"/>
      </right>
      <top/>
      <bottom style="medium">
        <color rgb="FFBFBFBF"/>
      </bottom>
      <diagonal/>
    </border>
    <border>
      <left/>
      <right/>
      <top style="medium">
        <color rgb="FFBFBFBF"/>
      </top>
      <bottom style="medium">
        <color indexed="64"/>
      </bottom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3" borderId="16" applyNumberFormat="0" applyFont="0" applyAlignment="0" applyProtection="0"/>
  </cellStyleXfs>
  <cellXfs count="2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4" fillId="0" borderId="0" xfId="0" applyFont="1"/>
    <xf numFmtId="0" fontId="5" fillId="0" borderId="3" xfId="0" applyFont="1" applyBorder="1"/>
    <xf numFmtId="0" fontId="5" fillId="0" borderId="0" xfId="0" applyFont="1" applyBorder="1"/>
    <xf numFmtId="0" fontId="4" fillId="0" borderId="0" xfId="0" applyFont="1" applyAlignment="1">
      <alignment horizontal="center"/>
    </xf>
    <xf numFmtId="0" fontId="6" fillId="0" borderId="0" xfId="0" applyFont="1" applyBorder="1"/>
    <xf numFmtId="0" fontId="2" fillId="2" borderId="6" xfId="0" applyFont="1" applyFill="1" applyBorder="1"/>
    <xf numFmtId="0" fontId="6" fillId="0" borderId="7" xfId="0" applyFont="1" applyBorder="1"/>
    <xf numFmtId="0" fontId="6" fillId="0" borderId="6" xfId="0" applyFont="1" applyBorder="1"/>
    <xf numFmtId="0" fontId="4" fillId="0" borderId="4" xfId="0" applyFont="1" applyBorder="1"/>
    <xf numFmtId="0" fontId="2" fillId="2" borderId="11" xfId="0" applyFont="1" applyFill="1" applyBorder="1"/>
    <xf numFmtId="165" fontId="4" fillId="0" borderId="0" xfId="0" applyNumberFormat="1" applyFont="1" applyBorder="1"/>
    <xf numFmtId="165" fontId="4" fillId="0" borderId="12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11" xfId="0" applyFont="1" applyBorder="1"/>
    <xf numFmtId="0" fontId="2" fillId="2" borderId="9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4" fillId="0" borderId="3" xfId="0" applyFont="1" applyBorder="1"/>
    <xf numFmtId="0" fontId="4" fillId="0" borderId="0" xfId="0" applyFont="1" applyBorder="1"/>
    <xf numFmtId="2" fontId="4" fillId="0" borderId="0" xfId="0" applyNumberFormat="1" applyFont="1" applyBorder="1"/>
    <xf numFmtId="9" fontId="4" fillId="0" borderId="0" xfId="1" applyFont="1" applyBorder="1"/>
    <xf numFmtId="0" fontId="5" fillId="0" borderId="4" xfId="0" applyFont="1" applyBorder="1"/>
    <xf numFmtId="0" fontId="5" fillId="0" borderId="5" xfId="0" applyFont="1" applyBorder="1"/>
    <xf numFmtId="2" fontId="5" fillId="0" borderId="3" xfId="0" applyNumberFormat="1" applyFont="1" applyBorder="1"/>
    <xf numFmtId="165" fontId="5" fillId="0" borderId="3" xfId="0" applyNumberFormat="1" applyFont="1" applyBorder="1"/>
    <xf numFmtId="1" fontId="5" fillId="0" borderId="3" xfId="0" applyNumberFormat="1" applyFont="1" applyBorder="1"/>
    <xf numFmtId="165" fontId="5" fillId="0" borderId="0" xfId="0" applyNumberFormat="1" applyFont="1" applyBorder="1"/>
    <xf numFmtId="1" fontId="5" fillId="0" borderId="0" xfId="0" applyNumberFormat="1" applyFont="1" applyBorder="1"/>
    <xf numFmtId="9" fontId="5" fillId="0" borderId="3" xfId="1" applyFont="1" applyBorder="1"/>
    <xf numFmtId="9" fontId="5" fillId="0" borderId="0" xfId="1" applyFont="1" applyBorder="1"/>
    <xf numFmtId="166" fontId="5" fillId="0" borderId="3" xfId="1" applyNumberFormat="1" applyFont="1" applyBorder="1"/>
    <xf numFmtId="166" fontId="5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4" fillId="0" borderId="12" xfId="0" applyFont="1" applyBorder="1"/>
    <xf numFmtId="164" fontId="4" fillId="0" borderId="12" xfId="0" applyNumberFormat="1" applyFont="1" applyBorder="1"/>
    <xf numFmtId="0" fontId="4" fillId="0" borderId="3" xfId="0" applyFont="1" applyFill="1" applyBorder="1"/>
    <xf numFmtId="0" fontId="4" fillId="0" borderId="1" xfId="0" applyFont="1" applyFill="1" applyBorder="1"/>
    <xf numFmtId="164" fontId="4" fillId="0" borderId="11" xfId="0" applyNumberFormat="1" applyFont="1" applyBorder="1"/>
    <xf numFmtId="0" fontId="4" fillId="0" borderId="10" xfId="0" applyFont="1" applyBorder="1"/>
    <xf numFmtId="0" fontId="5" fillId="0" borderId="0" xfId="0" applyFont="1"/>
    <xf numFmtId="0" fontId="8" fillId="0" borderId="0" xfId="0" applyFont="1"/>
    <xf numFmtId="0" fontId="2" fillId="0" borderId="3" xfId="0" applyFont="1" applyBorder="1"/>
    <xf numFmtId="0" fontId="5" fillId="0" borderId="10" xfId="0" applyFont="1" applyBorder="1"/>
    <xf numFmtId="166" fontId="5" fillId="0" borderId="12" xfId="1" applyNumberFormat="1" applyFont="1" applyBorder="1"/>
    <xf numFmtId="1" fontId="5" fillId="0" borderId="12" xfId="0" applyNumberFormat="1" applyFont="1" applyBorder="1"/>
    <xf numFmtId="0" fontId="5" fillId="0" borderId="12" xfId="0" applyFont="1" applyBorder="1"/>
    <xf numFmtId="9" fontId="5" fillId="0" borderId="12" xfId="1" applyFont="1" applyBorder="1"/>
    <xf numFmtId="0" fontId="2" fillId="0" borderId="1" xfId="0" applyFont="1" applyBorder="1"/>
    <xf numFmtId="0" fontId="9" fillId="0" borderId="2" xfId="0" applyFont="1" applyBorder="1"/>
    <xf numFmtId="165" fontId="2" fillId="0" borderId="1" xfId="0" applyNumberFormat="1" applyFont="1" applyBorder="1"/>
    <xf numFmtId="165" fontId="3" fillId="0" borderId="2" xfId="0" applyNumberFormat="1" applyFont="1" applyBorder="1"/>
    <xf numFmtId="165" fontId="3" fillId="0" borderId="11" xfId="0" applyNumberFormat="1" applyFont="1" applyBorder="1"/>
    <xf numFmtId="165" fontId="5" fillId="0" borderId="12" xfId="0" applyNumberFormat="1" applyFont="1" applyBorder="1"/>
    <xf numFmtId="2" fontId="4" fillId="0" borderId="12" xfId="0" applyNumberFormat="1" applyFont="1" applyBorder="1"/>
    <xf numFmtId="0" fontId="5" fillId="0" borderId="3" xfId="1" applyNumberFormat="1" applyFont="1" applyBorder="1"/>
    <xf numFmtId="0" fontId="5" fillId="0" borderId="0" xfId="1" applyNumberFormat="1" applyFont="1" applyBorder="1"/>
    <xf numFmtId="0" fontId="5" fillId="0" borderId="12" xfId="1" applyNumberFormat="1" applyFont="1" applyBorder="1"/>
    <xf numFmtId="1" fontId="5" fillId="0" borderId="5" xfId="0" applyNumberFormat="1" applyFont="1" applyBorder="1"/>
    <xf numFmtId="9" fontId="4" fillId="0" borderId="12" xfId="1" applyFont="1" applyBorder="1"/>
    <xf numFmtId="9" fontId="4" fillId="0" borderId="0" xfId="0" applyNumberFormat="1" applyFont="1" applyBorder="1"/>
    <xf numFmtId="1" fontId="5" fillId="0" borderId="4" xfId="0" applyNumberFormat="1" applyFont="1" applyBorder="1"/>
    <xf numFmtId="9" fontId="5" fillId="0" borderId="3" xfId="1" applyNumberFormat="1" applyFont="1" applyBorder="1"/>
    <xf numFmtId="9" fontId="5" fillId="0" borderId="0" xfId="1" applyNumberFormat="1" applyFont="1" applyBorder="1"/>
    <xf numFmtId="9" fontId="5" fillId="0" borderId="12" xfId="1" applyNumberFormat="1" applyFont="1" applyBorder="1"/>
    <xf numFmtId="165" fontId="5" fillId="0" borderId="0" xfId="1" applyNumberFormat="1" applyFont="1" applyBorder="1"/>
    <xf numFmtId="0" fontId="15" fillId="0" borderId="13" xfId="0" applyFont="1" applyBorder="1"/>
    <xf numFmtId="0" fontId="15" fillId="0" borderId="15" xfId="0" applyFont="1" applyBorder="1"/>
    <xf numFmtId="165" fontId="15" fillId="0" borderId="15" xfId="0" applyNumberFormat="1" applyFont="1" applyBorder="1"/>
    <xf numFmtId="165" fontId="15" fillId="0" borderId="14" xfId="0" applyNumberFormat="1" applyFont="1" applyBorder="1"/>
    <xf numFmtId="165" fontId="2" fillId="0" borderId="2" xfId="0" applyNumberFormat="1" applyFont="1" applyBorder="1"/>
    <xf numFmtId="1" fontId="5" fillId="0" borderId="10" xfId="0" applyNumberFormat="1" applyFont="1" applyBorder="1"/>
    <xf numFmtId="9" fontId="5" fillId="0" borderId="11" xfId="1" applyFont="1" applyBorder="1"/>
    <xf numFmtId="0" fontId="5" fillId="0" borderId="9" xfId="0" applyFont="1" applyBorder="1"/>
    <xf numFmtId="0" fontId="5" fillId="0" borderId="7" xfId="0" applyFont="1" applyBorder="1"/>
    <xf numFmtId="166" fontId="5" fillId="0" borderId="7" xfId="1" applyNumberFormat="1" applyFont="1" applyBorder="1"/>
    <xf numFmtId="9" fontId="5" fillId="0" borderId="7" xfId="1" applyFont="1" applyBorder="1"/>
    <xf numFmtId="0" fontId="2" fillId="0" borderId="0" xfId="0" applyFont="1"/>
    <xf numFmtId="0" fontId="2" fillId="0" borderId="4" xfId="0" applyFont="1" applyBorder="1"/>
    <xf numFmtId="0" fontId="5" fillId="0" borderId="2" xfId="0" applyFont="1" applyBorder="1"/>
    <xf numFmtId="0" fontId="5" fillId="0" borderId="11" xfId="0" applyFont="1" applyBorder="1"/>
    <xf numFmtId="0" fontId="2" fillId="2" borderId="8" xfId="0" applyFont="1" applyFill="1" applyBorder="1" applyAlignment="1">
      <alignment horizontal="center"/>
    </xf>
    <xf numFmtId="0" fontId="5" fillId="0" borderId="6" xfId="0" applyFont="1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7" xfId="1" applyFont="1" applyBorder="1" applyAlignment="1">
      <alignment horizontal="center"/>
    </xf>
    <xf numFmtId="9" fontId="5" fillId="0" borderId="12" xfId="1" applyFont="1" applyBorder="1" applyAlignment="1">
      <alignment horizontal="center"/>
    </xf>
    <xf numFmtId="9" fontId="5" fillId="0" borderId="6" xfId="1" applyFont="1" applyBorder="1" applyAlignment="1">
      <alignment horizontal="center"/>
    </xf>
    <xf numFmtId="9" fontId="5" fillId="0" borderId="11" xfId="1" applyFont="1" applyBorder="1" applyAlignment="1">
      <alignment horizontal="center"/>
    </xf>
    <xf numFmtId="166" fontId="5" fillId="0" borderId="7" xfId="1" applyNumberFormat="1" applyFont="1" applyBorder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9" fontId="5" fillId="0" borderId="6" xfId="1" applyNumberFormat="1" applyFont="1" applyBorder="1" applyAlignment="1">
      <alignment horizontal="center"/>
    </xf>
    <xf numFmtId="9" fontId="5" fillId="0" borderId="11" xfId="1" applyNumberFormat="1" applyFont="1" applyBorder="1" applyAlignment="1">
      <alignment horizontal="center"/>
    </xf>
    <xf numFmtId="9" fontId="5" fillId="0" borderId="6" xfId="1" applyFont="1" applyBorder="1"/>
    <xf numFmtId="9" fontId="5" fillId="0" borderId="0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9" fontId="5" fillId="0" borderId="1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5" fillId="0" borderId="3" xfId="1" applyNumberFormat="1" applyFont="1" applyBorder="1"/>
    <xf numFmtId="2" fontId="5" fillId="0" borderId="0" xfId="1" applyNumberFormat="1" applyFont="1" applyBorder="1"/>
    <xf numFmtId="2" fontId="5" fillId="0" borderId="12" xfId="1" applyNumberFormat="1" applyFont="1" applyBorder="1"/>
    <xf numFmtId="2" fontId="4" fillId="0" borderId="0" xfId="0" applyNumberFormat="1" applyFont="1"/>
    <xf numFmtId="165" fontId="5" fillId="0" borderId="3" xfId="1" applyNumberFormat="1" applyFont="1" applyBorder="1"/>
    <xf numFmtId="165" fontId="5" fillId="0" borderId="12" xfId="1" applyNumberFormat="1" applyFont="1" applyBorder="1"/>
    <xf numFmtId="167" fontId="5" fillId="0" borderId="3" xfId="1" applyNumberFormat="1" applyFont="1" applyBorder="1"/>
    <xf numFmtId="0" fontId="3" fillId="0" borderId="1" xfId="0" applyFont="1" applyBorder="1"/>
    <xf numFmtId="2" fontId="2" fillId="0" borderId="1" xfId="1" applyNumberFormat="1" applyFont="1" applyBorder="1"/>
    <xf numFmtId="2" fontId="2" fillId="0" borderId="2" xfId="1" applyNumberFormat="1" applyFont="1" applyBorder="1"/>
    <xf numFmtId="2" fontId="2" fillId="0" borderId="11" xfId="1" applyNumberFormat="1" applyFont="1" applyBorder="1"/>
    <xf numFmtId="167" fontId="5" fillId="0" borderId="0" xfId="1" applyNumberFormat="1" applyFont="1" applyBorder="1"/>
    <xf numFmtId="167" fontId="5" fillId="0" borderId="12" xfId="1" applyNumberFormat="1" applyFont="1" applyBorder="1"/>
    <xf numFmtId="165" fontId="5" fillId="0" borderId="0" xfId="0" applyNumberFormat="1" applyFont="1"/>
    <xf numFmtId="0" fontId="5" fillId="4" borderId="1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9" fontId="5" fillId="4" borderId="12" xfId="1" applyFont="1" applyFill="1" applyBorder="1" applyAlignment="1">
      <alignment horizontal="center"/>
    </xf>
    <xf numFmtId="166" fontId="5" fillId="4" borderId="12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5" borderId="17" xfId="0" applyFont="1" applyFill="1" applyBorder="1"/>
    <xf numFmtId="0" fontId="4" fillId="5" borderId="18" xfId="0" applyFont="1" applyFill="1" applyBorder="1"/>
    <xf numFmtId="0" fontId="3" fillId="5" borderId="17" xfId="0" applyFont="1" applyFill="1" applyBorder="1" applyAlignment="1">
      <alignment horizontal="justify" vertical="center"/>
    </xf>
    <xf numFmtId="0" fontId="4" fillId="5" borderId="0" xfId="0" applyFont="1" applyFill="1"/>
    <xf numFmtId="0" fontId="4" fillId="5" borderId="19" xfId="0" applyFont="1" applyFill="1" applyBorder="1"/>
    <xf numFmtId="0" fontId="3" fillId="5" borderId="0" xfId="0" applyFont="1" applyFill="1" applyAlignment="1">
      <alignment horizontal="justify" vertical="center"/>
    </xf>
    <xf numFmtId="0" fontId="3" fillId="5" borderId="19" xfId="0" applyFont="1" applyFill="1" applyBorder="1" applyAlignment="1">
      <alignment horizontal="justify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20" fillId="0" borderId="19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vertical="center"/>
    </xf>
    <xf numFmtId="0" fontId="20" fillId="0" borderId="2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20" xfId="0" applyFont="1" applyBorder="1" applyAlignment="1">
      <alignment horizontal="right" vertical="center"/>
    </xf>
    <xf numFmtId="0" fontId="21" fillId="0" borderId="21" xfId="0" applyFont="1" applyBorder="1" applyAlignment="1">
      <alignment horizontal="right" vertical="center"/>
    </xf>
    <xf numFmtId="9" fontId="21" fillId="0" borderId="0" xfId="0" applyNumberFormat="1" applyFont="1" applyAlignment="1">
      <alignment horizontal="right" vertical="center"/>
    </xf>
    <xf numFmtId="9" fontId="21" fillId="0" borderId="19" xfId="0" applyNumberFormat="1" applyFont="1" applyBorder="1" applyAlignment="1">
      <alignment horizontal="right" vertical="center"/>
    </xf>
    <xf numFmtId="9" fontId="21" fillId="0" borderId="20" xfId="0" applyNumberFormat="1" applyFont="1" applyBorder="1" applyAlignment="1">
      <alignment horizontal="right" vertical="center"/>
    </xf>
    <xf numFmtId="9" fontId="21" fillId="0" borderId="21" xfId="0" applyNumberFormat="1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19" xfId="0" applyFont="1" applyBorder="1" applyAlignment="1">
      <alignment horizontal="right" vertical="center"/>
    </xf>
    <xf numFmtId="0" fontId="21" fillId="0" borderId="23" xfId="0" applyFont="1" applyBorder="1" applyAlignment="1">
      <alignment horizontal="right" vertical="center"/>
    </xf>
    <xf numFmtId="0" fontId="21" fillId="0" borderId="24" xfId="0" applyFont="1" applyBorder="1" applyAlignment="1">
      <alignment horizontal="right" vertical="center"/>
    </xf>
    <xf numFmtId="0" fontId="21" fillId="0" borderId="27" xfId="0" applyFont="1" applyBorder="1" applyAlignment="1">
      <alignment horizontal="right" vertical="center"/>
    </xf>
    <xf numFmtId="0" fontId="21" fillId="0" borderId="26" xfId="0" applyFont="1" applyBorder="1" applyAlignment="1">
      <alignment horizontal="right" vertical="center"/>
    </xf>
    <xf numFmtId="0" fontId="6" fillId="0" borderId="2" xfId="0" applyFont="1" applyBorder="1"/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11" xfId="0" applyNumberFormat="1" applyFont="1" applyBorder="1"/>
    <xf numFmtId="3" fontId="4" fillId="0" borderId="3" xfId="0" applyNumberFormat="1" applyFont="1" applyBorder="1"/>
    <xf numFmtId="3" fontId="4" fillId="0" borderId="0" xfId="0" applyNumberFormat="1" applyFont="1" applyBorder="1"/>
    <xf numFmtId="3" fontId="4" fillId="0" borderId="12" xfId="0" applyNumberFormat="1" applyFont="1" applyBorder="1"/>
    <xf numFmtId="10" fontId="4" fillId="0" borderId="3" xfId="0" applyNumberFormat="1" applyFont="1" applyBorder="1"/>
    <xf numFmtId="10" fontId="4" fillId="0" borderId="0" xfId="0" applyNumberFormat="1" applyFont="1" applyBorder="1"/>
    <xf numFmtId="10" fontId="4" fillId="0" borderId="12" xfId="0" applyNumberFormat="1" applyFont="1" applyBorder="1"/>
    <xf numFmtId="2" fontId="4" fillId="0" borderId="3" xfId="0" applyNumberFormat="1" applyFont="1" applyBorder="1"/>
    <xf numFmtId="9" fontId="4" fillId="0" borderId="3" xfId="1" applyFont="1" applyBorder="1"/>
    <xf numFmtId="1" fontId="4" fillId="0" borderId="3" xfId="0" applyNumberFormat="1" applyFont="1" applyBorder="1"/>
    <xf numFmtId="0" fontId="4" fillId="0" borderId="20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3" borderId="27" xfId="2" applyFont="1" applyBorder="1" applyAlignment="1">
      <alignment horizontal="center"/>
    </xf>
    <xf numFmtId="0" fontId="4" fillId="0" borderId="25" xfId="0" applyFont="1" applyBorder="1" applyAlignment="1">
      <alignment horizontal="justify" vertical="center" wrapText="1"/>
    </xf>
    <xf numFmtId="0" fontId="3" fillId="3" borderId="16" xfId="2" applyFont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41</xdr:row>
      <xdr:rowOff>114300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900" y="524510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18</xdr:row>
      <xdr:rowOff>28575</xdr:rowOff>
    </xdr:from>
    <xdr:ext cx="6076950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57175" y="2600325"/>
          <a:ext cx="6076950" cy="147014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 b="1"/>
            <a:t>Source:</a:t>
          </a:r>
          <a:r>
            <a:rPr lang="de-CH" sz="1100" b="1" baseline="0"/>
            <a:t> </a:t>
          </a:r>
          <a:r>
            <a:rPr lang="de-CH" sz="1100" b="1"/>
            <a:t> </a:t>
          </a:r>
        </a:p>
        <a:p>
          <a:r>
            <a:rPr lang="de-CH" sz="1100" b="1"/>
            <a:t>H2ydroGEM</a:t>
          </a:r>
          <a:r>
            <a:rPr lang="de-CH" sz="1100" b="1" baseline="0"/>
            <a:t> boiler from Giacomini:</a:t>
          </a:r>
        </a:p>
        <a:p>
          <a:r>
            <a:rPr lang="de-CH" sz="1100" b="1"/>
            <a:t>https://static.giacomini.com/giacomini.com/catalog/technical_documentation/CCF01.pdf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1"/>
            <a:t>https://www.boilerguide.co.uk/hydrogen-powered-boiler-developed-by-giacomini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CH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gas boiler costs: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de-CH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Die Energieperspektiven für die Schweiz bis 2050, 2012. </a:t>
          </a:r>
          <a:r>
            <a:rPr lang="de-CH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Prognos"</a:t>
          </a:r>
          <a:endParaRPr lang="de-CH">
            <a:effectLst/>
          </a:endParaRPr>
        </a:p>
        <a:p>
          <a:endParaRPr lang="de-CH" sz="1100" b="1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17</xdr:row>
      <xdr:rowOff>57150</xdr:rowOff>
    </xdr:from>
    <xdr:ext cx="607695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52400" y="2486025"/>
          <a:ext cx="6076950" cy="26456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 b="1"/>
            <a:t>Source:</a:t>
          </a:r>
          <a:r>
            <a:rPr lang="de-CH" sz="1100" b="1" baseline="0"/>
            <a:t> Own assessment based on "</a:t>
          </a:r>
          <a:r>
            <a:rPr lang="de-CH" sz="1100" b="1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rPr>
            <a:t>Die Energieperspektiven für die Schweiz bis 2050, 2012. </a:t>
          </a:r>
          <a:r>
            <a:rPr lang="de-CH" sz="1100" b="1" baseline="0"/>
            <a:t>Prognos"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36</xdr:row>
      <xdr:rowOff>47625</xdr:rowOff>
    </xdr:from>
    <xdr:ext cx="1128712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657224" y="5143500"/>
          <a:ext cx="11287125" cy="609013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 b="1"/>
            <a:t>Source:</a:t>
          </a:r>
          <a:r>
            <a:rPr lang="de-CH" sz="1100" b="1" baseline="0"/>
            <a:t> </a:t>
          </a:r>
          <a:r>
            <a:rPr lang="de-CH" sz="1100" b="0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rPr>
            <a:t>Bauer, C., S. Hirschberg (eds.), Y. Bäuerle, S. Biollaz, A. Calbry-Muzyka, B. Cox, T. Heck, M. Lehnert, A. Meier, H.-M. Prasser, W. Schenler, K. Treyer, F. Vogel, H.C. Wieckert, X. Zhang, M. Zimmermann, V. Burg, G. Bowman, M. Erni, M. Saar, M.Q. Tran (2017) “Potentials, costs and environmental assessment of electricity generation technologies.” PSI, WSL, ETHZ, EPFL. Paul Scherrer Institut, Villigen PSI, Switzerland</a:t>
          </a:r>
          <a:endParaRPr lang="de-CH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045845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942975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768985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217170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185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2486660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40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523875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55</xdr:row>
      <xdr:rowOff>0</xdr:rowOff>
    </xdr:from>
    <xdr:ext cx="581954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0" y="7359650"/>
          <a:ext cx="5819542" cy="436786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ALL</a:t>
          </a:r>
          <a:r>
            <a:rPr lang="de-CH" sz="1100" b="1" baseline="0"/>
            <a:t> SOURCES OF TECHNOLOGY DATA AND PRICES ARE FROM IEA, 2019. The fututre of Hydrogen</a:t>
          </a:r>
        </a:p>
        <a:p>
          <a:r>
            <a:rPr lang="de-CH" sz="1100" b="1" baseline="0"/>
            <a:t>unless stated otherwise</a:t>
          </a:r>
          <a:endParaRPr lang="de-CH" sz="1100" b="1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51</xdr:row>
      <xdr:rowOff>0</xdr:rowOff>
    </xdr:from>
    <xdr:ext cx="40576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0" y="7286625"/>
          <a:ext cx="4057650" cy="26456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 b="1"/>
            <a:t>Source:</a:t>
          </a:r>
          <a:r>
            <a:rPr lang="de-CH" sz="1100" b="1" baseline="0"/>
            <a:t> </a:t>
          </a:r>
          <a:r>
            <a:rPr lang="de-CH" sz="1100" b="1"/>
            <a:t>UK MARKAL</a:t>
          </a:r>
          <a:r>
            <a:rPr lang="de-CH" sz="1100" b="1" baseline="0"/>
            <a:t> Data 2005</a:t>
          </a:r>
          <a:endParaRPr lang="de-CH" sz="11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Vangelis\PROJECTS\CHP%20SWARM%20-PROJECT\Model\Calibration\Useful_Energy_Demands_201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ful_Energy_Demands"/>
      <sheetName val="Services"/>
      <sheetName val="Residential"/>
      <sheetName val="Industry"/>
      <sheetName val="Efficiencies_2010  &gt;&gt;"/>
      <sheetName val="Calibration_of_Household_Eff"/>
      <sheetName val="Calibration_of_Household_Eff_t"/>
      <sheetName val="Calib_of_Household_Ef_t_2050"/>
      <sheetName val="Energy Service Demand Projectio"/>
      <sheetName val="Industry_Useful_Energy_WWB"/>
      <sheetName val="Industry_Useful_Energy_POM"/>
      <sheetName val="Industry_Useful_Energy_NEP"/>
      <sheetName val="Services_Useful_Energy_WWB"/>
      <sheetName val="Services_Useful_Energy_POM"/>
      <sheetName val="Services_Useful_Energy_NEP"/>
    </sheetNames>
    <sheetDataSet>
      <sheetData sheetId="0">
        <row r="1">
          <cell r="A1" t="str">
            <v>RESIDENTIAL SECTOR (PJ)</v>
          </cell>
        </row>
      </sheetData>
      <sheetData sheetId="1">
        <row r="55">
          <cell r="B55">
            <v>4.3028573072417799</v>
          </cell>
        </row>
      </sheetData>
      <sheetData sheetId="2">
        <row r="31">
          <cell r="B31">
            <v>11.657922935779812</v>
          </cell>
        </row>
      </sheetData>
      <sheetData sheetId="3">
        <row r="41">
          <cell r="D41">
            <v>0</v>
          </cell>
        </row>
      </sheetData>
      <sheetData sheetId="4"/>
      <sheetData sheetId="5">
        <row r="19">
          <cell r="B19">
            <v>0.9</v>
          </cell>
        </row>
        <row r="22">
          <cell r="C22">
            <v>0.95000000000000007</v>
          </cell>
          <cell r="D22">
            <v>0.95000000000000007</v>
          </cell>
          <cell r="E22">
            <v>0.95000000000000007</v>
          </cell>
          <cell r="F22">
            <v>0.95</v>
          </cell>
        </row>
      </sheetData>
      <sheetData sheetId="6"/>
      <sheetData sheetId="7"/>
      <sheetData sheetId="8"/>
      <sheetData sheetId="9">
        <row r="9">
          <cell r="L9">
            <v>4.8411914423489001E-2</v>
          </cell>
        </row>
      </sheetData>
      <sheetData sheetId="10">
        <row r="9">
          <cell r="L9">
            <v>4.8411914423489001E-2</v>
          </cell>
        </row>
      </sheetData>
      <sheetData sheetId="11">
        <row r="9">
          <cell r="L9">
            <v>4.8411914423489001E-2</v>
          </cell>
        </row>
      </sheetData>
      <sheetData sheetId="12">
        <row r="5">
          <cell r="I5">
            <v>5.3765546218487401</v>
          </cell>
        </row>
      </sheetData>
      <sheetData sheetId="13">
        <row r="5">
          <cell r="I5">
            <v>5.3765546218487401</v>
          </cell>
        </row>
      </sheetData>
      <sheetData sheetId="14">
        <row r="5">
          <cell r="I5">
            <v>5.3765546218487401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B20" sqref="B20"/>
    </sheetView>
  </sheetViews>
  <sheetFormatPr defaultColWidth="8.7109375" defaultRowHeight="11.25" x14ac:dyDescent="0.2"/>
  <cols>
    <col min="1" max="1" width="26.7109375" style="4" bestFit="1" customWidth="1"/>
    <col min="2" max="2" width="8.7109375" style="4" bestFit="1" customWidth="1"/>
    <col min="3" max="16384" width="8.7109375" style="4"/>
  </cols>
  <sheetData>
    <row r="1" spans="1:6" x14ac:dyDescent="0.2">
      <c r="A1" s="3" t="s">
        <v>8</v>
      </c>
      <c r="B1" s="3"/>
    </row>
    <row r="2" spans="1:6" x14ac:dyDescent="0.2">
      <c r="A2" s="21"/>
      <c r="B2" s="21"/>
      <c r="C2" s="185" t="s">
        <v>0</v>
      </c>
      <c r="D2" s="185"/>
      <c r="E2" s="185"/>
      <c r="F2" s="186"/>
    </row>
    <row r="3" spans="1:6" x14ac:dyDescent="0.2">
      <c r="A3" s="1" t="s">
        <v>4</v>
      </c>
      <c r="B3" s="9" t="s">
        <v>5</v>
      </c>
      <c r="C3" s="2">
        <v>2017</v>
      </c>
      <c r="D3" s="2">
        <v>2030</v>
      </c>
      <c r="E3" s="2">
        <v>2040</v>
      </c>
      <c r="F3" s="13">
        <v>2050</v>
      </c>
    </row>
    <row r="4" spans="1:6" x14ac:dyDescent="0.2">
      <c r="A4" s="5" t="s">
        <v>1</v>
      </c>
      <c r="B4" s="10" t="s">
        <v>6</v>
      </c>
      <c r="C4" s="14">
        <v>3.4803259222863696</v>
      </c>
      <c r="D4" s="14">
        <v>3.1049966561574474</v>
      </c>
      <c r="E4" s="14">
        <v>3.2073591832835171</v>
      </c>
      <c r="F4" s="15">
        <v>3.26172120333917</v>
      </c>
    </row>
    <row r="5" spans="1:6" x14ac:dyDescent="0.2">
      <c r="A5" s="5" t="s">
        <v>3</v>
      </c>
      <c r="B5" s="10" t="s">
        <v>6</v>
      </c>
      <c r="C5" s="14">
        <v>2.8151624548824561</v>
      </c>
      <c r="D5" s="14">
        <v>3.1277960639896407</v>
      </c>
      <c r="E5" s="14">
        <v>4.6443032465300735</v>
      </c>
      <c r="F5" s="15">
        <v>4.9269999658840788</v>
      </c>
    </row>
    <row r="6" spans="1:6" x14ac:dyDescent="0.2">
      <c r="A6" s="5" t="s">
        <v>362</v>
      </c>
      <c r="B6" s="10" t="s">
        <v>6</v>
      </c>
      <c r="C6" s="14">
        <v>5.2478864767319182</v>
      </c>
      <c r="D6" s="14">
        <v>4.646455960101064</v>
      </c>
      <c r="E6" s="14">
        <v>7.2403290809949734</v>
      </c>
      <c r="F6" s="15">
        <v>7.8544016772665586</v>
      </c>
    </row>
    <row r="7" spans="1:6" x14ac:dyDescent="0.2">
      <c r="A7" s="5" t="s">
        <v>31</v>
      </c>
      <c r="B7" s="10" t="s">
        <v>6</v>
      </c>
      <c r="C7" s="16">
        <f>98/3.6</f>
        <v>27.222222222222221</v>
      </c>
      <c r="D7" s="16">
        <f>114/3.6</f>
        <v>31.666666666666664</v>
      </c>
      <c r="E7" s="16">
        <f>AVERAGE(D7,F7)</f>
        <v>32.916666666666664</v>
      </c>
      <c r="F7" s="17">
        <f>123/3.6</f>
        <v>34.166666666666664</v>
      </c>
    </row>
    <row r="8" spans="1:6" x14ac:dyDescent="0.2">
      <c r="A8" s="5" t="s">
        <v>56</v>
      </c>
      <c r="B8" s="10" t="s">
        <v>6</v>
      </c>
      <c r="C8" s="16">
        <v>10</v>
      </c>
      <c r="D8" s="16">
        <v>10</v>
      </c>
      <c r="E8" s="16">
        <v>10</v>
      </c>
      <c r="F8" s="17">
        <v>10</v>
      </c>
    </row>
    <row r="9" spans="1:6" x14ac:dyDescent="0.2">
      <c r="A9" s="5" t="s">
        <v>117</v>
      </c>
      <c r="B9" s="10" t="s">
        <v>118</v>
      </c>
      <c r="C9" s="16">
        <v>400</v>
      </c>
      <c r="D9" s="16">
        <v>400</v>
      </c>
      <c r="E9" s="16">
        <v>400</v>
      </c>
      <c r="F9" s="17">
        <v>400</v>
      </c>
    </row>
    <row r="10" spans="1:6" x14ac:dyDescent="0.2">
      <c r="A10" s="18" t="s">
        <v>64</v>
      </c>
      <c r="B10" s="11" t="s">
        <v>7</v>
      </c>
      <c r="C10" s="19">
        <v>16</v>
      </c>
      <c r="D10" s="19">
        <v>100</v>
      </c>
      <c r="E10" s="19">
        <f>AVERAGE(D10,F10)</f>
        <v>130</v>
      </c>
      <c r="F10" s="20">
        <v>160</v>
      </c>
    </row>
    <row r="11" spans="1:6" x14ac:dyDescent="0.2">
      <c r="A11" s="5"/>
      <c r="B11" s="8"/>
    </row>
    <row r="13" spans="1:6" x14ac:dyDescent="0.2">
      <c r="A13" s="187" t="s">
        <v>29</v>
      </c>
      <c r="B13" s="188"/>
    </row>
    <row r="14" spans="1:6" x14ac:dyDescent="0.2">
      <c r="A14" s="12" t="s">
        <v>2</v>
      </c>
      <c r="B14" s="47">
        <f>15.3*44/12/1000</f>
        <v>5.6100000000000004E-2</v>
      </c>
    </row>
    <row r="15" spans="1:6" x14ac:dyDescent="0.2">
      <c r="A15" s="26" t="s">
        <v>1</v>
      </c>
      <c r="B15" s="42">
        <f>25.8*44/12/1000</f>
        <v>9.4600000000000004E-2</v>
      </c>
    </row>
    <row r="16" spans="1:6" x14ac:dyDescent="0.2">
      <c r="A16" s="26" t="s">
        <v>362</v>
      </c>
      <c r="B16" s="42">
        <f>73.3/1000</f>
        <v>7.3300000000000004E-2</v>
      </c>
    </row>
    <row r="17" spans="1:3" x14ac:dyDescent="0.2">
      <c r="A17" s="44" t="s">
        <v>30</v>
      </c>
      <c r="B17" s="43">
        <v>0</v>
      </c>
    </row>
    <row r="18" spans="1:3" x14ac:dyDescent="0.2">
      <c r="A18" s="44" t="s">
        <v>57</v>
      </c>
      <c r="B18" s="43">
        <f>112/1000</f>
        <v>0.112</v>
      </c>
    </row>
    <row r="19" spans="1:3" x14ac:dyDescent="0.2">
      <c r="A19" s="44" t="s">
        <v>51</v>
      </c>
      <c r="B19" s="43">
        <v>0</v>
      </c>
    </row>
    <row r="20" spans="1:3" x14ac:dyDescent="0.2">
      <c r="A20" s="45" t="s">
        <v>31</v>
      </c>
      <c r="B20" s="46">
        <v>0</v>
      </c>
    </row>
    <row r="24" spans="1:3" x14ac:dyDescent="0.2">
      <c r="A24" s="4" t="s">
        <v>41</v>
      </c>
    </row>
    <row r="25" spans="1:3" x14ac:dyDescent="0.2">
      <c r="A25" s="4" t="s">
        <v>42</v>
      </c>
    </row>
    <row r="28" spans="1:3" x14ac:dyDescent="0.2">
      <c r="A28" s="4" t="s">
        <v>46</v>
      </c>
    </row>
    <row r="29" spans="1:3" x14ac:dyDescent="0.2">
      <c r="A29" s="4" t="s">
        <v>65</v>
      </c>
      <c r="B29" s="4">
        <v>33.33</v>
      </c>
      <c r="C29" s="4" t="s">
        <v>47</v>
      </c>
    </row>
    <row r="30" spans="1:3" x14ac:dyDescent="0.2">
      <c r="A30" s="4" t="s">
        <v>65</v>
      </c>
      <c r="B30" s="4">
        <f>120/1000</f>
        <v>0.12</v>
      </c>
      <c r="C30" s="4" t="s">
        <v>48</v>
      </c>
    </row>
    <row r="31" spans="1:3" x14ac:dyDescent="0.2">
      <c r="A31" s="4" t="s">
        <v>114</v>
      </c>
      <c r="B31" s="4">
        <f>B30*1000</f>
        <v>120</v>
      </c>
      <c r="C31" s="4" t="s">
        <v>48</v>
      </c>
    </row>
    <row r="33" spans="1:4" x14ac:dyDescent="0.2">
      <c r="A33" s="4" t="s">
        <v>75</v>
      </c>
    </row>
    <row r="34" spans="1:4" x14ac:dyDescent="0.2">
      <c r="A34" s="4" t="s">
        <v>76</v>
      </c>
      <c r="B34" s="4">
        <v>22.315000000000001</v>
      </c>
      <c r="C34" s="4" t="s">
        <v>48</v>
      </c>
      <c r="D34" s="4" t="s">
        <v>77</v>
      </c>
    </row>
    <row r="36" spans="1:4" x14ac:dyDescent="0.2">
      <c r="A36" s="4" t="s">
        <v>93</v>
      </c>
    </row>
    <row r="37" spans="1:4" x14ac:dyDescent="0.2">
      <c r="A37" s="4" t="s">
        <v>94</v>
      </c>
      <c r="B37" s="4">
        <v>22.321999999999999</v>
      </c>
      <c r="C37" s="4" t="s">
        <v>48</v>
      </c>
      <c r="D37" s="4" t="s">
        <v>77</v>
      </c>
    </row>
  </sheetData>
  <mergeCells count="2">
    <mergeCell ref="C2:F2"/>
    <mergeCell ref="A13:B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6"/>
  <sheetViews>
    <sheetView workbookViewId="0">
      <selection activeCell="C4" sqref="C4"/>
    </sheetView>
  </sheetViews>
  <sheetFormatPr defaultRowHeight="11.25" x14ac:dyDescent="0.2"/>
  <cols>
    <col min="1" max="1" width="15.85546875" style="4" bestFit="1" customWidth="1"/>
    <col min="2" max="2" width="10.85546875" style="4" bestFit="1" customWidth="1"/>
    <col min="3" max="16384" width="9.140625" style="4"/>
  </cols>
  <sheetData>
    <row r="1" spans="1:14" x14ac:dyDescent="0.2">
      <c r="A1" s="22" t="s">
        <v>9</v>
      </c>
      <c r="B1" s="23"/>
      <c r="C1" s="189" t="s">
        <v>398</v>
      </c>
      <c r="D1" s="185"/>
      <c r="E1" s="185"/>
      <c r="F1" s="186"/>
      <c r="G1" s="189" t="s">
        <v>398</v>
      </c>
      <c r="H1" s="185"/>
      <c r="I1" s="185"/>
      <c r="J1" s="186"/>
      <c r="K1" s="189" t="s">
        <v>400</v>
      </c>
      <c r="L1" s="185"/>
      <c r="M1" s="185"/>
      <c r="N1" s="186"/>
    </row>
    <row r="2" spans="1:14" x14ac:dyDescent="0.2">
      <c r="A2" s="24"/>
      <c r="B2" s="25"/>
      <c r="C2" s="196" t="s">
        <v>397</v>
      </c>
      <c r="D2" s="197"/>
      <c r="E2" s="197"/>
      <c r="F2" s="198"/>
      <c r="G2" s="196" t="s">
        <v>399</v>
      </c>
      <c r="H2" s="197"/>
      <c r="I2" s="197"/>
      <c r="J2" s="198"/>
      <c r="K2" s="196" t="s">
        <v>401</v>
      </c>
      <c r="L2" s="197"/>
      <c r="M2" s="197"/>
      <c r="N2" s="198"/>
    </row>
    <row r="3" spans="1:14" x14ac:dyDescent="0.2">
      <c r="A3" s="1"/>
      <c r="B3" s="2"/>
      <c r="C3" s="41" t="s">
        <v>22</v>
      </c>
      <c r="D3" s="2">
        <v>2030</v>
      </c>
      <c r="E3" s="2">
        <v>2040</v>
      </c>
      <c r="F3" s="13">
        <v>2050</v>
      </c>
      <c r="G3" s="41" t="s">
        <v>22</v>
      </c>
      <c r="H3" s="2">
        <v>2030</v>
      </c>
      <c r="I3" s="2">
        <v>2040</v>
      </c>
      <c r="J3" s="13">
        <v>2050</v>
      </c>
      <c r="K3" s="41" t="s">
        <v>22</v>
      </c>
      <c r="L3" s="2">
        <v>2030</v>
      </c>
      <c r="M3" s="2">
        <v>2040</v>
      </c>
      <c r="N3" s="13">
        <v>2050</v>
      </c>
    </row>
    <row r="4" spans="1:14" x14ac:dyDescent="0.2">
      <c r="A4" s="5" t="s">
        <v>10</v>
      </c>
      <c r="B4" s="8" t="s">
        <v>390</v>
      </c>
      <c r="C4" s="175">
        <v>1500</v>
      </c>
      <c r="D4" s="176">
        <f t="shared" ref="D4:F7" si="0">C4</f>
        <v>1500</v>
      </c>
      <c r="E4" s="176">
        <f t="shared" si="0"/>
        <v>1500</v>
      </c>
      <c r="F4" s="177">
        <f t="shared" si="0"/>
        <v>1500</v>
      </c>
      <c r="G4" s="175">
        <v>450</v>
      </c>
      <c r="H4" s="176">
        <f t="shared" ref="H4:H7" si="1">G4</f>
        <v>450</v>
      </c>
      <c r="I4" s="176">
        <f t="shared" ref="I4:I7" si="2">H4</f>
        <v>450</v>
      </c>
      <c r="J4" s="177">
        <f t="shared" ref="J4:J7" si="3">I4</f>
        <v>450</v>
      </c>
      <c r="K4" s="175">
        <v>2500</v>
      </c>
      <c r="L4" s="176">
        <f>K4</f>
        <v>2500</v>
      </c>
      <c r="M4" s="176">
        <f t="shared" ref="M4:N4" si="4">L4</f>
        <v>2500</v>
      </c>
      <c r="N4" s="177">
        <f t="shared" si="4"/>
        <v>2500</v>
      </c>
    </row>
    <row r="5" spans="1:14" x14ac:dyDescent="0.2">
      <c r="A5" s="5" t="s">
        <v>11</v>
      </c>
      <c r="B5" s="8" t="s">
        <v>12</v>
      </c>
      <c r="C5" s="178">
        <v>5.5E-2</v>
      </c>
      <c r="D5" s="179">
        <f t="shared" si="0"/>
        <v>5.5E-2</v>
      </c>
      <c r="E5" s="179">
        <f t="shared" si="0"/>
        <v>5.5E-2</v>
      </c>
      <c r="F5" s="180">
        <f t="shared" si="0"/>
        <v>5.5E-2</v>
      </c>
      <c r="G5" s="178">
        <v>5.5E-2</v>
      </c>
      <c r="H5" s="179">
        <f t="shared" si="1"/>
        <v>5.5E-2</v>
      </c>
      <c r="I5" s="179">
        <f t="shared" si="2"/>
        <v>5.5E-2</v>
      </c>
      <c r="J5" s="180">
        <f t="shared" si="3"/>
        <v>5.5E-2</v>
      </c>
      <c r="K5" s="178">
        <v>5.5E-2</v>
      </c>
      <c r="L5" s="179">
        <f t="shared" ref="L5:L7" si="5">K5</f>
        <v>5.5E-2</v>
      </c>
      <c r="M5" s="179">
        <f t="shared" ref="M5:M7" si="6">L5</f>
        <v>5.5E-2</v>
      </c>
      <c r="N5" s="180">
        <f t="shared" ref="N5:N7" si="7">M5</f>
        <v>5.5E-2</v>
      </c>
    </row>
    <row r="6" spans="1:14" x14ac:dyDescent="0.2">
      <c r="A6" s="5" t="s">
        <v>13</v>
      </c>
      <c r="B6" s="8" t="s">
        <v>14</v>
      </c>
      <c r="C6" s="26">
        <v>15</v>
      </c>
      <c r="D6" s="27">
        <f t="shared" si="0"/>
        <v>15</v>
      </c>
      <c r="E6" s="27">
        <f t="shared" si="0"/>
        <v>15</v>
      </c>
      <c r="F6" s="42">
        <f t="shared" si="0"/>
        <v>15</v>
      </c>
      <c r="G6" s="26">
        <v>15</v>
      </c>
      <c r="H6" s="27">
        <f t="shared" si="1"/>
        <v>15</v>
      </c>
      <c r="I6" s="27">
        <f t="shared" si="2"/>
        <v>15</v>
      </c>
      <c r="J6" s="42">
        <f t="shared" si="3"/>
        <v>15</v>
      </c>
      <c r="K6" s="26">
        <v>15</v>
      </c>
      <c r="L6" s="27">
        <f t="shared" si="5"/>
        <v>15</v>
      </c>
      <c r="M6" s="27">
        <f t="shared" si="6"/>
        <v>15</v>
      </c>
      <c r="N6" s="42">
        <f t="shared" si="7"/>
        <v>15</v>
      </c>
    </row>
    <row r="7" spans="1:14" x14ac:dyDescent="0.2">
      <c r="A7" s="5" t="s">
        <v>15</v>
      </c>
      <c r="B7" s="8" t="s">
        <v>391</v>
      </c>
      <c r="C7" s="181">
        <v>1.7</v>
      </c>
      <c r="D7" s="28">
        <f t="shared" si="0"/>
        <v>1.7</v>
      </c>
      <c r="E7" s="28">
        <f t="shared" si="0"/>
        <v>1.7</v>
      </c>
      <c r="F7" s="62">
        <f t="shared" si="0"/>
        <v>1.7</v>
      </c>
      <c r="G7" s="181">
        <v>1.5</v>
      </c>
      <c r="H7" s="28">
        <f t="shared" si="1"/>
        <v>1.5</v>
      </c>
      <c r="I7" s="28">
        <f t="shared" si="2"/>
        <v>1.5</v>
      </c>
      <c r="J7" s="62">
        <f t="shared" si="3"/>
        <v>1.5</v>
      </c>
      <c r="K7" s="181">
        <v>2.8</v>
      </c>
      <c r="L7" s="28">
        <f t="shared" si="5"/>
        <v>2.8</v>
      </c>
      <c r="M7" s="28">
        <f t="shared" si="6"/>
        <v>2.8</v>
      </c>
      <c r="N7" s="62">
        <f t="shared" si="7"/>
        <v>2.8</v>
      </c>
    </row>
    <row r="8" spans="1:14" x14ac:dyDescent="0.2">
      <c r="A8" s="5" t="s">
        <v>17</v>
      </c>
      <c r="B8" s="8" t="s">
        <v>392</v>
      </c>
      <c r="C8" s="181">
        <v>0</v>
      </c>
      <c r="D8" s="28">
        <v>0</v>
      </c>
      <c r="E8" s="28">
        <v>0</v>
      </c>
      <c r="F8" s="62">
        <v>0</v>
      </c>
      <c r="G8" s="181">
        <v>0</v>
      </c>
      <c r="H8" s="28">
        <v>0</v>
      </c>
      <c r="I8" s="28">
        <v>0</v>
      </c>
      <c r="J8" s="62">
        <v>0</v>
      </c>
      <c r="K8" s="181">
        <v>0</v>
      </c>
      <c r="L8" s="28">
        <v>0</v>
      </c>
      <c r="M8" s="28">
        <v>0</v>
      </c>
      <c r="N8" s="62">
        <v>0</v>
      </c>
    </row>
    <row r="9" spans="1:14" x14ac:dyDescent="0.2">
      <c r="A9" s="5" t="s">
        <v>19</v>
      </c>
      <c r="B9" s="8" t="s">
        <v>12</v>
      </c>
      <c r="C9" s="182">
        <v>0.85</v>
      </c>
      <c r="D9" s="29">
        <f t="shared" ref="D9:F9" si="8">C9</f>
        <v>0.85</v>
      </c>
      <c r="E9" s="29">
        <f t="shared" si="8"/>
        <v>0.85</v>
      </c>
      <c r="F9" s="67">
        <f t="shared" si="8"/>
        <v>0.85</v>
      </c>
      <c r="G9" s="182">
        <v>0.85</v>
      </c>
      <c r="H9" s="29">
        <f t="shared" ref="H9" si="9">G9</f>
        <v>0.85</v>
      </c>
      <c r="I9" s="29">
        <f t="shared" ref="I9" si="10">H9</f>
        <v>0.85</v>
      </c>
      <c r="J9" s="67">
        <f t="shared" ref="J9" si="11">I9</f>
        <v>0.85</v>
      </c>
      <c r="K9" s="182">
        <v>0.85</v>
      </c>
      <c r="L9" s="29">
        <f t="shared" ref="L9" si="12">K9</f>
        <v>0.85</v>
      </c>
      <c r="M9" s="29">
        <f t="shared" ref="M9" si="13">L9</f>
        <v>0.85</v>
      </c>
      <c r="N9" s="67">
        <f t="shared" ref="N9" si="14">M9</f>
        <v>0.85</v>
      </c>
    </row>
    <row r="10" spans="1:14" x14ac:dyDescent="0.2">
      <c r="A10" s="5" t="s">
        <v>20</v>
      </c>
      <c r="B10" s="8" t="s">
        <v>12</v>
      </c>
      <c r="C10" s="182">
        <f>[1]Calibration_of_Household_Eff!C$22</f>
        <v>0.95000000000000007</v>
      </c>
      <c r="D10" s="29">
        <f>[1]Calibration_of_Household_Eff!D$22</f>
        <v>0.95000000000000007</v>
      </c>
      <c r="E10" s="29">
        <f>[1]Calibration_of_Household_Eff!E$22</f>
        <v>0.95000000000000007</v>
      </c>
      <c r="F10" s="67">
        <f>[1]Calibration_of_Household_Eff!F$22</f>
        <v>0.95</v>
      </c>
      <c r="G10" s="182">
        <v>0.95</v>
      </c>
      <c r="H10" s="29">
        <v>0.95</v>
      </c>
      <c r="I10" s="29">
        <v>0.95</v>
      </c>
      <c r="J10" s="67">
        <v>0.95</v>
      </c>
      <c r="K10" s="182">
        <v>0.95</v>
      </c>
      <c r="L10" s="29">
        <v>0.95</v>
      </c>
      <c r="M10" s="29">
        <v>0.95</v>
      </c>
      <c r="N10" s="67">
        <v>0.95</v>
      </c>
    </row>
    <row r="11" spans="1:14" x14ac:dyDescent="0.2">
      <c r="A11" s="5" t="s">
        <v>23</v>
      </c>
      <c r="B11" s="8" t="s">
        <v>393</v>
      </c>
      <c r="C11" s="181">
        <f>Prices!$C$5</f>
        <v>2.8151624548824561</v>
      </c>
      <c r="D11" s="28">
        <f>Prices!$D$5</f>
        <v>3.1277960639896407</v>
      </c>
      <c r="E11" s="28">
        <f>Prices!$E$5</f>
        <v>4.6443032465300735</v>
      </c>
      <c r="F11" s="62">
        <f>Prices!$F$5</f>
        <v>4.9269999658840788</v>
      </c>
      <c r="G11" s="181">
        <f>Prices!$C$5</f>
        <v>2.8151624548824561</v>
      </c>
      <c r="H11" s="28">
        <f>Prices!$D$5</f>
        <v>3.1277960639896407</v>
      </c>
      <c r="I11" s="28">
        <f>Prices!$E$5</f>
        <v>4.6443032465300735</v>
      </c>
      <c r="J11" s="62">
        <f>Prices!$F$5</f>
        <v>4.9269999658840788</v>
      </c>
      <c r="K11" s="181">
        <f>Hydrogen_Production!C39</f>
        <v>9.1582814263651038</v>
      </c>
      <c r="L11" s="28">
        <f>Hydrogen_Production!D39</f>
        <v>15.770167754137717</v>
      </c>
      <c r="M11" s="28">
        <f>Hydrogen_Production!E39</f>
        <v>19.980045625901447</v>
      </c>
      <c r="N11" s="62">
        <f>Hydrogen_Production!F39</f>
        <v>22.566488677683033</v>
      </c>
    </row>
    <row r="12" spans="1:14" x14ac:dyDescent="0.2">
      <c r="A12" s="5" t="s">
        <v>24</v>
      </c>
      <c r="B12" s="8" t="s">
        <v>27</v>
      </c>
      <c r="C12" s="181">
        <f>Prices!$B$14</f>
        <v>5.6100000000000004E-2</v>
      </c>
      <c r="D12" s="28">
        <f>C12</f>
        <v>5.6100000000000004E-2</v>
      </c>
      <c r="E12" s="28">
        <f>D12</f>
        <v>5.6100000000000004E-2</v>
      </c>
      <c r="F12" s="62">
        <f>E12</f>
        <v>5.6100000000000004E-2</v>
      </c>
      <c r="G12" s="181">
        <f>Prices!$B$14</f>
        <v>5.6100000000000004E-2</v>
      </c>
      <c r="H12" s="28">
        <f>G12</f>
        <v>5.6100000000000004E-2</v>
      </c>
      <c r="I12" s="28">
        <f>H12</f>
        <v>5.6100000000000004E-2</v>
      </c>
      <c r="J12" s="62">
        <f>I12</f>
        <v>5.6100000000000004E-2</v>
      </c>
      <c r="K12" s="181">
        <f>Prices!$B$14</f>
        <v>5.6100000000000004E-2</v>
      </c>
      <c r="L12" s="28">
        <f>K12</f>
        <v>5.6100000000000004E-2</v>
      </c>
      <c r="M12" s="28">
        <f>L12</f>
        <v>5.6100000000000004E-2</v>
      </c>
      <c r="N12" s="62">
        <f>M12</f>
        <v>5.6100000000000004E-2</v>
      </c>
    </row>
    <row r="13" spans="1:14" x14ac:dyDescent="0.2">
      <c r="A13" s="5" t="s">
        <v>25</v>
      </c>
      <c r="B13" s="8" t="s">
        <v>394</v>
      </c>
      <c r="C13" s="183">
        <f>Prices!$C$10</f>
        <v>16</v>
      </c>
      <c r="D13" s="16">
        <f>Prices!$D$10</f>
        <v>100</v>
      </c>
      <c r="E13" s="16">
        <f>Prices!$E$10</f>
        <v>130</v>
      </c>
      <c r="F13" s="17">
        <f>Prices!$F$10</f>
        <v>160</v>
      </c>
      <c r="G13" s="183">
        <f>Prices!$C$10</f>
        <v>16</v>
      </c>
      <c r="H13" s="16">
        <f>Prices!$D$10</f>
        <v>100</v>
      </c>
      <c r="I13" s="16">
        <f>Prices!$E$10</f>
        <v>130</v>
      </c>
      <c r="J13" s="17">
        <f>Prices!$F$10</f>
        <v>160</v>
      </c>
      <c r="K13" s="183">
        <f>Prices!$C$10</f>
        <v>16</v>
      </c>
      <c r="L13" s="16">
        <f>Prices!$D$10</f>
        <v>100</v>
      </c>
      <c r="M13" s="16">
        <f>Prices!$E$10</f>
        <v>130</v>
      </c>
      <c r="N13" s="17">
        <f>Prices!$F$10</f>
        <v>160</v>
      </c>
    </row>
    <row r="14" spans="1:14" x14ac:dyDescent="0.2">
      <c r="A14" s="5" t="s">
        <v>395</v>
      </c>
      <c r="B14" s="8" t="s">
        <v>392</v>
      </c>
      <c r="C14" s="181">
        <f>(PMT(C5,C6,-C4)+C7)/(C9*8.76)/3.6</f>
        <v>5.6383142480383492</v>
      </c>
      <c r="D14" s="28">
        <f t="shared" ref="D14:F14" si="15">(PMT(D5,D6,-D4)+D7)/(D9*8.76)/3.6</f>
        <v>5.6383142480383492</v>
      </c>
      <c r="E14" s="28">
        <f t="shared" si="15"/>
        <v>5.6383142480383492</v>
      </c>
      <c r="F14" s="62">
        <f t="shared" si="15"/>
        <v>5.6383142480383492</v>
      </c>
      <c r="G14" s="181">
        <f>(PMT(G5,G6,-G4)+G7)/(G9*8.76)/3.6</f>
        <v>1.7284268556631832</v>
      </c>
      <c r="H14" s="28">
        <f t="shared" ref="H14:J14" si="16">(PMT(H5,H6,-H4)+H7)/(H9*8.76)/3.6</f>
        <v>1.7284268556631832</v>
      </c>
      <c r="I14" s="28">
        <f t="shared" si="16"/>
        <v>1.7284268556631832</v>
      </c>
      <c r="J14" s="62">
        <f t="shared" si="16"/>
        <v>1.7284268556631832</v>
      </c>
      <c r="K14" s="181">
        <f>(PMT(K5,K6,-K4)+K7)/(K9*8.76)/3.6</f>
        <v>9.3959468921429821</v>
      </c>
      <c r="L14" s="28">
        <f t="shared" ref="L14:N14" si="17">(PMT(L5,L6,-L4)+L7)/(L9*8.76)/3.6</f>
        <v>9.3959468921429821</v>
      </c>
      <c r="M14" s="28">
        <f t="shared" si="17"/>
        <v>9.3959468921429821</v>
      </c>
      <c r="N14" s="62">
        <f t="shared" si="17"/>
        <v>9.3959468921429821</v>
      </c>
    </row>
    <row r="15" spans="1:14" x14ac:dyDescent="0.2">
      <c r="A15" s="5" t="s">
        <v>396</v>
      </c>
      <c r="B15" s="8" t="s">
        <v>392</v>
      </c>
      <c r="C15" s="181">
        <f t="shared" ref="C15:F15" si="18">(C11+C12*C13)/C10</f>
        <v>3.9081710051394274</v>
      </c>
      <c r="D15" s="28">
        <f t="shared" si="18"/>
        <v>9.197680067357517</v>
      </c>
      <c r="E15" s="28">
        <f t="shared" si="18"/>
        <v>12.565582364768499</v>
      </c>
      <c r="F15" s="62">
        <f t="shared" si="18"/>
        <v>14.634736806193768</v>
      </c>
      <c r="G15" s="181">
        <f t="shared" ref="G15:N15" si="19">(G11+G12*G13)/G10</f>
        <v>3.9081710051394278</v>
      </c>
      <c r="H15" s="28">
        <f t="shared" si="19"/>
        <v>9.197680067357517</v>
      </c>
      <c r="I15" s="28">
        <f t="shared" si="19"/>
        <v>12.565582364768501</v>
      </c>
      <c r="J15" s="62">
        <f t="shared" si="19"/>
        <v>14.634736806193768</v>
      </c>
      <c r="K15" s="181">
        <f t="shared" si="19"/>
        <v>10.585138343542216</v>
      </c>
      <c r="L15" s="28">
        <f t="shared" si="19"/>
        <v>22.505439741197598</v>
      </c>
      <c r="M15" s="28">
        <f t="shared" si="19"/>
        <v>28.708469079896261</v>
      </c>
      <c r="N15" s="62">
        <f t="shared" si="19"/>
        <v>33.20261966071898</v>
      </c>
    </row>
    <row r="16" spans="1:14" x14ac:dyDescent="0.2">
      <c r="A16" s="18" t="s">
        <v>26</v>
      </c>
      <c r="B16" s="171" t="s">
        <v>393</v>
      </c>
      <c r="C16" s="172">
        <f t="shared" ref="C16:F16" si="20">SUM(C14:C15,C8)</f>
        <v>9.5464852531777762</v>
      </c>
      <c r="D16" s="173">
        <f t="shared" si="20"/>
        <v>14.835994315395865</v>
      </c>
      <c r="E16" s="173">
        <f t="shared" si="20"/>
        <v>18.203896612806847</v>
      </c>
      <c r="F16" s="174">
        <f t="shared" si="20"/>
        <v>20.273051054232116</v>
      </c>
      <c r="G16" s="172">
        <f t="shared" ref="G16:N16" si="21">SUM(G14:G15,G8)</f>
        <v>5.6365978608026115</v>
      </c>
      <c r="H16" s="173">
        <f t="shared" si="21"/>
        <v>10.926106923020701</v>
      </c>
      <c r="I16" s="173">
        <f t="shared" si="21"/>
        <v>14.294009220431684</v>
      </c>
      <c r="J16" s="174">
        <f t="shared" si="21"/>
        <v>16.363163661856952</v>
      </c>
      <c r="K16" s="172">
        <f t="shared" si="21"/>
        <v>19.9810852356852</v>
      </c>
      <c r="L16" s="173">
        <f t="shared" si="21"/>
        <v>31.901386633340579</v>
      </c>
      <c r="M16" s="173">
        <f t="shared" si="21"/>
        <v>38.104415972039241</v>
      </c>
      <c r="N16" s="174">
        <f t="shared" si="21"/>
        <v>42.598566552861961</v>
      </c>
    </row>
  </sheetData>
  <mergeCells count="6">
    <mergeCell ref="K1:N1"/>
    <mergeCell ref="K2:N2"/>
    <mergeCell ref="C1:F1"/>
    <mergeCell ref="C2:F2"/>
    <mergeCell ref="G1:J1"/>
    <mergeCell ref="G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tabSelected="1" workbookViewId="0">
      <selection activeCell="E17" sqref="E17"/>
    </sheetView>
  </sheetViews>
  <sheetFormatPr defaultRowHeight="11.25" x14ac:dyDescent="0.2"/>
  <cols>
    <col min="1" max="1" width="15.85546875" style="4" bestFit="1" customWidth="1"/>
    <col min="2" max="2" width="10.85546875" style="4" bestFit="1" customWidth="1"/>
    <col min="3" max="16384" width="9.140625" style="4"/>
  </cols>
  <sheetData>
    <row r="1" spans="1:10" x14ac:dyDescent="0.2">
      <c r="A1" s="22" t="s">
        <v>9</v>
      </c>
      <c r="B1" s="23"/>
      <c r="C1" s="189" t="s">
        <v>402</v>
      </c>
      <c r="D1" s="185"/>
      <c r="E1" s="185"/>
      <c r="F1" s="186"/>
      <c r="G1" s="189" t="s">
        <v>403</v>
      </c>
      <c r="H1" s="185"/>
      <c r="I1" s="185"/>
      <c r="J1" s="186"/>
    </row>
    <row r="2" spans="1:10" x14ac:dyDescent="0.2">
      <c r="A2" s="24"/>
      <c r="B2" s="25"/>
      <c r="C2" s="196" t="s">
        <v>404</v>
      </c>
      <c r="D2" s="197"/>
      <c r="E2" s="197"/>
      <c r="F2" s="198"/>
      <c r="G2" s="196" t="s">
        <v>405</v>
      </c>
      <c r="H2" s="197"/>
      <c r="I2" s="197"/>
      <c r="J2" s="198"/>
    </row>
    <row r="3" spans="1:10" x14ac:dyDescent="0.2">
      <c r="A3" s="1"/>
      <c r="B3" s="2"/>
      <c r="C3" s="41" t="s">
        <v>22</v>
      </c>
      <c r="D3" s="2">
        <v>2030</v>
      </c>
      <c r="E3" s="2">
        <v>2040</v>
      </c>
      <c r="F3" s="13">
        <v>2050</v>
      </c>
      <c r="G3" s="41" t="s">
        <v>22</v>
      </c>
      <c r="H3" s="2">
        <v>2030</v>
      </c>
      <c r="I3" s="2">
        <v>2040</v>
      </c>
      <c r="J3" s="13">
        <v>2050</v>
      </c>
    </row>
    <row r="4" spans="1:10" x14ac:dyDescent="0.2">
      <c r="A4" s="5" t="s">
        <v>10</v>
      </c>
      <c r="B4" s="8" t="s">
        <v>390</v>
      </c>
      <c r="C4" s="175">
        <v>45</v>
      </c>
      <c r="D4" s="176">
        <f t="shared" ref="D4:F7" si="0">C4</f>
        <v>45</v>
      </c>
      <c r="E4" s="176">
        <f t="shared" si="0"/>
        <v>45</v>
      </c>
      <c r="F4" s="177">
        <f t="shared" si="0"/>
        <v>45</v>
      </c>
      <c r="G4" s="175">
        <f>Hydrogen_Domestic_Boilers!K4*(5.4/150)^0.75</f>
        <v>206.61739619952903</v>
      </c>
      <c r="H4" s="176">
        <f>G4</f>
        <v>206.61739619952903</v>
      </c>
      <c r="I4" s="176">
        <f t="shared" ref="I4:J4" si="1">H4</f>
        <v>206.61739619952903</v>
      </c>
      <c r="J4" s="177">
        <f t="shared" si="1"/>
        <v>206.61739619952903</v>
      </c>
    </row>
    <row r="5" spans="1:10" x14ac:dyDescent="0.2">
      <c r="A5" s="5" t="s">
        <v>11</v>
      </c>
      <c r="B5" s="8" t="s">
        <v>12</v>
      </c>
      <c r="C5" s="178">
        <v>5.5E-2</v>
      </c>
      <c r="D5" s="179">
        <f t="shared" si="0"/>
        <v>5.5E-2</v>
      </c>
      <c r="E5" s="179">
        <f t="shared" si="0"/>
        <v>5.5E-2</v>
      </c>
      <c r="F5" s="180">
        <f t="shared" si="0"/>
        <v>5.5E-2</v>
      </c>
      <c r="G5" s="178">
        <v>5.5E-2</v>
      </c>
      <c r="H5" s="179">
        <f t="shared" ref="H5:H7" si="2">G5</f>
        <v>5.5E-2</v>
      </c>
      <c r="I5" s="179">
        <f t="shared" ref="I5:J7" si="3">H5</f>
        <v>5.5E-2</v>
      </c>
      <c r="J5" s="180">
        <f t="shared" si="3"/>
        <v>5.5E-2</v>
      </c>
    </row>
    <row r="6" spans="1:10" x14ac:dyDescent="0.2">
      <c r="A6" s="5" t="s">
        <v>13</v>
      </c>
      <c r="B6" s="8" t="s">
        <v>14</v>
      </c>
      <c r="C6" s="26">
        <v>15</v>
      </c>
      <c r="D6" s="27">
        <f t="shared" si="0"/>
        <v>15</v>
      </c>
      <c r="E6" s="27">
        <f t="shared" si="0"/>
        <v>15</v>
      </c>
      <c r="F6" s="42">
        <f t="shared" si="0"/>
        <v>15</v>
      </c>
      <c r="G6" s="26">
        <v>15</v>
      </c>
      <c r="H6" s="27">
        <f t="shared" si="2"/>
        <v>15</v>
      </c>
      <c r="I6" s="27">
        <f t="shared" si="3"/>
        <v>15</v>
      </c>
      <c r="J6" s="42">
        <f t="shared" si="3"/>
        <v>15</v>
      </c>
    </row>
    <row r="7" spans="1:10" x14ac:dyDescent="0.2">
      <c r="A7" s="5" t="s">
        <v>15</v>
      </c>
      <c r="B7" s="8" t="s">
        <v>391</v>
      </c>
      <c r="C7" s="181">
        <v>0.4</v>
      </c>
      <c r="D7" s="28">
        <f t="shared" si="0"/>
        <v>0.4</v>
      </c>
      <c r="E7" s="28">
        <f t="shared" si="0"/>
        <v>0.4</v>
      </c>
      <c r="F7" s="62">
        <f t="shared" si="0"/>
        <v>0.4</v>
      </c>
      <c r="G7" s="181">
        <f>C7/C4*G4</f>
        <v>1.836599077329147</v>
      </c>
      <c r="H7" s="28">
        <f t="shared" si="2"/>
        <v>1.836599077329147</v>
      </c>
      <c r="I7" s="28">
        <f t="shared" si="3"/>
        <v>1.836599077329147</v>
      </c>
      <c r="J7" s="62">
        <f t="shared" si="3"/>
        <v>1.836599077329147</v>
      </c>
    </row>
    <row r="8" spans="1:10" x14ac:dyDescent="0.2">
      <c r="A8" s="5" t="s">
        <v>17</v>
      </c>
      <c r="B8" s="8" t="s">
        <v>392</v>
      </c>
      <c r="C8" s="181">
        <v>0</v>
      </c>
      <c r="D8" s="28">
        <v>0</v>
      </c>
      <c r="E8" s="28">
        <v>0</v>
      </c>
      <c r="F8" s="62">
        <v>0</v>
      </c>
      <c r="G8" s="181">
        <v>0</v>
      </c>
      <c r="H8" s="28">
        <v>0</v>
      </c>
      <c r="I8" s="28">
        <v>0</v>
      </c>
      <c r="J8" s="62">
        <v>0</v>
      </c>
    </row>
    <row r="9" spans="1:10" x14ac:dyDescent="0.2">
      <c r="A9" s="5" t="s">
        <v>19</v>
      </c>
      <c r="B9" s="8" t="s">
        <v>12</v>
      </c>
      <c r="C9" s="182">
        <v>0.85</v>
      </c>
      <c r="D9" s="29">
        <f t="shared" ref="D9:F10" si="4">C9</f>
        <v>0.85</v>
      </c>
      <c r="E9" s="29">
        <f t="shared" si="4"/>
        <v>0.85</v>
      </c>
      <c r="F9" s="67">
        <f t="shared" si="4"/>
        <v>0.85</v>
      </c>
      <c r="G9" s="182">
        <v>0.85</v>
      </c>
      <c r="H9" s="29">
        <f t="shared" ref="H9:J9" si="5">G9</f>
        <v>0.85</v>
      </c>
      <c r="I9" s="29">
        <f t="shared" si="5"/>
        <v>0.85</v>
      </c>
      <c r="J9" s="67">
        <f t="shared" si="5"/>
        <v>0.85</v>
      </c>
    </row>
    <row r="10" spans="1:10" x14ac:dyDescent="0.2">
      <c r="A10" s="5" t="s">
        <v>20</v>
      </c>
      <c r="B10" s="8" t="s">
        <v>12</v>
      </c>
      <c r="C10" s="182">
        <v>0.85</v>
      </c>
      <c r="D10" s="29">
        <f>C10</f>
        <v>0.85</v>
      </c>
      <c r="E10" s="29">
        <f t="shared" si="4"/>
        <v>0.85</v>
      </c>
      <c r="F10" s="67">
        <f t="shared" si="4"/>
        <v>0.85</v>
      </c>
      <c r="G10" s="182">
        <f>C10</f>
        <v>0.85</v>
      </c>
      <c r="H10" s="29">
        <f t="shared" ref="H10:J10" si="6">D10</f>
        <v>0.85</v>
      </c>
      <c r="I10" s="29">
        <f t="shared" si="6"/>
        <v>0.85</v>
      </c>
      <c r="J10" s="67">
        <f t="shared" si="6"/>
        <v>0.85</v>
      </c>
    </row>
    <row r="11" spans="1:10" x14ac:dyDescent="0.2">
      <c r="A11" s="5" t="s">
        <v>23</v>
      </c>
      <c r="B11" s="8" t="s">
        <v>393</v>
      </c>
      <c r="C11" s="181">
        <f>Prices!$C$5</f>
        <v>2.8151624548824561</v>
      </c>
      <c r="D11" s="28">
        <f>Prices!$D$5</f>
        <v>3.1277960639896407</v>
      </c>
      <c r="E11" s="28">
        <f>Prices!$E$5</f>
        <v>4.6443032465300735</v>
      </c>
      <c r="F11" s="62">
        <f>Prices!$F$5</f>
        <v>4.9269999658840788</v>
      </c>
      <c r="G11" s="181">
        <f>Hydrogen_Production!C39</f>
        <v>9.1582814263651038</v>
      </c>
      <c r="H11" s="28">
        <f>Hydrogen_Production!D39</f>
        <v>15.770167754137717</v>
      </c>
      <c r="I11" s="28">
        <f>Hydrogen_Production!E39</f>
        <v>19.980045625901447</v>
      </c>
      <c r="J11" s="62">
        <f>Hydrogen_Production!F39</f>
        <v>22.566488677683033</v>
      </c>
    </row>
    <row r="12" spans="1:10" x14ac:dyDescent="0.2">
      <c r="A12" s="5" t="s">
        <v>24</v>
      </c>
      <c r="B12" s="8" t="s">
        <v>27</v>
      </c>
      <c r="C12" s="181">
        <f>Prices!$B$14</f>
        <v>5.6100000000000004E-2</v>
      </c>
      <c r="D12" s="28">
        <f>C12</f>
        <v>5.6100000000000004E-2</v>
      </c>
      <c r="E12" s="28">
        <f>D12</f>
        <v>5.6100000000000004E-2</v>
      </c>
      <c r="F12" s="62">
        <f>E12</f>
        <v>5.6100000000000004E-2</v>
      </c>
      <c r="G12" s="181">
        <f>Prices!$B$14</f>
        <v>5.6100000000000004E-2</v>
      </c>
      <c r="H12" s="28">
        <f>G12</f>
        <v>5.6100000000000004E-2</v>
      </c>
      <c r="I12" s="28">
        <f>H12</f>
        <v>5.6100000000000004E-2</v>
      </c>
      <c r="J12" s="62">
        <f>I12</f>
        <v>5.6100000000000004E-2</v>
      </c>
    </row>
    <row r="13" spans="1:10" x14ac:dyDescent="0.2">
      <c r="A13" s="5" t="s">
        <v>25</v>
      </c>
      <c r="B13" s="8" t="s">
        <v>394</v>
      </c>
      <c r="C13" s="183">
        <f>Prices!$C$10</f>
        <v>16</v>
      </c>
      <c r="D13" s="16">
        <f>Prices!$D$10</f>
        <v>100</v>
      </c>
      <c r="E13" s="16">
        <f>Prices!$E$10</f>
        <v>130</v>
      </c>
      <c r="F13" s="17">
        <f>Prices!$F$10</f>
        <v>160</v>
      </c>
      <c r="G13" s="183">
        <f>Prices!$C$10</f>
        <v>16</v>
      </c>
      <c r="H13" s="16">
        <f>Prices!$D$10</f>
        <v>100</v>
      </c>
      <c r="I13" s="16">
        <f>Prices!$E$10</f>
        <v>130</v>
      </c>
      <c r="J13" s="17">
        <f>Prices!$F$10</f>
        <v>160</v>
      </c>
    </row>
    <row r="14" spans="1:10" x14ac:dyDescent="0.2">
      <c r="A14" s="5" t="s">
        <v>395</v>
      </c>
      <c r="B14" s="8" t="s">
        <v>392</v>
      </c>
      <c r="C14" s="181">
        <f>(PMT(C5,C6,-C4)+C7)/(C9*8.76)/3.6</f>
        <v>0.18216909497330794</v>
      </c>
      <c r="D14" s="28">
        <f t="shared" ref="D14:F14" si="7">(PMT(D5,D6,-D4)+D7)/(D9*8.76)/3.6</f>
        <v>0.18216909497330794</v>
      </c>
      <c r="E14" s="28">
        <f t="shared" si="7"/>
        <v>0.18216909497330794</v>
      </c>
      <c r="F14" s="62">
        <f t="shared" si="7"/>
        <v>0.18216909497330794</v>
      </c>
      <c r="G14" s="181">
        <f>(PMT(G5,G6,-G4)+G7)/(G9*8.76)/3.6</f>
        <v>0.83642897936465765</v>
      </c>
      <c r="H14" s="28">
        <f t="shared" ref="H14:J14" si="8">(PMT(H5,H6,-H4)+H7)/(H9*8.76)/3.6</f>
        <v>0.83642897936465765</v>
      </c>
      <c r="I14" s="28">
        <f t="shared" si="8"/>
        <v>0.83642897936465765</v>
      </c>
      <c r="J14" s="62">
        <f t="shared" si="8"/>
        <v>0.83642897936465765</v>
      </c>
    </row>
    <row r="15" spans="1:10" x14ac:dyDescent="0.2">
      <c r="A15" s="5" t="s">
        <v>396</v>
      </c>
      <c r="B15" s="8" t="s">
        <v>392</v>
      </c>
      <c r="C15" s="181">
        <f t="shared" ref="C15:J15" si="9">(C11+C12*C13)/C10</f>
        <v>4.3679558292734777</v>
      </c>
      <c r="D15" s="28">
        <f t="shared" si="9"/>
        <v>10.279760075281931</v>
      </c>
      <c r="E15" s="28">
        <f t="shared" si="9"/>
        <v>14.043886172388323</v>
      </c>
      <c r="F15" s="62">
        <f t="shared" si="9"/>
        <v>16.356470548098919</v>
      </c>
      <c r="G15" s="181">
        <f t="shared" si="9"/>
        <v>11.830448736900124</v>
      </c>
      <c r="H15" s="28">
        <f t="shared" si="9"/>
        <v>25.153138534279666</v>
      </c>
      <c r="I15" s="28">
        <f t="shared" si="9"/>
        <v>32.08593603047229</v>
      </c>
      <c r="J15" s="62">
        <f t="shared" si="9"/>
        <v>37.108810209038865</v>
      </c>
    </row>
    <row r="16" spans="1:10" x14ac:dyDescent="0.2">
      <c r="A16" s="18" t="s">
        <v>26</v>
      </c>
      <c r="B16" s="171" t="s">
        <v>393</v>
      </c>
      <c r="C16" s="172">
        <f t="shared" ref="C16:J16" si="10">SUM(C14:C15,C8)</f>
        <v>4.5501249242467861</v>
      </c>
      <c r="D16" s="173">
        <f t="shared" si="10"/>
        <v>10.461929170255239</v>
      </c>
      <c r="E16" s="173">
        <f t="shared" si="10"/>
        <v>14.22605526736163</v>
      </c>
      <c r="F16" s="174">
        <f t="shared" si="10"/>
        <v>16.538639643072226</v>
      </c>
      <c r="G16" s="172">
        <f t="shared" si="10"/>
        <v>12.666877716264782</v>
      </c>
      <c r="H16" s="173">
        <f t="shared" si="10"/>
        <v>25.989567513644324</v>
      </c>
      <c r="I16" s="173">
        <f t="shared" si="10"/>
        <v>32.922365009836945</v>
      </c>
      <c r="J16" s="174">
        <f t="shared" si="10"/>
        <v>37.945239188403519</v>
      </c>
    </row>
  </sheetData>
  <mergeCells count="4">
    <mergeCell ref="C1:F1"/>
    <mergeCell ref="G1:J1"/>
    <mergeCell ref="C2:F2"/>
    <mergeCell ref="G2: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C34"/>
  <sheetViews>
    <sheetView topLeftCell="A8" workbookViewId="0">
      <selection activeCell="N26" sqref="N26"/>
    </sheetView>
  </sheetViews>
  <sheetFormatPr defaultRowHeight="11.25" x14ac:dyDescent="0.2"/>
  <cols>
    <col min="1" max="1" width="9.140625" style="4"/>
    <col min="2" max="2" width="14.5703125" style="4" bestFit="1" customWidth="1"/>
    <col min="3" max="20" width="9.140625" style="4"/>
    <col min="21" max="21" width="14.5703125" style="4" bestFit="1" customWidth="1"/>
    <col min="22" max="16384" width="9.140625" style="4"/>
  </cols>
  <sheetData>
    <row r="2" spans="2:29" ht="15.75" customHeight="1" thickBot="1" x14ac:dyDescent="0.25">
      <c r="B2" s="209" t="s">
        <v>408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U2" s="207" t="s">
        <v>409</v>
      </c>
      <c r="V2" s="207"/>
      <c r="W2" s="207"/>
      <c r="X2" s="207"/>
      <c r="Y2" s="207"/>
      <c r="Z2" s="207"/>
      <c r="AA2" s="207"/>
      <c r="AB2" s="207"/>
      <c r="AC2" s="207"/>
    </row>
    <row r="3" spans="2:29" x14ac:dyDescent="0.2">
      <c r="B3" s="143"/>
      <c r="C3" s="143"/>
      <c r="D3" s="144"/>
      <c r="E3" s="143"/>
      <c r="F3" s="145" t="s">
        <v>368</v>
      </c>
      <c r="G3" s="144"/>
      <c r="H3" s="143"/>
      <c r="I3" s="145" t="s">
        <v>369</v>
      </c>
      <c r="J3" s="144"/>
      <c r="K3" s="143"/>
      <c r="L3" s="145" t="s">
        <v>369</v>
      </c>
      <c r="M3" s="144"/>
      <c r="N3" s="143"/>
      <c r="O3" s="145" t="s">
        <v>370</v>
      </c>
      <c r="P3" s="144"/>
      <c r="Q3" s="143"/>
      <c r="R3" s="145" t="s">
        <v>371</v>
      </c>
      <c r="S3" s="143"/>
      <c r="U3" s="143"/>
      <c r="V3" s="143"/>
      <c r="W3" s="144"/>
      <c r="X3" s="143"/>
      <c r="Y3" s="145" t="s">
        <v>410</v>
      </c>
      <c r="Z3" s="144"/>
      <c r="AA3" s="143"/>
      <c r="AB3" s="145" t="s">
        <v>410</v>
      </c>
      <c r="AC3" s="144"/>
    </row>
    <row r="4" spans="2:29" x14ac:dyDescent="0.2">
      <c r="B4" s="146"/>
      <c r="C4" s="146"/>
      <c r="D4" s="147"/>
      <c r="E4" s="148" t="s">
        <v>372</v>
      </c>
      <c r="F4" s="148" t="s">
        <v>373</v>
      </c>
      <c r="G4" s="149" t="s">
        <v>374</v>
      </c>
      <c r="H4" s="148" t="s">
        <v>372</v>
      </c>
      <c r="I4" s="148" t="s">
        <v>373</v>
      </c>
      <c r="J4" s="149" t="s">
        <v>374</v>
      </c>
      <c r="K4" s="148" t="s">
        <v>372</v>
      </c>
      <c r="L4" s="148" t="s">
        <v>373</v>
      </c>
      <c r="M4" s="149" t="s">
        <v>374</v>
      </c>
      <c r="N4" s="148" t="s">
        <v>372</v>
      </c>
      <c r="O4" s="148" t="s">
        <v>373</v>
      </c>
      <c r="P4" s="149" t="s">
        <v>374</v>
      </c>
      <c r="Q4" s="148" t="s">
        <v>372</v>
      </c>
      <c r="R4" s="148" t="s">
        <v>373</v>
      </c>
      <c r="S4" s="148" t="s">
        <v>374</v>
      </c>
      <c r="U4" s="146"/>
      <c r="V4" s="146"/>
      <c r="W4" s="147"/>
      <c r="X4" s="148" t="s">
        <v>373</v>
      </c>
      <c r="Y4" s="148" t="s">
        <v>406</v>
      </c>
      <c r="Z4" s="149" t="s">
        <v>407</v>
      </c>
      <c r="AA4" s="148" t="s">
        <v>373</v>
      </c>
      <c r="AB4" s="148" t="s">
        <v>406</v>
      </c>
      <c r="AC4" s="149" t="s">
        <v>407</v>
      </c>
    </row>
    <row r="5" spans="2:29" ht="12" thickBot="1" x14ac:dyDescent="0.25">
      <c r="B5" s="150" t="s">
        <v>375</v>
      </c>
      <c r="C5" s="150" t="s">
        <v>276</v>
      </c>
      <c r="D5" s="151"/>
      <c r="E5" s="159">
        <v>1</v>
      </c>
      <c r="F5" s="159">
        <v>1</v>
      </c>
      <c r="G5" s="160">
        <v>1</v>
      </c>
      <c r="H5" s="159">
        <v>1</v>
      </c>
      <c r="I5" s="159">
        <v>1</v>
      </c>
      <c r="J5" s="160">
        <v>1</v>
      </c>
      <c r="K5" s="159">
        <v>300</v>
      </c>
      <c r="L5" s="159">
        <v>300</v>
      </c>
      <c r="M5" s="160">
        <v>300</v>
      </c>
      <c r="N5" s="159">
        <v>300</v>
      </c>
      <c r="O5" s="159">
        <v>300</v>
      </c>
      <c r="P5" s="160">
        <v>300</v>
      </c>
      <c r="Q5" s="159">
        <v>300</v>
      </c>
      <c r="R5" s="159">
        <v>300</v>
      </c>
      <c r="S5" s="159">
        <v>300</v>
      </c>
      <c r="U5" s="184" t="s">
        <v>375</v>
      </c>
      <c r="V5" s="150" t="s">
        <v>276</v>
      </c>
      <c r="W5" s="151"/>
      <c r="X5" s="159">
        <v>1</v>
      </c>
      <c r="Y5" s="159">
        <v>1</v>
      </c>
      <c r="Z5" s="160">
        <v>1</v>
      </c>
      <c r="AA5" s="159">
        <v>100</v>
      </c>
      <c r="AB5" s="159">
        <v>100</v>
      </c>
      <c r="AC5" s="160">
        <v>100</v>
      </c>
    </row>
    <row r="6" spans="2:29" x14ac:dyDescent="0.2">
      <c r="B6" s="210" t="s">
        <v>376</v>
      </c>
      <c r="C6" s="202" t="s">
        <v>377</v>
      </c>
      <c r="D6" s="152">
        <v>2018</v>
      </c>
      <c r="E6" s="161">
        <v>0.28000000000000003</v>
      </c>
      <c r="F6" s="161">
        <v>0.32</v>
      </c>
      <c r="G6" s="162">
        <v>0.35</v>
      </c>
      <c r="H6" s="161">
        <v>0.28000000000000003</v>
      </c>
      <c r="I6" s="161">
        <v>0.42</v>
      </c>
      <c r="J6" s="162">
        <v>0.47</v>
      </c>
      <c r="K6" s="161">
        <v>0.48</v>
      </c>
      <c r="L6" s="161">
        <v>0.51</v>
      </c>
      <c r="M6" s="162">
        <v>0.54</v>
      </c>
      <c r="N6" s="161">
        <v>0.39</v>
      </c>
      <c r="O6" s="161">
        <v>0.42</v>
      </c>
      <c r="P6" s="162">
        <v>0.45</v>
      </c>
      <c r="Q6" s="161">
        <v>0.35</v>
      </c>
      <c r="R6" s="161">
        <v>0.38</v>
      </c>
      <c r="S6" s="161">
        <v>0.41</v>
      </c>
      <c r="U6" s="210" t="s">
        <v>376</v>
      </c>
      <c r="V6" s="202" t="s">
        <v>377</v>
      </c>
      <c r="W6" s="152">
        <v>2018</v>
      </c>
      <c r="X6" s="161">
        <v>0.26</v>
      </c>
      <c r="Y6" s="161">
        <v>0.25</v>
      </c>
      <c r="Z6" s="162">
        <v>0.27</v>
      </c>
      <c r="AA6" s="161">
        <v>0.37</v>
      </c>
      <c r="AB6" s="161">
        <v>0.34</v>
      </c>
      <c r="AC6" s="162">
        <v>0.39</v>
      </c>
    </row>
    <row r="7" spans="2:29" x14ac:dyDescent="0.2">
      <c r="B7" s="211"/>
      <c r="C7" s="203"/>
      <c r="D7" s="152">
        <v>2020</v>
      </c>
      <c r="E7" s="161">
        <v>0.32</v>
      </c>
      <c r="F7" s="161">
        <v>0.36</v>
      </c>
      <c r="G7" s="162">
        <v>0.39</v>
      </c>
      <c r="H7" s="161">
        <v>0.35</v>
      </c>
      <c r="I7" s="161">
        <v>0.44</v>
      </c>
      <c r="J7" s="162">
        <v>0.48</v>
      </c>
      <c r="K7" s="161">
        <v>0.52</v>
      </c>
      <c r="L7" s="161">
        <v>0.55000000000000004</v>
      </c>
      <c r="M7" s="162">
        <v>0.57999999999999996</v>
      </c>
      <c r="N7" s="161">
        <v>0.41</v>
      </c>
      <c r="O7" s="161">
        <v>0.44</v>
      </c>
      <c r="P7" s="162">
        <v>0.47</v>
      </c>
      <c r="Q7" s="161">
        <v>0.37</v>
      </c>
      <c r="R7" s="161">
        <v>0.4</v>
      </c>
      <c r="S7" s="161">
        <v>0.43</v>
      </c>
      <c r="U7" s="211"/>
      <c r="V7" s="203"/>
      <c r="W7" s="152">
        <v>2020</v>
      </c>
      <c r="X7" s="161">
        <v>0.27</v>
      </c>
      <c r="Y7" s="161">
        <v>0.26</v>
      </c>
      <c r="Z7" s="162">
        <v>0.28000000000000003</v>
      </c>
      <c r="AA7" s="161">
        <v>0.37</v>
      </c>
      <c r="AB7" s="161">
        <v>0.35</v>
      </c>
      <c r="AC7" s="162">
        <v>0.4</v>
      </c>
    </row>
    <row r="8" spans="2:29" x14ac:dyDescent="0.2">
      <c r="B8" s="211"/>
      <c r="C8" s="203"/>
      <c r="D8" s="152">
        <v>2035</v>
      </c>
      <c r="E8" s="161">
        <v>0.39</v>
      </c>
      <c r="F8" s="161">
        <v>0.42</v>
      </c>
      <c r="G8" s="162">
        <v>0.45</v>
      </c>
      <c r="H8" s="161">
        <v>0.42</v>
      </c>
      <c r="I8" s="161">
        <v>0.45</v>
      </c>
      <c r="J8" s="162">
        <v>0.6</v>
      </c>
      <c r="K8" s="161">
        <v>0.6</v>
      </c>
      <c r="L8" s="161">
        <v>0.63</v>
      </c>
      <c r="M8" s="162">
        <v>0.66</v>
      </c>
      <c r="N8" s="161">
        <v>0.52</v>
      </c>
      <c r="O8" s="161">
        <v>0.55000000000000004</v>
      </c>
      <c r="P8" s="162">
        <v>0.57999999999999996</v>
      </c>
      <c r="Q8" s="161">
        <v>0.39</v>
      </c>
      <c r="R8" s="161">
        <v>0.42</v>
      </c>
      <c r="S8" s="161">
        <v>0.45</v>
      </c>
      <c r="U8" s="211"/>
      <c r="V8" s="203"/>
      <c r="W8" s="152">
        <v>2035</v>
      </c>
      <c r="X8" s="161">
        <v>0.28000000000000003</v>
      </c>
      <c r="Y8" s="161">
        <v>0.27</v>
      </c>
      <c r="Z8" s="162">
        <v>0.28999999999999998</v>
      </c>
      <c r="AA8" s="161">
        <v>0.39</v>
      </c>
      <c r="AB8" s="161">
        <v>0.37</v>
      </c>
      <c r="AC8" s="162">
        <v>0.42</v>
      </c>
    </row>
    <row r="9" spans="2:29" ht="12" thickBot="1" x14ac:dyDescent="0.25">
      <c r="B9" s="212"/>
      <c r="C9" s="206"/>
      <c r="D9" s="153">
        <v>2050</v>
      </c>
      <c r="E9" s="163">
        <v>0.42</v>
      </c>
      <c r="F9" s="163">
        <v>0.45</v>
      </c>
      <c r="G9" s="164">
        <v>0.5</v>
      </c>
      <c r="H9" s="163">
        <v>0.47</v>
      </c>
      <c r="I9" s="163">
        <v>0.5</v>
      </c>
      <c r="J9" s="164">
        <v>0.6</v>
      </c>
      <c r="K9" s="163">
        <v>0.62</v>
      </c>
      <c r="L9" s="163">
        <v>0.65</v>
      </c>
      <c r="M9" s="164">
        <v>0.68</v>
      </c>
      <c r="N9" s="163">
        <v>0.56999999999999995</v>
      </c>
      <c r="O9" s="163">
        <v>0.6</v>
      </c>
      <c r="P9" s="164">
        <v>0.63</v>
      </c>
      <c r="Q9" s="163">
        <v>0.42</v>
      </c>
      <c r="R9" s="163">
        <v>0.45</v>
      </c>
      <c r="S9" s="163">
        <v>0.48</v>
      </c>
      <c r="U9" s="212"/>
      <c r="V9" s="206"/>
      <c r="W9" s="153">
        <v>2050</v>
      </c>
      <c r="X9" s="163">
        <v>0.28999999999999998</v>
      </c>
      <c r="Y9" s="163">
        <v>0.28000000000000003</v>
      </c>
      <c r="Z9" s="164">
        <v>0.3</v>
      </c>
      <c r="AA9" s="163">
        <v>0.4</v>
      </c>
      <c r="AB9" s="163">
        <v>0.38</v>
      </c>
      <c r="AC9" s="164">
        <v>0.43</v>
      </c>
    </row>
    <row r="10" spans="2:29" x14ac:dyDescent="0.2">
      <c r="B10" s="210" t="s">
        <v>378</v>
      </c>
      <c r="C10" s="202" t="s">
        <v>377</v>
      </c>
      <c r="D10" s="152">
        <v>2018</v>
      </c>
      <c r="E10" s="161">
        <v>0.85</v>
      </c>
      <c r="F10" s="161">
        <v>0.87</v>
      </c>
      <c r="G10" s="162">
        <v>0.9</v>
      </c>
      <c r="H10" s="161">
        <v>0.8</v>
      </c>
      <c r="I10" s="161">
        <v>0.85</v>
      </c>
      <c r="J10" s="162">
        <v>0.95</v>
      </c>
      <c r="K10" s="161">
        <v>0.7</v>
      </c>
      <c r="L10" s="161">
        <v>0.8</v>
      </c>
      <c r="M10" s="162">
        <v>0.9</v>
      </c>
      <c r="N10" s="161">
        <v>0.7</v>
      </c>
      <c r="O10" s="161">
        <v>0.8</v>
      </c>
      <c r="P10" s="162">
        <v>0.9</v>
      </c>
      <c r="Q10" s="161">
        <v>0.7</v>
      </c>
      <c r="R10" s="161">
        <v>0.8</v>
      </c>
      <c r="S10" s="161">
        <v>0.9</v>
      </c>
      <c r="U10" s="210" t="s">
        <v>378</v>
      </c>
      <c r="V10" s="202" t="s">
        <v>377</v>
      </c>
      <c r="W10" s="152">
        <v>2018</v>
      </c>
      <c r="X10" s="161">
        <v>0.92</v>
      </c>
      <c r="Y10" s="161">
        <v>0.92</v>
      </c>
      <c r="Z10" s="162">
        <v>0.92</v>
      </c>
      <c r="AA10" s="161">
        <v>0.87</v>
      </c>
      <c r="AB10" s="161">
        <v>0.81</v>
      </c>
      <c r="AC10" s="162">
        <v>0.96</v>
      </c>
    </row>
    <row r="11" spans="2:29" x14ac:dyDescent="0.2">
      <c r="B11" s="211"/>
      <c r="C11" s="203"/>
      <c r="D11" s="152">
        <v>2020</v>
      </c>
      <c r="E11" s="161">
        <v>0.85</v>
      </c>
      <c r="F11" s="161">
        <v>0.88</v>
      </c>
      <c r="G11" s="162">
        <v>0.95</v>
      </c>
      <c r="H11" s="161">
        <v>0.85</v>
      </c>
      <c r="I11" s="161">
        <v>0.88</v>
      </c>
      <c r="J11" s="162">
        <v>0.95</v>
      </c>
      <c r="K11" s="161">
        <v>0.75</v>
      </c>
      <c r="L11" s="161">
        <v>0.85</v>
      </c>
      <c r="M11" s="162">
        <v>0.92</v>
      </c>
      <c r="N11" s="161">
        <v>0.75</v>
      </c>
      <c r="O11" s="161">
        <v>0.85</v>
      </c>
      <c r="P11" s="162">
        <v>0.92</v>
      </c>
      <c r="Q11" s="161">
        <v>0.75</v>
      </c>
      <c r="R11" s="161">
        <v>0.85</v>
      </c>
      <c r="S11" s="161">
        <v>0.92</v>
      </c>
      <c r="U11" s="211"/>
      <c r="V11" s="203"/>
      <c r="W11" s="152">
        <v>2020</v>
      </c>
      <c r="X11" s="161">
        <v>0.92</v>
      </c>
      <c r="Y11" s="161">
        <v>0.92</v>
      </c>
      <c r="Z11" s="162">
        <v>0.92</v>
      </c>
      <c r="AA11" s="161">
        <v>0.87</v>
      </c>
      <c r="AB11" s="161">
        <v>0.85</v>
      </c>
      <c r="AC11" s="162">
        <v>0.92</v>
      </c>
    </row>
    <row r="12" spans="2:29" x14ac:dyDescent="0.2">
      <c r="B12" s="211"/>
      <c r="C12" s="203"/>
      <c r="D12" s="152">
        <v>2035</v>
      </c>
      <c r="E12" s="161">
        <v>0.85</v>
      </c>
      <c r="F12" s="161">
        <v>0.89</v>
      </c>
      <c r="G12" s="162">
        <v>0.95</v>
      </c>
      <c r="H12" s="161">
        <v>0.85</v>
      </c>
      <c r="I12" s="161">
        <v>0.89</v>
      </c>
      <c r="J12" s="162">
        <v>0.95</v>
      </c>
      <c r="K12" s="161">
        <v>0.78</v>
      </c>
      <c r="L12" s="161">
        <v>0.88</v>
      </c>
      <c r="M12" s="162">
        <v>0.93</v>
      </c>
      <c r="N12" s="161">
        <v>0.78</v>
      </c>
      <c r="O12" s="161">
        <v>0.88</v>
      </c>
      <c r="P12" s="162">
        <v>0.93</v>
      </c>
      <c r="Q12" s="161">
        <v>0.78</v>
      </c>
      <c r="R12" s="161">
        <v>0.88</v>
      </c>
      <c r="S12" s="161">
        <v>0.93</v>
      </c>
      <c r="U12" s="211"/>
      <c r="V12" s="203"/>
      <c r="W12" s="152">
        <v>2035</v>
      </c>
      <c r="X12" s="161">
        <v>0.92</v>
      </c>
      <c r="Y12" s="161">
        <v>0.92</v>
      </c>
      <c r="Z12" s="162">
        <v>0.92</v>
      </c>
      <c r="AA12" s="161">
        <v>0.87</v>
      </c>
      <c r="AB12" s="161">
        <v>0.85</v>
      </c>
      <c r="AC12" s="162">
        <v>0.92</v>
      </c>
    </row>
    <row r="13" spans="2:29" ht="12" thickBot="1" x14ac:dyDescent="0.25">
      <c r="B13" s="212"/>
      <c r="C13" s="206"/>
      <c r="D13" s="153">
        <v>2050</v>
      </c>
      <c r="E13" s="163">
        <v>0.85</v>
      </c>
      <c r="F13" s="163">
        <v>0.9</v>
      </c>
      <c r="G13" s="164">
        <v>0.95</v>
      </c>
      <c r="H13" s="163">
        <v>0.85</v>
      </c>
      <c r="I13" s="163">
        <v>0.9</v>
      </c>
      <c r="J13" s="164">
        <v>0.95</v>
      </c>
      <c r="K13" s="163">
        <v>0.8</v>
      </c>
      <c r="L13" s="163">
        <v>0.9</v>
      </c>
      <c r="M13" s="164">
        <v>0.95</v>
      </c>
      <c r="N13" s="163">
        <v>0.8</v>
      </c>
      <c r="O13" s="163">
        <v>0.9</v>
      </c>
      <c r="P13" s="164">
        <v>0.95</v>
      </c>
      <c r="Q13" s="163">
        <v>0.8</v>
      </c>
      <c r="R13" s="163">
        <v>0.9</v>
      </c>
      <c r="S13" s="163">
        <v>0.95</v>
      </c>
      <c r="U13" s="212"/>
      <c r="V13" s="206"/>
      <c r="W13" s="153">
        <v>2050</v>
      </c>
      <c r="X13" s="163">
        <v>0.92</v>
      </c>
      <c r="Y13" s="163">
        <v>0.92</v>
      </c>
      <c r="Z13" s="164">
        <v>0.92</v>
      </c>
      <c r="AA13" s="163">
        <v>0.87</v>
      </c>
      <c r="AB13" s="163">
        <v>0.85</v>
      </c>
      <c r="AC13" s="164">
        <v>0.92</v>
      </c>
    </row>
    <row r="14" spans="2:29" x14ac:dyDescent="0.2">
      <c r="B14" s="202" t="s">
        <v>379</v>
      </c>
      <c r="C14" s="202" t="s">
        <v>380</v>
      </c>
      <c r="D14" s="152">
        <v>2018</v>
      </c>
      <c r="E14" s="165">
        <v>40</v>
      </c>
      <c r="F14" s="165">
        <v>50</v>
      </c>
      <c r="G14" s="166">
        <v>70</v>
      </c>
      <c r="H14" s="165">
        <v>80</v>
      </c>
      <c r="I14" s="165">
        <v>80</v>
      </c>
      <c r="J14" s="166">
        <v>80</v>
      </c>
      <c r="K14" s="165">
        <v>80</v>
      </c>
      <c r="L14" s="165">
        <v>80</v>
      </c>
      <c r="M14" s="166">
        <v>500</v>
      </c>
      <c r="N14" s="165">
        <v>80</v>
      </c>
      <c r="O14" s="165">
        <v>80</v>
      </c>
      <c r="P14" s="166">
        <v>500</v>
      </c>
      <c r="Q14" s="165">
        <v>80</v>
      </c>
      <c r="R14" s="165">
        <v>80</v>
      </c>
      <c r="S14" s="165">
        <v>120</v>
      </c>
      <c r="U14" s="202" t="s">
        <v>381</v>
      </c>
      <c r="V14" s="202" t="s">
        <v>14</v>
      </c>
      <c r="W14" s="152">
        <v>2018</v>
      </c>
      <c r="X14" s="165">
        <v>20</v>
      </c>
      <c r="Y14" s="165">
        <v>15</v>
      </c>
      <c r="Z14" s="166">
        <v>25</v>
      </c>
      <c r="AA14" s="165">
        <v>20</v>
      </c>
      <c r="AB14" s="165">
        <v>15</v>
      </c>
      <c r="AC14" s="166">
        <v>25</v>
      </c>
    </row>
    <row r="15" spans="2:29" ht="15" customHeight="1" x14ac:dyDescent="0.2">
      <c r="B15" s="203"/>
      <c r="C15" s="203"/>
      <c r="D15" s="152">
        <v>2020</v>
      </c>
      <c r="E15" s="165">
        <v>50</v>
      </c>
      <c r="F15" s="165">
        <v>60</v>
      </c>
      <c r="G15" s="166">
        <v>80</v>
      </c>
      <c r="H15" s="165">
        <v>80</v>
      </c>
      <c r="I15" s="165">
        <v>80</v>
      </c>
      <c r="J15" s="166">
        <v>80</v>
      </c>
      <c r="K15" s="165">
        <v>80</v>
      </c>
      <c r="L15" s="165">
        <v>80</v>
      </c>
      <c r="M15" s="166">
        <v>500</v>
      </c>
      <c r="N15" s="165">
        <v>80</v>
      </c>
      <c r="O15" s="165">
        <v>80</v>
      </c>
      <c r="P15" s="166">
        <v>500</v>
      </c>
      <c r="Q15" s="165">
        <v>80</v>
      </c>
      <c r="R15" s="165">
        <v>80</v>
      </c>
      <c r="S15" s="165">
        <v>120</v>
      </c>
      <c r="U15" s="205"/>
      <c r="V15" s="205"/>
      <c r="W15" s="152">
        <v>2020</v>
      </c>
      <c r="X15" s="165">
        <v>20</v>
      </c>
      <c r="Y15" s="165">
        <v>15</v>
      </c>
      <c r="Z15" s="166">
        <v>25</v>
      </c>
      <c r="AA15" s="165">
        <v>20</v>
      </c>
      <c r="AB15" s="165">
        <v>15</v>
      </c>
      <c r="AC15" s="166">
        <v>25</v>
      </c>
    </row>
    <row r="16" spans="2:29" ht="15" customHeight="1" x14ac:dyDescent="0.2">
      <c r="B16" s="203"/>
      <c r="C16" s="203"/>
      <c r="D16" s="152">
        <v>2035</v>
      </c>
      <c r="E16" s="165">
        <v>60</v>
      </c>
      <c r="F16" s="165">
        <v>70</v>
      </c>
      <c r="G16" s="166">
        <v>80</v>
      </c>
      <c r="H16" s="165">
        <v>80</v>
      </c>
      <c r="I16" s="165">
        <v>80</v>
      </c>
      <c r="J16" s="166">
        <v>80</v>
      </c>
      <c r="K16" s="165">
        <v>80</v>
      </c>
      <c r="L16" s="165">
        <v>80</v>
      </c>
      <c r="M16" s="166">
        <v>200</v>
      </c>
      <c r="N16" s="165">
        <v>80</v>
      </c>
      <c r="O16" s="165">
        <v>80</v>
      </c>
      <c r="P16" s="166">
        <v>200</v>
      </c>
      <c r="Q16" s="165">
        <v>80</v>
      </c>
      <c r="R16" s="165">
        <v>80</v>
      </c>
      <c r="S16" s="165">
        <v>120</v>
      </c>
      <c r="U16" s="205"/>
      <c r="V16" s="205"/>
      <c r="W16" s="152">
        <v>2035</v>
      </c>
      <c r="X16" s="165">
        <v>20</v>
      </c>
      <c r="Y16" s="165">
        <v>15</v>
      </c>
      <c r="Z16" s="166">
        <v>25</v>
      </c>
      <c r="AA16" s="165">
        <v>20</v>
      </c>
      <c r="AB16" s="165">
        <v>15</v>
      </c>
      <c r="AC16" s="166">
        <v>25</v>
      </c>
    </row>
    <row r="17" spans="2:29" ht="15.75" customHeight="1" thickBot="1" x14ac:dyDescent="0.25">
      <c r="B17" s="206"/>
      <c r="C17" s="206"/>
      <c r="D17" s="153">
        <v>2050</v>
      </c>
      <c r="E17" s="159">
        <v>70</v>
      </c>
      <c r="F17" s="159">
        <v>80</v>
      </c>
      <c r="G17" s="160">
        <v>80</v>
      </c>
      <c r="H17" s="159">
        <v>80</v>
      </c>
      <c r="I17" s="159">
        <v>80</v>
      </c>
      <c r="J17" s="160">
        <v>80</v>
      </c>
      <c r="K17" s="159">
        <v>80</v>
      </c>
      <c r="L17" s="159">
        <v>80</v>
      </c>
      <c r="M17" s="160">
        <v>200</v>
      </c>
      <c r="N17" s="159">
        <v>80</v>
      </c>
      <c r="O17" s="159">
        <v>80</v>
      </c>
      <c r="P17" s="160">
        <v>200</v>
      </c>
      <c r="Q17" s="159">
        <v>80</v>
      </c>
      <c r="R17" s="159">
        <v>80</v>
      </c>
      <c r="S17" s="159">
        <v>120</v>
      </c>
      <c r="U17" s="206"/>
      <c r="V17" s="206"/>
      <c r="W17" s="157">
        <v>2050</v>
      </c>
      <c r="X17" s="159">
        <v>20</v>
      </c>
      <c r="Y17" s="159">
        <v>15</v>
      </c>
      <c r="Z17" s="160">
        <v>25</v>
      </c>
      <c r="AA17" s="159">
        <v>20</v>
      </c>
      <c r="AB17" s="159">
        <v>15</v>
      </c>
      <c r="AC17" s="160">
        <v>25</v>
      </c>
    </row>
    <row r="18" spans="2:29" x14ac:dyDescent="0.2">
      <c r="B18" s="202" t="s">
        <v>381</v>
      </c>
      <c r="C18" s="202" t="s">
        <v>14</v>
      </c>
      <c r="D18" s="152">
        <v>2018</v>
      </c>
      <c r="E18" s="165">
        <v>10</v>
      </c>
      <c r="F18" s="165">
        <v>11</v>
      </c>
      <c r="G18" s="166">
        <v>18</v>
      </c>
      <c r="H18" s="165">
        <v>10</v>
      </c>
      <c r="I18" s="165">
        <v>11</v>
      </c>
      <c r="J18" s="166">
        <v>13</v>
      </c>
      <c r="K18" s="165">
        <v>10</v>
      </c>
      <c r="L18" s="165">
        <v>11</v>
      </c>
      <c r="M18" s="166">
        <v>13</v>
      </c>
      <c r="N18" s="165">
        <v>10</v>
      </c>
      <c r="O18" s="165">
        <v>10</v>
      </c>
      <c r="P18" s="166">
        <v>13</v>
      </c>
      <c r="Q18" s="165">
        <v>18</v>
      </c>
      <c r="R18" s="165">
        <v>20</v>
      </c>
      <c r="S18" s="165">
        <v>26</v>
      </c>
      <c r="U18" s="202" t="s">
        <v>385</v>
      </c>
      <c r="V18" s="202" t="s">
        <v>386</v>
      </c>
      <c r="W18" s="152">
        <v>2018</v>
      </c>
      <c r="X18" s="165">
        <v>16810</v>
      </c>
      <c r="Y18" s="165">
        <v>15070</v>
      </c>
      <c r="Z18" s="166">
        <v>18590</v>
      </c>
      <c r="AA18" s="165">
        <v>1770</v>
      </c>
      <c r="AB18" s="165">
        <v>1580</v>
      </c>
      <c r="AC18" s="166">
        <v>1960</v>
      </c>
    </row>
    <row r="19" spans="2:29" ht="15" customHeight="1" x14ac:dyDescent="0.2">
      <c r="B19" s="203"/>
      <c r="C19" s="203"/>
      <c r="D19" s="152">
        <v>2020</v>
      </c>
      <c r="E19" s="165">
        <v>11</v>
      </c>
      <c r="F19" s="165">
        <v>13</v>
      </c>
      <c r="G19" s="166">
        <v>20</v>
      </c>
      <c r="H19" s="165">
        <v>11</v>
      </c>
      <c r="I19" s="165">
        <v>15</v>
      </c>
      <c r="J19" s="166">
        <v>20</v>
      </c>
      <c r="K19" s="165">
        <v>11</v>
      </c>
      <c r="L19" s="165">
        <v>15</v>
      </c>
      <c r="M19" s="166">
        <v>20</v>
      </c>
      <c r="N19" s="165">
        <v>10</v>
      </c>
      <c r="O19" s="165">
        <v>13</v>
      </c>
      <c r="P19" s="166">
        <v>16</v>
      </c>
      <c r="Q19" s="165">
        <v>18</v>
      </c>
      <c r="R19" s="165">
        <v>23</v>
      </c>
      <c r="S19" s="165">
        <v>29</v>
      </c>
      <c r="U19" s="205"/>
      <c r="V19" s="205"/>
      <c r="W19" s="152">
        <v>2020</v>
      </c>
      <c r="X19" s="165">
        <v>16330</v>
      </c>
      <c r="Y19" s="165">
        <v>14640</v>
      </c>
      <c r="Z19" s="166">
        <v>18060</v>
      </c>
      <c r="AA19" s="165">
        <v>1720</v>
      </c>
      <c r="AB19" s="165">
        <v>1540</v>
      </c>
      <c r="AC19" s="166">
        <v>1900</v>
      </c>
    </row>
    <row r="20" spans="2:29" ht="15" customHeight="1" x14ac:dyDescent="0.2">
      <c r="B20" s="203"/>
      <c r="C20" s="203"/>
      <c r="D20" s="152">
        <v>2035</v>
      </c>
      <c r="E20" s="165">
        <v>13</v>
      </c>
      <c r="F20" s="165">
        <v>15</v>
      </c>
      <c r="G20" s="166">
        <v>23</v>
      </c>
      <c r="H20" s="165">
        <v>14</v>
      </c>
      <c r="I20" s="165">
        <v>20</v>
      </c>
      <c r="J20" s="166">
        <v>26</v>
      </c>
      <c r="K20" s="165">
        <v>14</v>
      </c>
      <c r="L20" s="165">
        <v>20</v>
      </c>
      <c r="M20" s="166">
        <v>26</v>
      </c>
      <c r="N20" s="165">
        <v>11</v>
      </c>
      <c r="O20" s="165">
        <v>15</v>
      </c>
      <c r="P20" s="166">
        <v>20</v>
      </c>
      <c r="Q20" s="165">
        <v>19</v>
      </c>
      <c r="R20" s="165">
        <v>28</v>
      </c>
      <c r="S20" s="165">
        <v>30</v>
      </c>
      <c r="U20" s="205"/>
      <c r="V20" s="205"/>
      <c r="W20" s="152">
        <v>2035</v>
      </c>
      <c r="X20" s="165">
        <v>14890</v>
      </c>
      <c r="Y20" s="165">
        <v>13350</v>
      </c>
      <c r="Z20" s="166">
        <v>16460</v>
      </c>
      <c r="AA20" s="165">
        <v>1570</v>
      </c>
      <c r="AB20" s="165">
        <v>1400</v>
      </c>
      <c r="AC20" s="166">
        <v>1730</v>
      </c>
    </row>
    <row r="21" spans="2:29" ht="15.75" customHeight="1" thickBot="1" x14ac:dyDescent="0.25">
      <c r="B21" s="206"/>
      <c r="C21" s="206"/>
      <c r="D21" s="153">
        <v>2050</v>
      </c>
      <c r="E21" s="159">
        <v>14</v>
      </c>
      <c r="F21" s="159">
        <v>20</v>
      </c>
      <c r="G21" s="160">
        <v>26</v>
      </c>
      <c r="H21" s="159">
        <v>16</v>
      </c>
      <c r="I21" s="159">
        <v>23</v>
      </c>
      <c r="J21" s="160">
        <v>29</v>
      </c>
      <c r="K21" s="159">
        <v>16</v>
      </c>
      <c r="L21" s="159">
        <v>23</v>
      </c>
      <c r="M21" s="160">
        <v>29</v>
      </c>
      <c r="N21" s="159">
        <v>14</v>
      </c>
      <c r="O21" s="159">
        <v>20</v>
      </c>
      <c r="P21" s="160">
        <v>26</v>
      </c>
      <c r="Q21" s="159">
        <v>23</v>
      </c>
      <c r="R21" s="159">
        <v>30</v>
      </c>
      <c r="S21" s="159">
        <v>30</v>
      </c>
      <c r="U21" s="206"/>
      <c r="V21" s="206"/>
      <c r="W21" s="153">
        <v>2050</v>
      </c>
      <c r="X21" s="159">
        <v>14010</v>
      </c>
      <c r="Y21" s="159">
        <v>12560</v>
      </c>
      <c r="Z21" s="160">
        <v>15490</v>
      </c>
      <c r="AA21" s="159">
        <v>1480</v>
      </c>
      <c r="AB21" s="159">
        <v>1320</v>
      </c>
      <c r="AC21" s="160">
        <v>1630</v>
      </c>
    </row>
    <row r="22" spans="2:29" x14ac:dyDescent="0.2">
      <c r="B22" s="202" t="s">
        <v>382</v>
      </c>
      <c r="C22" s="154" t="s">
        <v>383</v>
      </c>
      <c r="D22" s="152">
        <v>2018</v>
      </c>
      <c r="E22" s="165">
        <v>40</v>
      </c>
      <c r="F22" s="165">
        <v>45</v>
      </c>
      <c r="G22" s="166">
        <v>70</v>
      </c>
      <c r="H22" s="165">
        <v>40</v>
      </c>
      <c r="I22" s="165">
        <v>45</v>
      </c>
      <c r="J22" s="166">
        <v>52</v>
      </c>
      <c r="K22" s="165">
        <v>40</v>
      </c>
      <c r="L22" s="165">
        <v>45</v>
      </c>
      <c r="M22" s="166">
        <v>52</v>
      </c>
      <c r="N22" s="165">
        <v>40</v>
      </c>
      <c r="O22" s="165">
        <v>40</v>
      </c>
      <c r="P22" s="166">
        <v>52</v>
      </c>
      <c r="Q22" s="165">
        <v>70</v>
      </c>
      <c r="R22" s="165">
        <v>80</v>
      </c>
      <c r="S22" s="165">
        <v>104</v>
      </c>
      <c r="U22" s="202" t="s">
        <v>411</v>
      </c>
      <c r="V22" s="202" t="s">
        <v>412</v>
      </c>
      <c r="W22" s="152">
        <v>2018</v>
      </c>
      <c r="X22" s="165">
        <v>5.5</v>
      </c>
      <c r="Y22" s="165">
        <v>4.95</v>
      </c>
      <c r="Z22" s="166">
        <v>6.05</v>
      </c>
      <c r="AA22" s="165">
        <v>1.87</v>
      </c>
      <c r="AB22" s="165">
        <v>1.32</v>
      </c>
      <c r="AC22" s="166">
        <v>2.42</v>
      </c>
    </row>
    <row r="23" spans="2:29" x14ac:dyDescent="0.2">
      <c r="B23" s="203"/>
      <c r="C23" s="154" t="s">
        <v>384</v>
      </c>
      <c r="D23" s="152">
        <v>2020</v>
      </c>
      <c r="E23" s="165">
        <v>45</v>
      </c>
      <c r="F23" s="165">
        <v>50</v>
      </c>
      <c r="G23" s="166">
        <v>80</v>
      </c>
      <c r="H23" s="165">
        <v>42</v>
      </c>
      <c r="I23" s="165">
        <v>60</v>
      </c>
      <c r="J23" s="166">
        <v>78</v>
      </c>
      <c r="K23" s="165">
        <v>42</v>
      </c>
      <c r="L23" s="165">
        <v>60</v>
      </c>
      <c r="M23" s="166">
        <v>78</v>
      </c>
      <c r="N23" s="165">
        <v>40</v>
      </c>
      <c r="O23" s="165">
        <v>50</v>
      </c>
      <c r="P23" s="166">
        <v>65</v>
      </c>
      <c r="Q23" s="165">
        <v>63</v>
      </c>
      <c r="R23" s="165">
        <v>90</v>
      </c>
      <c r="S23" s="165">
        <v>117</v>
      </c>
      <c r="U23" s="203"/>
      <c r="V23" s="203"/>
      <c r="W23" s="152">
        <v>2020</v>
      </c>
      <c r="X23" s="165">
        <v>5.38</v>
      </c>
      <c r="Y23" s="165">
        <v>4.8499999999999996</v>
      </c>
      <c r="Z23" s="166">
        <v>5.92</v>
      </c>
      <c r="AA23" s="165">
        <v>1.83</v>
      </c>
      <c r="AB23" s="165">
        <v>1.29</v>
      </c>
      <c r="AC23" s="166">
        <v>2.37</v>
      </c>
    </row>
    <row r="24" spans="2:29" x14ac:dyDescent="0.2">
      <c r="B24" s="203"/>
      <c r="C24" s="155"/>
      <c r="D24" s="152">
        <v>2035</v>
      </c>
      <c r="E24" s="165">
        <v>50</v>
      </c>
      <c r="F24" s="165">
        <v>60</v>
      </c>
      <c r="G24" s="166">
        <v>90</v>
      </c>
      <c r="H24" s="165">
        <v>56</v>
      </c>
      <c r="I24" s="165">
        <v>80</v>
      </c>
      <c r="J24" s="166">
        <v>104</v>
      </c>
      <c r="K24" s="165">
        <v>56</v>
      </c>
      <c r="L24" s="165">
        <v>80</v>
      </c>
      <c r="M24" s="166">
        <v>104</v>
      </c>
      <c r="N24" s="165">
        <v>42</v>
      </c>
      <c r="O24" s="165">
        <v>60</v>
      </c>
      <c r="P24" s="166">
        <v>78</v>
      </c>
      <c r="Q24" s="165">
        <v>77</v>
      </c>
      <c r="R24" s="165">
        <v>110</v>
      </c>
      <c r="S24" s="165">
        <v>120</v>
      </c>
      <c r="U24" s="203"/>
      <c r="V24" s="203"/>
      <c r="W24" s="152">
        <v>2035</v>
      </c>
      <c r="X24" s="165">
        <v>5.04</v>
      </c>
      <c r="Y24" s="165">
        <v>4.53</v>
      </c>
      <c r="Z24" s="166">
        <v>5.54</v>
      </c>
      <c r="AA24" s="4">
        <v>1.71</v>
      </c>
      <c r="AB24" s="4">
        <v>1.21</v>
      </c>
      <c r="AC24" s="4">
        <v>2.2200000000000002</v>
      </c>
    </row>
    <row r="25" spans="2:29" ht="12" thickBot="1" x14ac:dyDescent="0.25">
      <c r="B25" s="206"/>
      <c r="C25" s="156"/>
      <c r="D25" s="153">
        <v>2050</v>
      </c>
      <c r="E25" s="159">
        <v>56</v>
      </c>
      <c r="F25" s="159">
        <v>80</v>
      </c>
      <c r="G25" s="160">
        <v>104</v>
      </c>
      <c r="H25" s="159">
        <v>63</v>
      </c>
      <c r="I25" s="159">
        <v>90</v>
      </c>
      <c r="J25" s="160">
        <v>117</v>
      </c>
      <c r="K25" s="159">
        <v>63</v>
      </c>
      <c r="L25" s="159">
        <v>90</v>
      </c>
      <c r="M25" s="160">
        <v>117</v>
      </c>
      <c r="N25" s="159">
        <v>56</v>
      </c>
      <c r="O25" s="159">
        <v>80</v>
      </c>
      <c r="P25" s="160">
        <v>104</v>
      </c>
      <c r="Q25" s="159">
        <v>91</v>
      </c>
      <c r="R25" s="159">
        <v>120</v>
      </c>
      <c r="S25" s="159">
        <v>120</v>
      </c>
      <c r="U25" s="204"/>
      <c r="V25" s="204"/>
      <c r="W25" s="157">
        <v>2050</v>
      </c>
      <c r="X25" s="167">
        <v>5.04</v>
      </c>
      <c r="Y25" s="167">
        <v>4.53</v>
      </c>
      <c r="Z25" s="168">
        <v>5.54</v>
      </c>
      <c r="AA25" s="167">
        <v>1.71</v>
      </c>
      <c r="AB25" s="167">
        <v>1.21</v>
      </c>
      <c r="AC25" s="168">
        <v>2.2200000000000002</v>
      </c>
    </row>
    <row r="26" spans="2:29" x14ac:dyDescent="0.2">
      <c r="B26" s="202" t="s">
        <v>385</v>
      </c>
      <c r="C26" s="202" t="s">
        <v>386</v>
      </c>
      <c r="D26" s="152">
        <v>2018</v>
      </c>
      <c r="E26" s="165">
        <v>25000</v>
      </c>
      <c r="F26" s="165">
        <v>20000</v>
      </c>
      <c r="G26" s="166">
        <v>15000</v>
      </c>
      <c r="H26" s="165">
        <v>25000</v>
      </c>
      <c r="I26" s="165">
        <v>20000</v>
      </c>
      <c r="J26" s="166">
        <v>15000</v>
      </c>
      <c r="K26" s="165">
        <v>15000</v>
      </c>
      <c r="L26" s="165">
        <v>10000</v>
      </c>
      <c r="M26" s="166">
        <v>7000</v>
      </c>
      <c r="N26" s="165">
        <v>6000</v>
      </c>
      <c r="O26" s="165">
        <v>4000</v>
      </c>
      <c r="P26" s="166">
        <v>3200</v>
      </c>
      <c r="Q26" s="165">
        <v>9000</v>
      </c>
      <c r="R26" s="165">
        <v>6000</v>
      </c>
      <c r="S26" s="165">
        <v>4800</v>
      </c>
    </row>
    <row r="27" spans="2:29" x14ac:dyDescent="0.2">
      <c r="B27" s="203"/>
      <c r="C27" s="203"/>
      <c r="D27" s="152">
        <v>2020</v>
      </c>
      <c r="E27" s="165">
        <v>24000</v>
      </c>
      <c r="F27" s="165">
        <v>16000</v>
      </c>
      <c r="G27" s="166">
        <v>10000</v>
      </c>
      <c r="H27" s="165">
        <v>24000</v>
      </c>
      <c r="I27" s="165">
        <v>16000</v>
      </c>
      <c r="J27" s="166">
        <v>10000</v>
      </c>
      <c r="K27" s="165">
        <v>14000</v>
      </c>
      <c r="L27" s="165">
        <v>9000</v>
      </c>
      <c r="M27" s="166">
        <v>7000</v>
      </c>
      <c r="N27" s="165">
        <v>5700</v>
      </c>
      <c r="O27" s="165">
        <v>3800</v>
      </c>
      <c r="P27" s="166">
        <v>3040</v>
      </c>
      <c r="Q27" s="165">
        <v>7500</v>
      </c>
      <c r="R27" s="165">
        <v>5000</v>
      </c>
      <c r="S27" s="165">
        <v>4000</v>
      </c>
    </row>
    <row r="28" spans="2:29" x14ac:dyDescent="0.2">
      <c r="B28" s="203"/>
      <c r="C28" s="203"/>
      <c r="D28" s="152">
        <v>2035</v>
      </c>
      <c r="E28" s="165">
        <v>10000</v>
      </c>
      <c r="F28" s="165">
        <v>7000</v>
      </c>
      <c r="G28" s="166">
        <v>4000</v>
      </c>
      <c r="H28" s="165">
        <v>10000</v>
      </c>
      <c r="I28" s="165">
        <v>7000</v>
      </c>
      <c r="J28" s="166">
        <v>4000</v>
      </c>
      <c r="K28" s="165">
        <v>10000</v>
      </c>
      <c r="L28" s="165">
        <v>4000</v>
      </c>
      <c r="M28" s="166">
        <v>3200</v>
      </c>
      <c r="N28" s="165">
        <v>6000</v>
      </c>
      <c r="O28" s="165">
        <v>4000</v>
      </c>
      <c r="P28" s="166">
        <v>3200</v>
      </c>
      <c r="Q28" s="165">
        <v>4500</v>
      </c>
      <c r="R28" s="165">
        <v>3000</v>
      </c>
      <c r="S28" s="165">
        <v>2400</v>
      </c>
    </row>
    <row r="29" spans="2:29" ht="12" thickBot="1" x14ac:dyDescent="0.25">
      <c r="B29" s="206"/>
      <c r="C29" s="206"/>
      <c r="D29" s="153">
        <v>2050</v>
      </c>
      <c r="E29" s="159">
        <v>10000</v>
      </c>
      <c r="F29" s="159">
        <v>4000</v>
      </c>
      <c r="G29" s="160">
        <v>2000</v>
      </c>
      <c r="H29" s="159">
        <v>10000</v>
      </c>
      <c r="I29" s="159">
        <v>4000</v>
      </c>
      <c r="J29" s="160">
        <v>2000</v>
      </c>
      <c r="K29" s="159">
        <v>4500</v>
      </c>
      <c r="L29" s="159">
        <v>3000</v>
      </c>
      <c r="M29" s="160">
        <v>2400</v>
      </c>
      <c r="N29" s="159">
        <v>4500</v>
      </c>
      <c r="O29" s="159">
        <v>3000</v>
      </c>
      <c r="P29" s="160">
        <v>2400</v>
      </c>
      <c r="Q29" s="159">
        <v>4000</v>
      </c>
      <c r="R29" s="159">
        <v>2500</v>
      </c>
      <c r="S29" s="159">
        <v>2000</v>
      </c>
    </row>
    <row r="30" spans="2:29" x14ac:dyDescent="0.2">
      <c r="B30" s="202" t="s">
        <v>387</v>
      </c>
      <c r="C30" s="202" t="s">
        <v>386</v>
      </c>
      <c r="D30" s="152">
        <v>2018</v>
      </c>
      <c r="E30" s="165">
        <v>500</v>
      </c>
      <c r="F30" s="165">
        <v>400</v>
      </c>
      <c r="G30" s="166">
        <v>300</v>
      </c>
      <c r="H30" s="165">
        <v>500</v>
      </c>
      <c r="I30" s="165">
        <v>400</v>
      </c>
      <c r="J30" s="166">
        <v>300</v>
      </c>
      <c r="K30" s="165">
        <v>120</v>
      </c>
      <c r="L30" s="165">
        <v>100</v>
      </c>
      <c r="M30" s="166">
        <v>70</v>
      </c>
      <c r="N30" s="165">
        <v>120</v>
      </c>
      <c r="O30" s="165">
        <v>100</v>
      </c>
      <c r="P30" s="166">
        <v>70</v>
      </c>
      <c r="Q30" s="165">
        <v>120</v>
      </c>
      <c r="R30" s="165">
        <v>100</v>
      </c>
      <c r="S30" s="165">
        <v>70</v>
      </c>
    </row>
    <row r="31" spans="2:29" x14ac:dyDescent="0.2">
      <c r="B31" s="203"/>
      <c r="C31" s="203"/>
      <c r="D31" s="152">
        <v>2020</v>
      </c>
      <c r="E31" s="165">
        <v>400</v>
      </c>
      <c r="F31" s="165">
        <v>300</v>
      </c>
      <c r="G31" s="166">
        <v>200</v>
      </c>
      <c r="H31" s="165">
        <v>400</v>
      </c>
      <c r="I31" s="165">
        <v>300</v>
      </c>
      <c r="J31" s="166">
        <v>200</v>
      </c>
      <c r="K31" s="165">
        <v>100</v>
      </c>
      <c r="L31" s="165">
        <v>70</v>
      </c>
      <c r="M31" s="166">
        <v>45</v>
      </c>
      <c r="N31" s="165">
        <v>100</v>
      </c>
      <c r="O31" s="165">
        <v>70</v>
      </c>
      <c r="P31" s="166">
        <v>45</v>
      </c>
      <c r="Q31" s="165">
        <v>100</v>
      </c>
      <c r="R31" s="165">
        <v>70</v>
      </c>
      <c r="S31" s="165">
        <v>45</v>
      </c>
    </row>
    <row r="32" spans="2:29" x14ac:dyDescent="0.2">
      <c r="B32" s="203"/>
      <c r="C32" s="203"/>
      <c r="D32" s="152">
        <v>2035</v>
      </c>
      <c r="E32" s="165">
        <v>300</v>
      </c>
      <c r="F32" s="165">
        <v>250</v>
      </c>
      <c r="G32" s="166">
        <v>200</v>
      </c>
      <c r="H32" s="165">
        <v>300</v>
      </c>
      <c r="I32" s="165">
        <v>250</v>
      </c>
      <c r="J32" s="166">
        <v>200</v>
      </c>
      <c r="K32" s="165">
        <v>70</v>
      </c>
      <c r="L32" s="165">
        <v>45</v>
      </c>
      <c r="M32" s="166">
        <v>45</v>
      </c>
      <c r="N32" s="165">
        <v>70</v>
      </c>
      <c r="O32" s="165">
        <v>45</v>
      </c>
      <c r="P32" s="166">
        <v>45</v>
      </c>
      <c r="Q32" s="165">
        <v>70</v>
      </c>
      <c r="R32" s="165">
        <v>45</v>
      </c>
      <c r="S32" s="165">
        <v>45</v>
      </c>
    </row>
    <row r="33" spans="2:19" ht="12" thickBot="1" x14ac:dyDescent="0.25">
      <c r="B33" s="204"/>
      <c r="C33" s="204"/>
      <c r="D33" s="157">
        <v>2050</v>
      </c>
      <c r="E33" s="167">
        <v>250</v>
      </c>
      <c r="F33" s="167">
        <v>200</v>
      </c>
      <c r="G33" s="168">
        <v>200</v>
      </c>
      <c r="H33" s="167">
        <v>250</v>
      </c>
      <c r="I33" s="167">
        <v>200</v>
      </c>
      <c r="J33" s="168">
        <v>200</v>
      </c>
      <c r="K33" s="167">
        <v>70</v>
      </c>
      <c r="L33" s="167">
        <v>45</v>
      </c>
      <c r="M33" s="168">
        <v>45</v>
      </c>
      <c r="N33" s="167">
        <v>70</v>
      </c>
      <c r="O33" s="167">
        <v>45</v>
      </c>
      <c r="P33" s="168">
        <v>45</v>
      </c>
      <c r="Q33" s="167">
        <v>70</v>
      </c>
      <c r="R33" s="167">
        <v>45</v>
      </c>
      <c r="S33" s="167">
        <v>45</v>
      </c>
    </row>
    <row r="34" spans="2:19" ht="12" thickBot="1" x14ac:dyDescent="0.25">
      <c r="B34" s="208" t="s">
        <v>388</v>
      </c>
      <c r="C34" s="208"/>
      <c r="D34" s="158" t="s">
        <v>389</v>
      </c>
      <c r="E34" s="169">
        <v>4000</v>
      </c>
      <c r="F34" s="169">
        <v>4000</v>
      </c>
      <c r="G34" s="170">
        <v>4000</v>
      </c>
      <c r="H34" s="169">
        <v>4000</v>
      </c>
      <c r="I34" s="169">
        <v>4000</v>
      </c>
      <c r="J34" s="170">
        <v>4000</v>
      </c>
      <c r="K34" s="169">
        <v>4000</v>
      </c>
      <c r="L34" s="169">
        <v>4000</v>
      </c>
      <c r="M34" s="170">
        <v>4000</v>
      </c>
      <c r="N34" s="169">
        <v>4000</v>
      </c>
      <c r="O34" s="169">
        <v>4000</v>
      </c>
      <c r="P34" s="170">
        <v>4000</v>
      </c>
      <c r="Q34" s="169">
        <v>4000</v>
      </c>
      <c r="R34" s="169">
        <v>4000</v>
      </c>
      <c r="S34" s="169">
        <v>4000</v>
      </c>
    </row>
  </sheetData>
  <mergeCells count="26">
    <mergeCell ref="C6:C9"/>
    <mergeCell ref="B10:B13"/>
    <mergeCell ref="C10:C13"/>
    <mergeCell ref="B14:B17"/>
    <mergeCell ref="C14:C17"/>
    <mergeCell ref="B34:C34"/>
    <mergeCell ref="B2:S2"/>
    <mergeCell ref="U6:U9"/>
    <mergeCell ref="V6:V9"/>
    <mergeCell ref="U10:U13"/>
    <mergeCell ref="V10:V13"/>
    <mergeCell ref="U18:U21"/>
    <mergeCell ref="V18:V21"/>
    <mergeCell ref="B18:B21"/>
    <mergeCell ref="C18:C21"/>
    <mergeCell ref="B22:B25"/>
    <mergeCell ref="B26:B29"/>
    <mergeCell ref="C26:C29"/>
    <mergeCell ref="B30:B33"/>
    <mergeCell ref="C30:C33"/>
    <mergeCell ref="B6:B9"/>
    <mergeCell ref="U22:U25"/>
    <mergeCell ref="V22:V25"/>
    <mergeCell ref="U14:U17"/>
    <mergeCell ref="V14:V17"/>
    <mergeCell ref="U2:A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77"/>
  <sheetViews>
    <sheetView zoomScaleNormal="100" workbookViewId="0">
      <selection activeCell="D8" sqref="D8"/>
    </sheetView>
  </sheetViews>
  <sheetFormatPr defaultColWidth="8.7109375" defaultRowHeight="11.25" x14ac:dyDescent="0.2"/>
  <cols>
    <col min="1" max="1" width="14.42578125" style="4" bestFit="1" customWidth="1"/>
    <col min="2" max="2" width="12.140625" style="4" bestFit="1" customWidth="1"/>
    <col min="3" max="16384" width="8.7109375" style="4"/>
  </cols>
  <sheetData>
    <row r="1" spans="1:16384" x14ac:dyDescent="0.2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x14ac:dyDescent="0.2">
      <c r="A2" s="22" t="s">
        <v>9</v>
      </c>
      <c r="B2" s="23"/>
      <c r="C2" s="189" t="s">
        <v>21</v>
      </c>
      <c r="D2" s="185"/>
      <c r="E2" s="185"/>
      <c r="F2" s="186"/>
      <c r="G2" s="189" t="s">
        <v>32</v>
      </c>
      <c r="H2" s="185"/>
      <c r="I2" s="185"/>
      <c r="J2" s="186"/>
      <c r="K2" s="189" t="s">
        <v>33</v>
      </c>
      <c r="L2" s="185"/>
      <c r="M2" s="185"/>
      <c r="N2" s="186"/>
    </row>
    <row r="3" spans="1:16384" x14ac:dyDescent="0.2">
      <c r="A3" s="24"/>
      <c r="B3" s="25"/>
      <c r="C3" s="190"/>
      <c r="D3" s="191"/>
      <c r="E3" s="191"/>
      <c r="F3" s="192"/>
      <c r="G3" s="190"/>
      <c r="H3" s="191"/>
      <c r="I3" s="191"/>
      <c r="J3" s="192"/>
      <c r="K3" s="190"/>
      <c r="L3" s="191"/>
      <c r="M3" s="191"/>
      <c r="N3" s="192"/>
    </row>
    <row r="4" spans="1:16384" x14ac:dyDescent="0.2">
      <c r="A4" s="1"/>
      <c r="B4" s="2" t="s">
        <v>5</v>
      </c>
      <c r="C4" s="41" t="s">
        <v>22</v>
      </c>
      <c r="D4" s="2">
        <v>2030</v>
      </c>
      <c r="E4" s="2">
        <v>2040</v>
      </c>
      <c r="F4" s="13">
        <v>2050</v>
      </c>
      <c r="G4" s="41" t="s">
        <v>22</v>
      </c>
      <c r="H4" s="2">
        <v>2030</v>
      </c>
      <c r="I4" s="2">
        <v>2040</v>
      </c>
      <c r="J4" s="13">
        <v>2050</v>
      </c>
      <c r="K4" s="41" t="s">
        <v>22</v>
      </c>
      <c r="L4" s="2">
        <v>2030</v>
      </c>
      <c r="M4" s="2">
        <v>2040</v>
      </c>
      <c r="N4" s="13">
        <v>2050</v>
      </c>
    </row>
    <row r="5" spans="1:16384" x14ac:dyDescent="0.2">
      <c r="A5" s="5" t="s">
        <v>10</v>
      </c>
      <c r="B5" s="8" t="s">
        <v>62</v>
      </c>
      <c r="C5" s="30">
        <v>900</v>
      </c>
      <c r="D5" s="31">
        <v>700</v>
      </c>
      <c r="E5" s="31">
        <f>AVERAGE(D5,F5)</f>
        <v>575</v>
      </c>
      <c r="F5" s="51">
        <v>450</v>
      </c>
      <c r="G5" s="30">
        <f>AVERAGE(1800,1100)</f>
        <v>1450</v>
      </c>
      <c r="H5" s="31">
        <f>AVERAGE(1500,650)</f>
        <v>1075</v>
      </c>
      <c r="I5" s="66">
        <f>AVERAGE(H5,J5)</f>
        <v>812.5</v>
      </c>
      <c r="J5" s="51">
        <f>AVERAGE(200,900)</f>
        <v>550</v>
      </c>
      <c r="K5" s="30">
        <f>AVERAGE(5600,2800)</f>
        <v>4200</v>
      </c>
      <c r="L5" s="31">
        <f>AVERAGE(2800,800)</f>
        <v>1800</v>
      </c>
      <c r="M5" s="31">
        <f>AVERAGE(L5,N5)</f>
        <v>1275</v>
      </c>
      <c r="N5" s="51">
        <f>AVERAGE(1000,500)</f>
        <v>750</v>
      </c>
    </row>
    <row r="6" spans="1:16384" x14ac:dyDescent="0.2">
      <c r="A6" s="5" t="s">
        <v>10</v>
      </c>
      <c r="B6" s="8" t="s">
        <v>63</v>
      </c>
      <c r="C6" s="34">
        <f>C5/C14</f>
        <v>1406.25</v>
      </c>
      <c r="D6" s="36">
        <f t="shared" ref="D6:N6" si="0">D5/D14</f>
        <v>1014.4927536231885</v>
      </c>
      <c r="E6" s="36">
        <f t="shared" si="0"/>
        <v>804.19580419580427</v>
      </c>
      <c r="F6" s="53">
        <f t="shared" si="0"/>
        <v>608.10810810810813</v>
      </c>
      <c r="G6" s="34">
        <f t="shared" si="0"/>
        <v>2499.9999999999995</v>
      </c>
      <c r="H6" s="36">
        <f t="shared" si="0"/>
        <v>1641.2213740458014</v>
      </c>
      <c r="I6" s="36">
        <f t="shared" si="0"/>
        <v>1194.8529411764705</v>
      </c>
      <c r="J6" s="53">
        <f t="shared" si="0"/>
        <v>780.14184397163115</v>
      </c>
      <c r="K6" s="34">
        <f t="shared" si="0"/>
        <v>5419.3548387096771</v>
      </c>
      <c r="L6" s="36">
        <f t="shared" si="0"/>
        <v>2236.0248447204972</v>
      </c>
      <c r="M6" s="36">
        <f t="shared" si="0"/>
        <v>1554.8780487804879</v>
      </c>
      <c r="N6" s="53">
        <f t="shared" si="0"/>
        <v>898.20359281437129</v>
      </c>
    </row>
    <row r="7" spans="1:16384" x14ac:dyDescent="0.2">
      <c r="A7" s="5" t="s">
        <v>11</v>
      </c>
      <c r="B7" s="8" t="s">
        <v>12</v>
      </c>
      <c r="C7" s="39">
        <v>0.08</v>
      </c>
      <c r="D7" s="40">
        <v>0.08</v>
      </c>
      <c r="E7" s="40">
        <v>0.08</v>
      </c>
      <c r="F7" s="52">
        <v>0.08</v>
      </c>
      <c r="G7" s="39">
        <v>0.08</v>
      </c>
      <c r="H7" s="40">
        <v>0.08</v>
      </c>
      <c r="I7" s="40">
        <v>0.08</v>
      </c>
      <c r="J7" s="52">
        <v>0.08</v>
      </c>
      <c r="K7" s="39">
        <v>0.08</v>
      </c>
      <c r="L7" s="40">
        <v>0.08</v>
      </c>
      <c r="M7" s="40">
        <v>0.08</v>
      </c>
      <c r="N7" s="52">
        <v>0.08</v>
      </c>
    </row>
    <row r="8" spans="1:16384" x14ac:dyDescent="0.2">
      <c r="A8" s="5" t="s">
        <v>36</v>
      </c>
      <c r="B8" s="8" t="s">
        <v>38</v>
      </c>
      <c r="C8" s="63">
        <v>90000</v>
      </c>
      <c r="D8" s="64">
        <v>95000</v>
      </c>
      <c r="E8" s="64">
        <f>AVERAGE(D8,F8)</f>
        <v>110000</v>
      </c>
      <c r="F8" s="65">
        <v>125000</v>
      </c>
      <c r="G8" s="63">
        <v>60000</v>
      </c>
      <c r="H8" s="64">
        <v>75000</v>
      </c>
      <c r="I8" s="64">
        <f>AVERAGE(H8,J8)</f>
        <v>100000</v>
      </c>
      <c r="J8" s="65">
        <v>125000</v>
      </c>
      <c r="K8" s="63">
        <v>20000</v>
      </c>
      <c r="L8" s="64">
        <v>50000</v>
      </c>
      <c r="M8" s="64">
        <f>AVERAGE(L8,N8)</f>
        <v>70000</v>
      </c>
      <c r="N8" s="65">
        <v>90000</v>
      </c>
    </row>
    <row r="9" spans="1:16384" x14ac:dyDescent="0.2">
      <c r="A9" s="5" t="s">
        <v>39</v>
      </c>
      <c r="B9" s="8" t="s">
        <v>40</v>
      </c>
      <c r="C9" s="63">
        <v>5000</v>
      </c>
      <c r="D9" s="64">
        <v>5000</v>
      </c>
      <c r="E9" s="64">
        <v>5000</v>
      </c>
      <c r="F9" s="65">
        <v>5000</v>
      </c>
      <c r="G9" s="63">
        <v>5000</v>
      </c>
      <c r="H9" s="64">
        <v>5000</v>
      </c>
      <c r="I9" s="64">
        <v>5000</v>
      </c>
      <c r="J9" s="65">
        <v>5000</v>
      </c>
      <c r="K9" s="63">
        <v>5000</v>
      </c>
      <c r="L9" s="64">
        <v>5000</v>
      </c>
      <c r="M9" s="64">
        <v>5000</v>
      </c>
      <c r="N9" s="65">
        <v>5000</v>
      </c>
    </row>
    <row r="10" spans="1:16384" x14ac:dyDescent="0.2">
      <c r="A10" s="5" t="s">
        <v>13</v>
      </c>
      <c r="B10" s="8" t="s">
        <v>35</v>
      </c>
      <c r="C10" s="34">
        <f>C8/C9</f>
        <v>18</v>
      </c>
      <c r="D10" s="36">
        <f t="shared" ref="D10:N10" si="1">D8/D9</f>
        <v>19</v>
      </c>
      <c r="E10" s="36">
        <f t="shared" si="1"/>
        <v>22</v>
      </c>
      <c r="F10" s="53">
        <f t="shared" si="1"/>
        <v>25</v>
      </c>
      <c r="G10" s="34">
        <f t="shared" si="1"/>
        <v>12</v>
      </c>
      <c r="H10" s="36">
        <f t="shared" si="1"/>
        <v>15</v>
      </c>
      <c r="I10" s="36">
        <f t="shared" si="1"/>
        <v>20</v>
      </c>
      <c r="J10" s="53">
        <f t="shared" si="1"/>
        <v>25</v>
      </c>
      <c r="K10" s="34">
        <f t="shared" si="1"/>
        <v>4</v>
      </c>
      <c r="L10" s="36">
        <f t="shared" si="1"/>
        <v>10</v>
      </c>
      <c r="M10" s="36">
        <f t="shared" si="1"/>
        <v>14</v>
      </c>
      <c r="N10" s="53">
        <f t="shared" si="1"/>
        <v>18</v>
      </c>
    </row>
    <row r="11" spans="1:16384" x14ac:dyDescent="0.2">
      <c r="A11" s="5" t="s">
        <v>15</v>
      </c>
      <c r="B11" s="8" t="s">
        <v>16</v>
      </c>
      <c r="C11" s="33">
        <f t="shared" ref="C11:N11" si="2">1.5%*C5</f>
        <v>13.5</v>
      </c>
      <c r="D11" s="35">
        <f t="shared" si="2"/>
        <v>10.5</v>
      </c>
      <c r="E11" s="35">
        <f t="shared" si="2"/>
        <v>8.625</v>
      </c>
      <c r="F11" s="61">
        <f t="shared" si="2"/>
        <v>6.75</v>
      </c>
      <c r="G11" s="33">
        <f t="shared" si="2"/>
        <v>21.75</v>
      </c>
      <c r="H11" s="35">
        <f t="shared" si="2"/>
        <v>16.125</v>
      </c>
      <c r="I11" s="35">
        <f t="shared" si="2"/>
        <v>12.1875</v>
      </c>
      <c r="J11" s="61">
        <f t="shared" si="2"/>
        <v>8.25</v>
      </c>
      <c r="K11" s="33">
        <f t="shared" si="2"/>
        <v>63</v>
      </c>
      <c r="L11" s="35">
        <f t="shared" si="2"/>
        <v>27</v>
      </c>
      <c r="M11" s="35">
        <f t="shared" si="2"/>
        <v>19.125</v>
      </c>
      <c r="N11" s="61">
        <f t="shared" si="2"/>
        <v>11.25</v>
      </c>
    </row>
    <row r="12" spans="1:16384" x14ac:dyDescent="0.2">
      <c r="A12" s="5" t="s">
        <v>17</v>
      </c>
      <c r="B12" s="8" t="s">
        <v>18</v>
      </c>
      <c r="C12" s="33">
        <v>0</v>
      </c>
      <c r="D12" s="35">
        <v>0</v>
      </c>
      <c r="E12" s="35">
        <v>0</v>
      </c>
      <c r="F12" s="61">
        <v>0</v>
      </c>
      <c r="G12" s="33">
        <v>0</v>
      </c>
      <c r="H12" s="35">
        <v>0</v>
      </c>
      <c r="I12" s="35">
        <v>0</v>
      </c>
      <c r="J12" s="61">
        <v>0</v>
      </c>
      <c r="K12" s="33">
        <v>0</v>
      </c>
      <c r="L12" s="35">
        <v>0</v>
      </c>
      <c r="M12" s="35">
        <v>0</v>
      </c>
      <c r="N12" s="61">
        <v>0</v>
      </c>
    </row>
    <row r="13" spans="1:16384" x14ac:dyDescent="0.2">
      <c r="A13" s="5" t="s">
        <v>19</v>
      </c>
      <c r="B13" s="8" t="s">
        <v>12</v>
      </c>
      <c r="C13" s="37">
        <f>C9/8760</f>
        <v>0.57077625570776258</v>
      </c>
      <c r="D13" s="38">
        <f t="shared" ref="D13:N13" si="3">D9/8760</f>
        <v>0.57077625570776258</v>
      </c>
      <c r="E13" s="38">
        <f t="shared" si="3"/>
        <v>0.57077625570776258</v>
      </c>
      <c r="F13" s="55">
        <f t="shared" si="3"/>
        <v>0.57077625570776258</v>
      </c>
      <c r="G13" s="37">
        <f t="shared" si="3"/>
        <v>0.57077625570776258</v>
      </c>
      <c r="H13" s="38">
        <f t="shared" si="3"/>
        <v>0.57077625570776258</v>
      </c>
      <c r="I13" s="38">
        <f t="shared" si="3"/>
        <v>0.57077625570776258</v>
      </c>
      <c r="J13" s="55">
        <f t="shared" si="3"/>
        <v>0.57077625570776258</v>
      </c>
      <c r="K13" s="37">
        <f t="shared" si="3"/>
        <v>0.57077625570776258</v>
      </c>
      <c r="L13" s="38">
        <f t="shared" si="3"/>
        <v>0.57077625570776258</v>
      </c>
      <c r="M13" s="38">
        <f t="shared" si="3"/>
        <v>0.57077625570776258</v>
      </c>
      <c r="N13" s="55">
        <f t="shared" si="3"/>
        <v>0.57077625570776258</v>
      </c>
    </row>
    <row r="14" spans="1:16384" x14ac:dyDescent="0.2">
      <c r="A14" s="5" t="s">
        <v>20</v>
      </c>
      <c r="B14" s="8" t="s">
        <v>12</v>
      </c>
      <c r="C14" s="37">
        <v>0.64</v>
      </c>
      <c r="D14" s="38">
        <v>0.69</v>
      </c>
      <c r="E14" s="38">
        <f>AVERAGE(D14,F14)</f>
        <v>0.71499999999999997</v>
      </c>
      <c r="F14" s="55">
        <v>0.74</v>
      </c>
      <c r="G14" s="37">
        <f>AVERAGE(0.56,0.6)</f>
        <v>0.58000000000000007</v>
      </c>
      <c r="H14" s="38">
        <f>AVERAGE(0.63,0.68)</f>
        <v>0.65500000000000003</v>
      </c>
      <c r="I14" s="38">
        <f>AVERAGE(H14,J14)</f>
        <v>0.68</v>
      </c>
      <c r="J14" s="55">
        <f>AVERAGE(0.67,0.74)</f>
        <v>0.70500000000000007</v>
      </c>
      <c r="K14" s="37">
        <f>AVERAGE(0.74,0.81)</f>
        <v>0.77500000000000002</v>
      </c>
      <c r="L14" s="38">
        <f>AVERAGE(0.77,0.84)</f>
        <v>0.80499999999999994</v>
      </c>
      <c r="M14" s="38">
        <f>AVERAGE(L14,N14)</f>
        <v>0.82</v>
      </c>
      <c r="N14" s="55">
        <f>AVERAGE(0.77,0.9)</f>
        <v>0.83499999999999996</v>
      </c>
    </row>
    <row r="15" spans="1:16384" x14ac:dyDescent="0.2">
      <c r="A15" s="5" t="s">
        <v>23</v>
      </c>
      <c r="B15" s="8" t="s">
        <v>6</v>
      </c>
      <c r="C15" s="33">
        <f>Prices!$C$7</f>
        <v>27.222222222222221</v>
      </c>
      <c r="D15" s="35">
        <f>Prices!$D$7</f>
        <v>31.666666666666664</v>
      </c>
      <c r="E15" s="35">
        <f>Prices!$E$7</f>
        <v>32.916666666666664</v>
      </c>
      <c r="F15" s="61">
        <f>Prices!$F$7</f>
        <v>34.166666666666664</v>
      </c>
      <c r="G15" s="33">
        <f>Prices!$C$7</f>
        <v>27.222222222222221</v>
      </c>
      <c r="H15" s="35">
        <f>Prices!$D$7</f>
        <v>31.666666666666664</v>
      </c>
      <c r="I15" s="35">
        <f>Prices!$E$7</f>
        <v>32.916666666666664</v>
      </c>
      <c r="J15" s="61">
        <f>Prices!$F$7</f>
        <v>34.166666666666664</v>
      </c>
      <c r="K15" s="33">
        <f>Prices!$C$7</f>
        <v>27.222222222222221</v>
      </c>
      <c r="L15" s="35">
        <f>Prices!$D$7</f>
        <v>31.666666666666664</v>
      </c>
      <c r="M15" s="35">
        <f>Prices!$E$7</f>
        <v>32.916666666666664</v>
      </c>
      <c r="N15" s="61">
        <f>Prices!$F$7</f>
        <v>34.166666666666664</v>
      </c>
    </row>
    <row r="16" spans="1:16384" x14ac:dyDescent="0.2">
      <c r="A16" s="5" t="s">
        <v>24</v>
      </c>
      <c r="B16" s="8" t="s">
        <v>27</v>
      </c>
      <c r="C16" s="32">
        <f>Prices!$B$20</f>
        <v>0</v>
      </c>
      <c r="D16" s="28">
        <f>C16</f>
        <v>0</v>
      </c>
      <c r="E16" s="28">
        <f t="shared" ref="E16" si="4">D16</f>
        <v>0</v>
      </c>
      <c r="F16" s="62">
        <f>E16</f>
        <v>0</v>
      </c>
      <c r="G16" s="32">
        <f>Prices!$B$20</f>
        <v>0</v>
      </c>
      <c r="H16" s="28">
        <f>G16</f>
        <v>0</v>
      </c>
      <c r="I16" s="28">
        <f t="shared" ref="I16" si="5">H16</f>
        <v>0</v>
      </c>
      <c r="J16" s="62">
        <f>I16</f>
        <v>0</v>
      </c>
      <c r="K16" s="32">
        <f>Prices!$B$20</f>
        <v>0</v>
      </c>
      <c r="L16" s="28">
        <f>K16</f>
        <v>0</v>
      </c>
      <c r="M16" s="28">
        <f t="shared" ref="M16" si="6">L16</f>
        <v>0</v>
      </c>
      <c r="N16" s="62">
        <f>M16</f>
        <v>0</v>
      </c>
    </row>
    <row r="17" spans="1:14" x14ac:dyDescent="0.2">
      <c r="A17" s="5" t="s">
        <v>25</v>
      </c>
      <c r="B17" s="8" t="s">
        <v>28</v>
      </c>
      <c r="C17" s="33">
        <f>Prices!$C$10</f>
        <v>16</v>
      </c>
      <c r="D17" s="27">
        <f>Prices!$D$10</f>
        <v>100</v>
      </c>
      <c r="E17" s="27">
        <f>Prices!$E$10</f>
        <v>130</v>
      </c>
      <c r="F17" s="42">
        <f>Prices!$F$10</f>
        <v>160</v>
      </c>
      <c r="G17" s="33">
        <f>Prices!$C$10</f>
        <v>16</v>
      </c>
      <c r="H17" s="27">
        <f>Prices!$D$10</f>
        <v>100</v>
      </c>
      <c r="I17" s="27">
        <f>Prices!$E$10</f>
        <v>130</v>
      </c>
      <c r="J17" s="42">
        <f>Prices!$F$10</f>
        <v>160</v>
      </c>
      <c r="K17" s="33">
        <f>Prices!$C$10</f>
        <v>16</v>
      </c>
      <c r="L17" s="27">
        <f>Prices!$D$10</f>
        <v>100</v>
      </c>
      <c r="M17" s="27">
        <f>Prices!$E$10</f>
        <v>130</v>
      </c>
      <c r="N17" s="42">
        <f>Prices!$F$10</f>
        <v>160</v>
      </c>
    </row>
    <row r="18" spans="1:14" x14ac:dyDescent="0.2">
      <c r="A18" s="5" t="s">
        <v>113</v>
      </c>
      <c r="B18" s="8" t="s">
        <v>6</v>
      </c>
      <c r="C18" s="33">
        <f>(PMT(C7,C10,-C6)+C11)/(C13*8.76)/3.6</f>
        <v>9.0861012425654479</v>
      </c>
      <c r="D18" s="14">
        <f t="shared" ref="D18:N18" si="7">(PMT(D7,D10,-D6)+D11)/(D13*8.76)/3.6</f>
        <v>6.4520401963140497</v>
      </c>
      <c r="E18" s="14">
        <f t="shared" si="7"/>
        <v>4.8589987806360631</v>
      </c>
      <c r="F18" s="15">
        <f t="shared" si="7"/>
        <v>3.539823616620545</v>
      </c>
      <c r="G18" s="33">
        <f t="shared" si="7"/>
        <v>19.638196795065213</v>
      </c>
      <c r="H18" s="14">
        <f t="shared" si="7"/>
        <v>11.548230348280029</v>
      </c>
      <c r="I18" s="14">
        <f t="shared" si="7"/>
        <v>7.4381061820923104</v>
      </c>
      <c r="J18" s="15">
        <f t="shared" si="7"/>
        <v>4.5184853017007454</v>
      </c>
      <c r="K18" s="33">
        <f t="shared" si="7"/>
        <v>94.400887362506452</v>
      </c>
      <c r="L18" s="14">
        <f t="shared" si="7"/>
        <v>20.012979962369617</v>
      </c>
      <c r="M18" s="14">
        <f t="shared" si="7"/>
        <v>11.540378547120396</v>
      </c>
      <c r="N18" s="15">
        <f t="shared" si="7"/>
        <v>5.9494558834749371</v>
      </c>
    </row>
    <row r="19" spans="1:14" x14ac:dyDescent="0.2">
      <c r="A19" s="5" t="s">
        <v>112</v>
      </c>
      <c r="B19" s="8" t="s">
        <v>6</v>
      </c>
      <c r="C19" s="33">
        <f t="shared" ref="C19:N19" si="8">(C15+C16*C17)/C14</f>
        <v>42.534722222222221</v>
      </c>
      <c r="D19" s="14">
        <f t="shared" si="8"/>
        <v>45.893719806763286</v>
      </c>
      <c r="E19" s="14">
        <f t="shared" si="8"/>
        <v>46.037296037296038</v>
      </c>
      <c r="F19" s="15">
        <f t="shared" si="8"/>
        <v>46.171171171171167</v>
      </c>
      <c r="G19" s="33">
        <f t="shared" si="8"/>
        <v>46.934865900383137</v>
      </c>
      <c r="H19" s="14">
        <f t="shared" si="8"/>
        <v>48.346055979643758</v>
      </c>
      <c r="I19" s="14">
        <f t="shared" si="8"/>
        <v>48.406862745098032</v>
      </c>
      <c r="J19" s="15">
        <f t="shared" si="8"/>
        <v>48.463356973995261</v>
      </c>
      <c r="K19" s="33">
        <f t="shared" si="8"/>
        <v>35.12544802867383</v>
      </c>
      <c r="L19" s="14">
        <f t="shared" si="8"/>
        <v>39.337474120082817</v>
      </c>
      <c r="M19" s="14">
        <f t="shared" si="8"/>
        <v>40.142276422764226</v>
      </c>
      <c r="N19" s="15">
        <f t="shared" si="8"/>
        <v>40.918163672654693</v>
      </c>
    </row>
    <row r="20" spans="1:14" x14ac:dyDescent="0.2">
      <c r="A20" s="56" t="s">
        <v>26</v>
      </c>
      <c r="B20" s="57" t="s">
        <v>6</v>
      </c>
      <c r="C20" s="58">
        <f t="shared" ref="C20:N20" si="9">SUM(C18:C19)+C12</f>
        <v>51.620823464787669</v>
      </c>
      <c r="D20" s="59">
        <f t="shared" si="9"/>
        <v>52.345760003077338</v>
      </c>
      <c r="E20" s="59">
        <f t="shared" si="9"/>
        <v>50.896294817932102</v>
      </c>
      <c r="F20" s="60">
        <f t="shared" si="9"/>
        <v>49.710994787791712</v>
      </c>
      <c r="G20" s="58">
        <f t="shared" si="9"/>
        <v>66.573062695448357</v>
      </c>
      <c r="H20" s="59">
        <f t="shared" si="9"/>
        <v>59.894286327923787</v>
      </c>
      <c r="I20" s="59">
        <f t="shared" si="9"/>
        <v>55.844968927190344</v>
      </c>
      <c r="J20" s="60">
        <f t="shared" si="9"/>
        <v>52.981842275696003</v>
      </c>
      <c r="K20" s="58">
        <f t="shared" si="9"/>
        <v>129.52633539118028</v>
      </c>
      <c r="L20" s="59">
        <f t="shared" si="9"/>
        <v>59.35045408245243</v>
      </c>
      <c r="M20" s="59">
        <f t="shared" si="9"/>
        <v>51.682654969884624</v>
      </c>
      <c r="N20" s="60">
        <f t="shared" si="9"/>
        <v>46.867619556129632</v>
      </c>
    </row>
    <row r="21" spans="1:14" x14ac:dyDescent="0.2">
      <c r="A21" s="5"/>
      <c r="B21" s="8"/>
    </row>
    <row r="23" spans="1:14" x14ac:dyDescent="0.2">
      <c r="A23" s="22" t="s">
        <v>9</v>
      </c>
      <c r="B23" s="23"/>
      <c r="C23" s="189" t="s">
        <v>34</v>
      </c>
      <c r="D23" s="185"/>
      <c r="E23" s="185"/>
      <c r="F23" s="186"/>
      <c r="G23" s="189" t="s">
        <v>37</v>
      </c>
      <c r="H23" s="185"/>
      <c r="I23" s="185"/>
      <c r="J23" s="186"/>
    </row>
    <row r="24" spans="1:14" x14ac:dyDescent="0.2">
      <c r="A24" s="24"/>
      <c r="B24" s="25"/>
      <c r="C24" s="190"/>
      <c r="D24" s="191"/>
      <c r="E24" s="191"/>
      <c r="F24" s="192"/>
      <c r="G24" s="190"/>
      <c r="H24" s="191"/>
      <c r="I24" s="191"/>
      <c r="J24" s="192"/>
    </row>
    <row r="25" spans="1:14" x14ac:dyDescent="0.2">
      <c r="A25" s="1"/>
      <c r="B25" s="2" t="s">
        <v>5</v>
      </c>
      <c r="C25" s="41" t="s">
        <v>22</v>
      </c>
      <c r="D25" s="2">
        <v>2030</v>
      </c>
      <c r="E25" s="2">
        <v>2040</v>
      </c>
      <c r="F25" s="13">
        <v>2050</v>
      </c>
      <c r="G25" s="41" t="s">
        <v>22</v>
      </c>
      <c r="H25" s="2">
        <v>2030</v>
      </c>
      <c r="I25" s="2">
        <v>2040</v>
      </c>
      <c r="J25" s="13">
        <v>2050</v>
      </c>
    </row>
    <row r="26" spans="1:14" x14ac:dyDescent="0.2">
      <c r="A26" s="5" t="s">
        <v>10</v>
      </c>
      <c r="B26" s="8" t="s">
        <v>63</v>
      </c>
      <c r="C26" s="30">
        <v>910</v>
      </c>
      <c r="D26" s="31">
        <v>910</v>
      </c>
      <c r="E26" s="31">
        <f>AVERAGE(D26,F26)</f>
        <v>910</v>
      </c>
      <c r="F26" s="51">
        <v>910</v>
      </c>
      <c r="G26" s="30">
        <v>1680</v>
      </c>
      <c r="H26" s="31">
        <v>1360</v>
      </c>
      <c r="I26" s="31">
        <f>AVERAGE(H26,J26)</f>
        <v>1320</v>
      </c>
      <c r="J26" s="51">
        <v>1280</v>
      </c>
    </row>
    <row r="27" spans="1:14" x14ac:dyDescent="0.2">
      <c r="A27" s="5" t="s">
        <v>11</v>
      </c>
      <c r="B27" s="8" t="s">
        <v>12</v>
      </c>
      <c r="C27" s="39">
        <v>0.08</v>
      </c>
      <c r="D27" s="40">
        <v>0.08</v>
      </c>
      <c r="E27" s="40">
        <v>0.08</v>
      </c>
      <c r="F27" s="52">
        <v>0.08</v>
      </c>
      <c r="G27" s="39">
        <v>0.08</v>
      </c>
      <c r="H27" s="40">
        <v>0.08</v>
      </c>
      <c r="I27" s="40">
        <v>0.08</v>
      </c>
      <c r="J27" s="52">
        <v>0.08</v>
      </c>
    </row>
    <row r="28" spans="1:14" x14ac:dyDescent="0.2">
      <c r="A28" s="5" t="s">
        <v>13</v>
      </c>
      <c r="B28" s="8" t="s">
        <v>35</v>
      </c>
      <c r="C28" s="34">
        <v>25</v>
      </c>
      <c r="D28" s="36">
        <v>25</v>
      </c>
      <c r="E28" s="36">
        <v>25</v>
      </c>
      <c r="F28" s="53">
        <v>25</v>
      </c>
      <c r="G28" s="34">
        <v>25</v>
      </c>
      <c r="H28" s="36">
        <v>25</v>
      </c>
      <c r="I28" s="36">
        <v>25</v>
      </c>
      <c r="J28" s="53">
        <v>25</v>
      </c>
    </row>
    <row r="29" spans="1:14" x14ac:dyDescent="0.2">
      <c r="A29" s="5" t="s">
        <v>15</v>
      </c>
      <c r="B29" s="8" t="s">
        <v>16</v>
      </c>
      <c r="C29" s="33">
        <f>4.7%*C26</f>
        <v>42.77</v>
      </c>
      <c r="D29" s="35">
        <f t="shared" ref="D29:F29" si="10">4.7%*D26</f>
        <v>42.77</v>
      </c>
      <c r="E29" s="35">
        <f t="shared" si="10"/>
        <v>42.77</v>
      </c>
      <c r="F29" s="61">
        <f t="shared" si="10"/>
        <v>42.77</v>
      </c>
      <c r="G29" s="33">
        <f>3%*G26</f>
        <v>50.4</v>
      </c>
      <c r="H29" s="35">
        <f t="shared" ref="H29:J29" si="11">3%*H26</f>
        <v>40.799999999999997</v>
      </c>
      <c r="I29" s="35">
        <f t="shared" si="11"/>
        <v>39.6</v>
      </c>
      <c r="J29" s="61">
        <f t="shared" si="11"/>
        <v>38.4</v>
      </c>
    </row>
    <row r="30" spans="1:14" x14ac:dyDescent="0.2">
      <c r="A30" s="5" t="s">
        <v>17</v>
      </c>
      <c r="B30" s="8" t="s">
        <v>18</v>
      </c>
      <c r="C30" s="33">
        <v>0</v>
      </c>
      <c r="D30" s="35">
        <v>0</v>
      </c>
      <c r="E30" s="35">
        <v>0</v>
      </c>
      <c r="F30" s="61">
        <v>0</v>
      </c>
      <c r="G30" s="33">
        <v>0</v>
      </c>
      <c r="H30" s="35">
        <v>0</v>
      </c>
      <c r="I30" s="35">
        <v>0</v>
      </c>
      <c r="J30" s="61">
        <v>0</v>
      </c>
    </row>
    <row r="31" spans="1:14" x14ac:dyDescent="0.2">
      <c r="A31" s="5" t="s">
        <v>19</v>
      </c>
      <c r="B31" s="8" t="s">
        <v>12</v>
      </c>
      <c r="C31" s="37">
        <v>0.95</v>
      </c>
      <c r="D31" s="38">
        <v>0.95</v>
      </c>
      <c r="E31" s="38">
        <v>0.95</v>
      </c>
      <c r="F31" s="55">
        <v>0.95</v>
      </c>
      <c r="G31" s="37">
        <v>0.95</v>
      </c>
      <c r="H31" s="38">
        <v>0.95</v>
      </c>
      <c r="I31" s="38">
        <v>0.95</v>
      </c>
      <c r="J31" s="55">
        <v>0.95</v>
      </c>
    </row>
    <row r="32" spans="1:14" x14ac:dyDescent="0.2">
      <c r="A32" s="5" t="s">
        <v>20</v>
      </c>
      <c r="B32" s="8" t="s">
        <v>12</v>
      </c>
      <c r="C32" s="37">
        <v>0.76</v>
      </c>
      <c r="D32" s="38">
        <v>0.76</v>
      </c>
      <c r="E32" s="38">
        <f>AVERAGE(D32,F32)</f>
        <v>0.76</v>
      </c>
      <c r="F32" s="55">
        <v>0.76</v>
      </c>
      <c r="G32" s="37">
        <v>0.69</v>
      </c>
      <c r="H32" s="38">
        <v>0.69</v>
      </c>
      <c r="I32" s="38">
        <f>AVERAGE(H32,J32)</f>
        <v>0.69</v>
      </c>
      <c r="J32" s="55">
        <v>0.69</v>
      </c>
    </row>
    <row r="33" spans="1:10" x14ac:dyDescent="0.2">
      <c r="A33" s="5" t="s">
        <v>23</v>
      </c>
      <c r="B33" s="8" t="s">
        <v>6</v>
      </c>
      <c r="C33" s="33">
        <f>Prices!$C$5</f>
        <v>2.8151624548824561</v>
      </c>
      <c r="D33" s="35">
        <f>Prices!$D$5</f>
        <v>3.1277960639896407</v>
      </c>
      <c r="E33" s="35">
        <f>Prices!$E$5</f>
        <v>4.6443032465300735</v>
      </c>
      <c r="F33" s="61">
        <f>Prices!$F$5</f>
        <v>4.9269999658840788</v>
      </c>
      <c r="G33" s="33">
        <f>Prices!$C$5</f>
        <v>2.8151624548824561</v>
      </c>
      <c r="H33" s="35">
        <f>Prices!$D$5</f>
        <v>3.1277960639896407</v>
      </c>
      <c r="I33" s="35">
        <f>Prices!$E$5</f>
        <v>4.6443032465300735</v>
      </c>
      <c r="J33" s="61">
        <f>Prices!$F$5</f>
        <v>4.9269999658840788</v>
      </c>
    </row>
    <row r="34" spans="1:10" x14ac:dyDescent="0.2">
      <c r="A34" s="5" t="s">
        <v>24</v>
      </c>
      <c r="B34" s="8" t="s">
        <v>27</v>
      </c>
      <c r="C34" s="32">
        <f>Prices!$B$14</f>
        <v>5.6100000000000004E-2</v>
      </c>
      <c r="D34" s="28">
        <f>C34</f>
        <v>5.6100000000000004E-2</v>
      </c>
      <c r="E34" s="28">
        <f t="shared" ref="E34" si="12">D34</f>
        <v>5.6100000000000004E-2</v>
      </c>
      <c r="F34" s="62">
        <f>E34</f>
        <v>5.6100000000000004E-2</v>
      </c>
      <c r="G34" s="32">
        <f>Prices!$B$14</f>
        <v>5.6100000000000004E-2</v>
      </c>
      <c r="H34" s="28">
        <f>G34</f>
        <v>5.6100000000000004E-2</v>
      </c>
      <c r="I34" s="28">
        <f t="shared" ref="I34" si="13">H34</f>
        <v>5.6100000000000004E-2</v>
      </c>
      <c r="J34" s="62">
        <f>I34</f>
        <v>5.6100000000000004E-2</v>
      </c>
    </row>
    <row r="35" spans="1:10" x14ac:dyDescent="0.2">
      <c r="A35" s="5" t="s">
        <v>25</v>
      </c>
      <c r="B35" s="8" t="s">
        <v>28</v>
      </c>
      <c r="C35" s="33">
        <f>Prices!$C$10</f>
        <v>16</v>
      </c>
      <c r="D35" s="27">
        <f>Prices!$D$10</f>
        <v>100</v>
      </c>
      <c r="E35" s="27">
        <f>Prices!$E$10</f>
        <v>130</v>
      </c>
      <c r="F35" s="42">
        <f>Prices!$F$10</f>
        <v>160</v>
      </c>
      <c r="G35" s="33">
        <f>Prices!$C$10</f>
        <v>16</v>
      </c>
      <c r="H35" s="27">
        <f>Prices!$D$10</f>
        <v>100</v>
      </c>
      <c r="I35" s="27">
        <f>Prices!$E$10</f>
        <v>130</v>
      </c>
      <c r="J35" s="42">
        <f>Prices!$F$10</f>
        <v>160</v>
      </c>
    </row>
    <row r="36" spans="1:10" x14ac:dyDescent="0.2">
      <c r="A36" s="5" t="s">
        <v>43</v>
      </c>
      <c r="B36" s="8" t="s">
        <v>12</v>
      </c>
      <c r="C36" s="37">
        <v>0</v>
      </c>
      <c r="D36" s="29">
        <v>0</v>
      </c>
      <c r="E36" s="29">
        <v>0</v>
      </c>
      <c r="F36" s="67">
        <v>0</v>
      </c>
      <c r="G36" s="37">
        <v>0.9</v>
      </c>
      <c r="H36" s="29">
        <v>0.9</v>
      </c>
      <c r="I36" s="68">
        <f>AVERAGE(H36,J36)</f>
        <v>0.9</v>
      </c>
      <c r="J36" s="67">
        <v>0.9</v>
      </c>
    </row>
    <row r="37" spans="1:10" x14ac:dyDescent="0.2">
      <c r="A37" s="5" t="s">
        <v>113</v>
      </c>
      <c r="B37" s="8" t="s">
        <v>18</v>
      </c>
      <c r="C37" s="33">
        <f>(PMT(C27,C28,-C26)+C29)/(C31*8.76)/3.6</f>
        <v>4.2730676699408203</v>
      </c>
      <c r="D37" s="14">
        <f t="shared" ref="D37:F37" si="14">(PMT(D27,D28,-D26)+D29)/(D31*8.76)/3.6</f>
        <v>4.2730676699408203</v>
      </c>
      <c r="E37" s="14">
        <f t="shared" si="14"/>
        <v>4.2730676699408203</v>
      </c>
      <c r="F37" s="15">
        <f t="shared" si="14"/>
        <v>4.2730676699408203</v>
      </c>
      <c r="G37" s="33">
        <f>(PMT(G27,G28,-G26)+G29)/(G31*8.76)/3.6</f>
        <v>6.9354438305197235</v>
      </c>
      <c r="H37" s="14">
        <f t="shared" ref="H37:J37" si="15">(PMT(H27,H28,-H26)+H29)/(H31*8.76)/3.6</f>
        <v>5.6144069104207279</v>
      </c>
      <c r="I37" s="14">
        <f t="shared" si="15"/>
        <v>5.4492772954083533</v>
      </c>
      <c r="J37" s="15">
        <f t="shared" si="15"/>
        <v>5.2841476803959795</v>
      </c>
    </row>
    <row r="38" spans="1:10" x14ac:dyDescent="0.2">
      <c r="A38" s="5" t="s">
        <v>112</v>
      </c>
      <c r="B38" s="8" t="s">
        <v>18</v>
      </c>
      <c r="C38" s="33">
        <f>(C33+C34*(1-C36)*C35)/C32</f>
        <v>4.8852137564242843</v>
      </c>
      <c r="D38" s="14">
        <f t="shared" ref="D38:F38" si="16">(D33+D34*(1-D36)*D35)/D32</f>
        <v>11.497100084196896</v>
      </c>
      <c r="E38" s="14">
        <f t="shared" si="16"/>
        <v>15.706977955960625</v>
      </c>
      <c r="F38" s="15">
        <f t="shared" si="16"/>
        <v>18.293421007742211</v>
      </c>
      <c r="G38" s="33">
        <f>(G33+G34*(1-G36)*G35)/G32</f>
        <v>4.210032543307908</v>
      </c>
      <c r="H38" s="14">
        <f t="shared" ref="H38:J38" si="17">(H33+H34*(1-H36)*H35)/H32</f>
        <v>5.3460812521588998</v>
      </c>
      <c r="I38" s="14">
        <f t="shared" si="17"/>
        <v>7.7878307920725716</v>
      </c>
      <c r="J38" s="15">
        <f t="shared" si="17"/>
        <v>8.4414492259189551</v>
      </c>
    </row>
    <row r="39" spans="1:10" x14ac:dyDescent="0.2">
      <c r="A39" s="56" t="s">
        <v>26</v>
      </c>
      <c r="B39" s="57" t="s">
        <v>6</v>
      </c>
      <c r="C39" s="58">
        <f>SUM(C37:C38)+C30</f>
        <v>9.1582814263651038</v>
      </c>
      <c r="D39" s="59">
        <f t="shared" ref="D39" si="18">SUM(D37:D38)+D30</f>
        <v>15.770167754137717</v>
      </c>
      <c r="E39" s="59">
        <f t="shared" ref="E39" si="19">SUM(E37:E38)+E30</f>
        <v>19.980045625901447</v>
      </c>
      <c r="F39" s="60">
        <f t="shared" ref="F39" si="20">SUM(F37:F38)+F30</f>
        <v>22.566488677683033</v>
      </c>
      <c r="G39" s="58">
        <f>SUM(G37:G38)+G30</f>
        <v>11.145476373827631</v>
      </c>
      <c r="H39" s="59">
        <f t="shared" ref="H39" si="21">SUM(H37:H38)+H30</f>
        <v>10.960488162579628</v>
      </c>
      <c r="I39" s="59">
        <f t="shared" ref="I39" si="22">SUM(I37:I38)+I30</f>
        <v>13.237108087480925</v>
      </c>
      <c r="J39" s="60">
        <f t="shared" ref="J39" si="23">SUM(J37:J38)+J30</f>
        <v>13.725596906314934</v>
      </c>
    </row>
    <row r="42" spans="1:10" x14ac:dyDescent="0.2">
      <c r="A42" s="22" t="s">
        <v>9</v>
      </c>
      <c r="B42" s="23"/>
      <c r="C42" s="189" t="s">
        <v>44</v>
      </c>
      <c r="D42" s="185"/>
      <c r="E42" s="185"/>
      <c r="F42" s="186"/>
      <c r="G42" s="189" t="s">
        <v>45</v>
      </c>
      <c r="H42" s="185"/>
      <c r="I42" s="185"/>
      <c r="J42" s="186"/>
    </row>
    <row r="43" spans="1:10" x14ac:dyDescent="0.2">
      <c r="A43" s="24"/>
      <c r="B43" s="25"/>
      <c r="C43" s="190"/>
      <c r="D43" s="191"/>
      <c r="E43" s="191"/>
      <c r="F43" s="192"/>
      <c r="G43" s="190"/>
      <c r="H43" s="191"/>
      <c r="I43" s="191"/>
      <c r="J43" s="192"/>
    </row>
    <row r="44" spans="1:10" x14ac:dyDescent="0.2">
      <c r="A44" s="1"/>
      <c r="B44" s="2" t="s">
        <v>5</v>
      </c>
      <c r="C44" s="41" t="s">
        <v>22</v>
      </c>
      <c r="D44" s="2">
        <v>2030</v>
      </c>
      <c r="E44" s="2">
        <v>2040</v>
      </c>
      <c r="F44" s="13">
        <v>2050</v>
      </c>
      <c r="G44" s="41" t="s">
        <v>22</v>
      </c>
      <c r="H44" s="2">
        <v>2030</v>
      </c>
      <c r="I44" s="2">
        <v>2040</v>
      </c>
      <c r="J44" s="13">
        <v>2050</v>
      </c>
    </row>
    <row r="45" spans="1:10" x14ac:dyDescent="0.2">
      <c r="A45" s="5" t="s">
        <v>10</v>
      </c>
      <c r="B45" s="8" t="s">
        <v>63</v>
      </c>
      <c r="C45" s="30">
        <v>2670</v>
      </c>
      <c r="D45" s="31">
        <v>2670</v>
      </c>
      <c r="E45" s="31">
        <v>2670</v>
      </c>
      <c r="F45" s="51">
        <v>2670</v>
      </c>
      <c r="G45" s="30">
        <v>2780</v>
      </c>
      <c r="H45" s="31">
        <v>2780</v>
      </c>
      <c r="I45" s="31">
        <v>2670</v>
      </c>
      <c r="J45" s="51">
        <v>2780</v>
      </c>
    </row>
    <row r="46" spans="1:10" x14ac:dyDescent="0.2">
      <c r="A46" s="5" t="s">
        <v>11</v>
      </c>
      <c r="B46" s="8" t="s">
        <v>12</v>
      </c>
      <c r="C46" s="39">
        <v>0.08</v>
      </c>
      <c r="D46" s="40">
        <v>0.08</v>
      </c>
      <c r="E46" s="40">
        <v>0.08</v>
      </c>
      <c r="F46" s="52">
        <v>0.08</v>
      </c>
      <c r="G46" s="39">
        <v>0.08</v>
      </c>
      <c r="H46" s="40">
        <v>0.08</v>
      </c>
      <c r="I46" s="40">
        <v>0.08</v>
      </c>
      <c r="J46" s="52">
        <v>0.08</v>
      </c>
    </row>
    <row r="47" spans="1:10" x14ac:dyDescent="0.2">
      <c r="A47" s="5" t="s">
        <v>13</v>
      </c>
      <c r="B47" s="8" t="s">
        <v>35</v>
      </c>
      <c r="C47" s="34">
        <v>25</v>
      </c>
      <c r="D47" s="36">
        <v>25</v>
      </c>
      <c r="E47" s="36">
        <v>25</v>
      </c>
      <c r="F47" s="53">
        <v>25</v>
      </c>
      <c r="G47" s="34">
        <v>25</v>
      </c>
      <c r="H47" s="36">
        <v>25</v>
      </c>
      <c r="I47" s="36">
        <v>25</v>
      </c>
      <c r="J47" s="53">
        <v>25</v>
      </c>
    </row>
    <row r="48" spans="1:10" x14ac:dyDescent="0.2">
      <c r="A48" s="5" t="s">
        <v>15</v>
      </c>
      <c r="B48" s="8" t="s">
        <v>16</v>
      </c>
      <c r="C48" s="33">
        <f>5%*C45</f>
        <v>133.5</v>
      </c>
      <c r="D48" s="35">
        <f t="shared" ref="D48:F48" si="24">5%*D45</f>
        <v>133.5</v>
      </c>
      <c r="E48" s="35">
        <f t="shared" si="24"/>
        <v>133.5</v>
      </c>
      <c r="F48" s="61">
        <f t="shared" si="24"/>
        <v>133.5</v>
      </c>
      <c r="G48" s="33">
        <f>5%*G45</f>
        <v>139</v>
      </c>
      <c r="H48" s="35">
        <f t="shared" ref="H48:J48" si="25">5%*H45</f>
        <v>139</v>
      </c>
      <c r="I48" s="35">
        <f t="shared" si="25"/>
        <v>133.5</v>
      </c>
      <c r="J48" s="61">
        <f t="shared" si="25"/>
        <v>139</v>
      </c>
    </row>
    <row r="49" spans="1:10" x14ac:dyDescent="0.2">
      <c r="A49" s="5" t="s">
        <v>17</v>
      </c>
      <c r="B49" s="8" t="s">
        <v>18</v>
      </c>
      <c r="C49" s="33">
        <v>0</v>
      </c>
      <c r="D49" s="35">
        <v>0</v>
      </c>
      <c r="E49" s="35">
        <v>0</v>
      </c>
      <c r="F49" s="61">
        <v>0</v>
      </c>
      <c r="G49" s="33">
        <v>0</v>
      </c>
      <c r="H49" s="35">
        <v>0</v>
      </c>
      <c r="I49" s="35">
        <v>0</v>
      </c>
      <c r="J49" s="61">
        <v>0</v>
      </c>
    </row>
    <row r="50" spans="1:10" x14ac:dyDescent="0.2">
      <c r="A50" s="5" t="s">
        <v>19</v>
      </c>
      <c r="B50" s="8" t="s">
        <v>12</v>
      </c>
      <c r="C50" s="37">
        <v>0.95</v>
      </c>
      <c r="D50" s="38">
        <v>0.95</v>
      </c>
      <c r="E50" s="38">
        <v>0.95</v>
      </c>
      <c r="F50" s="55">
        <v>0.95</v>
      </c>
      <c r="G50" s="37">
        <v>0.95</v>
      </c>
      <c r="H50" s="38">
        <v>0.95</v>
      </c>
      <c r="I50" s="38">
        <v>0.95</v>
      </c>
      <c r="J50" s="55">
        <v>0.95</v>
      </c>
    </row>
    <row r="51" spans="1:10" x14ac:dyDescent="0.2">
      <c r="A51" s="5" t="s">
        <v>20</v>
      </c>
      <c r="B51" s="8" t="s">
        <v>12</v>
      </c>
      <c r="C51" s="37">
        <v>0.6</v>
      </c>
      <c r="D51" s="38">
        <v>0.6</v>
      </c>
      <c r="E51" s="38">
        <v>0.6</v>
      </c>
      <c r="F51" s="55">
        <v>0.6</v>
      </c>
      <c r="G51" s="37">
        <v>0.57999999999999996</v>
      </c>
      <c r="H51" s="38">
        <v>0.57999999999999996</v>
      </c>
      <c r="I51" s="38">
        <v>0.6</v>
      </c>
      <c r="J51" s="55">
        <v>0.57999999999999996</v>
      </c>
    </row>
    <row r="52" spans="1:10" x14ac:dyDescent="0.2">
      <c r="A52" s="5" t="s">
        <v>23</v>
      </c>
      <c r="B52" s="8" t="s">
        <v>6</v>
      </c>
      <c r="C52" s="33">
        <f>Prices!$C$4</f>
        <v>3.4803259222863696</v>
      </c>
      <c r="D52" s="35">
        <f>Prices!$D$4</f>
        <v>3.1049966561574474</v>
      </c>
      <c r="E52" s="35">
        <f>Prices!$E$4</f>
        <v>3.2073591832835171</v>
      </c>
      <c r="F52" s="61">
        <f>Prices!$F$4</f>
        <v>3.26172120333917</v>
      </c>
      <c r="G52" s="33">
        <f>Prices!$C$4</f>
        <v>3.4803259222863696</v>
      </c>
      <c r="H52" s="35">
        <f>Prices!$D$4</f>
        <v>3.1049966561574474</v>
      </c>
      <c r="I52" s="35">
        <f>Prices!$E$4</f>
        <v>3.2073591832835171</v>
      </c>
      <c r="J52" s="61">
        <f>Prices!$F$4</f>
        <v>3.26172120333917</v>
      </c>
    </row>
    <row r="53" spans="1:10" x14ac:dyDescent="0.2">
      <c r="A53" s="5" t="s">
        <v>24</v>
      </c>
      <c r="B53" s="8" t="s">
        <v>27</v>
      </c>
      <c r="C53" s="32">
        <f>Prices!$B$15</f>
        <v>9.4600000000000004E-2</v>
      </c>
      <c r="D53" s="28">
        <f>C53</f>
        <v>9.4600000000000004E-2</v>
      </c>
      <c r="E53" s="28">
        <f t="shared" ref="E53" si="26">D53</f>
        <v>9.4600000000000004E-2</v>
      </c>
      <c r="F53" s="62">
        <f>E53</f>
        <v>9.4600000000000004E-2</v>
      </c>
      <c r="G53" s="32">
        <f>Prices!$B$15</f>
        <v>9.4600000000000004E-2</v>
      </c>
      <c r="H53" s="28">
        <f>G53</f>
        <v>9.4600000000000004E-2</v>
      </c>
      <c r="I53" s="28">
        <f t="shared" ref="I53" si="27">H53</f>
        <v>9.4600000000000004E-2</v>
      </c>
      <c r="J53" s="62">
        <f>I53</f>
        <v>9.4600000000000004E-2</v>
      </c>
    </row>
    <row r="54" spans="1:10" x14ac:dyDescent="0.2">
      <c r="A54" s="5" t="s">
        <v>25</v>
      </c>
      <c r="B54" s="8" t="s">
        <v>28</v>
      </c>
      <c r="C54" s="33">
        <f>Prices!$C$10</f>
        <v>16</v>
      </c>
      <c r="D54" s="27">
        <f>Prices!$D$10</f>
        <v>100</v>
      </c>
      <c r="E54" s="27">
        <f>Prices!$E$10</f>
        <v>130</v>
      </c>
      <c r="F54" s="42">
        <f>Prices!$F$10</f>
        <v>160</v>
      </c>
      <c r="G54" s="33">
        <f>Prices!$C$10</f>
        <v>16</v>
      </c>
      <c r="H54" s="27">
        <f>Prices!$D$10</f>
        <v>100</v>
      </c>
      <c r="I54" s="27">
        <f>Prices!$E$10</f>
        <v>130</v>
      </c>
      <c r="J54" s="42">
        <f>Prices!$F$10</f>
        <v>160</v>
      </c>
    </row>
    <row r="55" spans="1:10" x14ac:dyDescent="0.2">
      <c r="A55" s="5" t="s">
        <v>43</v>
      </c>
      <c r="B55" s="8" t="s">
        <v>12</v>
      </c>
      <c r="C55" s="37">
        <v>0</v>
      </c>
      <c r="D55" s="29">
        <v>0</v>
      </c>
      <c r="E55" s="29">
        <v>0</v>
      </c>
      <c r="F55" s="67">
        <v>0</v>
      </c>
      <c r="G55" s="37">
        <v>0.9</v>
      </c>
      <c r="H55" s="29">
        <v>0.9</v>
      </c>
      <c r="I55" s="29">
        <v>0.9</v>
      </c>
      <c r="J55" s="67">
        <v>0.9</v>
      </c>
    </row>
    <row r="56" spans="1:10" x14ac:dyDescent="0.2">
      <c r="A56" s="5" t="s">
        <v>113</v>
      </c>
      <c r="B56" s="8" t="s">
        <v>18</v>
      </c>
      <c r="C56" s="33">
        <f>(PMT(C46,C47,-C45)+C48)/(C50*8.76)/3.6</f>
        <v>12.804825898847596</v>
      </c>
      <c r="D56" s="14">
        <f t="shared" ref="D56:F56" si="28">(PMT(D46,D47,-D45)+D48)/(D50*8.76)/3.6</f>
        <v>12.804825898847596</v>
      </c>
      <c r="E56" s="14">
        <f t="shared" si="28"/>
        <v>12.804825898847596</v>
      </c>
      <c r="F56" s="15">
        <f t="shared" si="28"/>
        <v>12.804825898847596</v>
      </c>
      <c r="G56" s="33">
        <f>(PMT(G46,G47,-G45)+G48)/(G50*8.76)/3.6</f>
        <v>13.332365542620346</v>
      </c>
      <c r="H56" s="14">
        <f t="shared" ref="H56:J56" si="29">(PMT(H46,H47,-H45)+H48)/(H50*8.76)/3.6</f>
        <v>13.332365542620346</v>
      </c>
      <c r="I56" s="14">
        <f t="shared" si="29"/>
        <v>12.804825898847596</v>
      </c>
      <c r="J56" s="15">
        <f t="shared" si="29"/>
        <v>13.332365542620346</v>
      </c>
    </row>
    <row r="57" spans="1:10" x14ac:dyDescent="0.2">
      <c r="A57" s="5" t="s">
        <v>112</v>
      </c>
      <c r="B57" s="8" t="s">
        <v>18</v>
      </c>
      <c r="C57" s="33">
        <f>(C52+C53*(1-C55)*C54)/C51</f>
        <v>8.3232098704772834</v>
      </c>
      <c r="D57" s="14">
        <f t="shared" ref="D57:F57" si="30">(D52+D53*(1-D55)*D54)/D51</f>
        <v>20.941661093595748</v>
      </c>
      <c r="E57" s="14">
        <f t="shared" si="30"/>
        <v>25.84226530547253</v>
      </c>
      <c r="F57" s="15">
        <f t="shared" si="30"/>
        <v>30.662868672231951</v>
      </c>
      <c r="G57" s="33">
        <f>(G52+G53*(1-G55)*G54)/G51</f>
        <v>6.2615274522178792</v>
      </c>
      <c r="H57" s="14">
        <f t="shared" ref="H57:J57" si="31">(H52+H53*(1-H55)*H54)/H51</f>
        <v>6.9844769933749093</v>
      </c>
      <c r="I57" s="14">
        <f t="shared" si="31"/>
        <v>7.3952653054725284</v>
      </c>
      <c r="J57" s="15">
        <f t="shared" si="31"/>
        <v>8.2333124195502929</v>
      </c>
    </row>
    <row r="58" spans="1:10" x14ac:dyDescent="0.2">
      <c r="A58" s="56" t="s">
        <v>26</v>
      </c>
      <c r="B58" s="57" t="s">
        <v>6</v>
      </c>
      <c r="C58" s="58">
        <f>SUM(C56:C57)+C49</f>
        <v>21.128035769324882</v>
      </c>
      <c r="D58" s="59">
        <f t="shared" ref="D58" si="32">SUM(D56:D57)+D49</f>
        <v>33.746486992443344</v>
      </c>
      <c r="E58" s="59">
        <f t="shared" ref="E58" si="33">SUM(E56:E57)+E49</f>
        <v>38.647091204320127</v>
      </c>
      <c r="F58" s="60">
        <f t="shared" ref="F58" si="34">SUM(F56:F57)+F49</f>
        <v>43.467694571079548</v>
      </c>
      <c r="G58" s="58">
        <f>SUM(G56:G57)+G49</f>
        <v>19.593892994838225</v>
      </c>
      <c r="H58" s="59">
        <f t="shared" ref="H58" si="35">SUM(H56:H57)+H49</f>
        <v>20.316842535995256</v>
      </c>
      <c r="I58" s="59">
        <f t="shared" ref="I58" si="36">SUM(I56:I57)+I49</f>
        <v>20.200091204320124</v>
      </c>
      <c r="J58" s="60">
        <f t="shared" ref="J58" si="37">SUM(J56:J57)+J49</f>
        <v>21.565677962170639</v>
      </c>
    </row>
    <row r="61" spans="1:10" x14ac:dyDescent="0.2">
      <c r="A61" s="22" t="s">
        <v>9</v>
      </c>
      <c r="B61" s="23"/>
      <c r="C61" s="189" t="s">
        <v>54</v>
      </c>
      <c r="D61" s="185"/>
      <c r="E61" s="185"/>
      <c r="F61" s="186"/>
      <c r="G61" s="189" t="s">
        <v>58</v>
      </c>
      <c r="H61" s="185"/>
      <c r="I61" s="185"/>
      <c r="J61" s="186"/>
    </row>
    <row r="62" spans="1:10" x14ac:dyDescent="0.2">
      <c r="A62" s="24"/>
      <c r="B62" s="25"/>
      <c r="C62" s="190" t="s">
        <v>55</v>
      </c>
      <c r="D62" s="191"/>
      <c r="E62" s="191"/>
      <c r="F62" s="192"/>
      <c r="G62" s="190" t="s">
        <v>55</v>
      </c>
      <c r="H62" s="191"/>
      <c r="I62" s="191"/>
      <c r="J62" s="192"/>
    </row>
    <row r="63" spans="1:10" x14ac:dyDescent="0.2">
      <c r="A63" s="1"/>
      <c r="B63" s="2" t="s">
        <v>5</v>
      </c>
      <c r="C63" s="41" t="s">
        <v>22</v>
      </c>
      <c r="D63" s="2">
        <v>2030</v>
      </c>
      <c r="E63" s="2">
        <v>2040</v>
      </c>
      <c r="F63" s="13">
        <v>2050</v>
      </c>
      <c r="G63" s="41" t="s">
        <v>22</v>
      </c>
      <c r="H63" s="2">
        <v>2030</v>
      </c>
      <c r="I63" s="2">
        <v>2040</v>
      </c>
      <c r="J63" s="13">
        <v>2050</v>
      </c>
    </row>
    <row r="64" spans="1:10" x14ac:dyDescent="0.2">
      <c r="A64" s="5" t="s">
        <v>10</v>
      </c>
      <c r="B64" s="8" t="s">
        <v>63</v>
      </c>
      <c r="C64" s="69">
        <f>H2_Synthetic_Fuels!C65/H2_Synthetic_Fuels!C44*C45</f>
        <v>7758.3448275862074</v>
      </c>
      <c r="D64" s="66">
        <f>H2_Synthetic_Fuels!D65/H2_Synthetic_Fuels!D44*D45</f>
        <v>7758.3448275862074</v>
      </c>
      <c r="E64" s="66">
        <f>H2_Synthetic_Fuels!E65/H2_Synthetic_Fuels!E44*E45</f>
        <v>7758.3448275862074</v>
      </c>
      <c r="F64" s="79">
        <f>H2_Synthetic_Fuels!F65/H2_Synthetic_Fuels!F44*F45</f>
        <v>7758.3448275862074</v>
      </c>
      <c r="G64" s="69">
        <f>G45-C45+C64</f>
        <v>7868.3448275862074</v>
      </c>
      <c r="H64" s="66">
        <f t="shared" ref="H64:J64" si="38">H45-D45+D64</f>
        <v>7868.3448275862074</v>
      </c>
      <c r="I64" s="66">
        <f t="shared" si="38"/>
        <v>7758.3448275862074</v>
      </c>
      <c r="J64" s="79">
        <f t="shared" si="38"/>
        <v>7868.3448275862074</v>
      </c>
    </row>
    <row r="65" spans="1:10" x14ac:dyDescent="0.2">
      <c r="A65" s="5" t="s">
        <v>11</v>
      </c>
      <c r="B65" s="8" t="s">
        <v>12</v>
      </c>
      <c r="C65" s="39">
        <v>0.08</v>
      </c>
      <c r="D65" s="40">
        <v>0.08</v>
      </c>
      <c r="E65" s="40">
        <v>0.08</v>
      </c>
      <c r="F65" s="52">
        <v>0.08</v>
      </c>
      <c r="G65" s="39">
        <v>0.08</v>
      </c>
      <c r="H65" s="40">
        <v>0.08</v>
      </c>
      <c r="I65" s="40">
        <v>0.08</v>
      </c>
      <c r="J65" s="52">
        <v>0.08</v>
      </c>
    </row>
    <row r="66" spans="1:10" x14ac:dyDescent="0.2">
      <c r="A66" s="5" t="s">
        <v>13</v>
      </c>
      <c r="B66" s="8" t="s">
        <v>35</v>
      </c>
      <c r="C66" s="34">
        <v>25</v>
      </c>
      <c r="D66" s="36">
        <v>25</v>
      </c>
      <c r="E66" s="36">
        <v>25</v>
      </c>
      <c r="F66" s="53">
        <v>25</v>
      </c>
      <c r="G66" s="34">
        <v>25</v>
      </c>
      <c r="H66" s="36">
        <v>25</v>
      </c>
      <c r="I66" s="36">
        <v>25</v>
      </c>
      <c r="J66" s="53">
        <v>25</v>
      </c>
    </row>
    <row r="67" spans="1:10" x14ac:dyDescent="0.2">
      <c r="A67" s="5" t="s">
        <v>15</v>
      </c>
      <c r="B67" s="8" t="s">
        <v>16</v>
      </c>
      <c r="C67" s="33">
        <f>5%*C64</f>
        <v>387.91724137931038</v>
      </c>
      <c r="D67" s="35">
        <f t="shared" ref="D67:F67" si="39">5%*D64</f>
        <v>387.91724137931038</v>
      </c>
      <c r="E67" s="35">
        <f t="shared" si="39"/>
        <v>387.91724137931038</v>
      </c>
      <c r="F67" s="61">
        <f t="shared" si="39"/>
        <v>387.91724137931038</v>
      </c>
      <c r="G67" s="33">
        <f>5%*G64</f>
        <v>393.41724137931038</v>
      </c>
      <c r="H67" s="35">
        <f t="shared" ref="H67:J67" si="40">5%*H64</f>
        <v>393.41724137931038</v>
      </c>
      <c r="I67" s="35">
        <f t="shared" si="40"/>
        <v>387.91724137931038</v>
      </c>
      <c r="J67" s="61">
        <f t="shared" si="40"/>
        <v>393.41724137931038</v>
      </c>
    </row>
    <row r="68" spans="1:10" x14ac:dyDescent="0.2">
      <c r="A68" s="5" t="s">
        <v>17</v>
      </c>
      <c r="B68" s="8" t="s">
        <v>18</v>
      </c>
      <c r="C68" s="33">
        <v>0</v>
      </c>
      <c r="D68" s="35">
        <v>0</v>
      </c>
      <c r="E68" s="35">
        <v>0</v>
      </c>
      <c r="F68" s="61">
        <v>0</v>
      </c>
      <c r="G68" s="33">
        <v>0</v>
      </c>
      <c r="H68" s="35">
        <v>0</v>
      </c>
      <c r="I68" s="35">
        <v>0</v>
      </c>
      <c r="J68" s="61">
        <v>0</v>
      </c>
    </row>
    <row r="69" spans="1:10" x14ac:dyDescent="0.2">
      <c r="A69" s="5" t="s">
        <v>19</v>
      </c>
      <c r="B69" s="8" t="s">
        <v>12</v>
      </c>
      <c r="C69" s="37">
        <v>0.95</v>
      </c>
      <c r="D69" s="38">
        <v>0.95</v>
      </c>
      <c r="E69" s="38">
        <v>0.95</v>
      </c>
      <c r="F69" s="55">
        <v>0.95</v>
      </c>
      <c r="G69" s="37">
        <v>0.95</v>
      </c>
      <c r="H69" s="38">
        <v>0.95</v>
      </c>
      <c r="I69" s="38">
        <v>0.95</v>
      </c>
      <c r="J69" s="55">
        <v>0.95</v>
      </c>
    </row>
    <row r="70" spans="1:10" x14ac:dyDescent="0.2">
      <c r="A70" s="5" t="s">
        <v>20</v>
      </c>
      <c r="B70" s="8" t="s">
        <v>12</v>
      </c>
      <c r="C70" s="70">
        <v>0.69</v>
      </c>
      <c r="D70" s="71">
        <v>0.7</v>
      </c>
      <c r="E70" s="71">
        <f>AVERAGE(D70,F70)</f>
        <v>0.71</v>
      </c>
      <c r="F70" s="72">
        <v>0.72</v>
      </c>
      <c r="G70" s="70">
        <v>0.67</v>
      </c>
      <c r="H70" s="71">
        <v>0.68</v>
      </c>
      <c r="I70" s="71">
        <v>0.69</v>
      </c>
      <c r="J70" s="72">
        <f t="shared" ref="J70" si="41">J51/F51*F70</f>
        <v>0.69599999999999995</v>
      </c>
    </row>
    <row r="71" spans="1:10" x14ac:dyDescent="0.2">
      <c r="A71" s="5" t="s">
        <v>23</v>
      </c>
      <c r="B71" s="8" t="s">
        <v>6</v>
      </c>
      <c r="C71" s="33">
        <f>Prices!$C$8</f>
        <v>10</v>
      </c>
      <c r="D71" s="35">
        <f>Prices!$D$8</f>
        <v>10</v>
      </c>
      <c r="E71" s="35">
        <f>Prices!$E$8</f>
        <v>10</v>
      </c>
      <c r="F71" s="61">
        <f>Prices!$F$8</f>
        <v>10</v>
      </c>
      <c r="G71" s="33">
        <f>Prices!$C$8</f>
        <v>10</v>
      </c>
      <c r="H71" s="35">
        <f>Prices!$D$8</f>
        <v>10</v>
      </c>
      <c r="I71" s="35">
        <f>Prices!$E$8</f>
        <v>10</v>
      </c>
      <c r="J71" s="61">
        <f>Prices!$F$8</f>
        <v>10</v>
      </c>
    </row>
    <row r="72" spans="1:10" x14ac:dyDescent="0.2">
      <c r="A72" s="5" t="s">
        <v>24</v>
      </c>
      <c r="B72" s="8" t="s">
        <v>27</v>
      </c>
      <c r="C72" s="32">
        <f>Prices!$B$17</f>
        <v>0</v>
      </c>
      <c r="D72" s="28">
        <f>C72</f>
        <v>0</v>
      </c>
      <c r="E72" s="28">
        <f t="shared" ref="E72" si="42">D72</f>
        <v>0</v>
      </c>
      <c r="F72" s="62">
        <f>E72</f>
        <v>0</v>
      </c>
      <c r="G72" s="32">
        <f>Prices!$B$18</f>
        <v>0.112</v>
      </c>
      <c r="H72" s="28">
        <f>G72</f>
        <v>0.112</v>
      </c>
      <c r="I72" s="28">
        <f t="shared" ref="I72" si="43">H72</f>
        <v>0.112</v>
      </c>
      <c r="J72" s="62">
        <f>I72</f>
        <v>0.112</v>
      </c>
    </row>
    <row r="73" spans="1:10" x14ac:dyDescent="0.2">
      <c r="A73" s="5" t="s">
        <v>25</v>
      </c>
      <c r="B73" s="8" t="s">
        <v>28</v>
      </c>
      <c r="C73" s="33">
        <f>Prices!$C$10</f>
        <v>16</v>
      </c>
      <c r="D73" s="27">
        <f>Prices!$D$10</f>
        <v>100</v>
      </c>
      <c r="E73" s="27">
        <f>Prices!$E$10</f>
        <v>130</v>
      </c>
      <c r="F73" s="42">
        <f>Prices!$F$10</f>
        <v>160</v>
      </c>
      <c r="G73" s="33">
        <f>Prices!$C$10</f>
        <v>16</v>
      </c>
      <c r="H73" s="27">
        <f>Prices!$D$10</f>
        <v>100</v>
      </c>
      <c r="I73" s="27">
        <f>Prices!$E$10</f>
        <v>130</v>
      </c>
      <c r="J73" s="42">
        <f>Prices!$F$10</f>
        <v>160</v>
      </c>
    </row>
    <row r="74" spans="1:10" x14ac:dyDescent="0.2">
      <c r="A74" s="5" t="s">
        <v>43</v>
      </c>
      <c r="B74" s="8" t="s">
        <v>12</v>
      </c>
      <c r="C74" s="37">
        <v>0</v>
      </c>
      <c r="D74" s="29">
        <v>0</v>
      </c>
      <c r="E74" s="29">
        <v>0</v>
      </c>
      <c r="F74" s="67">
        <v>0</v>
      </c>
      <c r="G74" s="37">
        <v>2</v>
      </c>
      <c r="H74" s="29">
        <v>2</v>
      </c>
      <c r="I74" s="29">
        <v>2</v>
      </c>
      <c r="J74" s="67">
        <v>2</v>
      </c>
    </row>
    <row r="75" spans="1:10" x14ac:dyDescent="0.2">
      <c r="A75" s="5" t="s">
        <v>113</v>
      </c>
      <c r="B75" s="8" t="s">
        <v>18</v>
      </c>
      <c r="C75" s="33">
        <f>(PMT(C65,C66,-C64)+C67)/(C69*8.76)/3.6</f>
        <v>37.207586060099686</v>
      </c>
      <c r="D75" s="14">
        <f t="shared" ref="D75:F75" si="44">(PMT(D65,D66,-D64)+D67)/(D69*8.76)/3.6</f>
        <v>37.207586060099686</v>
      </c>
      <c r="E75" s="14">
        <f t="shared" si="44"/>
        <v>37.207586060099686</v>
      </c>
      <c r="F75" s="15">
        <f t="shared" si="44"/>
        <v>37.207586060099686</v>
      </c>
      <c r="G75" s="33">
        <f>(PMT(G65,G66,-G64)+G67)/(G69*8.76)/3.6</f>
        <v>37.735125703872434</v>
      </c>
      <c r="H75" s="14">
        <f t="shared" ref="H75:J75" si="45">(PMT(H65,H66,-H64)+H67)/(H69*8.76)/3.6</f>
        <v>37.735125703872434</v>
      </c>
      <c r="I75" s="14">
        <f t="shared" si="45"/>
        <v>37.207586060099686</v>
      </c>
      <c r="J75" s="15">
        <f t="shared" si="45"/>
        <v>37.735125703872434</v>
      </c>
    </row>
    <row r="76" spans="1:10" x14ac:dyDescent="0.2">
      <c r="A76" s="5" t="s">
        <v>112</v>
      </c>
      <c r="B76" s="8" t="s">
        <v>18</v>
      </c>
      <c r="C76" s="33">
        <f>(C71+C72*(1-C74)*C73)/C70</f>
        <v>14.492753623188406</v>
      </c>
      <c r="D76" s="14">
        <f t="shared" ref="D76:F76" si="46">(D71+D72*(1-D74)*D73)/D70</f>
        <v>14.285714285714286</v>
      </c>
      <c r="E76" s="14">
        <f t="shared" si="46"/>
        <v>14.084507042253522</v>
      </c>
      <c r="F76" s="15">
        <f t="shared" si="46"/>
        <v>13.888888888888889</v>
      </c>
      <c r="G76" s="33">
        <f>(G71+G72*(1-G74)*G73)/G70</f>
        <v>12.250746268656716</v>
      </c>
      <c r="H76" s="14">
        <f t="shared" ref="H76:J76" si="47">(H71+H72*(1-H74)*H73)/H70</f>
        <v>-1.7647058823529427</v>
      </c>
      <c r="I76" s="14">
        <f t="shared" si="47"/>
        <v>-6.608695652173914</v>
      </c>
      <c r="J76" s="15">
        <f t="shared" si="47"/>
        <v>-11.379310344827589</v>
      </c>
    </row>
    <row r="77" spans="1:10" x14ac:dyDescent="0.2">
      <c r="A77" s="56" t="s">
        <v>26</v>
      </c>
      <c r="B77" s="57" t="s">
        <v>6</v>
      </c>
      <c r="C77" s="58">
        <f>SUM(C75:C76)+C68</f>
        <v>51.700339683288092</v>
      </c>
      <c r="D77" s="59">
        <f t="shared" ref="D77" si="48">SUM(D75:D76)+D68</f>
        <v>51.493300345813971</v>
      </c>
      <c r="E77" s="59">
        <f t="shared" ref="E77" si="49">SUM(E75:E76)+E68</f>
        <v>51.292093102353206</v>
      </c>
      <c r="F77" s="60">
        <f t="shared" ref="F77" si="50">SUM(F75:F76)+F68</f>
        <v>51.096474948988572</v>
      </c>
      <c r="G77" s="58">
        <f>SUM(G75:G76)+G68</f>
        <v>49.985871972529154</v>
      </c>
      <c r="H77" s="59">
        <f t="shared" ref="H77" si="51">SUM(H75:H76)+H68</f>
        <v>35.970419821519492</v>
      </c>
      <c r="I77" s="59">
        <f t="shared" ref="I77" si="52">SUM(I75:I76)+I68</f>
        <v>30.598890407925772</v>
      </c>
      <c r="J77" s="60">
        <f t="shared" ref="J77" si="53">SUM(J75:J76)+J68</f>
        <v>26.355815359044847</v>
      </c>
    </row>
  </sheetData>
  <mergeCells count="18">
    <mergeCell ref="C2:F2"/>
    <mergeCell ref="C3:F3"/>
    <mergeCell ref="G2:J2"/>
    <mergeCell ref="G3:J3"/>
    <mergeCell ref="K2:N2"/>
    <mergeCell ref="K3:N3"/>
    <mergeCell ref="C61:F61"/>
    <mergeCell ref="C62:F62"/>
    <mergeCell ref="G61:J61"/>
    <mergeCell ref="G62:J62"/>
    <mergeCell ref="C23:F23"/>
    <mergeCell ref="C24:F24"/>
    <mergeCell ref="G23:J23"/>
    <mergeCell ref="G24:J24"/>
    <mergeCell ref="C42:F42"/>
    <mergeCell ref="C43:F43"/>
    <mergeCell ref="G42:J42"/>
    <mergeCell ref="G43:J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topLeftCell="A5" workbookViewId="0">
      <selection activeCell="B25" sqref="B25"/>
    </sheetView>
  </sheetViews>
  <sheetFormatPr defaultColWidth="8.7109375" defaultRowHeight="11.25" x14ac:dyDescent="0.2"/>
  <cols>
    <col min="1" max="1" width="15.5703125" style="48" customWidth="1"/>
    <col min="2" max="2" width="14.5703125" style="48" bestFit="1" customWidth="1"/>
    <col min="3" max="3" width="21.85546875" style="48" bestFit="1" customWidth="1"/>
    <col min="4" max="5" width="17.5703125" style="48" customWidth="1"/>
    <col min="6" max="6" width="8.7109375" style="48"/>
    <col min="7" max="7" width="21.85546875" style="48" bestFit="1" customWidth="1"/>
    <col min="8" max="16384" width="8.7109375" style="48"/>
  </cols>
  <sheetData>
    <row r="1" spans="1:6" x14ac:dyDescent="0.2">
      <c r="A1" s="85" t="s">
        <v>163</v>
      </c>
    </row>
    <row r="3" spans="1:6" x14ac:dyDescent="0.2">
      <c r="A3" s="91" t="s">
        <v>95</v>
      </c>
      <c r="B3" s="92" t="s">
        <v>122</v>
      </c>
      <c r="C3" s="93" t="s">
        <v>123</v>
      </c>
      <c r="D3" s="89" t="s">
        <v>51</v>
      </c>
      <c r="E3" s="89" t="s">
        <v>107</v>
      </c>
      <c r="F3" s="89" t="s">
        <v>60</v>
      </c>
    </row>
    <row r="4" spans="1:6" x14ac:dyDescent="0.2">
      <c r="A4" s="86" t="s">
        <v>165</v>
      </c>
      <c r="B4" s="31" t="s">
        <v>13</v>
      </c>
      <c r="C4" s="31" t="s">
        <v>14</v>
      </c>
      <c r="D4" s="97">
        <v>40</v>
      </c>
      <c r="E4" s="97" t="s">
        <v>108</v>
      </c>
      <c r="F4" s="98">
        <v>40</v>
      </c>
    </row>
    <row r="5" spans="1:6" x14ac:dyDescent="0.2">
      <c r="A5" s="5"/>
      <c r="B5" s="6" t="s">
        <v>96</v>
      </c>
      <c r="C5" s="6" t="s">
        <v>97</v>
      </c>
      <c r="D5" s="94"/>
      <c r="E5" s="94" t="s">
        <v>106</v>
      </c>
      <c r="F5" s="96"/>
    </row>
    <row r="6" spans="1:6" x14ac:dyDescent="0.2">
      <c r="A6" s="5"/>
      <c r="B6" s="6" t="s">
        <v>98</v>
      </c>
      <c r="C6" s="6" t="s">
        <v>124</v>
      </c>
      <c r="D6" s="94" t="s">
        <v>125</v>
      </c>
      <c r="E6" s="94">
        <v>800</v>
      </c>
      <c r="F6" s="96">
        <v>240</v>
      </c>
    </row>
    <row r="7" spans="1:6" x14ac:dyDescent="0.2">
      <c r="A7" s="5"/>
      <c r="B7" s="6" t="s">
        <v>100</v>
      </c>
      <c r="C7" s="6" t="s">
        <v>99</v>
      </c>
      <c r="D7" s="94">
        <v>7.9</v>
      </c>
      <c r="E7" s="94" t="s">
        <v>108</v>
      </c>
      <c r="F7" s="96" t="s">
        <v>108</v>
      </c>
    </row>
    <row r="8" spans="1:6" x14ac:dyDescent="0.2">
      <c r="A8" s="5"/>
      <c r="B8" s="6" t="s">
        <v>101</v>
      </c>
      <c r="C8" s="6" t="s">
        <v>102</v>
      </c>
      <c r="D8" s="94">
        <v>15</v>
      </c>
      <c r="E8" s="94" t="s">
        <v>108</v>
      </c>
      <c r="F8" s="96" t="s">
        <v>108</v>
      </c>
    </row>
    <row r="9" spans="1:6" x14ac:dyDescent="0.2">
      <c r="A9" s="5"/>
      <c r="B9" s="6" t="s">
        <v>126</v>
      </c>
      <c r="C9" s="6" t="s">
        <v>127</v>
      </c>
      <c r="D9" s="94">
        <v>1.21</v>
      </c>
      <c r="E9" s="94">
        <v>2.3199999999999998</v>
      </c>
      <c r="F9" s="96">
        <v>0.55000000000000004</v>
      </c>
    </row>
    <row r="10" spans="1:6" x14ac:dyDescent="0.2">
      <c r="A10" s="18"/>
      <c r="B10" s="87" t="s">
        <v>105</v>
      </c>
      <c r="C10" s="87" t="s">
        <v>12</v>
      </c>
      <c r="D10" s="103">
        <v>0.75</v>
      </c>
      <c r="E10" s="103">
        <v>0.75</v>
      </c>
      <c r="F10" s="104">
        <v>0.75</v>
      </c>
    </row>
    <row r="11" spans="1:6" x14ac:dyDescent="0.2">
      <c r="A11" s="86" t="s">
        <v>109</v>
      </c>
      <c r="B11" s="31" t="s">
        <v>110</v>
      </c>
      <c r="C11" s="31" t="s">
        <v>124</v>
      </c>
      <c r="D11" s="97">
        <v>260</v>
      </c>
      <c r="E11" s="97" t="s">
        <v>108</v>
      </c>
      <c r="F11" s="98" t="s">
        <v>108</v>
      </c>
    </row>
    <row r="12" spans="1:6" x14ac:dyDescent="0.2">
      <c r="A12" s="5"/>
      <c r="B12" s="6" t="s">
        <v>128</v>
      </c>
      <c r="C12" s="6" t="s">
        <v>129</v>
      </c>
      <c r="D12" s="94">
        <v>1400</v>
      </c>
      <c r="E12" s="94"/>
      <c r="F12" s="96" t="s">
        <v>108</v>
      </c>
    </row>
    <row r="13" spans="1:6" x14ac:dyDescent="0.2">
      <c r="A13" s="5"/>
      <c r="B13" s="6" t="s">
        <v>130</v>
      </c>
      <c r="C13" s="6" t="s">
        <v>131</v>
      </c>
      <c r="D13" s="101">
        <v>0.04</v>
      </c>
      <c r="E13" s="94" t="s">
        <v>108</v>
      </c>
      <c r="F13" s="96" t="s">
        <v>108</v>
      </c>
    </row>
    <row r="14" spans="1:6" x14ac:dyDescent="0.2">
      <c r="A14" s="18"/>
      <c r="B14" s="87" t="s">
        <v>132</v>
      </c>
      <c r="C14" s="87" t="s">
        <v>133</v>
      </c>
      <c r="D14" s="99">
        <v>6.1</v>
      </c>
      <c r="E14" s="99" t="s">
        <v>108</v>
      </c>
      <c r="F14" s="100" t="s">
        <v>108</v>
      </c>
    </row>
    <row r="15" spans="1:6" x14ac:dyDescent="0.2">
      <c r="A15" s="86" t="s">
        <v>166</v>
      </c>
      <c r="B15" s="31" t="s">
        <v>110</v>
      </c>
      <c r="C15" s="31" t="s">
        <v>134</v>
      </c>
      <c r="D15" s="97" t="s">
        <v>108</v>
      </c>
      <c r="E15" s="97">
        <v>4200</v>
      </c>
      <c r="F15" s="98" t="s">
        <v>108</v>
      </c>
    </row>
    <row r="16" spans="1:6" x14ac:dyDescent="0.2">
      <c r="A16" s="5"/>
      <c r="B16" s="6" t="s">
        <v>135</v>
      </c>
      <c r="C16" s="6" t="s">
        <v>129</v>
      </c>
      <c r="D16" s="94"/>
      <c r="E16" s="94">
        <v>230</v>
      </c>
      <c r="F16" s="96" t="s">
        <v>108</v>
      </c>
    </row>
    <row r="17" spans="1:6" x14ac:dyDescent="0.2">
      <c r="A17" s="5"/>
      <c r="B17" s="6" t="s">
        <v>130</v>
      </c>
      <c r="C17" s="6" t="s">
        <v>131</v>
      </c>
      <c r="D17" s="94" t="s">
        <v>108</v>
      </c>
      <c r="E17" s="101">
        <v>0.04</v>
      </c>
      <c r="F17" s="96" t="s">
        <v>108</v>
      </c>
    </row>
    <row r="18" spans="1:6" x14ac:dyDescent="0.2">
      <c r="A18" s="5"/>
      <c r="B18" s="6" t="s">
        <v>132</v>
      </c>
      <c r="C18" s="6" t="s">
        <v>133</v>
      </c>
      <c r="D18" s="94" t="s">
        <v>108</v>
      </c>
      <c r="E18" s="94">
        <v>1.5</v>
      </c>
      <c r="F18" s="96" t="s">
        <v>108</v>
      </c>
    </row>
    <row r="19" spans="1:6" x14ac:dyDescent="0.2">
      <c r="A19" s="5"/>
      <c r="B19" s="6" t="s">
        <v>136</v>
      </c>
      <c r="C19" s="6" t="s">
        <v>133</v>
      </c>
      <c r="D19" s="94"/>
      <c r="E19" s="94">
        <v>0.2</v>
      </c>
      <c r="F19" s="96"/>
    </row>
    <row r="20" spans="1:6" x14ac:dyDescent="0.2">
      <c r="A20" s="5"/>
      <c r="B20" s="6" t="s">
        <v>115</v>
      </c>
      <c r="C20" s="6" t="s">
        <v>116</v>
      </c>
      <c r="D20" s="94" t="s">
        <v>108</v>
      </c>
      <c r="E20" s="94">
        <v>260</v>
      </c>
      <c r="F20" s="96" t="s">
        <v>108</v>
      </c>
    </row>
    <row r="21" spans="1:6" x14ac:dyDescent="0.2">
      <c r="A21" s="5"/>
      <c r="B21" s="6" t="s">
        <v>117</v>
      </c>
      <c r="C21" s="6" t="s">
        <v>137</v>
      </c>
      <c r="D21" s="94" t="s">
        <v>108</v>
      </c>
      <c r="E21" s="94">
        <v>400</v>
      </c>
      <c r="F21" s="96" t="s">
        <v>108</v>
      </c>
    </row>
    <row r="22" spans="1:6" x14ac:dyDescent="0.2">
      <c r="A22" s="18"/>
      <c r="B22" s="87" t="s">
        <v>119</v>
      </c>
      <c r="C22" s="87" t="s">
        <v>134</v>
      </c>
      <c r="D22" s="99" t="s">
        <v>108</v>
      </c>
      <c r="E22" s="99">
        <v>100</v>
      </c>
      <c r="F22" s="100" t="s">
        <v>108</v>
      </c>
    </row>
    <row r="23" spans="1:6" x14ac:dyDescent="0.2">
      <c r="A23" s="86" t="s">
        <v>138</v>
      </c>
      <c r="B23" s="31" t="s">
        <v>139</v>
      </c>
      <c r="C23" s="31" t="s">
        <v>164</v>
      </c>
      <c r="D23" s="97">
        <v>3190</v>
      </c>
      <c r="E23" s="97">
        <v>51750</v>
      </c>
      <c r="F23" s="98">
        <v>34100</v>
      </c>
    </row>
    <row r="24" spans="1:6" x14ac:dyDescent="0.2">
      <c r="A24" s="5"/>
      <c r="B24" s="6" t="s">
        <v>140</v>
      </c>
      <c r="C24" s="6"/>
      <c r="D24" s="193" t="s">
        <v>121</v>
      </c>
      <c r="E24" s="194"/>
      <c r="F24" s="195"/>
    </row>
    <row r="25" spans="1:6" x14ac:dyDescent="0.2">
      <c r="A25" s="5"/>
      <c r="B25" s="6" t="s">
        <v>141</v>
      </c>
      <c r="C25" s="6" t="s">
        <v>129</v>
      </c>
      <c r="D25" s="94">
        <v>290</v>
      </c>
      <c r="E25" s="94">
        <v>42</v>
      </c>
      <c r="F25" s="96">
        <v>68</v>
      </c>
    </row>
    <row r="26" spans="1:6" x14ac:dyDescent="0.2">
      <c r="A26" s="5"/>
      <c r="B26" s="6" t="s">
        <v>130</v>
      </c>
      <c r="C26" s="6" t="s">
        <v>131</v>
      </c>
      <c r="D26" s="101">
        <v>0.04</v>
      </c>
      <c r="E26" s="101">
        <v>0.04</v>
      </c>
      <c r="F26" s="102">
        <v>0.04</v>
      </c>
    </row>
    <row r="27" spans="1:6" x14ac:dyDescent="0.2">
      <c r="A27" s="5"/>
      <c r="B27" s="6" t="s">
        <v>132</v>
      </c>
      <c r="C27" s="6" t="s">
        <v>133</v>
      </c>
      <c r="D27" s="94">
        <v>0.61</v>
      </c>
      <c r="E27" s="94">
        <v>0.01</v>
      </c>
      <c r="F27" s="96">
        <v>5.0000000000000001E-3</v>
      </c>
    </row>
    <row r="28" spans="1:6" x14ac:dyDescent="0.2">
      <c r="A28" s="5"/>
      <c r="B28" s="6" t="s">
        <v>142</v>
      </c>
      <c r="C28" s="6" t="s">
        <v>143</v>
      </c>
      <c r="D28" s="105">
        <v>1E-3</v>
      </c>
      <c r="E28" s="94" t="s">
        <v>108</v>
      </c>
      <c r="F28" s="96" t="s">
        <v>108</v>
      </c>
    </row>
    <row r="29" spans="1:6" x14ac:dyDescent="0.2">
      <c r="A29" s="18"/>
      <c r="B29" s="87" t="s">
        <v>144</v>
      </c>
      <c r="C29" s="87" t="s">
        <v>12</v>
      </c>
      <c r="D29" s="106">
        <v>1E-3</v>
      </c>
      <c r="E29" s="99"/>
      <c r="F29" s="100"/>
    </row>
    <row r="30" spans="1:6" x14ac:dyDescent="0.2">
      <c r="A30" s="86" t="s">
        <v>167</v>
      </c>
      <c r="B30" s="31" t="s">
        <v>145</v>
      </c>
      <c r="C30" s="31" t="s">
        <v>164</v>
      </c>
      <c r="D30" s="97">
        <v>11000</v>
      </c>
      <c r="E30" s="97">
        <v>110000</v>
      </c>
      <c r="F30" s="98">
        <v>53000</v>
      </c>
    </row>
    <row r="31" spans="1:6" x14ac:dyDescent="0.2">
      <c r="A31" s="5"/>
      <c r="B31" s="6" t="s">
        <v>146</v>
      </c>
      <c r="C31" s="6" t="s">
        <v>129</v>
      </c>
      <c r="D31" s="94">
        <v>412</v>
      </c>
      <c r="E31" s="94">
        <v>76</v>
      </c>
      <c r="F31" s="96">
        <v>85</v>
      </c>
    </row>
    <row r="32" spans="1:6" x14ac:dyDescent="0.2">
      <c r="A32" s="5"/>
      <c r="B32" s="6" t="s">
        <v>147</v>
      </c>
      <c r="C32" s="6" t="s">
        <v>148</v>
      </c>
      <c r="D32" s="94">
        <v>30</v>
      </c>
      <c r="E32" s="94">
        <v>30</v>
      </c>
      <c r="F32" s="96">
        <v>30</v>
      </c>
    </row>
    <row r="33" spans="1:6" x14ac:dyDescent="0.2">
      <c r="A33" s="5"/>
      <c r="B33" s="6" t="s">
        <v>149</v>
      </c>
      <c r="C33" s="6"/>
      <c r="D33" s="94"/>
      <c r="E33" s="94" t="s">
        <v>150</v>
      </c>
      <c r="F33" s="96"/>
    </row>
    <row r="34" spans="1:6" x14ac:dyDescent="0.2">
      <c r="A34" s="5"/>
      <c r="B34" s="6" t="s">
        <v>130</v>
      </c>
      <c r="C34" s="6" t="s">
        <v>131</v>
      </c>
      <c r="D34" s="101">
        <v>0.04</v>
      </c>
      <c r="E34" s="101">
        <v>0.04</v>
      </c>
      <c r="F34" s="102">
        <v>0.04</v>
      </c>
    </row>
    <row r="35" spans="1:6" x14ac:dyDescent="0.2">
      <c r="A35" s="5"/>
      <c r="B35" s="6" t="s">
        <v>151</v>
      </c>
      <c r="C35" s="6" t="s">
        <v>152</v>
      </c>
      <c r="D35" s="94">
        <v>14874</v>
      </c>
      <c r="E35" s="94">
        <v>3300</v>
      </c>
      <c r="F35" s="96">
        <v>2500</v>
      </c>
    </row>
    <row r="36" spans="1:6" x14ac:dyDescent="0.2">
      <c r="A36" s="5"/>
      <c r="B36" s="6" t="s">
        <v>153</v>
      </c>
      <c r="C36" s="6" t="s">
        <v>143</v>
      </c>
      <c r="D36" s="105">
        <v>2E-3</v>
      </c>
      <c r="E36" s="94" t="s">
        <v>108</v>
      </c>
      <c r="F36" s="96" t="s">
        <v>108</v>
      </c>
    </row>
    <row r="37" spans="1:6" x14ac:dyDescent="0.2">
      <c r="A37" s="18"/>
      <c r="B37" s="87" t="s">
        <v>144</v>
      </c>
      <c r="C37" s="87" t="s">
        <v>12</v>
      </c>
      <c r="D37" s="106">
        <v>1.2999999999999999E-2</v>
      </c>
      <c r="E37" s="99" t="s">
        <v>108</v>
      </c>
      <c r="F37" s="100" t="s">
        <v>108</v>
      </c>
    </row>
    <row r="38" spans="1:6" x14ac:dyDescent="0.2">
      <c r="A38" s="86" t="s">
        <v>154</v>
      </c>
      <c r="B38" s="31" t="s">
        <v>139</v>
      </c>
      <c r="C38" s="31" t="s">
        <v>164</v>
      </c>
      <c r="D38" s="97">
        <v>3550</v>
      </c>
      <c r="E38" s="97">
        <v>61600</v>
      </c>
      <c r="F38" s="98">
        <v>56700</v>
      </c>
    </row>
    <row r="39" spans="1:6" x14ac:dyDescent="0.2">
      <c r="A39" s="5"/>
      <c r="B39" s="6" t="s">
        <v>140</v>
      </c>
      <c r="C39" s="6" t="s">
        <v>120</v>
      </c>
      <c r="D39" s="193" t="s">
        <v>155</v>
      </c>
      <c r="E39" s="194"/>
      <c r="F39" s="195"/>
    </row>
    <row r="40" spans="1:6" x14ac:dyDescent="0.2">
      <c r="A40" s="5"/>
      <c r="B40" s="6" t="s">
        <v>141</v>
      </c>
      <c r="C40" s="6" t="s">
        <v>129</v>
      </c>
      <c r="D40" s="94">
        <v>320</v>
      </c>
      <c r="E40" s="94">
        <v>35</v>
      </c>
      <c r="F40" s="96">
        <v>97</v>
      </c>
    </row>
    <row r="41" spans="1:6" x14ac:dyDescent="0.2">
      <c r="A41" s="5"/>
      <c r="B41" s="6" t="s">
        <v>132</v>
      </c>
      <c r="C41" s="6" t="s">
        <v>133</v>
      </c>
      <c r="D41" s="94">
        <v>0.2</v>
      </c>
      <c r="E41" s="94">
        <v>0.01</v>
      </c>
      <c r="F41" s="96">
        <v>0.02</v>
      </c>
    </row>
    <row r="42" spans="1:6" x14ac:dyDescent="0.2">
      <c r="A42" s="18"/>
      <c r="B42" s="87" t="s">
        <v>153</v>
      </c>
      <c r="C42" s="87" t="s">
        <v>143</v>
      </c>
      <c r="D42" s="107">
        <v>0.1</v>
      </c>
      <c r="E42" s="107" t="s">
        <v>108</v>
      </c>
      <c r="F42" s="108" t="s">
        <v>108</v>
      </c>
    </row>
    <row r="43" spans="1:6" x14ac:dyDescent="0.2">
      <c r="A43" s="86" t="s">
        <v>168</v>
      </c>
      <c r="B43" s="31" t="s">
        <v>156</v>
      </c>
      <c r="C43" s="31" t="s">
        <v>157</v>
      </c>
      <c r="D43" s="97" t="s">
        <v>108</v>
      </c>
      <c r="E43" s="97">
        <v>4200</v>
      </c>
      <c r="F43" s="98">
        <v>1500</v>
      </c>
    </row>
    <row r="44" spans="1:6" x14ac:dyDescent="0.2">
      <c r="A44" s="5"/>
      <c r="B44" s="6" t="s">
        <v>128</v>
      </c>
      <c r="C44" s="6" t="s">
        <v>129</v>
      </c>
      <c r="D44" s="94" t="s">
        <v>108</v>
      </c>
      <c r="E44" s="94">
        <v>670</v>
      </c>
      <c r="F44" s="96">
        <v>460</v>
      </c>
    </row>
    <row r="45" spans="1:6" x14ac:dyDescent="0.2">
      <c r="A45" s="5"/>
      <c r="B45" s="6" t="s">
        <v>130</v>
      </c>
      <c r="C45" s="6" t="s">
        <v>131</v>
      </c>
      <c r="D45" s="101" t="s">
        <v>108</v>
      </c>
      <c r="E45" s="101">
        <v>0.04</v>
      </c>
      <c r="F45" s="102">
        <v>0.04</v>
      </c>
    </row>
    <row r="46" spans="1:6" x14ac:dyDescent="0.2">
      <c r="A46" s="5"/>
      <c r="B46" s="6" t="s">
        <v>158</v>
      </c>
      <c r="C46" s="6" t="s">
        <v>133</v>
      </c>
      <c r="D46" s="94" t="s">
        <v>108</v>
      </c>
      <c r="E46" s="94">
        <v>13.6</v>
      </c>
      <c r="F46" s="96">
        <v>9.6999999999999993</v>
      </c>
    </row>
    <row r="47" spans="1:6" x14ac:dyDescent="0.2">
      <c r="A47" s="5"/>
      <c r="B47" s="6" t="s">
        <v>159</v>
      </c>
      <c r="C47" s="6" t="s">
        <v>133</v>
      </c>
      <c r="D47" s="94" t="s">
        <v>108</v>
      </c>
      <c r="E47" s="94">
        <v>0.4</v>
      </c>
      <c r="F47" s="96" t="s">
        <v>108</v>
      </c>
    </row>
    <row r="48" spans="1:6" x14ac:dyDescent="0.2">
      <c r="A48" s="5"/>
      <c r="B48" s="6" t="s">
        <v>160</v>
      </c>
      <c r="C48" s="6" t="s">
        <v>133</v>
      </c>
      <c r="D48" s="94" t="s">
        <v>108</v>
      </c>
      <c r="E48" s="94">
        <v>1.1000000000000001</v>
      </c>
      <c r="F48" s="96">
        <v>1.5</v>
      </c>
    </row>
    <row r="49" spans="1:6" x14ac:dyDescent="0.2">
      <c r="A49" s="5"/>
      <c r="B49" s="6" t="s">
        <v>161</v>
      </c>
      <c r="C49" s="6"/>
      <c r="D49" s="94"/>
      <c r="E49" s="94"/>
      <c r="F49" s="96"/>
    </row>
    <row r="50" spans="1:6" x14ac:dyDescent="0.2">
      <c r="A50" s="5"/>
      <c r="B50" s="6" t="s">
        <v>162</v>
      </c>
      <c r="C50" s="6" t="s">
        <v>12</v>
      </c>
      <c r="D50" s="94" t="s">
        <v>108</v>
      </c>
      <c r="E50" s="101">
        <v>0.9</v>
      </c>
      <c r="F50" s="102">
        <v>0.99</v>
      </c>
    </row>
    <row r="51" spans="1:6" x14ac:dyDescent="0.2">
      <c r="A51" s="18"/>
      <c r="B51" s="87" t="s">
        <v>169</v>
      </c>
      <c r="C51" s="87" t="s">
        <v>12</v>
      </c>
      <c r="D51" s="99" t="s">
        <v>108</v>
      </c>
      <c r="E51" s="103">
        <v>0.98</v>
      </c>
      <c r="F51" s="104">
        <v>0.85</v>
      </c>
    </row>
    <row r="54" spans="1:6" x14ac:dyDescent="0.2">
      <c r="A54" s="48" t="s">
        <v>170</v>
      </c>
    </row>
    <row r="55" spans="1:6" x14ac:dyDescent="0.2">
      <c r="A55" s="48" t="s">
        <v>171</v>
      </c>
    </row>
    <row r="56" spans="1:6" x14ac:dyDescent="0.2">
      <c r="A56" s="48" t="s">
        <v>172</v>
      </c>
    </row>
    <row r="57" spans="1:6" x14ac:dyDescent="0.2">
      <c r="A57" s="48" t="s">
        <v>173</v>
      </c>
    </row>
    <row r="58" spans="1:6" x14ac:dyDescent="0.2">
      <c r="A58" s="48" t="s">
        <v>174</v>
      </c>
    </row>
    <row r="59" spans="1:6" x14ac:dyDescent="0.2">
      <c r="A59" s="48" t="s">
        <v>175</v>
      </c>
    </row>
    <row r="60" spans="1:6" x14ac:dyDescent="0.2">
      <c r="A60" s="48" t="s">
        <v>176</v>
      </c>
    </row>
    <row r="61" spans="1:6" x14ac:dyDescent="0.2">
      <c r="A61" s="48" t="s">
        <v>177</v>
      </c>
    </row>
    <row r="62" spans="1:6" x14ac:dyDescent="0.2">
      <c r="A62" s="48" t="s">
        <v>178</v>
      </c>
    </row>
    <row r="63" spans="1:6" x14ac:dyDescent="0.2">
      <c r="A63" s="48" t="s">
        <v>179</v>
      </c>
    </row>
    <row r="64" spans="1:6" x14ac:dyDescent="0.2">
      <c r="A64" s="48" t="s">
        <v>180</v>
      </c>
    </row>
    <row r="65" spans="1:1" x14ac:dyDescent="0.2">
      <c r="A65" s="48" t="s">
        <v>181</v>
      </c>
    </row>
    <row r="66" spans="1:1" x14ac:dyDescent="0.2">
      <c r="A66" s="48" t="s">
        <v>182</v>
      </c>
    </row>
    <row r="67" spans="1:1" x14ac:dyDescent="0.2">
      <c r="A67" s="48" t="s">
        <v>183</v>
      </c>
    </row>
    <row r="68" spans="1:1" x14ac:dyDescent="0.2">
      <c r="A68" s="48" t="s">
        <v>184</v>
      </c>
    </row>
    <row r="70" spans="1:1" x14ac:dyDescent="0.2">
      <c r="A70" s="48" t="s">
        <v>185</v>
      </c>
    </row>
  </sheetData>
  <mergeCells count="2">
    <mergeCell ref="D39:F39"/>
    <mergeCell ref="D24:F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"/>
  <sheetViews>
    <sheetView topLeftCell="A39" workbookViewId="0"/>
  </sheetViews>
  <sheetFormatPr defaultColWidth="8.7109375" defaultRowHeight="11.25" x14ac:dyDescent="0.2"/>
  <cols>
    <col min="1" max="1" width="19.5703125" style="4" customWidth="1"/>
    <col min="2" max="2" width="15.5703125" style="4" bestFit="1" customWidth="1"/>
    <col min="3" max="3" width="10.5703125" style="4" bestFit="1" customWidth="1"/>
    <col min="4" max="6" width="12.28515625" style="4" customWidth="1"/>
    <col min="7" max="16384" width="8.7109375" style="4"/>
  </cols>
  <sheetData>
    <row r="1" spans="1:7" x14ac:dyDescent="0.2">
      <c r="A1" s="85" t="s">
        <v>186</v>
      </c>
      <c r="B1" s="48"/>
      <c r="C1" s="48"/>
      <c r="D1" s="48"/>
      <c r="E1" s="48"/>
      <c r="F1" s="48"/>
    </row>
    <row r="2" spans="1:7" x14ac:dyDescent="0.2">
      <c r="A2" s="48"/>
      <c r="B2" s="48"/>
      <c r="C2" s="48"/>
      <c r="D2" s="48"/>
      <c r="E2" s="48"/>
      <c r="F2" s="48"/>
    </row>
    <row r="3" spans="1:7" x14ac:dyDescent="0.2">
      <c r="A3" s="91" t="s">
        <v>95</v>
      </c>
      <c r="B3" s="92" t="s">
        <v>122</v>
      </c>
      <c r="C3" s="92" t="s">
        <v>123</v>
      </c>
      <c r="D3" s="89" t="s">
        <v>51</v>
      </c>
      <c r="E3" s="89" t="s">
        <v>107</v>
      </c>
      <c r="F3" s="93" t="s">
        <v>60</v>
      </c>
    </row>
    <row r="4" spans="1:7" x14ac:dyDescent="0.2">
      <c r="A4" s="50" t="s">
        <v>187</v>
      </c>
      <c r="B4" s="6" t="s">
        <v>13</v>
      </c>
      <c r="C4" s="6" t="s">
        <v>14</v>
      </c>
      <c r="D4" s="82">
        <v>40</v>
      </c>
      <c r="E4" s="82">
        <v>40</v>
      </c>
      <c r="F4" s="54">
        <v>40</v>
      </c>
      <c r="G4" s="48"/>
    </row>
    <row r="5" spans="1:7" ht="11.45" customHeight="1" x14ac:dyDescent="0.2">
      <c r="A5" s="86" t="s">
        <v>228</v>
      </c>
      <c r="B5" s="31" t="s">
        <v>188</v>
      </c>
      <c r="C5" s="31" t="s">
        <v>189</v>
      </c>
      <c r="D5" s="81">
        <v>80</v>
      </c>
      <c r="E5" s="81" t="s">
        <v>108</v>
      </c>
      <c r="F5" s="51" t="s">
        <v>108</v>
      </c>
      <c r="G5" s="48"/>
    </row>
    <row r="6" spans="1:7" x14ac:dyDescent="0.2">
      <c r="A6" s="50"/>
      <c r="B6" s="6" t="s">
        <v>96</v>
      </c>
      <c r="C6" s="6" t="s">
        <v>97</v>
      </c>
      <c r="D6" s="193" t="s">
        <v>190</v>
      </c>
      <c r="E6" s="194"/>
      <c r="F6" s="195"/>
      <c r="G6" s="48"/>
    </row>
    <row r="7" spans="1:7" x14ac:dyDescent="0.2">
      <c r="A7" s="50"/>
      <c r="B7" s="6" t="s">
        <v>226</v>
      </c>
      <c r="C7" s="6" t="s">
        <v>124</v>
      </c>
      <c r="D7" s="82">
        <v>38</v>
      </c>
      <c r="E7" s="82" t="s">
        <v>108</v>
      </c>
      <c r="F7" s="54" t="s">
        <v>108</v>
      </c>
      <c r="G7" s="48"/>
    </row>
    <row r="8" spans="1:7" x14ac:dyDescent="0.2">
      <c r="A8" s="50"/>
      <c r="B8" s="6" t="s">
        <v>224</v>
      </c>
      <c r="C8" s="6" t="s">
        <v>99</v>
      </c>
      <c r="D8" s="82">
        <v>6.4</v>
      </c>
      <c r="E8" s="82" t="s">
        <v>108</v>
      </c>
      <c r="F8" s="54" t="s">
        <v>108</v>
      </c>
      <c r="G8" s="48"/>
    </row>
    <row r="9" spans="1:7" x14ac:dyDescent="0.2">
      <c r="A9" s="50"/>
      <c r="B9" s="6" t="s">
        <v>225</v>
      </c>
      <c r="C9" s="6" t="s">
        <v>102</v>
      </c>
      <c r="D9" s="82">
        <v>15</v>
      </c>
      <c r="E9" s="82"/>
      <c r="F9" s="54"/>
      <c r="G9" s="48"/>
    </row>
    <row r="10" spans="1:7" x14ac:dyDescent="0.2">
      <c r="A10" s="56"/>
      <c r="B10" s="87" t="s">
        <v>103</v>
      </c>
      <c r="C10" s="87" t="s">
        <v>127</v>
      </c>
      <c r="D10" s="90">
        <v>0.5</v>
      </c>
      <c r="E10" s="90">
        <v>1</v>
      </c>
      <c r="F10" s="88">
        <v>0.25</v>
      </c>
      <c r="G10" s="48"/>
    </row>
    <row r="11" spans="1:7" x14ac:dyDescent="0.2">
      <c r="A11" s="86" t="s">
        <v>229</v>
      </c>
      <c r="B11" s="31" t="s">
        <v>96</v>
      </c>
      <c r="C11" s="31" t="s">
        <v>97</v>
      </c>
      <c r="D11" s="81">
        <v>3</v>
      </c>
      <c r="E11" s="81">
        <v>3</v>
      </c>
      <c r="F11" s="51">
        <v>3</v>
      </c>
      <c r="G11" s="48"/>
    </row>
    <row r="12" spans="1:7" x14ac:dyDescent="0.2">
      <c r="A12" s="50"/>
      <c r="B12" s="6" t="s">
        <v>191</v>
      </c>
      <c r="C12" s="6" t="s">
        <v>192</v>
      </c>
      <c r="D12" s="82" t="s">
        <v>193</v>
      </c>
      <c r="E12" s="82" t="s">
        <v>108</v>
      </c>
      <c r="F12" s="54" t="s">
        <v>108</v>
      </c>
      <c r="G12" s="48"/>
    </row>
    <row r="13" spans="1:7" x14ac:dyDescent="0.2">
      <c r="A13" s="50"/>
      <c r="B13" s="6" t="s">
        <v>224</v>
      </c>
      <c r="C13" s="6" t="s">
        <v>99</v>
      </c>
      <c r="D13" s="82">
        <v>0.55000000000000004</v>
      </c>
      <c r="E13" s="82" t="s">
        <v>108</v>
      </c>
      <c r="F13" s="54" t="s">
        <v>108</v>
      </c>
      <c r="G13" s="48"/>
    </row>
    <row r="14" spans="1:7" x14ac:dyDescent="0.2">
      <c r="A14" s="50"/>
      <c r="B14" s="6" t="s">
        <v>101</v>
      </c>
      <c r="C14" s="6" t="s">
        <v>102</v>
      </c>
      <c r="D14" s="82">
        <v>15</v>
      </c>
      <c r="E14" s="82" t="s">
        <v>108</v>
      </c>
      <c r="F14" s="54" t="s">
        <v>108</v>
      </c>
      <c r="G14" s="48"/>
    </row>
    <row r="15" spans="1:7" x14ac:dyDescent="0.2">
      <c r="A15" s="56"/>
      <c r="B15" s="87" t="s">
        <v>126</v>
      </c>
      <c r="C15" s="87" t="s">
        <v>127</v>
      </c>
      <c r="D15" s="90">
        <v>0.3</v>
      </c>
      <c r="E15" s="90"/>
      <c r="F15" s="88"/>
      <c r="G15" s="48"/>
    </row>
    <row r="16" spans="1:7" x14ac:dyDescent="0.2">
      <c r="A16" s="86" t="s">
        <v>230</v>
      </c>
      <c r="B16" s="31" t="s">
        <v>194</v>
      </c>
      <c r="C16" s="31" t="s">
        <v>14</v>
      </c>
      <c r="D16" s="81">
        <v>12</v>
      </c>
      <c r="E16" s="81">
        <v>12</v>
      </c>
      <c r="F16" s="51">
        <v>12</v>
      </c>
      <c r="G16" s="48"/>
    </row>
    <row r="17" spans="1:7" x14ac:dyDescent="0.2">
      <c r="A17" s="50"/>
      <c r="B17" s="6" t="s">
        <v>103</v>
      </c>
      <c r="C17" s="6" t="s">
        <v>222</v>
      </c>
      <c r="D17" s="82">
        <v>185</v>
      </c>
      <c r="E17" s="82">
        <v>185</v>
      </c>
      <c r="F17" s="54">
        <v>185</v>
      </c>
      <c r="G17" s="48"/>
    </row>
    <row r="18" spans="1:7" x14ac:dyDescent="0.2">
      <c r="A18" s="50"/>
      <c r="B18" s="6" t="s">
        <v>130</v>
      </c>
      <c r="C18" s="6" t="s">
        <v>131</v>
      </c>
      <c r="D18" s="82">
        <v>12</v>
      </c>
      <c r="E18" s="82">
        <v>12</v>
      </c>
      <c r="F18" s="54">
        <v>12</v>
      </c>
      <c r="G18" s="48"/>
    </row>
    <row r="19" spans="1:7" x14ac:dyDescent="0.2">
      <c r="A19" s="50"/>
      <c r="B19" s="6" t="s">
        <v>195</v>
      </c>
      <c r="C19" s="6" t="s">
        <v>148</v>
      </c>
      <c r="D19" s="82">
        <v>50</v>
      </c>
      <c r="E19" s="82">
        <v>50</v>
      </c>
      <c r="F19" s="54">
        <v>50</v>
      </c>
      <c r="G19" s="48"/>
    </row>
    <row r="20" spans="1:7" x14ac:dyDescent="0.2">
      <c r="A20" s="56"/>
      <c r="B20" s="87" t="s">
        <v>196</v>
      </c>
      <c r="C20" s="87" t="s">
        <v>197</v>
      </c>
      <c r="D20" s="90">
        <v>23</v>
      </c>
      <c r="E20" s="90">
        <v>23</v>
      </c>
      <c r="F20" s="88">
        <v>23</v>
      </c>
      <c r="G20" s="48"/>
    </row>
    <row r="21" spans="1:7" x14ac:dyDescent="0.2">
      <c r="A21" s="86" t="s">
        <v>198</v>
      </c>
      <c r="B21" s="31" t="s">
        <v>194</v>
      </c>
      <c r="C21" s="31" t="s">
        <v>14</v>
      </c>
      <c r="D21" s="81">
        <v>12</v>
      </c>
      <c r="E21" s="81">
        <v>12</v>
      </c>
      <c r="F21" s="51">
        <v>20</v>
      </c>
      <c r="G21" s="48"/>
    </row>
    <row r="22" spans="1:7" x14ac:dyDescent="0.2">
      <c r="A22" s="50"/>
      <c r="B22" s="6" t="s">
        <v>103</v>
      </c>
      <c r="C22" s="6" t="s">
        <v>222</v>
      </c>
      <c r="D22" s="82" t="s">
        <v>199</v>
      </c>
      <c r="E22" s="82">
        <v>170</v>
      </c>
      <c r="F22" s="54">
        <v>220</v>
      </c>
      <c r="G22" s="48"/>
    </row>
    <row r="23" spans="1:7" x14ac:dyDescent="0.2">
      <c r="A23" s="50"/>
      <c r="B23" s="6"/>
      <c r="C23" s="6"/>
      <c r="D23" s="82" t="s">
        <v>200</v>
      </c>
      <c r="E23" s="82"/>
      <c r="F23" s="54"/>
      <c r="G23" s="48"/>
    </row>
    <row r="24" spans="1:7" x14ac:dyDescent="0.2">
      <c r="A24" s="50"/>
      <c r="B24" s="6" t="s">
        <v>130</v>
      </c>
      <c r="C24" s="6" t="s">
        <v>131</v>
      </c>
      <c r="D24" s="84">
        <v>0.02</v>
      </c>
      <c r="E24" s="84">
        <v>0.02</v>
      </c>
      <c r="F24" s="55">
        <v>0.02</v>
      </c>
      <c r="G24" s="48"/>
    </row>
    <row r="25" spans="1:7" x14ac:dyDescent="0.2">
      <c r="A25" s="50"/>
      <c r="B25" s="6" t="s">
        <v>201</v>
      </c>
      <c r="C25" s="6" t="s">
        <v>202</v>
      </c>
      <c r="D25" s="82" t="s">
        <v>203</v>
      </c>
      <c r="E25" s="82">
        <v>1800</v>
      </c>
      <c r="F25" s="54">
        <v>2600</v>
      </c>
      <c r="G25" s="48"/>
    </row>
    <row r="26" spans="1:7" x14ac:dyDescent="0.2">
      <c r="A26" s="50"/>
      <c r="B26" s="6"/>
      <c r="C26" s="6"/>
      <c r="D26" s="82" t="s">
        <v>204</v>
      </c>
      <c r="E26" s="82"/>
      <c r="F26" s="54"/>
      <c r="G26" s="48"/>
    </row>
    <row r="27" spans="1:7" x14ac:dyDescent="0.2">
      <c r="A27" s="50"/>
      <c r="B27" s="6" t="s">
        <v>223</v>
      </c>
      <c r="C27" s="6" t="s">
        <v>205</v>
      </c>
      <c r="D27" s="82" t="s">
        <v>206</v>
      </c>
      <c r="E27" s="82">
        <v>1.5</v>
      </c>
      <c r="F27" s="54">
        <v>1.5</v>
      </c>
      <c r="G27" s="48"/>
    </row>
    <row r="28" spans="1:7" x14ac:dyDescent="0.2">
      <c r="A28" s="56"/>
      <c r="B28" s="87"/>
      <c r="C28" s="87"/>
      <c r="D28" s="90" t="s">
        <v>207</v>
      </c>
      <c r="E28" s="90"/>
      <c r="F28" s="88"/>
      <c r="G28" s="48"/>
    </row>
    <row r="29" spans="1:7" x14ac:dyDescent="0.2">
      <c r="A29" s="50" t="s">
        <v>231</v>
      </c>
      <c r="B29" s="6" t="s">
        <v>208</v>
      </c>
      <c r="C29" s="6" t="s">
        <v>209</v>
      </c>
      <c r="D29" s="82">
        <v>10</v>
      </c>
      <c r="E29" s="82">
        <v>10</v>
      </c>
      <c r="F29" s="54">
        <v>10</v>
      </c>
      <c r="G29" s="48"/>
    </row>
    <row r="30" spans="1:7" x14ac:dyDescent="0.2">
      <c r="A30" s="50"/>
      <c r="B30" s="6" t="s">
        <v>210</v>
      </c>
      <c r="C30" s="6" t="s">
        <v>211</v>
      </c>
      <c r="D30" s="82">
        <v>1000</v>
      </c>
      <c r="E30" s="82">
        <v>1000</v>
      </c>
      <c r="F30" s="54">
        <v>1000</v>
      </c>
      <c r="G30" s="48"/>
    </row>
    <row r="31" spans="1:7" x14ac:dyDescent="0.2">
      <c r="A31" s="50"/>
      <c r="B31" s="6" t="s">
        <v>103</v>
      </c>
      <c r="C31" s="6" t="s">
        <v>129</v>
      </c>
      <c r="D31" s="82" t="s">
        <v>227</v>
      </c>
      <c r="E31" s="82">
        <v>3.5</v>
      </c>
      <c r="F31" s="54">
        <v>2.2000000000000002</v>
      </c>
      <c r="G31" s="48"/>
    </row>
    <row r="32" spans="1:7" x14ac:dyDescent="0.2">
      <c r="A32" s="50"/>
      <c r="B32" s="6" t="s">
        <v>212</v>
      </c>
      <c r="C32" s="6" t="s">
        <v>12</v>
      </c>
      <c r="D32" s="84">
        <v>0.05</v>
      </c>
      <c r="E32" s="84">
        <v>0.05</v>
      </c>
      <c r="F32" s="55">
        <v>0.05</v>
      </c>
      <c r="G32" s="48"/>
    </row>
    <row r="33" spans="1:7" x14ac:dyDescent="0.2">
      <c r="A33" s="50"/>
      <c r="B33" s="6" t="s">
        <v>213</v>
      </c>
      <c r="C33" s="6" t="s">
        <v>133</v>
      </c>
      <c r="D33" s="82" t="s">
        <v>214</v>
      </c>
      <c r="E33" s="82">
        <v>4.4000000000000004</v>
      </c>
      <c r="F33" s="54">
        <v>10.8</v>
      </c>
      <c r="G33" s="48"/>
    </row>
    <row r="34" spans="1:7" x14ac:dyDescent="0.2">
      <c r="A34" s="50"/>
      <c r="B34" s="6"/>
      <c r="C34" s="6"/>
      <c r="D34" s="82" t="s">
        <v>215</v>
      </c>
      <c r="E34" s="82"/>
      <c r="F34" s="54"/>
      <c r="G34" s="48"/>
    </row>
    <row r="35" spans="1:7" x14ac:dyDescent="0.2">
      <c r="A35" s="50"/>
      <c r="B35" s="6" t="s">
        <v>216</v>
      </c>
      <c r="C35" s="6" t="s">
        <v>133</v>
      </c>
      <c r="D35" s="82">
        <v>0</v>
      </c>
      <c r="E35" s="82">
        <v>13.6</v>
      </c>
      <c r="F35" s="54">
        <v>0</v>
      </c>
      <c r="G35" s="48"/>
    </row>
    <row r="36" spans="1:7" x14ac:dyDescent="0.2">
      <c r="A36" s="50"/>
      <c r="B36" s="6" t="s">
        <v>217</v>
      </c>
      <c r="C36" s="6" t="s">
        <v>218</v>
      </c>
      <c r="D36" s="82" t="s">
        <v>219</v>
      </c>
      <c r="E36" s="83">
        <v>5.0000000000000001E-3</v>
      </c>
      <c r="F36" s="52">
        <v>1.4999999999999999E-2</v>
      </c>
      <c r="G36" s="48"/>
    </row>
    <row r="37" spans="1:7" x14ac:dyDescent="0.2">
      <c r="A37" s="50"/>
      <c r="B37" s="6"/>
      <c r="C37" s="6" t="s">
        <v>220</v>
      </c>
      <c r="D37" s="82" t="s">
        <v>221</v>
      </c>
      <c r="E37" s="82"/>
      <c r="F37" s="54"/>
      <c r="G37" s="48"/>
    </row>
    <row r="38" spans="1:7" x14ac:dyDescent="0.2">
      <c r="A38" s="56"/>
      <c r="B38" s="87" t="s">
        <v>105</v>
      </c>
      <c r="C38" s="87" t="s">
        <v>12</v>
      </c>
      <c r="D38" s="109">
        <v>0.5</v>
      </c>
      <c r="E38" s="109">
        <v>0.5</v>
      </c>
      <c r="F38" s="80">
        <v>0.5</v>
      </c>
      <c r="G38" s="48"/>
    </row>
    <row r="39" spans="1:7" x14ac:dyDescent="0.2">
      <c r="A39" s="48"/>
      <c r="B39" s="48"/>
      <c r="C39" s="48"/>
      <c r="D39" s="48"/>
      <c r="E39" s="48"/>
      <c r="F39" s="48"/>
      <c r="G39" s="48"/>
    </row>
    <row r="40" spans="1:7" x14ac:dyDescent="0.2">
      <c r="A40" s="48" t="s">
        <v>232</v>
      </c>
      <c r="B40" s="48"/>
      <c r="C40" s="48"/>
      <c r="D40" s="48"/>
      <c r="E40" s="48"/>
      <c r="F40" s="48"/>
      <c r="G40" s="48"/>
    </row>
    <row r="41" spans="1:7" x14ac:dyDescent="0.2">
      <c r="A41" s="48" t="s">
        <v>233</v>
      </c>
      <c r="B41" s="48"/>
      <c r="C41" s="48"/>
      <c r="D41" s="48"/>
      <c r="E41" s="48"/>
      <c r="F41" s="48"/>
      <c r="G41" s="48"/>
    </row>
    <row r="42" spans="1:7" x14ac:dyDescent="0.2">
      <c r="A42" s="48" t="s">
        <v>234</v>
      </c>
      <c r="B42" s="48"/>
      <c r="C42" s="48"/>
      <c r="D42" s="48"/>
      <c r="E42" s="48"/>
      <c r="F42" s="48"/>
      <c r="G42" s="48"/>
    </row>
    <row r="43" spans="1:7" x14ac:dyDescent="0.2">
      <c r="A43" s="48" t="s">
        <v>235</v>
      </c>
      <c r="B43" s="48"/>
      <c r="C43" s="48"/>
      <c r="D43" s="48"/>
      <c r="E43" s="48"/>
      <c r="F43" s="48"/>
      <c r="G43" s="48"/>
    </row>
    <row r="44" spans="1:7" x14ac:dyDescent="0.2">
      <c r="A44" s="48" t="s">
        <v>236</v>
      </c>
      <c r="B44" s="48"/>
      <c r="C44" s="48"/>
      <c r="D44" s="48"/>
      <c r="E44" s="48"/>
      <c r="F44" s="48"/>
      <c r="G44" s="48"/>
    </row>
    <row r="45" spans="1:7" x14ac:dyDescent="0.2">
      <c r="A45" s="48" t="s">
        <v>237</v>
      </c>
      <c r="B45" s="48"/>
      <c r="C45" s="48"/>
      <c r="D45" s="48"/>
      <c r="E45" s="48"/>
      <c r="F45" s="48"/>
      <c r="G45" s="48"/>
    </row>
    <row r="46" spans="1:7" x14ac:dyDescent="0.2">
      <c r="A46" s="48" t="s">
        <v>238</v>
      </c>
      <c r="B46" s="48"/>
      <c r="C46" s="48"/>
      <c r="D46" s="48"/>
      <c r="E46" s="48"/>
      <c r="F46" s="48"/>
      <c r="G46" s="48"/>
    </row>
    <row r="47" spans="1:7" x14ac:dyDescent="0.2">
      <c r="A47" s="48" t="s">
        <v>239</v>
      </c>
      <c r="B47" s="48"/>
      <c r="C47" s="48"/>
      <c r="D47" s="48"/>
      <c r="E47" s="48"/>
      <c r="F47" s="48"/>
      <c r="G47" s="48"/>
    </row>
    <row r="48" spans="1:7" x14ac:dyDescent="0.2">
      <c r="A48" s="48" t="s">
        <v>240</v>
      </c>
      <c r="B48" s="48"/>
      <c r="C48" s="48"/>
      <c r="D48" s="48"/>
      <c r="E48" s="48"/>
      <c r="F48" s="48"/>
      <c r="G48" s="48"/>
    </row>
    <row r="49" spans="1:7" x14ac:dyDescent="0.2">
      <c r="A49" s="48" t="s">
        <v>241</v>
      </c>
      <c r="B49" s="48"/>
      <c r="C49" s="48"/>
      <c r="D49" s="48"/>
      <c r="E49" s="48"/>
      <c r="F49" s="48"/>
      <c r="G49" s="48"/>
    </row>
    <row r="50" spans="1:7" x14ac:dyDescent="0.2">
      <c r="A50" s="48" t="s">
        <v>242</v>
      </c>
      <c r="B50" s="48"/>
      <c r="C50" s="48"/>
      <c r="D50" s="48"/>
      <c r="E50" s="48"/>
      <c r="F50" s="48"/>
      <c r="G50" s="48"/>
    </row>
    <row r="51" spans="1:7" x14ac:dyDescent="0.2">
      <c r="A51" s="48" t="s">
        <v>243</v>
      </c>
      <c r="B51" s="48"/>
      <c r="C51" s="48"/>
      <c r="D51" s="48"/>
      <c r="E51" s="48"/>
      <c r="F51" s="48"/>
      <c r="G51" s="48"/>
    </row>
    <row r="52" spans="1:7" x14ac:dyDescent="0.2">
      <c r="A52" s="48" t="s">
        <v>244</v>
      </c>
      <c r="B52" s="48"/>
      <c r="C52" s="48"/>
      <c r="D52" s="48"/>
      <c r="E52" s="48"/>
      <c r="F52" s="48"/>
      <c r="G52" s="48"/>
    </row>
    <row r="53" spans="1:7" x14ac:dyDescent="0.2">
      <c r="A53" s="48" t="s">
        <v>245</v>
      </c>
      <c r="B53" s="48" t="s">
        <v>246</v>
      </c>
      <c r="C53" s="48"/>
      <c r="D53" s="48"/>
      <c r="E53" s="48"/>
      <c r="F53" s="48"/>
      <c r="G53" s="48"/>
    </row>
    <row r="54" spans="1:7" x14ac:dyDescent="0.2">
      <c r="A54" s="48" t="s">
        <v>247</v>
      </c>
      <c r="B54" s="48"/>
      <c r="C54" s="48"/>
      <c r="D54" s="48"/>
      <c r="E54" s="48"/>
      <c r="F54" s="48"/>
      <c r="G54" s="48"/>
    </row>
  </sheetData>
  <mergeCells count="1"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C8" sqref="C8"/>
    </sheetView>
  </sheetViews>
  <sheetFormatPr defaultColWidth="8.7109375" defaultRowHeight="11.25" x14ac:dyDescent="0.2"/>
  <cols>
    <col min="1" max="1" width="19.5703125" style="4" customWidth="1"/>
    <col min="2" max="2" width="8.7109375" style="4"/>
    <col min="3" max="3" width="17" style="4" bestFit="1" customWidth="1"/>
    <col min="4" max="16384" width="8.7109375" style="4"/>
  </cols>
  <sheetData>
    <row r="1" spans="1:10" x14ac:dyDescent="0.2">
      <c r="A1" s="85" t="s">
        <v>341</v>
      </c>
    </row>
    <row r="3" spans="1:10" x14ac:dyDescent="0.2">
      <c r="A3" s="91" t="s">
        <v>122</v>
      </c>
      <c r="B3" s="91" t="s">
        <v>123</v>
      </c>
      <c r="C3" s="89" t="s">
        <v>347</v>
      </c>
      <c r="D3" s="89" t="s">
        <v>60</v>
      </c>
      <c r="E3" s="48"/>
      <c r="F3" s="48"/>
      <c r="G3" s="48"/>
      <c r="H3" s="48"/>
      <c r="I3" s="48"/>
      <c r="J3" s="48"/>
    </row>
    <row r="4" spans="1:10" x14ac:dyDescent="0.2">
      <c r="A4" s="5" t="s">
        <v>348</v>
      </c>
      <c r="B4" s="6" t="s">
        <v>50</v>
      </c>
      <c r="C4" s="82">
        <v>1820</v>
      </c>
      <c r="D4" s="82">
        <v>2840</v>
      </c>
      <c r="E4" s="48"/>
      <c r="F4" s="48"/>
      <c r="G4" s="48"/>
      <c r="H4" s="48"/>
      <c r="I4" s="48"/>
      <c r="J4" s="48"/>
    </row>
    <row r="5" spans="1:10" x14ac:dyDescent="0.2">
      <c r="A5" s="5" t="s">
        <v>349</v>
      </c>
      <c r="B5" s="6" t="s">
        <v>281</v>
      </c>
      <c r="C5" s="82">
        <v>0.25</v>
      </c>
      <c r="D5" s="82">
        <v>0.3</v>
      </c>
      <c r="E5" s="48"/>
      <c r="F5" s="48"/>
      <c r="G5" s="48"/>
      <c r="H5" s="48"/>
      <c r="I5" s="48"/>
      <c r="J5" s="48"/>
    </row>
    <row r="6" spans="1:10" x14ac:dyDescent="0.2">
      <c r="A6" s="5" t="s">
        <v>350</v>
      </c>
      <c r="B6" s="6" t="s">
        <v>50</v>
      </c>
      <c r="C6" s="82">
        <v>73</v>
      </c>
      <c r="D6" s="82">
        <v>43</v>
      </c>
      <c r="E6" s="48"/>
      <c r="F6" s="48"/>
      <c r="G6" s="48"/>
      <c r="H6" s="48"/>
      <c r="I6" s="48"/>
      <c r="J6" s="48"/>
    </row>
    <row r="7" spans="1:10" x14ac:dyDescent="0.2">
      <c r="A7" s="5" t="s">
        <v>351</v>
      </c>
      <c r="B7" s="6" t="s">
        <v>281</v>
      </c>
      <c r="C7" s="82">
        <v>0</v>
      </c>
      <c r="D7" s="82">
        <v>0</v>
      </c>
      <c r="E7" s="48"/>
      <c r="F7" s="48"/>
      <c r="G7" s="48"/>
      <c r="H7" s="48"/>
      <c r="I7" s="48"/>
      <c r="J7" s="48"/>
    </row>
    <row r="8" spans="1:10" x14ac:dyDescent="0.2">
      <c r="A8" s="5" t="s">
        <v>352</v>
      </c>
      <c r="B8" s="6" t="s">
        <v>12</v>
      </c>
      <c r="C8" s="82">
        <v>37</v>
      </c>
      <c r="D8" s="82">
        <v>22</v>
      </c>
      <c r="E8" s="48"/>
      <c r="F8" s="48"/>
      <c r="G8" s="48"/>
      <c r="H8" s="48"/>
      <c r="I8" s="48"/>
      <c r="J8" s="48"/>
    </row>
    <row r="9" spans="1:10" x14ac:dyDescent="0.2">
      <c r="A9" s="18" t="s">
        <v>13</v>
      </c>
      <c r="B9" s="87" t="s">
        <v>14</v>
      </c>
      <c r="C9" s="90">
        <v>20</v>
      </c>
      <c r="D9" s="90">
        <v>20</v>
      </c>
      <c r="E9" s="48"/>
      <c r="F9" s="48"/>
      <c r="G9" s="48"/>
      <c r="H9" s="48"/>
      <c r="I9" s="48"/>
      <c r="J9" s="48"/>
    </row>
    <row r="10" spans="1:10" x14ac:dyDescent="0.2">
      <c r="A10" s="48"/>
      <c r="B10" s="48"/>
      <c r="C10" s="48"/>
      <c r="D10" s="48"/>
      <c r="E10" s="48"/>
      <c r="F10" s="48"/>
      <c r="G10" s="48"/>
      <c r="H10" s="48"/>
      <c r="I10" s="48"/>
      <c r="J10" s="48"/>
    </row>
    <row r="11" spans="1:10" x14ac:dyDescent="0.2">
      <c r="A11" s="48" t="s">
        <v>342</v>
      </c>
      <c r="B11" s="48"/>
      <c r="C11" s="48"/>
      <c r="D11" s="48"/>
      <c r="E11" s="48"/>
      <c r="F11" s="48"/>
      <c r="G11" s="48"/>
      <c r="H11" s="48"/>
      <c r="I11" s="48"/>
      <c r="J11" s="48"/>
    </row>
    <row r="12" spans="1:10" x14ac:dyDescent="0.2">
      <c r="A12" s="48" t="s">
        <v>343</v>
      </c>
      <c r="B12" s="48"/>
      <c r="C12" s="48"/>
      <c r="D12" s="48"/>
      <c r="E12" s="48"/>
      <c r="F12" s="48"/>
      <c r="G12" s="48"/>
      <c r="H12" s="48"/>
      <c r="I12" s="48"/>
      <c r="J12" s="48"/>
    </row>
    <row r="13" spans="1:10" x14ac:dyDescent="0.2">
      <c r="A13" s="48" t="s">
        <v>344</v>
      </c>
      <c r="B13" s="48"/>
      <c r="C13" s="48"/>
      <c r="D13" s="48"/>
      <c r="E13" s="48"/>
      <c r="F13" s="48"/>
      <c r="G13" s="48"/>
      <c r="H13" s="48"/>
      <c r="I13" s="48"/>
      <c r="J13" s="48"/>
    </row>
    <row r="14" spans="1:10" x14ac:dyDescent="0.2">
      <c r="A14" s="48" t="s">
        <v>345</v>
      </c>
      <c r="B14" s="48"/>
      <c r="C14" s="48"/>
      <c r="D14" s="48"/>
      <c r="E14" s="48"/>
      <c r="F14" s="48"/>
      <c r="G14" s="48"/>
      <c r="H14" s="48"/>
      <c r="I14" s="48"/>
      <c r="J14" s="48"/>
    </row>
    <row r="15" spans="1:10" x14ac:dyDescent="0.2">
      <c r="A15" s="48" t="s">
        <v>346</v>
      </c>
      <c r="B15" s="48"/>
      <c r="C15" s="48"/>
      <c r="D15" s="48"/>
      <c r="E15" s="48"/>
      <c r="F15" s="48"/>
      <c r="G15" s="48"/>
      <c r="H15" s="48"/>
      <c r="I15" s="48"/>
      <c r="J15" s="48"/>
    </row>
    <row r="16" spans="1:10" x14ac:dyDescent="0.2">
      <c r="A16" s="48"/>
      <c r="B16" s="48"/>
      <c r="C16" s="48"/>
      <c r="D16" s="48"/>
      <c r="E16" s="48"/>
      <c r="F16" s="48"/>
      <c r="G16" s="48"/>
      <c r="H16" s="48"/>
      <c r="I16" s="48"/>
      <c r="J16" s="48"/>
    </row>
    <row r="17" spans="1:10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0" x14ac:dyDescent="0.2">
      <c r="A18" s="48"/>
      <c r="B18" s="48"/>
      <c r="C18" s="48"/>
      <c r="D18" s="48"/>
      <c r="E18" s="48"/>
      <c r="F18" s="48"/>
      <c r="G18" s="48"/>
      <c r="H18" s="48"/>
      <c r="I18" s="48"/>
      <c r="J18" s="48"/>
    </row>
    <row r="19" spans="1:10" x14ac:dyDescent="0.2">
      <c r="A19" s="48"/>
      <c r="B19" s="48"/>
      <c r="C19" s="48"/>
      <c r="D19" s="48"/>
      <c r="E19" s="48"/>
      <c r="F19" s="48"/>
      <c r="G19" s="48"/>
      <c r="H19" s="48"/>
      <c r="I19" s="48"/>
      <c r="J19" s="48"/>
    </row>
    <row r="20" spans="1:10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8"/>
    </row>
    <row r="21" spans="1:10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8"/>
    </row>
    <row r="22" spans="1:10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1"/>
  <sheetViews>
    <sheetView workbookViewId="0">
      <selection activeCell="M52" sqref="M52"/>
    </sheetView>
  </sheetViews>
  <sheetFormatPr defaultColWidth="8.7109375" defaultRowHeight="11.25" x14ac:dyDescent="0.2"/>
  <cols>
    <col min="1" max="1" width="17.5703125" style="4" customWidth="1"/>
    <col min="2" max="2" width="11.42578125" style="4" customWidth="1"/>
    <col min="3" max="16384" width="8.7109375" style="4"/>
  </cols>
  <sheetData>
    <row r="1" spans="1:10" x14ac:dyDescent="0.2">
      <c r="A1" s="22" t="s">
        <v>9</v>
      </c>
      <c r="B1" s="23"/>
      <c r="C1" s="189" t="s">
        <v>49</v>
      </c>
      <c r="D1" s="185"/>
      <c r="E1" s="185"/>
      <c r="F1" s="186"/>
      <c r="G1" s="189" t="s">
        <v>59</v>
      </c>
      <c r="H1" s="185"/>
      <c r="I1" s="185"/>
      <c r="J1" s="186"/>
    </row>
    <row r="2" spans="1:10" x14ac:dyDescent="0.2">
      <c r="A2" s="24"/>
      <c r="B2" s="25"/>
      <c r="C2" s="196" t="s">
        <v>52</v>
      </c>
      <c r="D2" s="197"/>
      <c r="E2" s="197"/>
      <c r="F2" s="198"/>
      <c r="G2" s="196" t="s">
        <v>53</v>
      </c>
      <c r="H2" s="197"/>
      <c r="I2" s="197"/>
      <c r="J2" s="198"/>
    </row>
    <row r="3" spans="1:10" x14ac:dyDescent="0.2">
      <c r="A3" s="1"/>
      <c r="B3" s="2" t="s">
        <v>5</v>
      </c>
      <c r="C3" s="41" t="s">
        <v>22</v>
      </c>
      <c r="D3" s="2">
        <v>2030</v>
      </c>
      <c r="E3" s="2">
        <v>2040</v>
      </c>
      <c r="F3" s="13">
        <v>2050</v>
      </c>
      <c r="G3" s="41" t="s">
        <v>22</v>
      </c>
      <c r="H3" s="2">
        <v>2030</v>
      </c>
      <c r="I3" s="2">
        <v>2040</v>
      </c>
      <c r="J3" s="13">
        <v>2050</v>
      </c>
    </row>
    <row r="4" spans="1:10" x14ac:dyDescent="0.2">
      <c r="A4" s="5" t="s">
        <v>10</v>
      </c>
      <c r="B4" s="8" t="s">
        <v>50</v>
      </c>
      <c r="C4" s="30">
        <v>845</v>
      </c>
      <c r="D4" s="31">
        <v>735</v>
      </c>
      <c r="E4" s="31">
        <f>AVERAGE(D4,F4)</f>
        <v>650</v>
      </c>
      <c r="F4" s="51">
        <v>565</v>
      </c>
      <c r="G4" s="30">
        <v>890</v>
      </c>
      <c r="H4" s="31">
        <v>760</v>
      </c>
      <c r="I4" s="31">
        <f>AVERAGE(H4,J4)</f>
        <v>662.5</v>
      </c>
      <c r="J4" s="51">
        <v>565</v>
      </c>
    </row>
    <row r="5" spans="1:10" x14ac:dyDescent="0.2">
      <c r="A5" s="5" t="s">
        <v>11</v>
      </c>
      <c r="B5" s="8" t="s">
        <v>12</v>
      </c>
      <c r="C5" s="39">
        <v>0.08</v>
      </c>
      <c r="D5" s="40">
        <v>0.08</v>
      </c>
      <c r="E5" s="40">
        <v>0.08</v>
      </c>
      <c r="F5" s="52">
        <v>0.08</v>
      </c>
      <c r="G5" s="39">
        <v>0.08</v>
      </c>
      <c r="H5" s="40">
        <v>0.08</v>
      </c>
      <c r="I5" s="40">
        <v>0.08</v>
      </c>
      <c r="J5" s="52">
        <v>0.08</v>
      </c>
    </row>
    <row r="6" spans="1:10" x14ac:dyDescent="0.2">
      <c r="A6" s="5" t="s">
        <v>13</v>
      </c>
      <c r="B6" s="8" t="s">
        <v>35</v>
      </c>
      <c r="C6" s="34">
        <v>25</v>
      </c>
      <c r="D6" s="36">
        <v>25</v>
      </c>
      <c r="E6" s="36">
        <v>25</v>
      </c>
      <c r="F6" s="53">
        <v>25</v>
      </c>
      <c r="G6" s="34">
        <v>25</v>
      </c>
      <c r="H6" s="36">
        <v>25</v>
      </c>
      <c r="I6" s="36">
        <v>25</v>
      </c>
      <c r="J6" s="53">
        <v>25</v>
      </c>
    </row>
    <row r="7" spans="1:10" x14ac:dyDescent="0.2">
      <c r="A7" s="5" t="s">
        <v>15</v>
      </c>
      <c r="B7" s="8" t="s">
        <v>16</v>
      </c>
      <c r="C7" s="33">
        <f>4%*C4</f>
        <v>33.799999999999997</v>
      </c>
      <c r="D7" s="35">
        <f t="shared" ref="D7:F7" si="0">4%*D4</f>
        <v>29.400000000000002</v>
      </c>
      <c r="E7" s="35">
        <f t="shared" si="0"/>
        <v>26</v>
      </c>
      <c r="F7" s="61">
        <f t="shared" si="0"/>
        <v>22.6</v>
      </c>
      <c r="G7" s="33">
        <f>4%*G4</f>
        <v>35.6</v>
      </c>
      <c r="H7" s="35">
        <f t="shared" ref="H7:J7" si="1">4%*H4</f>
        <v>30.400000000000002</v>
      </c>
      <c r="I7" s="35">
        <f t="shared" si="1"/>
        <v>26.5</v>
      </c>
      <c r="J7" s="61">
        <f t="shared" si="1"/>
        <v>22.6</v>
      </c>
    </row>
    <row r="8" spans="1:10" x14ac:dyDescent="0.2">
      <c r="A8" s="5" t="s">
        <v>17</v>
      </c>
      <c r="B8" s="8" t="s">
        <v>18</v>
      </c>
      <c r="C8" s="33">
        <f>0.013*Prices!C7</f>
        <v>0.35388888888888886</v>
      </c>
      <c r="D8" s="35">
        <f>0.013*Prices!D7</f>
        <v>0.41166666666666663</v>
      </c>
      <c r="E8" s="35">
        <f>0.013*Prices!E7</f>
        <v>0.42791666666666661</v>
      </c>
      <c r="F8" s="61">
        <f>0.013*Prices!F7</f>
        <v>0.4441666666666666</v>
      </c>
      <c r="G8" s="33">
        <f>0.018*Prices!C7</f>
        <v>0.48999999999999994</v>
      </c>
      <c r="H8" s="35">
        <f>0.018*Prices!D7</f>
        <v>0.56999999999999995</v>
      </c>
      <c r="I8" s="35">
        <f>0.018*Prices!E7</f>
        <v>0.59249999999999992</v>
      </c>
      <c r="J8" s="61">
        <f>0.018*Prices!F7</f>
        <v>0.61499999999999988</v>
      </c>
    </row>
    <row r="9" spans="1:10" x14ac:dyDescent="0.2">
      <c r="A9" s="5" t="s">
        <v>19</v>
      </c>
      <c r="B9" s="8" t="s">
        <v>12</v>
      </c>
      <c r="C9" s="37">
        <v>0.95</v>
      </c>
      <c r="D9" s="38">
        <v>0.95</v>
      </c>
      <c r="E9" s="38">
        <v>0.95</v>
      </c>
      <c r="F9" s="55">
        <v>0.95</v>
      </c>
      <c r="G9" s="37">
        <v>0.95</v>
      </c>
      <c r="H9" s="38">
        <v>0.95</v>
      </c>
      <c r="I9" s="38">
        <v>0.95</v>
      </c>
      <c r="J9" s="55">
        <v>0.95</v>
      </c>
    </row>
    <row r="10" spans="1:10" x14ac:dyDescent="0.2">
      <c r="A10" s="5" t="s">
        <v>20</v>
      </c>
      <c r="B10" s="8" t="s">
        <v>12</v>
      </c>
      <c r="C10" s="37">
        <v>0.77</v>
      </c>
      <c r="D10" s="38">
        <v>0.77</v>
      </c>
      <c r="E10" s="38">
        <f>AVERAGE(D10,F10)</f>
        <v>0.77</v>
      </c>
      <c r="F10" s="55">
        <v>0.77</v>
      </c>
      <c r="G10" s="37">
        <v>0.73</v>
      </c>
      <c r="H10" s="38">
        <v>0.73</v>
      </c>
      <c r="I10" s="38">
        <f>AVERAGE(H10,J10)</f>
        <v>0.73</v>
      </c>
      <c r="J10" s="55">
        <v>0.73</v>
      </c>
    </row>
    <row r="11" spans="1:10" x14ac:dyDescent="0.2">
      <c r="A11" s="5" t="s">
        <v>23</v>
      </c>
      <c r="B11" s="8" t="s">
        <v>6</v>
      </c>
      <c r="C11" s="33">
        <f>Hydrogen_Production!G39</f>
        <v>11.145476373827631</v>
      </c>
      <c r="D11" s="35">
        <f>Hydrogen_Production!H39</f>
        <v>10.960488162579628</v>
      </c>
      <c r="E11" s="35">
        <f>Hydrogen_Production!I39</f>
        <v>13.237108087480925</v>
      </c>
      <c r="F11" s="61">
        <f>Hydrogen_Production!J39</f>
        <v>13.725596906314934</v>
      </c>
      <c r="G11" s="33">
        <f>Hydrogen_Production!K39</f>
        <v>0</v>
      </c>
      <c r="H11" s="35">
        <f>Hydrogen_Production!L39</f>
        <v>0</v>
      </c>
      <c r="I11" s="35">
        <f>Hydrogen_Production!M39</f>
        <v>0</v>
      </c>
      <c r="J11" s="61">
        <f>Hydrogen_Production!N39</f>
        <v>0</v>
      </c>
    </row>
    <row r="12" spans="1:10" x14ac:dyDescent="0.2">
      <c r="A12" s="5" t="s">
        <v>24</v>
      </c>
      <c r="B12" s="8" t="s">
        <v>27</v>
      </c>
      <c r="C12" s="32">
        <f>Prices!$B$19</f>
        <v>0</v>
      </c>
      <c r="D12" s="28">
        <f>C12</f>
        <v>0</v>
      </c>
      <c r="E12" s="28">
        <f t="shared" ref="E12" si="2">D12</f>
        <v>0</v>
      </c>
      <c r="F12" s="62">
        <f>E12</f>
        <v>0</v>
      </c>
      <c r="G12" s="32">
        <f>Prices!$B$19</f>
        <v>0</v>
      </c>
      <c r="H12" s="28">
        <f>G12</f>
        <v>0</v>
      </c>
      <c r="I12" s="28">
        <f t="shared" ref="I12" si="3">H12</f>
        <v>0</v>
      </c>
      <c r="J12" s="62">
        <f>I12</f>
        <v>0</v>
      </c>
    </row>
    <row r="13" spans="1:10" x14ac:dyDescent="0.2">
      <c r="A13" s="5" t="s">
        <v>25</v>
      </c>
      <c r="B13" s="8" t="s">
        <v>28</v>
      </c>
      <c r="C13" s="33">
        <f>Prices!$C$10</f>
        <v>16</v>
      </c>
      <c r="D13" s="27">
        <f>Prices!$D$10</f>
        <v>100</v>
      </c>
      <c r="E13" s="27">
        <f>Prices!$E$10</f>
        <v>130</v>
      </c>
      <c r="F13" s="42">
        <f>Prices!$F$10</f>
        <v>160</v>
      </c>
      <c r="G13" s="33">
        <f>Prices!$C$10</f>
        <v>16</v>
      </c>
      <c r="H13" s="27">
        <f>Prices!$D$10</f>
        <v>100</v>
      </c>
      <c r="I13" s="27">
        <f>Prices!$E$10</f>
        <v>130</v>
      </c>
      <c r="J13" s="42">
        <f>Prices!$F$10</f>
        <v>160</v>
      </c>
    </row>
    <row r="14" spans="1:10" x14ac:dyDescent="0.2">
      <c r="A14" s="5" t="s">
        <v>43</v>
      </c>
      <c r="B14" s="8" t="s">
        <v>12</v>
      </c>
      <c r="C14" s="37">
        <v>0</v>
      </c>
      <c r="D14" s="29">
        <v>0</v>
      </c>
      <c r="E14" s="29">
        <v>0</v>
      </c>
      <c r="F14" s="67">
        <v>0</v>
      </c>
      <c r="G14" s="37">
        <v>0</v>
      </c>
      <c r="H14" s="29">
        <v>0</v>
      </c>
      <c r="I14" s="29">
        <v>0</v>
      </c>
      <c r="J14" s="67">
        <v>0</v>
      </c>
    </row>
    <row r="15" spans="1:10" x14ac:dyDescent="0.2">
      <c r="A15" s="5" t="s">
        <v>113</v>
      </c>
      <c r="B15" s="8" t="s">
        <v>6</v>
      </c>
      <c r="C15" s="33">
        <f>(PMT(C5,C6,-C4)+C7)/(C9*8.76)/3.6</f>
        <v>3.7704133721498927</v>
      </c>
      <c r="D15" s="14">
        <f t="shared" ref="D15:F15" si="4">(PMT(D5,D6,-D4)+D7)/(D9*8.76)/3.6</f>
        <v>3.2795903296215045</v>
      </c>
      <c r="E15" s="14">
        <f t="shared" si="4"/>
        <v>2.9003179785768407</v>
      </c>
      <c r="F15" s="15">
        <f t="shared" si="4"/>
        <v>2.5210456275321769</v>
      </c>
      <c r="G15" s="33">
        <f>(PMT(G5,G6,-G4)+G7)/(G9*8.76)/3.6</f>
        <v>3.9712046168205979</v>
      </c>
      <c r="H15" s="14">
        <f t="shared" ref="H15:J15" si="5">(PMT(H5,H6,-H4)+H7)/(H9*8.76)/3.6</f>
        <v>3.3911410211052289</v>
      </c>
      <c r="I15" s="14">
        <f t="shared" si="5"/>
        <v>2.9560933243187035</v>
      </c>
      <c r="J15" s="15">
        <f t="shared" si="5"/>
        <v>2.5210456275321769</v>
      </c>
    </row>
    <row r="16" spans="1:10" x14ac:dyDescent="0.2">
      <c r="A16" s="5" t="s">
        <v>112</v>
      </c>
      <c r="B16" s="8" t="s">
        <v>6</v>
      </c>
      <c r="C16" s="33">
        <f>(C11+C12*(1-C14)*C13)/C10</f>
        <v>14.474644641334585</v>
      </c>
      <c r="D16" s="14">
        <f t="shared" ref="D16:F16" si="6">(D11+D12*(1-D14)*D13)/D10</f>
        <v>14.234400211142374</v>
      </c>
      <c r="E16" s="14">
        <f t="shared" si="6"/>
        <v>17.191049464260942</v>
      </c>
      <c r="F16" s="15">
        <f t="shared" si="6"/>
        <v>17.825450527681731</v>
      </c>
      <c r="G16" s="33">
        <f>(G11+G12*(1-G14)*G13)/G10</f>
        <v>0</v>
      </c>
      <c r="H16" s="14">
        <f t="shared" ref="H16:J16" si="7">(H11+H12*(1-H14)*H13)/H10</f>
        <v>0</v>
      </c>
      <c r="I16" s="14">
        <f t="shared" si="7"/>
        <v>0</v>
      </c>
      <c r="J16" s="15">
        <f t="shared" si="7"/>
        <v>0</v>
      </c>
    </row>
    <row r="17" spans="1:10" x14ac:dyDescent="0.2">
      <c r="A17" s="56" t="s">
        <v>26</v>
      </c>
      <c r="B17" s="57" t="s">
        <v>6</v>
      </c>
      <c r="C17" s="58">
        <f>SUM(C15:C16)+C8</f>
        <v>18.598946902373367</v>
      </c>
      <c r="D17" s="59">
        <f t="shared" ref="D17:F17" si="8">SUM(D15:D16)+D8</f>
        <v>17.925657207430543</v>
      </c>
      <c r="E17" s="59">
        <f t="shared" si="8"/>
        <v>20.519284109504451</v>
      </c>
      <c r="F17" s="60">
        <f t="shared" si="8"/>
        <v>20.790662821880577</v>
      </c>
      <c r="G17" s="58">
        <f>SUM(G15:G16)+G8</f>
        <v>4.4612046168205977</v>
      </c>
      <c r="H17" s="59">
        <f t="shared" ref="H17" si="9">SUM(H15:H16)+H8</f>
        <v>3.9611410211052287</v>
      </c>
      <c r="I17" s="59">
        <f t="shared" ref="I17" si="10">SUM(I15:I16)+I8</f>
        <v>3.5485933243187033</v>
      </c>
      <c r="J17" s="60">
        <f t="shared" ref="J17" si="11">SUM(J15:J16)+J8</f>
        <v>3.1360456275321766</v>
      </c>
    </row>
    <row r="20" spans="1:10" x14ac:dyDescent="0.2">
      <c r="A20" s="22" t="s">
        <v>9</v>
      </c>
      <c r="B20" s="23"/>
      <c r="C20" s="189" t="s">
        <v>60</v>
      </c>
      <c r="D20" s="185"/>
      <c r="E20" s="185"/>
      <c r="F20" s="186"/>
      <c r="G20" s="189" t="s">
        <v>60</v>
      </c>
      <c r="H20" s="185"/>
      <c r="I20" s="185"/>
      <c r="J20" s="186"/>
    </row>
    <row r="21" spans="1:10" x14ac:dyDescent="0.2">
      <c r="A21" s="24"/>
      <c r="B21" s="25"/>
      <c r="C21" s="196" t="s">
        <v>66</v>
      </c>
      <c r="D21" s="197"/>
      <c r="E21" s="197"/>
      <c r="F21" s="198"/>
      <c r="G21" s="196" t="s">
        <v>78</v>
      </c>
      <c r="H21" s="197"/>
      <c r="I21" s="197"/>
      <c r="J21" s="198"/>
    </row>
    <row r="22" spans="1:10" x14ac:dyDescent="0.2">
      <c r="A22" s="1"/>
      <c r="B22" s="2" t="s">
        <v>5</v>
      </c>
      <c r="C22" s="41" t="s">
        <v>22</v>
      </c>
      <c r="D22" s="2">
        <v>2030</v>
      </c>
      <c r="E22" s="2">
        <v>2040</v>
      </c>
      <c r="F22" s="13">
        <v>2050</v>
      </c>
      <c r="G22" s="41" t="s">
        <v>22</v>
      </c>
      <c r="H22" s="2">
        <v>2030</v>
      </c>
      <c r="I22" s="2">
        <v>2040</v>
      </c>
      <c r="J22" s="13">
        <v>2050</v>
      </c>
    </row>
    <row r="23" spans="1:10" x14ac:dyDescent="0.2">
      <c r="A23" s="5" t="s">
        <v>10</v>
      </c>
      <c r="B23" s="8" t="s">
        <v>61</v>
      </c>
      <c r="C23" s="30">
        <v>905</v>
      </c>
      <c r="D23" s="31">
        <v>905</v>
      </c>
      <c r="E23" s="31">
        <f>AVERAGE(D23,F23)</f>
        <v>905</v>
      </c>
      <c r="F23" s="51">
        <v>905</v>
      </c>
      <c r="G23" s="30">
        <v>1315</v>
      </c>
      <c r="H23" s="31">
        <v>1260</v>
      </c>
      <c r="I23" s="31">
        <f>AVERAGE(H23,J23)</f>
        <v>1212.5</v>
      </c>
      <c r="J23" s="51">
        <v>1165</v>
      </c>
    </row>
    <row r="24" spans="1:10" x14ac:dyDescent="0.2">
      <c r="A24" s="5" t="s">
        <v>11</v>
      </c>
      <c r="B24" s="8" t="s">
        <v>12</v>
      </c>
      <c r="C24" s="39">
        <v>0.08</v>
      </c>
      <c r="D24" s="40">
        <v>0.08</v>
      </c>
      <c r="E24" s="40">
        <v>0.08</v>
      </c>
      <c r="F24" s="52">
        <v>0.08</v>
      </c>
      <c r="G24" s="39">
        <v>0.08</v>
      </c>
      <c r="H24" s="40">
        <v>0.08</v>
      </c>
      <c r="I24" s="40">
        <v>0.08</v>
      </c>
      <c r="J24" s="52">
        <v>0.08</v>
      </c>
    </row>
    <row r="25" spans="1:10" x14ac:dyDescent="0.2">
      <c r="A25" s="5" t="s">
        <v>13</v>
      </c>
      <c r="B25" s="8" t="s">
        <v>35</v>
      </c>
      <c r="C25" s="34">
        <v>25</v>
      </c>
      <c r="D25" s="36">
        <v>25</v>
      </c>
      <c r="E25" s="36">
        <v>25</v>
      </c>
      <c r="F25" s="53">
        <v>25</v>
      </c>
      <c r="G25" s="34">
        <v>25</v>
      </c>
      <c r="H25" s="36">
        <v>25</v>
      </c>
      <c r="I25" s="36">
        <v>25</v>
      </c>
      <c r="J25" s="53">
        <v>25</v>
      </c>
    </row>
    <row r="26" spans="1:10" x14ac:dyDescent="0.2">
      <c r="A26" s="5" t="s">
        <v>15</v>
      </c>
      <c r="B26" s="8" t="s">
        <v>68</v>
      </c>
      <c r="C26" s="33">
        <f>2.5%*C23</f>
        <v>22.625</v>
      </c>
      <c r="D26" s="35">
        <f t="shared" ref="D26:F26" si="12">2.5%*D23</f>
        <v>22.625</v>
      </c>
      <c r="E26" s="35">
        <f t="shared" si="12"/>
        <v>22.625</v>
      </c>
      <c r="F26" s="61">
        <f t="shared" si="12"/>
        <v>22.625</v>
      </c>
      <c r="G26" s="33">
        <f>2.5%*G23</f>
        <v>32.875</v>
      </c>
      <c r="H26" s="35">
        <f t="shared" ref="H26:J26" si="13">2.5%*H23</f>
        <v>31.5</v>
      </c>
      <c r="I26" s="35">
        <f t="shared" si="13"/>
        <v>30.3125</v>
      </c>
      <c r="J26" s="61">
        <f t="shared" si="13"/>
        <v>29.125</v>
      </c>
    </row>
    <row r="27" spans="1:10" x14ac:dyDescent="0.2">
      <c r="A27" s="5" t="s">
        <v>19</v>
      </c>
      <c r="B27" s="8" t="s">
        <v>12</v>
      </c>
      <c r="C27" s="37">
        <v>0.95</v>
      </c>
      <c r="D27" s="38">
        <v>0.95</v>
      </c>
      <c r="E27" s="38">
        <v>0.95</v>
      </c>
      <c r="F27" s="55">
        <v>0.95</v>
      </c>
      <c r="G27" s="37">
        <v>0.95</v>
      </c>
      <c r="H27" s="38">
        <v>0.95</v>
      </c>
      <c r="I27" s="38">
        <v>0.95</v>
      </c>
      <c r="J27" s="55">
        <v>0.95</v>
      </c>
    </row>
    <row r="28" spans="1:10" x14ac:dyDescent="0.2">
      <c r="A28" s="5" t="s">
        <v>67</v>
      </c>
      <c r="B28" s="8" t="s">
        <v>69</v>
      </c>
      <c r="C28" s="63">
        <v>42</v>
      </c>
      <c r="D28" s="64">
        <v>38.299999999999997</v>
      </c>
      <c r="E28" s="73">
        <f>AVERAGE(D28,F28)</f>
        <v>35.25</v>
      </c>
      <c r="F28" s="65">
        <v>32.200000000000003</v>
      </c>
      <c r="G28" s="63">
        <v>42</v>
      </c>
      <c r="H28" s="64">
        <v>38.299999999999997</v>
      </c>
      <c r="I28" s="73">
        <f>AVERAGE(H28,J28)</f>
        <v>35.25</v>
      </c>
      <c r="J28" s="65">
        <v>32.200000000000003</v>
      </c>
    </row>
    <row r="29" spans="1:10" x14ac:dyDescent="0.2">
      <c r="A29" s="5" t="s">
        <v>70</v>
      </c>
      <c r="B29" s="8" t="s">
        <v>69</v>
      </c>
      <c r="C29" s="63">
        <v>0.3</v>
      </c>
      <c r="D29" s="64">
        <v>0.3</v>
      </c>
      <c r="E29" s="64">
        <f>AVERAGE(D29,F29)</f>
        <v>0.3</v>
      </c>
      <c r="F29" s="65">
        <v>0.3</v>
      </c>
      <c r="G29" s="63">
        <v>1.3</v>
      </c>
      <c r="H29" s="64">
        <v>1.3</v>
      </c>
      <c r="I29" s="64">
        <f>AVERAGE(H29,J29)</f>
        <v>1.3</v>
      </c>
      <c r="J29" s="65">
        <v>1.3</v>
      </c>
    </row>
    <row r="30" spans="1:10" x14ac:dyDescent="0.2">
      <c r="A30" s="5" t="s">
        <v>71</v>
      </c>
      <c r="B30" s="8" t="s">
        <v>6</v>
      </c>
      <c r="C30" s="33">
        <f>Prices!$C$5</f>
        <v>2.8151624548824561</v>
      </c>
      <c r="D30" s="35">
        <f>Prices!$D$5</f>
        <v>3.1277960639896407</v>
      </c>
      <c r="E30" s="35">
        <f>Prices!$E$5</f>
        <v>4.6443032465300735</v>
      </c>
      <c r="F30" s="61">
        <f>Prices!$F$5</f>
        <v>4.9269999658840788</v>
      </c>
      <c r="G30" s="33">
        <f>Prices!$C$5</f>
        <v>2.8151624548824561</v>
      </c>
      <c r="H30" s="35">
        <f>Prices!$D$5</f>
        <v>3.1277960639896407</v>
      </c>
      <c r="I30" s="35">
        <f>Prices!$E$5</f>
        <v>4.6443032465300735</v>
      </c>
      <c r="J30" s="61">
        <f>Prices!$F$5</f>
        <v>4.9269999658840788</v>
      </c>
    </row>
    <row r="31" spans="1:10" x14ac:dyDescent="0.2">
      <c r="A31" s="5" t="s">
        <v>72</v>
      </c>
      <c r="B31" s="8" t="s">
        <v>6</v>
      </c>
      <c r="C31" s="33">
        <f>Prices!$C$7</f>
        <v>27.222222222222221</v>
      </c>
      <c r="D31" s="35">
        <f>Prices!$D$7</f>
        <v>31.666666666666664</v>
      </c>
      <c r="E31" s="35">
        <f>Prices!$E$7</f>
        <v>32.916666666666664</v>
      </c>
      <c r="F31" s="61">
        <f>Prices!$F$7</f>
        <v>34.166666666666664</v>
      </c>
      <c r="G31" s="33">
        <f>Prices!$C$7</f>
        <v>27.222222222222221</v>
      </c>
      <c r="H31" s="35">
        <f>Prices!$D$7</f>
        <v>31.666666666666664</v>
      </c>
      <c r="I31" s="35">
        <f>Prices!$E$7</f>
        <v>32.916666666666664</v>
      </c>
      <c r="J31" s="61">
        <f>Prices!$F$7</f>
        <v>34.166666666666664</v>
      </c>
    </row>
    <row r="32" spans="1:10" x14ac:dyDescent="0.2">
      <c r="A32" s="5" t="s">
        <v>24</v>
      </c>
      <c r="B32" s="8" t="s">
        <v>27</v>
      </c>
      <c r="C32" s="32">
        <f>Prices!$B$14</f>
        <v>5.6100000000000004E-2</v>
      </c>
      <c r="D32" s="28">
        <f>C32</f>
        <v>5.6100000000000004E-2</v>
      </c>
      <c r="E32" s="28">
        <f t="shared" ref="E32" si="14">D32</f>
        <v>5.6100000000000004E-2</v>
      </c>
      <c r="F32" s="62">
        <f>E32</f>
        <v>5.6100000000000004E-2</v>
      </c>
      <c r="G32" s="32">
        <f>Prices!$B$14</f>
        <v>5.6100000000000004E-2</v>
      </c>
      <c r="H32" s="28">
        <f>G32</f>
        <v>5.6100000000000004E-2</v>
      </c>
      <c r="I32" s="28">
        <f t="shared" ref="I32" si="15">H32</f>
        <v>5.6100000000000004E-2</v>
      </c>
      <c r="J32" s="62">
        <f>I32</f>
        <v>5.6100000000000004E-2</v>
      </c>
    </row>
    <row r="33" spans="1:10" x14ac:dyDescent="0.2">
      <c r="A33" s="5" t="s">
        <v>25</v>
      </c>
      <c r="B33" s="8" t="s">
        <v>28</v>
      </c>
      <c r="C33" s="33">
        <f>Prices!$C$10</f>
        <v>16</v>
      </c>
      <c r="D33" s="27">
        <f>Prices!$D$10</f>
        <v>100</v>
      </c>
      <c r="E33" s="27">
        <f>Prices!$E$10</f>
        <v>130</v>
      </c>
      <c r="F33" s="42">
        <f>Prices!$F$10</f>
        <v>160</v>
      </c>
      <c r="G33" s="33">
        <f>Prices!$C$10</f>
        <v>16</v>
      </c>
      <c r="H33" s="27">
        <f>Prices!$D$10</f>
        <v>100</v>
      </c>
      <c r="I33" s="27">
        <f>Prices!$E$10</f>
        <v>130</v>
      </c>
      <c r="J33" s="42">
        <f>Prices!$F$10</f>
        <v>160</v>
      </c>
    </row>
    <row r="34" spans="1:10" x14ac:dyDescent="0.2">
      <c r="A34" s="5" t="s">
        <v>43</v>
      </c>
      <c r="B34" s="8" t="s">
        <v>12</v>
      </c>
      <c r="C34" s="37">
        <v>0</v>
      </c>
      <c r="D34" s="29">
        <v>0</v>
      </c>
      <c r="E34" s="29">
        <v>0</v>
      </c>
      <c r="F34" s="67">
        <v>0</v>
      </c>
      <c r="G34" s="37">
        <v>0.95</v>
      </c>
      <c r="H34" s="29">
        <v>0.95</v>
      </c>
      <c r="I34" s="29">
        <v>0.95</v>
      </c>
      <c r="J34" s="67">
        <v>0.95</v>
      </c>
    </row>
    <row r="35" spans="1:10" x14ac:dyDescent="0.2">
      <c r="A35" s="5" t="s">
        <v>113</v>
      </c>
      <c r="B35" s="8" t="s">
        <v>61</v>
      </c>
      <c r="C35" s="33">
        <f>(PMT(C24,C25,-C23)+C26)/C27</f>
        <v>113.05715267582227</v>
      </c>
      <c r="D35" s="14">
        <f t="shared" ref="D35:J35" si="16">(PMT(D24,D25,-D23)+D26)/D27</f>
        <v>113.05715267582227</v>
      </c>
      <c r="E35" s="14">
        <f t="shared" si="16"/>
        <v>113.05715267582227</v>
      </c>
      <c r="F35" s="15">
        <f t="shared" si="16"/>
        <v>113.05715267582227</v>
      </c>
      <c r="G35" s="33">
        <f t="shared" si="16"/>
        <v>164.2764152140401</v>
      </c>
      <c r="H35" s="14">
        <f t="shared" si="16"/>
        <v>157.40553853208405</v>
      </c>
      <c r="I35" s="14">
        <f t="shared" si="16"/>
        <v>151.47159957948566</v>
      </c>
      <c r="J35" s="15">
        <f t="shared" si="16"/>
        <v>145.53766062688726</v>
      </c>
    </row>
    <row r="36" spans="1:10" x14ac:dyDescent="0.2">
      <c r="A36" s="5" t="s">
        <v>112</v>
      </c>
      <c r="B36" s="8" t="s">
        <v>61</v>
      </c>
      <c r="C36" s="33">
        <f>C28*C30+C28*C32*C33*(1-C34)+C29*C31</f>
        <v>164.10268977172981</v>
      </c>
      <c r="D36" s="14">
        <f t="shared" ref="D36:F36" si="17">D28*D30+D28*D32*D33*(1-D34)+D29*D31</f>
        <v>344.1575892508032</v>
      </c>
      <c r="E36" s="14">
        <f t="shared" si="17"/>
        <v>430.66493944018509</v>
      </c>
      <c r="F36" s="15">
        <f t="shared" si="17"/>
        <v>457.9265989014674</v>
      </c>
      <c r="G36" s="33">
        <f>G28*G30+G28*G32*G33*(1-G34)+G29*G31</f>
        <v>155.51067199395203</v>
      </c>
      <c r="H36" s="14">
        <f t="shared" ref="H36:J36" si="18">H28*H30+H28*H32*H33*(1-H34)+H29*H31</f>
        <v>171.7044059174699</v>
      </c>
      <c r="I36" s="14">
        <f t="shared" si="18"/>
        <v>219.35726860685176</v>
      </c>
      <c r="J36" s="15">
        <f t="shared" si="18"/>
        <v>217.51742556813403</v>
      </c>
    </row>
    <row r="37" spans="1:10" ht="12" x14ac:dyDescent="0.2">
      <c r="A37" s="56" t="s">
        <v>26</v>
      </c>
      <c r="B37" s="57" t="s">
        <v>73</v>
      </c>
      <c r="C37" s="58">
        <f>SUM(C35:C36)</f>
        <v>277.15984244755208</v>
      </c>
      <c r="D37" s="59">
        <f t="shared" ref="D37:F37" si="19">SUM(D35:D36)</f>
        <v>457.21474192662549</v>
      </c>
      <c r="E37" s="59">
        <f t="shared" si="19"/>
        <v>543.72209211600739</v>
      </c>
      <c r="F37" s="60">
        <f t="shared" si="19"/>
        <v>570.98375157728969</v>
      </c>
      <c r="G37" s="78">
        <f>SUM(G35:G36)</f>
        <v>319.78708720799216</v>
      </c>
      <c r="H37" s="59">
        <f t="shared" ref="H37" si="20">SUM(H35:H36)</f>
        <v>329.10994444955395</v>
      </c>
      <c r="I37" s="59">
        <f t="shared" ref="I37" si="21">SUM(I35:I36)</f>
        <v>370.82886818633744</v>
      </c>
      <c r="J37" s="60">
        <f t="shared" ref="J37" si="22">SUM(J35:J36)</f>
        <v>363.05508619502132</v>
      </c>
    </row>
    <row r="38" spans="1:10" x14ac:dyDescent="0.2">
      <c r="A38" s="74" t="s">
        <v>26</v>
      </c>
      <c r="B38" s="75" t="s">
        <v>74</v>
      </c>
      <c r="C38" s="76">
        <f>C37/Prices!$B$34</f>
        <v>12.420337998994043</v>
      </c>
      <c r="D38" s="76">
        <f>D37/Prices!$B$34</f>
        <v>20.489121305248734</v>
      </c>
      <c r="E38" s="76">
        <f>E37/Prices!$B$34</f>
        <v>24.365767067712632</v>
      </c>
      <c r="F38" s="77">
        <f>F37/Prices!$B$34</f>
        <v>25.587441253743656</v>
      </c>
      <c r="G38" s="76">
        <f>G37/Prices!$B$34</f>
        <v>14.330588716468391</v>
      </c>
      <c r="H38" s="76">
        <f>H37/Prices!$B$34</f>
        <v>14.748373042776336</v>
      </c>
      <c r="I38" s="76">
        <f>I37/Prices!$B$34</f>
        <v>16.617919255493497</v>
      </c>
      <c r="J38" s="77">
        <f>J37/Prices!$B$34</f>
        <v>16.269553492942922</v>
      </c>
    </row>
    <row r="41" spans="1:10" x14ac:dyDescent="0.2">
      <c r="A41" s="22" t="s">
        <v>9</v>
      </c>
      <c r="B41" s="23"/>
      <c r="C41" s="189" t="s">
        <v>60</v>
      </c>
      <c r="D41" s="185"/>
      <c r="E41" s="185"/>
      <c r="F41" s="186"/>
      <c r="G41" s="189" t="s">
        <v>60</v>
      </c>
      <c r="H41" s="185"/>
      <c r="I41" s="185"/>
      <c r="J41" s="186"/>
    </row>
    <row r="42" spans="1:10" x14ac:dyDescent="0.2">
      <c r="A42" s="24"/>
      <c r="B42" s="25"/>
      <c r="C42" s="196" t="s">
        <v>79</v>
      </c>
      <c r="D42" s="197"/>
      <c r="E42" s="197"/>
      <c r="F42" s="198"/>
      <c r="G42" s="196" t="s">
        <v>82</v>
      </c>
      <c r="H42" s="197"/>
      <c r="I42" s="197"/>
      <c r="J42" s="198"/>
    </row>
    <row r="43" spans="1:10" x14ac:dyDescent="0.2">
      <c r="A43" s="1"/>
      <c r="B43" s="2" t="s">
        <v>5</v>
      </c>
      <c r="C43" s="41" t="s">
        <v>22</v>
      </c>
      <c r="D43" s="2">
        <v>2030</v>
      </c>
      <c r="E43" s="2">
        <v>2040</v>
      </c>
      <c r="F43" s="13">
        <v>2050</v>
      </c>
      <c r="G43" s="41" t="s">
        <v>22</v>
      </c>
      <c r="H43" s="2">
        <v>2030</v>
      </c>
      <c r="I43" s="2">
        <v>2040</v>
      </c>
      <c r="J43" s="13">
        <v>2050</v>
      </c>
    </row>
    <row r="44" spans="1:10" x14ac:dyDescent="0.2">
      <c r="A44" s="5" t="s">
        <v>10</v>
      </c>
      <c r="B44" s="8" t="s">
        <v>61</v>
      </c>
      <c r="C44" s="30">
        <v>2175</v>
      </c>
      <c r="D44" s="31">
        <v>2175</v>
      </c>
      <c r="E44" s="31">
        <f>AVERAGE(D44,F44)</f>
        <v>2175</v>
      </c>
      <c r="F44" s="51">
        <v>2175</v>
      </c>
      <c r="G44" s="30">
        <v>2810</v>
      </c>
      <c r="H44" s="31">
        <v>2810</v>
      </c>
      <c r="I44" s="31">
        <f>AVERAGE(H44,J44)</f>
        <v>2810</v>
      </c>
      <c r="J44" s="51">
        <v>2810</v>
      </c>
    </row>
    <row r="45" spans="1:10" x14ac:dyDescent="0.2">
      <c r="A45" s="5" t="s">
        <v>11</v>
      </c>
      <c r="B45" s="8" t="s">
        <v>12</v>
      </c>
      <c r="C45" s="39">
        <v>0.08</v>
      </c>
      <c r="D45" s="40">
        <v>0.08</v>
      </c>
      <c r="E45" s="40">
        <v>0.08</v>
      </c>
      <c r="F45" s="52">
        <v>0.08</v>
      </c>
      <c r="G45" s="39">
        <v>0.08</v>
      </c>
      <c r="H45" s="40">
        <v>0.08</v>
      </c>
      <c r="I45" s="40">
        <v>0.08</v>
      </c>
      <c r="J45" s="52">
        <v>0.08</v>
      </c>
    </row>
    <row r="46" spans="1:10" x14ac:dyDescent="0.2">
      <c r="A46" s="5" t="s">
        <v>13</v>
      </c>
      <c r="B46" s="8" t="s">
        <v>35</v>
      </c>
      <c r="C46" s="34">
        <v>25</v>
      </c>
      <c r="D46" s="36">
        <v>25</v>
      </c>
      <c r="E46" s="36">
        <v>25</v>
      </c>
      <c r="F46" s="53">
        <v>25</v>
      </c>
      <c r="G46" s="34">
        <v>25</v>
      </c>
      <c r="H46" s="36">
        <v>25</v>
      </c>
      <c r="I46" s="36">
        <v>25</v>
      </c>
      <c r="J46" s="53">
        <v>25</v>
      </c>
    </row>
    <row r="47" spans="1:10" x14ac:dyDescent="0.2">
      <c r="A47" s="5" t="s">
        <v>15</v>
      </c>
      <c r="B47" s="8" t="s">
        <v>68</v>
      </c>
      <c r="C47" s="33">
        <f>5%*C44</f>
        <v>108.75</v>
      </c>
      <c r="D47" s="35">
        <f t="shared" ref="D47:F47" si="23">5%*D44</f>
        <v>108.75</v>
      </c>
      <c r="E47" s="35">
        <f t="shared" si="23"/>
        <v>108.75</v>
      </c>
      <c r="F47" s="61">
        <f t="shared" si="23"/>
        <v>108.75</v>
      </c>
      <c r="G47" s="33">
        <f>5%*G44</f>
        <v>140.5</v>
      </c>
      <c r="H47" s="35">
        <f t="shared" ref="H47:J47" si="24">5%*H44</f>
        <v>140.5</v>
      </c>
      <c r="I47" s="35">
        <f t="shared" si="24"/>
        <v>140.5</v>
      </c>
      <c r="J47" s="61">
        <f t="shared" si="24"/>
        <v>140.5</v>
      </c>
    </row>
    <row r="48" spans="1:10" x14ac:dyDescent="0.2">
      <c r="A48" s="5" t="s">
        <v>19</v>
      </c>
      <c r="B48" s="8" t="s">
        <v>12</v>
      </c>
      <c r="C48" s="37">
        <v>0.95</v>
      </c>
      <c r="D48" s="38">
        <v>0.95</v>
      </c>
      <c r="E48" s="38">
        <v>0.95</v>
      </c>
      <c r="F48" s="55">
        <v>0.95</v>
      </c>
      <c r="G48" s="37">
        <v>0.95</v>
      </c>
      <c r="H48" s="38">
        <v>0.95</v>
      </c>
      <c r="I48" s="38">
        <v>0.95</v>
      </c>
      <c r="J48" s="55">
        <v>0.95</v>
      </c>
    </row>
    <row r="49" spans="1:10" x14ac:dyDescent="0.2">
      <c r="A49" s="5" t="s">
        <v>80</v>
      </c>
      <c r="B49" s="8" t="s">
        <v>69</v>
      </c>
      <c r="C49" s="63">
        <v>38.4</v>
      </c>
      <c r="D49" s="64">
        <v>38.4</v>
      </c>
      <c r="E49" s="73">
        <f>AVERAGE(D49,F49)</f>
        <v>38.4</v>
      </c>
      <c r="F49" s="65">
        <v>38.4</v>
      </c>
      <c r="G49" s="63">
        <v>38.4</v>
      </c>
      <c r="H49" s="64">
        <v>38.4</v>
      </c>
      <c r="I49" s="73">
        <f>AVERAGE(H49,J49)</f>
        <v>38.4</v>
      </c>
      <c r="J49" s="65">
        <v>38.4</v>
      </c>
    </row>
    <row r="50" spans="1:10" x14ac:dyDescent="0.2">
      <c r="A50" s="5" t="s">
        <v>70</v>
      </c>
      <c r="B50" s="8" t="s">
        <v>69</v>
      </c>
      <c r="C50" s="63">
        <v>3.7</v>
      </c>
      <c r="D50" s="64">
        <v>3.7</v>
      </c>
      <c r="E50" s="64">
        <f>AVERAGE(D50,F50)</f>
        <v>3.7</v>
      </c>
      <c r="F50" s="65">
        <v>3.7</v>
      </c>
      <c r="G50" s="63">
        <v>5.3</v>
      </c>
      <c r="H50" s="64">
        <v>5.3</v>
      </c>
      <c r="I50" s="64">
        <f>AVERAGE(H50,J50)</f>
        <v>5.3</v>
      </c>
      <c r="J50" s="65">
        <v>5.3</v>
      </c>
    </row>
    <row r="51" spans="1:10" x14ac:dyDescent="0.2">
      <c r="A51" s="5" t="s">
        <v>81</v>
      </c>
      <c r="B51" s="8" t="s">
        <v>6</v>
      </c>
      <c r="C51" s="33">
        <f>Prices!$C$4</f>
        <v>3.4803259222863696</v>
      </c>
      <c r="D51" s="35">
        <f>Prices!$D$4</f>
        <v>3.1049966561574474</v>
      </c>
      <c r="E51" s="35">
        <f>Prices!$E$4</f>
        <v>3.2073591832835171</v>
      </c>
      <c r="F51" s="61">
        <f>Prices!$F$4</f>
        <v>3.26172120333917</v>
      </c>
      <c r="G51" s="33">
        <f>Prices!$C$4</f>
        <v>3.4803259222863696</v>
      </c>
      <c r="H51" s="35">
        <f>Prices!$D$4</f>
        <v>3.1049966561574474</v>
      </c>
      <c r="I51" s="35">
        <f>Prices!$E$4</f>
        <v>3.2073591832835171</v>
      </c>
      <c r="J51" s="61">
        <f>Prices!$F$4</f>
        <v>3.26172120333917</v>
      </c>
    </row>
    <row r="52" spans="1:10" x14ac:dyDescent="0.2">
      <c r="A52" s="5" t="s">
        <v>72</v>
      </c>
      <c r="B52" s="8" t="s">
        <v>6</v>
      </c>
      <c r="C52" s="33">
        <f>Prices!$C$7</f>
        <v>27.222222222222221</v>
      </c>
      <c r="D52" s="35">
        <f>Prices!$D$7</f>
        <v>31.666666666666664</v>
      </c>
      <c r="E52" s="35">
        <f>Prices!$E$7</f>
        <v>32.916666666666664</v>
      </c>
      <c r="F52" s="61">
        <f>Prices!$F$7</f>
        <v>34.166666666666664</v>
      </c>
      <c r="G52" s="33">
        <f>Prices!$C$7</f>
        <v>27.222222222222221</v>
      </c>
      <c r="H52" s="35">
        <f>Prices!$D$7</f>
        <v>31.666666666666664</v>
      </c>
      <c r="I52" s="35">
        <f>Prices!$E$7</f>
        <v>32.916666666666664</v>
      </c>
      <c r="J52" s="61">
        <f>Prices!$F$7</f>
        <v>34.166666666666664</v>
      </c>
    </row>
    <row r="53" spans="1:10" x14ac:dyDescent="0.2">
      <c r="A53" s="5" t="s">
        <v>24</v>
      </c>
      <c r="B53" s="8" t="s">
        <v>27</v>
      </c>
      <c r="C53" s="32">
        <f>Prices!$B$15</f>
        <v>9.4600000000000004E-2</v>
      </c>
      <c r="D53" s="28">
        <f>C53</f>
        <v>9.4600000000000004E-2</v>
      </c>
      <c r="E53" s="28">
        <f t="shared" ref="E53" si="25">D53</f>
        <v>9.4600000000000004E-2</v>
      </c>
      <c r="F53" s="62">
        <f>E53</f>
        <v>9.4600000000000004E-2</v>
      </c>
      <c r="G53" s="32">
        <f>Prices!$B$15</f>
        <v>9.4600000000000004E-2</v>
      </c>
      <c r="H53" s="28">
        <f>G53</f>
        <v>9.4600000000000004E-2</v>
      </c>
      <c r="I53" s="28">
        <f t="shared" ref="I53" si="26">H53</f>
        <v>9.4600000000000004E-2</v>
      </c>
      <c r="J53" s="62">
        <f>I53</f>
        <v>9.4600000000000004E-2</v>
      </c>
    </row>
    <row r="54" spans="1:10" x14ac:dyDescent="0.2">
      <c r="A54" s="5" t="s">
        <v>25</v>
      </c>
      <c r="B54" s="8" t="s">
        <v>28</v>
      </c>
      <c r="C54" s="33">
        <f>Prices!$C$10</f>
        <v>16</v>
      </c>
      <c r="D54" s="27">
        <f>Prices!$D$10</f>
        <v>100</v>
      </c>
      <c r="E54" s="27">
        <f>Prices!$E$10</f>
        <v>130</v>
      </c>
      <c r="F54" s="42">
        <f>Prices!$F$10</f>
        <v>160</v>
      </c>
      <c r="G54" s="33">
        <f>Prices!$C$10</f>
        <v>16</v>
      </c>
      <c r="H54" s="27">
        <f>Prices!$D$10</f>
        <v>100</v>
      </c>
      <c r="I54" s="27">
        <f>Prices!$E$10</f>
        <v>130</v>
      </c>
      <c r="J54" s="42">
        <f>Prices!$F$10</f>
        <v>160</v>
      </c>
    </row>
    <row r="55" spans="1:10" x14ac:dyDescent="0.2">
      <c r="A55" s="5" t="s">
        <v>43</v>
      </c>
      <c r="B55" s="8" t="s">
        <v>12</v>
      </c>
      <c r="C55" s="37">
        <v>0</v>
      </c>
      <c r="D55" s="29">
        <v>0</v>
      </c>
      <c r="E55" s="29">
        <v>0</v>
      </c>
      <c r="F55" s="67">
        <v>0</v>
      </c>
      <c r="G55" s="37">
        <v>0.95</v>
      </c>
      <c r="H55" s="29">
        <v>0.95</v>
      </c>
      <c r="I55" s="29">
        <v>0.95</v>
      </c>
      <c r="J55" s="67">
        <v>0.95</v>
      </c>
    </row>
    <row r="56" spans="1:10" x14ac:dyDescent="0.2">
      <c r="A56" s="5" t="s">
        <v>113</v>
      </c>
      <c r="B56" s="8" t="s">
        <v>61</v>
      </c>
      <c r="C56" s="33">
        <f>(PMT(C45,C46,-C44)+C47)/C48</f>
        <v>328.94878361897969</v>
      </c>
      <c r="D56" s="14">
        <f t="shared" ref="D56:F56" si="27">(PMT(D45,D46,-D44)+D47)/D48</f>
        <v>328.94878361897969</v>
      </c>
      <c r="E56" s="14">
        <f t="shared" si="27"/>
        <v>328.94878361897969</v>
      </c>
      <c r="F56" s="15">
        <f t="shared" si="27"/>
        <v>328.94878361897969</v>
      </c>
      <c r="G56" s="33">
        <f>(PMT(G45,G46,-G44)+G47)/G48</f>
        <v>424.98670435371628</v>
      </c>
      <c r="H56" s="14">
        <f t="shared" ref="H56:J56" si="28">(PMT(H45,H46,-H44)+H47)/H48</f>
        <v>424.98670435371628</v>
      </c>
      <c r="I56" s="14">
        <f t="shared" si="28"/>
        <v>424.98670435371628</v>
      </c>
      <c r="J56" s="15">
        <f t="shared" si="28"/>
        <v>424.98670435371628</v>
      </c>
    </row>
    <row r="57" spans="1:10" x14ac:dyDescent="0.2">
      <c r="A57" s="5" t="s">
        <v>112</v>
      </c>
      <c r="B57" s="8" t="s">
        <v>61</v>
      </c>
      <c r="C57" s="33">
        <f>C49*C51+C49*C53*C54*(1-C55)+C50*C52</f>
        <v>292.48897763801881</v>
      </c>
      <c r="D57" s="14">
        <f t="shared" ref="D57:F57" si="29">D49*D51+D49*D53*D54*(1-D55)+D50*D52</f>
        <v>599.66253826311265</v>
      </c>
      <c r="E57" s="14">
        <f t="shared" si="29"/>
        <v>717.19745930475369</v>
      </c>
      <c r="F57" s="15">
        <f t="shared" si="29"/>
        <v>832.88916087489076</v>
      </c>
      <c r="G57" s="33">
        <f>G49*G51+G49*G53*G54*(1-G55)+G50*G52</f>
        <v>280.82840519357433</v>
      </c>
      <c r="H57" s="14">
        <f t="shared" ref="H57:J57" si="30">H49*H51+H49*H53*H54*(1-H55)+H50*H52</f>
        <v>305.22840492977929</v>
      </c>
      <c r="I57" s="14">
        <f t="shared" si="30"/>
        <v>321.23308597142039</v>
      </c>
      <c r="J57" s="15">
        <f t="shared" si="30"/>
        <v>335.39454754155747</v>
      </c>
    </row>
    <row r="58" spans="1:10" ht="12" x14ac:dyDescent="0.2">
      <c r="A58" s="56" t="s">
        <v>26</v>
      </c>
      <c r="B58" s="57" t="s">
        <v>73</v>
      </c>
      <c r="C58" s="58">
        <f>SUM(C56:C57)</f>
        <v>621.43776125699856</v>
      </c>
      <c r="D58" s="59">
        <f t="shared" ref="D58" si="31">SUM(D56:D57)</f>
        <v>928.6113218820924</v>
      </c>
      <c r="E58" s="59">
        <f t="shared" ref="E58" si="32">SUM(E56:E57)</f>
        <v>1046.1462429237333</v>
      </c>
      <c r="F58" s="60">
        <f t="shared" ref="F58" si="33">SUM(F56:F57)</f>
        <v>1161.8379444938705</v>
      </c>
      <c r="G58" s="58">
        <f>SUM(G56:G57)</f>
        <v>705.8151095472906</v>
      </c>
      <c r="H58" s="59">
        <f t="shared" ref="H58" si="34">SUM(H56:H57)</f>
        <v>730.21510928349562</v>
      </c>
      <c r="I58" s="59">
        <f t="shared" ref="I58" si="35">SUM(I56:I57)</f>
        <v>746.21979032513673</v>
      </c>
      <c r="J58" s="60">
        <f t="shared" ref="J58" si="36">SUM(J56:J57)</f>
        <v>760.38125189527375</v>
      </c>
    </row>
    <row r="59" spans="1:10" x14ac:dyDescent="0.2">
      <c r="A59" s="74" t="s">
        <v>26</v>
      </c>
      <c r="B59" s="75" t="s">
        <v>74</v>
      </c>
      <c r="C59" s="76">
        <f>C58/Prices!$B$34</f>
        <v>27.848432052744723</v>
      </c>
      <c r="D59" s="76">
        <f>D58/Prices!$B$34</f>
        <v>41.613771986649894</v>
      </c>
      <c r="E59" s="76">
        <f>E58/Prices!$B$34</f>
        <v>46.880853368753449</v>
      </c>
      <c r="F59" s="77">
        <f>F58/Prices!$B$34</f>
        <v>52.06533472972756</v>
      </c>
      <c r="G59" s="76">
        <f>G58/Prices!$B$34</f>
        <v>31.629626240075758</v>
      </c>
      <c r="H59" s="76">
        <f>H58/Prices!$B$34</f>
        <v>32.723061137508203</v>
      </c>
      <c r="I59" s="76">
        <f>I58/Prices!$B$34</f>
        <v>33.440277406459181</v>
      </c>
      <c r="J59" s="77">
        <f>J58/Prices!$B$34</f>
        <v>34.074893654280693</v>
      </c>
    </row>
    <row r="62" spans="1:10" x14ac:dyDescent="0.2">
      <c r="A62" s="22" t="s">
        <v>9</v>
      </c>
      <c r="B62" s="23"/>
      <c r="C62" s="189" t="s">
        <v>60</v>
      </c>
      <c r="D62" s="185"/>
      <c r="E62" s="185"/>
      <c r="F62" s="186"/>
      <c r="G62" s="189" t="s">
        <v>60</v>
      </c>
      <c r="H62" s="185"/>
      <c r="I62" s="185"/>
      <c r="J62" s="186"/>
    </row>
    <row r="63" spans="1:10" x14ac:dyDescent="0.2">
      <c r="A63" s="24"/>
      <c r="B63" s="25"/>
      <c r="C63" s="196" t="s">
        <v>83</v>
      </c>
      <c r="D63" s="197"/>
      <c r="E63" s="197"/>
      <c r="F63" s="198"/>
      <c r="G63" s="196" t="s">
        <v>86</v>
      </c>
      <c r="H63" s="197"/>
      <c r="I63" s="197"/>
      <c r="J63" s="198"/>
    </row>
    <row r="64" spans="1:10" x14ac:dyDescent="0.2">
      <c r="A64" s="1"/>
      <c r="B64" s="2" t="s">
        <v>5</v>
      </c>
      <c r="C64" s="41" t="s">
        <v>22</v>
      </c>
      <c r="D64" s="2">
        <v>2030</v>
      </c>
      <c r="E64" s="2">
        <v>2040</v>
      </c>
      <c r="F64" s="13">
        <v>2050</v>
      </c>
      <c r="G64" s="41" t="s">
        <v>22</v>
      </c>
      <c r="H64" s="2">
        <v>2030</v>
      </c>
      <c r="I64" s="2">
        <v>2040</v>
      </c>
      <c r="J64" s="13">
        <v>2050</v>
      </c>
    </row>
    <row r="65" spans="1:10" x14ac:dyDescent="0.2">
      <c r="A65" s="5" t="s">
        <v>10</v>
      </c>
      <c r="B65" s="8" t="s">
        <v>61</v>
      </c>
      <c r="C65" s="30">
        <v>6320</v>
      </c>
      <c r="D65" s="31">
        <v>6320</v>
      </c>
      <c r="E65" s="31">
        <f>AVERAGE(D65,F65)</f>
        <v>6320</v>
      </c>
      <c r="F65" s="51">
        <v>6320</v>
      </c>
      <c r="G65" s="30">
        <f>G44-C44+C65</f>
        <v>6955</v>
      </c>
      <c r="H65" s="31">
        <f t="shared" ref="H65:J65" si="37">H44-D44+D65</f>
        <v>6955</v>
      </c>
      <c r="I65" s="31">
        <f t="shared" si="37"/>
        <v>6955</v>
      </c>
      <c r="J65" s="51">
        <f t="shared" si="37"/>
        <v>6955</v>
      </c>
    </row>
    <row r="66" spans="1:10" x14ac:dyDescent="0.2">
      <c r="A66" s="5" t="s">
        <v>11</v>
      </c>
      <c r="B66" s="8" t="s">
        <v>12</v>
      </c>
      <c r="C66" s="39">
        <v>0.08</v>
      </c>
      <c r="D66" s="40">
        <v>0.08</v>
      </c>
      <c r="E66" s="40">
        <v>0.08</v>
      </c>
      <c r="F66" s="52">
        <v>0.08</v>
      </c>
      <c r="G66" s="39">
        <v>0.08</v>
      </c>
      <c r="H66" s="40">
        <v>0.08</v>
      </c>
      <c r="I66" s="40">
        <v>0.08</v>
      </c>
      <c r="J66" s="52">
        <v>0.08</v>
      </c>
    </row>
    <row r="67" spans="1:10" x14ac:dyDescent="0.2">
      <c r="A67" s="5" t="s">
        <v>13</v>
      </c>
      <c r="B67" s="8" t="s">
        <v>35</v>
      </c>
      <c r="C67" s="34">
        <v>25</v>
      </c>
      <c r="D67" s="36">
        <v>25</v>
      </c>
      <c r="E67" s="36">
        <v>25</v>
      </c>
      <c r="F67" s="53">
        <v>25</v>
      </c>
      <c r="G67" s="34">
        <v>25</v>
      </c>
      <c r="H67" s="36">
        <v>25</v>
      </c>
      <c r="I67" s="36">
        <v>25</v>
      </c>
      <c r="J67" s="53">
        <v>25</v>
      </c>
    </row>
    <row r="68" spans="1:10" x14ac:dyDescent="0.2">
      <c r="A68" s="5" t="s">
        <v>15</v>
      </c>
      <c r="B68" s="8" t="s">
        <v>68</v>
      </c>
      <c r="C68" s="33">
        <f>5%*C65</f>
        <v>316</v>
      </c>
      <c r="D68" s="35">
        <f t="shared" ref="D68:F68" si="38">5%*D65</f>
        <v>316</v>
      </c>
      <c r="E68" s="35">
        <f t="shared" si="38"/>
        <v>316</v>
      </c>
      <c r="F68" s="61">
        <f t="shared" si="38"/>
        <v>316</v>
      </c>
      <c r="G68" s="33">
        <f>5%*G65</f>
        <v>347.75</v>
      </c>
      <c r="H68" s="35">
        <f t="shared" ref="H68:J68" si="39">5%*H65</f>
        <v>347.75</v>
      </c>
      <c r="I68" s="35">
        <f t="shared" si="39"/>
        <v>347.75</v>
      </c>
      <c r="J68" s="61">
        <f t="shared" si="39"/>
        <v>347.75</v>
      </c>
    </row>
    <row r="69" spans="1:10" x14ac:dyDescent="0.2">
      <c r="A69" s="5" t="s">
        <v>19</v>
      </c>
      <c r="B69" s="8" t="s">
        <v>12</v>
      </c>
      <c r="C69" s="37">
        <v>0.95</v>
      </c>
      <c r="D69" s="38">
        <v>0.95</v>
      </c>
      <c r="E69" s="38">
        <v>0.95</v>
      </c>
      <c r="F69" s="55">
        <v>0.95</v>
      </c>
      <c r="G69" s="37">
        <v>0.95</v>
      </c>
      <c r="H69" s="38">
        <v>0.95</v>
      </c>
      <c r="I69" s="38">
        <v>0.95</v>
      </c>
      <c r="J69" s="55">
        <v>0.95</v>
      </c>
    </row>
    <row r="70" spans="1:10" x14ac:dyDescent="0.2">
      <c r="A70" s="5" t="s">
        <v>84</v>
      </c>
      <c r="B70" s="8" t="s">
        <v>69</v>
      </c>
      <c r="C70" s="63">
        <v>45</v>
      </c>
      <c r="D70" s="64">
        <v>45</v>
      </c>
      <c r="E70" s="73">
        <f>AVERAGE(D70,F70)</f>
        <v>45</v>
      </c>
      <c r="F70" s="65">
        <v>45</v>
      </c>
      <c r="G70" s="63">
        <v>45</v>
      </c>
      <c r="H70" s="64">
        <v>45</v>
      </c>
      <c r="I70" s="73">
        <f>AVERAGE(H70,J70)</f>
        <v>45</v>
      </c>
      <c r="J70" s="65">
        <v>45</v>
      </c>
    </row>
    <row r="71" spans="1:10" x14ac:dyDescent="0.2">
      <c r="A71" s="5" t="s">
        <v>70</v>
      </c>
      <c r="B71" s="8" t="s">
        <v>69</v>
      </c>
      <c r="C71" s="63">
        <v>5</v>
      </c>
      <c r="D71" s="64">
        <v>5</v>
      </c>
      <c r="E71" s="64">
        <f>AVERAGE(D71,F71)</f>
        <v>5</v>
      </c>
      <c r="F71" s="65">
        <v>5</v>
      </c>
      <c r="G71" s="63">
        <f>G50-C50+C71</f>
        <v>6.6</v>
      </c>
      <c r="H71" s="64">
        <f t="shared" ref="H71:J71" si="40">H50-D50+D71</f>
        <v>6.6</v>
      </c>
      <c r="I71" s="64">
        <f t="shared" si="40"/>
        <v>6.6</v>
      </c>
      <c r="J71" s="65">
        <f t="shared" si="40"/>
        <v>6.6</v>
      </c>
    </row>
    <row r="72" spans="1:10" x14ac:dyDescent="0.2">
      <c r="A72" s="5" t="s">
        <v>85</v>
      </c>
      <c r="B72" s="8" t="s">
        <v>6</v>
      </c>
      <c r="C72" s="33">
        <f>Prices!$C$8</f>
        <v>10</v>
      </c>
      <c r="D72" s="35">
        <f>Prices!$D$8</f>
        <v>10</v>
      </c>
      <c r="E72" s="35">
        <f>Prices!$E$8</f>
        <v>10</v>
      </c>
      <c r="F72" s="61">
        <f>Prices!$F$8</f>
        <v>10</v>
      </c>
      <c r="G72" s="33">
        <f>Prices!$C$8</f>
        <v>10</v>
      </c>
      <c r="H72" s="35">
        <f>Prices!$D$8</f>
        <v>10</v>
      </c>
      <c r="I72" s="35">
        <f>Prices!$E$8</f>
        <v>10</v>
      </c>
      <c r="J72" s="61">
        <f>Prices!$F$8</f>
        <v>10</v>
      </c>
    </row>
    <row r="73" spans="1:10" x14ac:dyDescent="0.2">
      <c r="A73" s="5" t="s">
        <v>72</v>
      </c>
      <c r="B73" s="8" t="s">
        <v>6</v>
      </c>
      <c r="C73" s="33">
        <f>Prices!$C$7</f>
        <v>27.222222222222221</v>
      </c>
      <c r="D73" s="35">
        <f>Prices!$D$7</f>
        <v>31.666666666666664</v>
      </c>
      <c r="E73" s="35">
        <f>Prices!$E$7</f>
        <v>32.916666666666664</v>
      </c>
      <c r="F73" s="61">
        <f>Prices!$F$7</f>
        <v>34.166666666666664</v>
      </c>
      <c r="G73" s="33">
        <f>Prices!$C$7</f>
        <v>27.222222222222221</v>
      </c>
      <c r="H73" s="35">
        <f>Prices!$D$7</f>
        <v>31.666666666666664</v>
      </c>
      <c r="I73" s="35">
        <f>Prices!$E$7</f>
        <v>32.916666666666664</v>
      </c>
      <c r="J73" s="61">
        <f>Prices!$F$7</f>
        <v>34.166666666666664</v>
      </c>
    </row>
    <row r="74" spans="1:10" x14ac:dyDescent="0.2">
      <c r="A74" s="5" t="s">
        <v>24</v>
      </c>
      <c r="B74" s="8" t="s">
        <v>27</v>
      </c>
      <c r="C74" s="32">
        <f>Prices!$B$17</f>
        <v>0</v>
      </c>
      <c r="D74" s="28">
        <f>C74</f>
        <v>0</v>
      </c>
      <c r="E74" s="28">
        <f t="shared" ref="E74" si="41">D74</f>
        <v>0</v>
      </c>
      <c r="F74" s="62">
        <f>E74</f>
        <v>0</v>
      </c>
      <c r="G74" s="32">
        <f>Prices!$B$18</f>
        <v>0.112</v>
      </c>
      <c r="H74" s="28">
        <f>G74</f>
        <v>0.112</v>
      </c>
      <c r="I74" s="28">
        <f t="shared" ref="I74" si="42">H74</f>
        <v>0.112</v>
      </c>
      <c r="J74" s="62">
        <f>I74</f>
        <v>0.112</v>
      </c>
    </row>
    <row r="75" spans="1:10" x14ac:dyDescent="0.2">
      <c r="A75" s="5" t="s">
        <v>25</v>
      </c>
      <c r="B75" s="8" t="s">
        <v>28</v>
      </c>
      <c r="C75" s="33">
        <f>Prices!$C$10</f>
        <v>16</v>
      </c>
      <c r="D75" s="27">
        <f>Prices!$D$10</f>
        <v>100</v>
      </c>
      <c r="E75" s="27">
        <f>Prices!$E$10</f>
        <v>130</v>
      </c>
      <c r="F75" s="42">
        <f>Prices!$F$10</f>
        <v>160</v>
      </c>
      <c r="G75" s="33">
        <f>Prices!$C$10</f>
        <v>16</v>
      </c>
      <c r="H75" s="27">
        <f>Prices!$D$10</f>
        <v>100</v>
      </c>
      <c r="I75" s="27">
        <f>Prices!$E$10</f>
        <v>130</v>
      </c>
      <c r="J75" s="42">
        <f>Prices!$F$10</f>
        <v>160</v>
      </c>
    </row>
    <row r="76" spans="1:10" x14ac:dyDescent="0.2">
      <c r="A76" s="5" t="s">
        <v>43</v>
      </c>
      <c r="B76" s="8" t="s">
        <v>12</v>
      </c>
      <c r="C76" s="37">
        <v>0</v>
      </c>
      <c r="D76" s="29">
        <v>0</v>
      </c>
      <c r="E76" s="29">
        <v>0</v>
      </c>
      <c r="F76" s="67">
        <v>0</v>
      </c>
      <c r="G76" s="37">
        <v>2</v>
      </c>
      <c r="H76" s="29">
        <v>2</v>
      </c>
      <c r="I76" s="29">
        <v>2</v>
      </c>
      <c r="J76" s="67">
        <v>2</v>
      </c>
    </row>
    <row r="77" spans="1:10" x14ac:dyDescent="0.2">
      <c r="A77" s="5" t="s">
        <v>113</v>
      </c>
      <c r="B77" s="8" t="s">
        <v>61</v>
      </c>
      <c r="C77" s="33">
        <f>(PMT(C66,C67,-C65)+C68)/C69</f>
        <v>955.84198274572498</v>
      </c>
      <c r="D77" s="14">
        <f t="shared" ref="D77:F77" si="43">(PMT(D66,D67,-D65)+D68)/D69</f>
        <v>955.84198274572498</v>
      </c>
      <c r="E77" s="14">
        <f t="shared" si="43"/>
        <v>955.84198274572498</v>
      </c>
      <c r="F77" s="15">
        <f t="shared" si="43"/>
        <v>955.84198274572498</v>
      </c>
      <c r="G77" s="33">
        <f>(PMT(G66,G67,-G65)+G68)/G69</f>
        <v>1051.8799034804615</v>
      </c>
      <c r="H77" s="14">
        <f t="shared" ref="H77:J77" si="44">(PMT(H66,H67,-H65)+H68)/H69</f>
        <v>1051.8799034804615</v>
      </c>
      <c r="I77" s="14">
        <f t="shared" si="44"/>
        <v>1051.8799034804615</v>
      </c>
      <c r="J77" s="15">
        <f t="shared" si="44"/>
        <v>1051.8799034804615</v>
      </c>
    </row>
    <row r="78" spans="1:10" x14ac:dyDescent="0.2">
      <c r="A78" s="5" t="s">
        <v>112</v>
      </c>
      <c r="B78" s="8" t="s">
        <v>61</v>
      </c>
      <c r="C78" s="33">
        <f>C70*C72+C70*C74*C75*(1-C76)+C71*C73</f>
        <v>586.11111111111109</v>
      </c>
      <c r="D78" s="14">
        <f t="shared" ref="D78:F78" si="45">D70*D72+D70*D74*D75*(1-D76)+D71*D73</f>
        <v>608.33333333333326</v>
      </c>
      <c r="E78" s="14">
        <f t="shared" si="45"/>
        <v>614.58333333333326</v>
      </c>
      <c r="F78" s="15">
        <f t="shared" si="45"/>
        <v>620.83333333333326</v>
      </c>
      <c r="G78" s="33">
        <f>G70*G72+G70*G74*G75*(1-G76)+G71*G73</f>
        <v>549.02666666666664</v>
      </c>
      <c r="H78" s="14">
        <f t="shared" ref="H78:J78" si="46">H70*H72+H70*H74*H75*(1-H76)+H71*H73</f>
        <v>154.99999999999997</v>
      </c>
      <c r="I78" s="14">
        <f t="shared" si="46"/>
        <v>12.049999999999926</v>
      </c>
      <c r="J78" s="15">
        <f t="shared" si="46"/>
        <v>-130.9</v>
      </c>
    </row>
    <row r="79" spans="1:10" ht="12" x14ac:dyDescent="0.2">
      <c r="A79" s="56" t="s">
        <v>26</v>
      </c>
      <c r="B79" s="57" t="s">
        <v>73</v>
      </c>
      <c r="C79" s="58">
        <f>SUM(C77:C78)</f>
        <v>1541.9530938568359</v>
      </c>
      <c r="D79" s="59">
        <f t="shared" ref="D79" si="47">SUM(D77:D78)</f>
        <v>1564.1753160790581</v>
      </c>
      <c r="E79" s="59">
        <f t="shared" ref="E79" si="48">SUM(E77:E78)</f>
        <v>1570.4253160790581</v>
      </c>
      <c r="F79" s="60">
        <f t="shared" ref="F79" si="49">SUM(F77:F78)</f>
        <v>1576.6753160790581</v>
      </c>
      <c r="G79" s="58">
        <f>SUM(G77:G78)</f>
        <v>1600.9065701471281</v>
      </c>
      <c r="H79" s="59">
        <f t="shared" ref="H79" si="50">SUM(H77:H78)</f>
        <v>1206.8799034804615</v>
      </c>
      <c r="I79" s="59">
        <f t="shared" ref="I79" si="51">SUM(I77:I78)</f>
        <v>1063.9299034804615</v>
      </c>
      <c r="J79" s="60">
        <f t="shared" ref="J79" si="52">SUM(J77:J78)</f>
        <v>920.97990348046153</v>
      </c>
    </row>
    <row r="80" spans="1:10" x14ac:dyDescent="0.2">
      <c r="A80" s="74" t="s">
        <v>26</v>
      </c>
      <c r="B80" s="75" t="s">
        <v>74</v>
      </c>
      <c r="C80" s="76">
        <f>C79/Prices!$B$34</f>
        <v>69.099399231764991</v>
      </c>
      <c r="D80" s="76">
        <f>D79/Prices!$B$34</f>
        <v>70.095241589919695</v>
      </c>
      <c r="E80" s="76">
        <f>E79/Prices!$B$34</f>
        <v>70.375322253150713</v>
      </c>
      <c r="F80" s="77">
        <f>F79/Prices!$B$34</f>
        <v>70.655402916381718</v>
      </c>
      <c r="G80" s="76">
        <f>G79/Prices!$B$34</f>
        <v>71.741275830030389</v>
      </c>
      <c r="H80" s="76">
        <f>H79/Prices!$B$34</f>
        <v>54.083795809117696</v>
      </c>
      <c r="I80" s="76">
        <f>I79/Prices!$B$34</f>
        <v>47.677790879698023</v>
      </c>
      <c r="J80" s="77">
        <f>J79/Prices!$B$34</f>
        <v>41.271785950278357</v>
      </c>
    </row>
    <row r="83" spans="1:6" x14ac:dyDescent="0.2">
      <c r="A83" s="22" t="s">
        <v>9</v>
      </c>
      <c r="B83" s="23"/>
      <c r="C83" s="189" t="s">
        <v>60</v>
      </c>
      <c r="D83" s="185"/>
      <c r="E83" s="185"/>
      <c r="F83" s="186"/>
    </row>
    <row r="84" spans="1:6" x14ac:dyDescent="0.2">
      <c r="A84" s="24"/>
      <c r="B84" s="25"/>
      <c r="C84" s="196" t="s">
        <v>87</v>
      </c>
      <c r="D84" s="197"/>
      <c r="E84" s="197"/>
      <c r="F84" s="198"/>
    </row>
    <row r="85" spans="1:6" x14ac:dyDescent="0.2">
      <c r="A85" s="1"/>
      <c r="B85" s="2" t="s">
        <v>5</v>
      </c>
      <c r="C85" s="41" t="s">
        <v>22</v>
      </c>
      <c r="D85" s="2">
        <v>2030</v>
      </c>
      <c r="E85" s="2">
        <v>2040</v>
      </c>
      <c r="F85" s="13">
        <v>2050</v>
      </c>
    </row>
    <row r="86" spans="1:6" x14ac:dyDescent="0.2">
      <c r="A86" s="5" t="s">
        <v>10</v>
      </c>
      <c r="B86" s="8" t="s">
        <v>61</v>
      </c>
      <c r="C86" s="30">
        <v>945</v>
      </c>
      <c r="D86" s="31">
        <v>855</v>
      </c>
      <c r="E86" s="31">
        <f>AVERAGE(D86,F86)</f>
        <v>807.5</v>
      </c>
      <c r="F86" s="51">
        <v>760</v>
      </c>
    </row>
    <row r="87" spans="1:6" x14ac:dyDescent="0.2">
      <c r="A87" s="5" t="s">
        <v>11</v>
      </c>
      <c r="B87" s="8" t="s">
        <v>12</v>
      </c>
      <c r="C87" s="39">
        <v>0.08</v>
      </c>
      <c r="D87" s="40">
        <v>0.08</v>
      </c>
      <c r="E87" s="40">
        <v>0.08</v>
      </c>
      <c r="F87" s="52">
        <v>0.08</v>
      </c>
    </row>
    <row r="88" spans="1:6" x14ac:dyDescent="0.2">
      <c r="A88" s="5" t="s">
        <v>13</v>
      </c>
      <c r="B88" s="8" t="s">
        <v>35</v>
      </c>
      <c r="C88" s="34">
        <v>25</v>
      </c>
      <c r="D88" s="36">
        <v>25</v>
      </c>
      <c r="E88" s="36">
        <v>25</v>
      </c>
      <c r="F88" s="53">
        <v>25</v>
      </c>
    </row>
    <row r="89" spans="1:6" x14ac:dyDescent="0.2">
      <c r="A89" s="5" t="s">
        <v>15</v>
      </c>
      <c r="B89" s="8" t="s">
        <v>68</v>
      </c>
      <c r="C89" s="33">
        <f>1.5%*C86</f>
        <v>14.174999999999999</v>
      </c>
      <c r="D89" s="35">
        <f t="shared" ref="D89:F89" si="53">1.5%*D86</f>
        <v>12.824999999999999</v>
      </c>
      <c r="E89" s="35">
        <f t="shared" si="53"/>
        <v>12.112499999999999</v>
      </c>
      <c r="F89" s="61">
        <f t="shared" si="53"/>
        <v>11.4</v>
      </c>
    </row>
    <row r="90" spans="1:6" x14ac:dyDescent="0.2">
      <c r="A90" s="5" t="s">
        <v>19</v>
      </c>
      <c r="B90" s="8" t="s">
        <v>12</v>
      </c>
      <c r="C90" s="37">
        <v>0.95</v>
      </c>
      <c r="D90" s="38">
        <v>0.95</v>
      </c>
      <c r="E90" s="38">
        <v>0.95</v>
      </c>
      <c r="F90" s="55">
        <v>0.95</v>
      </c>
    </row>
    <row r="91" spans="1:6" x14ac:dyDescent="0.2">
      <c r="A91" s="5" t="s">
        <v>70</v>
      </c>
      <c r="B91" s="8" t="s">
        <v>69</v>
      </c>
      <c r="C91" s="63">
        <v>37.799999999999997</v>
      </c>
      <c r="D91" s="64">
        <v>35.299999999999997</v>
      </c>
      <c r="E91" s="64">
        <f>AVERAGE(D91,F91)</f>
        <v>34.25</v>
      </c>
      <c r="F91" s="65">
        <v>33.200000000000003</v>
      </c>
    </row>
    <row r="92" spans="1:6" x14ac:dyDescent="0.2">
      <c r="A92" s="5" t="s">
        <v>72</v>
      </c>
      <c r="B92" s="8" t="s">
        <v>6</v>
      </c>
      <c r="C92" s="33">
        <f>Prices!$C$7</f>
        <v>27.222222222222221</v>
      </c>
      <c r="D92" s="35">
        <f>Prices!$D$7</f>
        <v>31.666666666666664</v>
      </c>
      <c r="E92" s="35">
        <f>Prices!$E$7</f>
        <v>32.916666666666664</v>
      </c>
      <c r="F92" s="61">
        <f>Prices!$F$7</f>
        <v>34.166666666666664</v>
      </c>
    </row>
    <row r="93" spans="1:6" x14ac:dyDescent="0.2">
      <c r="A93" s="5" t="s">
        <v>24</v>
      </c>
      <c r="B93" s="8" t="s">
        <v>27</v>
      </c>
      <c r="C93" s="32">
        <f>Prices!$B$17</f>
        <v>0</v>
      </c>
      <c r="D93" s="28">
        <f>C93</f>
        <v>0</v>
      </c>
      <c r="E93" s="28">
        <f t="shared" ref="E93" si="54">D93</f>
        <v>0</v>
      </c>
      <c r="F93" s="62">
        <f>E93</f>
        <v>0</v>
      </c>
    </row>
    <row r="94" spans="1:6" x14ac:dyDescent="0.2">
      <c r="A94" s="5" t="s">
        <v>25</v>
      </c>
      <c r="B94" s="8" t="s">
        <v>28</v>
      </c>
      <c r="C94" s="33">
        <f>Prices!$C$10</f>
        <v>16</v>
      </c>
      <c r="D94" s="27">
        <f>Prices!$D$10</f>
        <v>100</v>
      </c>
      <c r="E94" s="27">
        <f>Prices!$E$10</f>
        <v>130</v>
      </c>
      <c r="F94" s="42">
        <f>Prices!$F$10</f>
        <v>160</v>
      </c>
    </row>
    <row r="95" spans="1:6" x14ac:dyDescent="0.2">
      <c r="A95" s="5" t="s">
        <v>43</v>
      </c>
      <c r="B95" s="8" t="s">
        <v>12</v>
      </c>
      <c r="C95" s="37">
        <v>0</v>
      </c>
      <c r="D95" s="29">
        <v>0</v>
      </c>
      <c r="E95" s="29">
        <v>0</v>
      </c>
      <c r="F95" s="67">
        <v>0</v>
      </c>
    </row>
    <row r="96" spans="1:6" x14ac:dyDescent="0.2">
      <c r="A96" s="5" t="s">
        <v>113</v>
      </c>
      <c r="B96" s="8" t="s">
        <v>61</v>
      </c>
      <c r="C96" s="33">
        <f>(PMT(C87,C88,-C86)+C89)/C90</f>
        <v>108.10678547801041</v>
      </c>
      <c r="D96" s="14">
        <f>(PMT(D87,D88,-D86)+D89)/D90</f>
        <v>97.810901146771329</v>
      </c>
      <c r="E96" s="14">
        <f>(PMT(E87,E88,-E86)+E89)/E90</f>
        <v>92.376962194172918</v>
      </c>
      <c r="F96" s="15">
        <f>(PMT(F87,F88,-F86)+F89)/F90</f>
        <v>86.943023241574508</v>
      </c>
    </row>
    <row r="97" spans="1:10" x14ac:dyDescent="0.2">
      <c r="A97" s="5" t="s">
        <v>112</v>
      </c>
      <c r="B97" s="8" t="s">
        <v>61</v>
      </c>
      <c r="C97" s="33">
        <f>(C91*C92)</f>
        <v>1029</v>
      </c>
      <c r="D97" s="14">
        <f t="shared" ref="D97:F97" si="55">(D91*D92)</f>
        <v>1117.8333333333333</v>
      </c>
      <c r="E97" s="14">
        <f t="shared" si="55"/>
        <v>1127.3958333333333</v>
      </c>
      <c r="F97" s="15">
        <f t="shared" si="55"/>
        <v>1134.3333333333333</v>
      </c>
    </row>
    <row r="98" spans="1:10" ht="12" x14ac:dyDescent="0.2">
      <c r="A98" s="56" t="s">
        <v>26</v>
      </c>
      <c r="B98" s="57" t="s">
        <v>73</v>
      </c>
      <c r="C98" s="58">
        <f>SUM(C96:C97)</f>
        <v>1137.1067854780104</v>
      </c>
      <c r="D98" s="59">
        <f t="shared" ref="D98" si="56">SUM(D96:D97)</f>
        <v>1215.6442344801046</v>
      </c>
      <c r="E98" s="59">
        <f t="shared" ref="E98" si="57">SUM(E96:E97)</f>
        <v>1219.7727955275061</v>
      </c>
      <c r="F98" s="60">
        <f t="shared" ref="F98" si="58">SUM(F96:F97)</f>
        <v>1221.2763565749078</v>
      </c>
    </row>
    <row r="99" spans="1:10" x14ac:dyDescent="0.2">
      <c r="A99" s="74" t="s">
        <v>26</v>
      </c>
      <c r="B99" s="75" t="s">
        <v>74</v>
      </c>
      <c r="C99" s="76">
        <f>C98/Prices!$B$34</f>
        <v>50.957059622586165</v>
      </c>
      <c r="D99" s="76">
        <f>D98/Prices!$B$34</f>
        <v>54.476550951382684</v>
      </c>
      <c r="E99" s="76">
        <f>E98/Prices!$B$34</f>
        <v>54.661563769998033</v>
      </c>
      <c r="F99" s="77">
        <f>F98/Prices!$B$34</f>
        <v>54.728942710056366</v>
      </c>
    </row>
    <row r="102" spans="1:10" x14ac:dyDescent="0.2">
      <c r="A102" s="22" t="s">
        <v>9</v>
      </c>
      <c r="B102" s="23"/>
      <c r="C102" s="189" t="s">
        <v>88</v>
      </c>
      <c r="D102" s="185"/>
      <c r="E102" s="185"/>
      <c r="F102" s="186"/>
      <c r="G102" s="189" t="s">
        <v>88</v>
      </c>
      <c r="H102" s="185"/>
      <c r="I102" s="185"/>
      <c r="J102" s="186"/>
    </row>
    <row r="103" spans="1:10" x14ac:dyDescent="0.2">
      <c r="A103" s="24"/>
      <c r="B103" s="25"/>
      <c r="C103" s="196" t="s">
        <v>66</v>
      </c>
      <c r="D103" s="197"/>
      <c r="E103" s="197"/>
      <c r="F103" s="198"/>
      <c r="G103" s="196" t="s">
        <v>78</v>
      </c>
      <c r="H103" s="197"/>
      <c r="I103" s="197"/>
      <c r="J103" s="198"/>
    </row>
    <row r="104" spans="1:10" x14ac:dyDescent="0.2">
      <c r="A104" s="1"/>
      <c r="B104" s="2" t="s">
        <v>5</v>
      </c>
      <c r="C104" s="41" t="s">
        <v>22</v>
      </c>
      <c r="D104" s="2">
        <v>2030</v>
      </c>
      <c r="E104" s="2">
        <v>2040</v>
      </c>
      <c r="F104" s="13">
        <v>2050</v>
      </c>
      <c r="G104" s="41" t="s">
        <v>22</v>
      </c>
      <c r="H104" s="2">
        <v>2030</v>
      </c>
      <c r="I104" s="2">
        <v>2040</v>
      </c>
      <c r="J104" s="13">
        <v>2050</v>
      </c>
    </row>
    <row r="105" spans="1:10" x14ac:dyDescent="0.2">
      <c r="A105" s="5" t="s">
        <v>10</v>
      </c>
      <c r="B105" s="8" t="s">
        <v>89</v>
      </c>
      <c r="C105" s="30">
        <v>310</v>
      </c>
      <c r="D105" s="31">
        <v>310</v>
      </c>
      <c r="E105" s="31">
        <f>AVERAGE(D105,F105)</f>
        <v>310</v>
      </c>
      <c r="F105" s="51">
        <v>310</v>
      </c>
      <c r="G105" s="30">
        <v>525</v>
      </c>
      <c r="H105" s="31">
        <v>510</v>
      </c>
      <c r="I105" s="31">
        <f>AVERAGE(H105,J105)</f>
        <v>500</v>
      </c>
      <c r="J105" s="51">
        <v>490</v>
      </c>
    </row>
    <row r="106" spans="1:10" x14ac:dyDescent="0.2">
      <c r="A106" s="5" t="s">
        <v>11</v>
      </c>
      <c r="B106" s="8" t="s">
        <v>12</v>
      </c>
      <c r="C106" s="39">
        <v>0.08</v>
      </c>
      <c r="D106" s="40">
        <v>0.08</v>
      </c>
      <c r="E106" s="40">
        <v>0.08</v>
      </c>
      <c r="F106" s="52">
        <v>0.08</v>
      </c>
      <c r="G106" s="39">
        <v>0.08</v>
      </c>
      <c r="H106" s="40">
        <v>0.08</v>
      </c>
      <c r="I106" s="40">
        <v>0.08</v>
      </c>
      <c r="J106" s="52">
        <v>0.08</v>
      </c>
    </row>
    <row r="107" spans="1:10" x14ac:dyDescent="0.2">
      <c r="A107" s="5" t="s">
        <v>13</v>
      </c>
      <c r="B107" s="8" t="s">
        <v>35</v>
      </c>
      <c r="C107" s="34">
        <v>25</v>
      </c>
      <c r="D107" s="36">
        <v>25</v>
      </c>
      <c r="E107" s="36">
        <v>25</v>
      </c>
      <c r="F107" s="53">
        <v>25</v>
      </c>
      <c r="G107" s="34">
        <v>25</v>
      </c>
      <c r="H107" s="36">
        <v>25</v>
      </c>
      <c r="I107" s="36">
        <v>25</v>
      </c>
      <c r="J107" s="53">
        <v>25</v>
      </c>
    </row>
    <row r="108" spans="1:10" x14ac:dyDescent="0.2">
      <c r="A108" s="5" t="s">
        <v>15</v>
      </c>
      <c r="B108" s="8" t="s">
        <v>91</v>
      </c>
      <c r="C108" s="33">
        <f>2.5%*C105</f>
        <v>7.75</v>
      </c>
      <c r="D108" s="35">
        <f t="shared" ref="D108:F108" si="59">2.5%*D105</f>
        <v>7.75</v>
      </c>
      <c r="E108" s="35">
        <f t="shared" si="59"/>
        <v>7.75</v>
      </c>
      <c r="F108" s="61">
        <f t="shared" si="59"/>
        <v>7.75</v>
      </c>
      <c r="G108" s="33">
        <f>2.5%*G105</f>
        <v>13.125</v>
      </c>
      <c r="H108" s="35">
        <f t="shared" ref="H108:J108" si="60">2.5%*H105</f>
        <v>12.75</v>
      </c>
      <c r="I108" s="35">
        <f t="shared" si="60"/>
        <v>12.5</v>
      </c>
      <c r="J108" s="61">
        <f t="shared" si="60"/>
        <v>12.25</v>
      </c>
    </row>
    <row r="109" spans="1:10" x14ac:dyDescent="0.2">
      <c r="A109" s="5" t="s">
        <v>19</v>
      </c>
      <c r="B109" s="8" t="s">
        <v>12</v>
      </c>
      <c r="C109" s="37">
        <v>0.95</v>
      </c>
      <c r="D109" s="38">
        <v>0.95</v>
      </c>
      <c r="E109" s="38">
        <v>0.95</v>
      </c>
      <c r="F109" s="55">
        <v>0.95</v>
      </c>
      <c r="G109" s="37">
        <v>0.95</v>
      </c>
      <c r="H109" s="38">
        <v>0.95</v>
      </c>
      <c r="I109" s="38">
        <v>0.95</v>
      </c>
      <c r="J109" s="55">
        <v>0.95</v>
      </c>
    </row>
    <row r="110" spans="1:10" x14ac:dyDescent="0.2">
      <c r="A110" s="5" t="s">
        <v>67</v>
      </c>
      <c r="B110" s="8" t="s">
        <v>90</v>
      </c>
      <c r="C110" s="63">
        <v>33.9</v>
      </c>
      <c r="D110" s="73">
        <v>33</v>
      </c>
      <c r="E110" s="73">
        <f>AVERAGE(D110,F110)</f>
        <v>32.25</v>
      </c>
      <c r="F110" s="65">
        <v>31.5</v>
      </c>
      <c r="G110" s="63">
        <v>33.9</v>
      </c>
      <c r="H110" s="73">
        <v>33</v>
      </c>
      <c r="I110" s="73">
        <f>AVERAGE(H110,J110)</f>
        <v>32.25</v>
      </c>
      <c r="J110" s="65">
        <v>31.5</v>
      </c>
    </row>
    <row r="111" spans="1:10" x14ac:dyDescent="0.2">
      <c r="A111" s="5" t="s">
        <v>70</v>
      </c>
      <c r="B111" s="8" t="s">
        <v>90</v>
      </c>
      <c r="C111" s="63">
        <v>0.3</v>
      </c>
      <c r="D111" s="64">
        <v>0.3</v>
      </c>
      <c r="E111" s="64">
        <f>AVERAGE(D111,F111)</f>
        <v>0.3</v>
      </c>
      <c r="F111" s="65">
        <v>0.3</v>
      </c>
      <c r="G111" s="63">
        <v>0.7</v>
      </c>
      <c r="H111" s="64">
        <v>0.7</v>
      </c>
      <c r="I111" s="64">
        <f>AVERAGE(H111,J111)</f>
        <v>0.7</v>
      </c>
      <c r="J111" s="65">
        <v>0.7</v>
      </c>
    </row>
    <row r="112" spans="1:10" x14ac:dyDescent="0.2">
      <c r="A112" s="5" t="s">
        <v>71</v>
      </c>
      <c r="B112" s="8" t="s">
        <v>6</v>
      </c>
      <c r="C112" s="33">
        <f>Prices!$C$5</f>
        <v>2.8151624548824561</v>
      </c>
      <c r="D112" s="35">
        <f>Prices!$D$5</f>
        <v>3.1277960639896407</v>
      </c>
      <c r="E112" s="35">
        <f>Prices!$E$5</f>
        <v>4.6443032465300735</v>
      </c>
      <c r="F112" s="61">
        <f>Prices!$F$5</f>
        <v>4.9269999658840788</v>
      </c>
      <c r="G112" s="33">
        <f>Prices!$C$5</f>
        <v>2.8151624548824561</v>
      </c>
      <c r="H112" s="35">
        <f>Prices!$D$5</f>
        <v>3.1277960639896407</v>
      </c>
      <c r="I112" s="35">
        <f>Prices!$E$5</f>
        <v>4.6443032465300735</v>
      </c>
      <c r="J112" s="61">
        <f>Prices!$F$5</f>
        <v>4.9269999658840788</v>
      </c>
    </row>
    <row r="113" spans="1:10" x14ac:dyDescent="0.2">
      <c r="A113" s="5" t="s">
        <v>72</v>
      </c>
      <c r="B113" s="8" t="s">
        <v>6</v>
      </c>
      <c r="C113" s="33">
        <f>Prices!$C$7</f>
        <v>27.222222222222221</v>
      </c>
      <c r="D113" s="35">
        <f>Prices!$D$7</f>
        <v>31.666666666666664</v>
      </c>
      <c r="E113" s="35">
        <f>Prices!$E$7</f>
        <v>32.916666666666664</v>
      </c>
      <c r="F113" s="61">
        <f>Prices!$F$7</f>
        <v>34.166666666666664</v>
      </c>
      <c r="G113" s="33">
        <f>Prices!$C$7</f>
        <v>27.222222222222221</v>
      </c>
      <c r="H113" s="35">
        <f>Prices!$D$7</f>
        <v>31.666666666666664</v>
      </c>
      <c r="I113" s="35">
        <f>Prices!$E$7</f>
        <v>32.916666666666664</v>
      </c>
      <c r="J113" s="61">
        <f>Prices!$F$7</f>
        <v>34.166666666666664</v>
      </c>
    </row>
    <row r="114" spans="1:10" x14ac:dyDescent="0.2">
      <c r="A114" s="5" t="s">
        <v>24</v>
      </c>
      <c r="B114" s="8" t="s">
        <v>27</v>
      </c>
      <c r="C114" s="32">
        <f>Prices!$B$14</f>
        <v>5.6100000000000004E-2</v>
      </c>
      <c r="D114" s="28">
        <f>C114</f>
        <v>5.6100000000000004E-2</v>
      </c>
      <c r="E114" s="28">
        <f t="shared" ref="E114" si="61">D114</f>
        <v>5.6100000000000004E-2</v>
      </c>
      <c r="F114" s="62">
        <f>E114</f>
        <v>5.6100000000000004E-2</v>
      </c>
      <c r="G114" s="32">
        <f>Prices!$B$14</f>
        <v>5.6100000000000004E-2</v>
      </c>
      <c r="H114" s="28">
        <f>G114</f>
        <v>5.6100000000000004E-2</v>
      </c>
      <c r="I114" s="28">
        <f t="shared" ref="I114" si="62">H114</f>
        <v>5.6100000000000004E-2</v>
      </c>
      <c r="J114" s="62">
        <f>I114</f>
        <v>5.6100000000000004E-2</v>
      </c>
    </row>
    <row r="115" spans="1:10" x14ac:dyDescent="0.2">
      <c r="A115" s="5" t="s">
        <v>25</v>
      </c>
      <c r="B115" s="8" t="s">
        <v>28</v>
      </c>
      <c r="C115" s="33">
        <f>Prices!$C$10</f>
        <v>16</v>
      </c>
      <c r="D115" s="27">
        <f>Prices!$D$10</f>
        <v>100</v>
      </c>
      <c r="E115" s="27">
        <f>Prices!$E$10</f>
        <v>130</v>
      </c>
      <c r="F115" s="42">
        <f>Prices!$F$10</f>
        <v>160</v>
      </c>
      <c r="G115" s="33">
        <f>Prices!$C$10</f>
        <v>16</v>
      </c>
      <c r="H115" s="27">
        <f>Prices!$D$10</f>
        <v>100</v>
      </c>
      <c r="I115" s="27">
        <f>Prices!$E$10</f>
        <v>130</v>
      </c>
      <c r="J115" s="42">
        <f>Prices!$F$10</f>
        <v>160</v>
      </c>
    </row>
    <row r="116" spans="1:10" x14ac:dyDescent="0.2">
      <c r="A116" s="5" t="s">
        <v>43</v>
      </c>
      <c r="B116" s="8" t="s">
        <v>12</v>
      </c>
      <c r="C116" s="37">
        <v>0</v>
      </c>
      <c r="D116" s="29">
        <v>0</v>
      </c>
      <c r="E116" s="29">
        <v>0</v>
      </c>
      <c r="F116" s="67">
        <v>0</v>
      </c>
      <c r="G116" s="37">
        <v>0.95</v>
      </c>
      <c r="H116" s="29">
        <v>0.95</v>
      </c>
      <c r="I116" s="29">
        <v>0.95</v>
      </c>
      <c r="J116" s="67">
        <v>0.95</v>
      </c>
    </row>
    <row r="117" spans="1:10" x14ac:dyDescent="0.2">
      <c r="A117" s="5" t="s">
        <v>113</v>
      </c>
      <c r="B117" s="8" t="s">
        <v>89</v>
      </c>
      <c r="C117" s="33">
        <f>(PMT(C106,C107,-C105)+C108)/C109</f>
        <v>38.726759480115916</v>
      </c>
      <c r="D117" s="14">
        <f t="shared" ref="D117:J117" si="63">(PMT(D106,D107,-D105)+D108)/D109</f>
        <v>38.726759480115916</v>
      </c>
      <c r="E117" s="14">
        <f t="shared" si="63"/>
        <v>38.726759480115916</v>
      </c>
      <c r="F117" s="15">
        <f t="shared" si="63"/>
        <v>38.726759480115916</v>
      </c>
      <c r="G117" s="33">
        <f t="shared" si="63"/>
        <v>65.585641055035026</v>
      </c>
      <c r="H117" s="14">
        <f t="shared" si="63"/>
        <v>63.711765596319736</v>
      </c>
      <c r="I117" s="14">
        <f t="shared" si="63"/>
        <v>62.462515290509543</v>
      </c>
      <c r="J117" s="15">
        <f t="shared" si="63"/>
        <v>61.213264984699357</v>
      </c>
    </row>
    <row r="118" spans="1:10" x14ac:dyDescent="0.2">
      <c r="A118" s="5" t="s">
        <v>112</v>
      </c>
      <c r="B118" s="8" t="s">
        <v>89</v>
      </c>
      <c r="C118" s="33">
        <f>C110*C112+C110*C114*C115*(1-C116)+C111*C113</f>
        <v>134.02931388718193</v>
      </c>
      <c r="D118" s="14">
        <f t="shared" ref="D118:F118" si="64">D110*D112+D110*D114*D115*(1-D116)+D111*D113</f>
        <v>297.84727011165819</v>
      </c>
      <c r="E118" s="14">
        <f t="shared" si="64"/>
        <v>394.8530297005949</v>
      </c>
      <c r="F118" s="15">
        <f t="shared" si="64"/>
        <v>448.19449892534851</v>
      </c>
      <c r="G118" s="33">
        <f>G110*G112+G110*G114*G115*(1-G116)+G111*G113</f>
        <v>116.01099477607082</v>
      </c>
      <c r="H118" s="14">
        <f t="shared" ref="H118:J118" si="65">H110*H112+H110*H114*H115*(1-H116)+H111*H113</f>
        <v>134.64043677832481</v>
      </c>
      <c r="I118" s="14">
        <f t="shared" si="65"/>
        <v>184.58040886726153</v>
      </c>
      <c r="J118" s="15">
        <f t="shared" si="65"/>
        <v>193.25436559201515</v>
      </c>
    </row>
    <row r="119" spans="1:10" x14ac:dyDescent="0.2">
      <c r="A119" s="56" t="s">
        <v>26</v>
      </c>
      <c r="B119" s="57" t="s">
        <v>89</v>
      </c>
      <c r="C119" s="58">
        <f>SUM(C117:C118)</f>
        <v>172.75607336729786</v>
      </c>
      <c r="D119" s="59">
        <f t="shared" ref="D119" si="66">SUM(D117:D118)</f>
        <v>336.57402959177409</v>
      </c>
      <c r="E119" s="59">
        <f t="shared" ref="E119" si="67">SUM(E117:E118)</f>
        <v>433.5797891807108</v>
      </c>
      <c r="F119" s="60">
        <f t="shared" ref="F119" si="68">SUM(F117:F118)</f>
        <v>486.92125840546441</v>
      </c>
      <c r="G119" s="78">
        <f>SUM(G117:G118)</f>
        <v>181.59663583110586</v>
      </c>
      <c r="H119" s="59">
        <f t="shared" ref="H119" si="69">SUM(H117:H118)</f>
        <v>198.35220237464455</v>
      </c>
      <c r="I119" s="59">
        <f t="shared" ref="I119" si="70">SUM(I117:I118)</f>
        <v>247.04292415777107</v>
      </c>
      <c r="J119" s="60">
        <f t="shared" ref="J119" si="71">SUM(J117:J118)</f>
        <v>254.4676305767145</v>
      </c>
    </row>
    <row r="120" spans="1:10" x14ac:dyDescent="0.2">
      <c r="A120" s="74" t="s">
        <v>26</v>
      </c>
      <c r="B120" s="75" t="s">
        <v>92</v>
      </c>
      <c r="C120" s="76">
        <f>C119/Prices!$B$37</f>
        <v>7.7392739614415316</v>
      </c>
      <c r="D120" s="76">
        <f>D119/Prices!$B$37</f>
        <v>15.078130525570025</v>
      </c>
      <c r="E120" s="76">
        <f>E119/Prices!$B$37</f>
        <v>19.423877304036861</v>
      </c>
      <c r="F120" s="77">
        <f>F119/Prices!$B$37</f>
        <v>21.813513950607671</v>
      </c>
      <c r="G120" s="76">
        <f>G119/Prices!$B$37</f>
        <v>8.1353210210154039</v>
      </c>
      <c r="H120" s="76">
        <f>H119/Prices!$B$37</f>
        <v>8.8859511860337133</v>
      </c>
      <c r="I120" s="76">
        <f>I119/Prices!$B$37</f>
        <v>11.067239680932312</v>
      </c>
      <c r="J120" s="77">
        <f>J119/Prices!$B$37</f>
        <v>11.399858013471665</v>
      </c>
    </row>
    <row r="123" spans="1:10" x14ac:dyDescent="0.2">
      <c r="A123" s="22" t="s">
        <v>9</v>
      </c>
      <c r="B123" s="23"/>
      <c r="C123" s="189" t="s">
        <v>88</v>
      </c>
      <c r="D123" s="185"/>
      <c r="E123" s="185"/>
      <c r="F123" s="186"/>
      <c r="G123" s="189" t="s">
        <v>88</v>
      </c>
      <c r="H123" s="185"/>
      <c r="I123" s="185"/>
      <c r="J123" s="186"/>
    </row>
    <row r="124" spans="1:10" x14ac:dyDescent="0.2">
      <c r="A124" s="24"/>
      <c r="B124" s="25"/>
      <c r="C124" s="196" t="s">
        <v>79</v>
      </c>
      <c r="D124" s="197"/>
      <c r="E124" s="197"/>
      <c r="F124" s="198"/>
      <c r="G124" s="196" t="s">
        <v>82</v>
      </c>
      <c r="H124" s="197"/>
      <c r="I124" s="197"/>
      <c r="J124" s="198"/>
    </row>
    <row r="125" spans="1:10" x14ac:dyDescent="0.2">
      <c r="A125" s="1"/>
      <c r="B125" s="2" t="s">
        <v>5</v>
      </c>
      <c r="C125" s="41" t="s">
        <v>22</v>
      </c>
      <c r="D125" s="2">
        <v>2030</v>
      </c>
      <c r="E125" s="2">
        <v>2040</v>
      </c>
      <c r="F125" s="13">
        <v>2050</v>
      </c>
      <c r="G125" s="41" t="s">
        <v>22</v>
      </c>
      <c r="H125" s="2">
        <v>2030</v>
      </c>
      <c r="I125" s="2">
        <v>2040</v>
      </c>
      <c r="J125" s="13">
        <v>2050</v>
      </c>
    </row>
    <row r="126" spans="1:10" x14ac:dyDescent="0.2">
      <c r="A126" s="5" t="s">
        <v>10</v>
      </c>
      <c r="B126" s="8" t="s">
        <v>89</v>
      </c>
      <c r="C126" s="30">
        <v>750</v>
      </c>
      <c r="D126" s="31">
        <v>750</v>
      </c>
      <c r="E126" s="31">
        <f>AVERAGE(D126,F126)</f>
        <v>750</v>
      </c>
      <c r="F126" s="51">
        <v>750</v>
      </c>
      <c r="G126" s="30">
        <v>1505</v>
      </c>
      <c r="H126" s="31">
        <v>1450</v>
      </c>
      <c r="I126" s="31">
        <f>AVERAGE(H126,J126)</f>
        <v>1400</v>
      </c>
      <c r="J126" s="51">
        <v>1350</v>
      </c>
    </row>
    <row r="127" spans="1:10" x14ac:dyDescent="0.2">
      <c r="A127" s="5" t="s">
        <v>11</v>
      </c>
      <c r="B127" s="8" t="s">
        <v>12</v>
      </c>
      <c r="C127" s="39">
        <v>0.08</v>
      </c>
      <c r="D127" s="40">
        <v>0.08</v>
      </c>
      <c r="E127" s="40">
        <v>0.08</v>
      </c>
      <c r="F127" s="52">
        <v>0.08</v>
      </c>
      <c r="G127" s="39">
        <v>0.08</v>
      </c>
      <c r="H127" s="40">
        <v>0.08</v>
      </c>
      <c r="I127" s="40">
        <v>0.08</v>
      </c>
      <c r="J127" s="52">
        <v>0.08</v>
      </c>
    </row>
    <row r="128" spans="1:10" x14ac:dyDescent="0.2">
      <c r="A128" s="5" t="s">
        <v>13</v>
      </c>
      <c r="B128" s="8" t="s">
        <v>35</v>
      </c>
      <c r="C128" s="34">
        <v>25</v>
      </c>
      <c r="D128" s="36">
        <v>25</v>
      </c>
      <c r="E128" s="36">
        <v>25</v>
      </c>
      <c r="F128" s="53">
        <v>25</v>
      </c>
      <c r="G128" s="34">
        <v>25</v>
      </c>
      <c r="H128" s="36">
        <v>25</v>
      </c>
      <c r="I128" s="36">
        <v>25</v>
      </c>
      <c r="J128" s="53">
        <v>25</v>
      </c>
    </row>
    <row r="129" spans="1:10" x14ac:dyDescent="0.2">
      <c r="A129" s="5" t="s">
        <v>15</v>
      </c>
      <c r="B129" s="8" t="s">
        <v>91</v>
      </c>
      <c r="C129" s="33">
        <f>5%*C126</f>
        <v>37.5</v>
      </c>
      <c r="D129" s="35">
        <f t="shared" ref="D129:F129" si="72">5%*D126</f>
        <v>37.5</v>
      </c>
      <c r="E129" s="35">
        <f t="shared" si="72"/>
        <v>37.5</v>
      </c>
      <c r="F129" s="61">
        <f t="shared" si="72"/>
        <v>37.5</v>
      </c>
      <c r="G129" s="33">
        <f>5%*G126</f>
        <v>75.25</v>
      </c>
      <c r="H129" s="35">
        <f t="shared" ref="H129:J129" si="73">5%*H126</f>
        <v>72.5</v>
      </c>
      <c r="I129" s="35">
        <f t="shared" si="73"/>
        <v>70</v>
      </c>
      <c r="J129" s="61">
        <f t="shared" si="73"/>
        <v>67.5</v>
      </c>
    </row>
    <row r="130" spans="1:10" x14ac:dyDescent="0.2">
      <c r="A130" s="5" t="s">
        <v>19</v>
      </c>
      <c r="B130" s="8" t="s">
        <v>12</v>
      </c>
      <c r="C130" s="37">
        <v>0.95</v>
      </c>
      <c r="D130" s="38">
        <v>0.95</v>
      </c>
      <c r="E130" s="38">
        <v>0.95</v>
      </c>
      <c r="F130" s="55">
        <v>0.95</v>
      </c>
      <c r="G130" s="37">
        <v>0.95</v>
      </c>
      <c r="H130" s="38">
        <v>0.95</v>
      </c>
      <c r="I130" s="38">
        <v>0.95</v>
      </c>
      <c r="J130" s="55">
        <v>0.95</v>
      </c>
    </row>
    <row r="131" spans="1:10" x14ac:dyDescent="0.2">
      <c r="A131" s="5" t="s">
        <v>80</v>
      </c>
      <c r="B131" s="8" t="s">
        <v>90</v>
      </c>
      <c r="C131" s="63">
        <v>46.3</v>
      </c>
      <c r="D131" s="64">
        <v>44.2</v>
      </c>
      <c r="E131" s="73">
        <f>AVERAGE(D131,F131)</f>
        <v>42.45</v>
      </c>
      <c r="F131" s="65">
        <v>40.700000000000003</v>
      </c>
      <c r="G131" s="63">
        <v>55.3</v>
      </c>
      <c r="H131" s="64">
        <v>52.5</v>
      </c>
      <c r="I131" s="73">
        <f>AVERAGE(H131,J131)</f>
        <v>50.15</v>
      </c>
      <c r="J131" s="65">
        <v>47.8</v>
      </c>
    </row>
    <row r="132" spans="1:10" x14ac:dyDescent="0.2">
      <c r="A132" s="5" t="s">
        <v>70</v>
      </c>
      <c r="B132" s="8" t="s">
        <v>90</v>
      </c>
      <c r="C132" s="63">
        <v>3.7</v>
      </c>
      <c r="D132" s="64">
        <v>3.7</v>
      </c>
      <c r="E132" s="64">
        <f>AVERAGE(D132,F132)</f>
        <v>3.7</v>
      </c>
      <c r="F132" s="65">
        <v>3.7</v>
      </c>
      <c r="G132" s="63">
        <v>3.9</v>
      </c>
      <c r="H132" s="64">
        <v>3.9</v>
      </c>
      <c r="I132" s="64">
        <f>AVERAGE(H132,J132)</f>
        <v>3.9</v>
      </c>
      <c r="J132" s="65">
        <v>3.9</v>
      </c>
    </row>
    <row r="133" spans="1:10" x14ac:dyDescent="0.2">
      <c r="A133" s="5" t="s">
        <v>81</v>
      </c>
      <c r="B133" s="8" t="s">
        <v>6</v>
      </c>
      <c r="C133" s="33">
        <f>Prices!$C$4</f>
        <v>3.4803259222863696</v>
      </c>
      <c r="D133" s="35">
        <f>Prices!$D$4</f>
        <v>3.1049966561574474</v>
      </c>
      <c r="E133" s="35">
        <f>Prices!$E$4</f>
        <v>3.2073591832835171</v>
      </c>
      <c r="F133" s="61">
        <f>Prices!$F$4</f>
        <v>3.26172120333917</v>
      </c>
      <c r="G133" s="33">
        <f>Prices!$C$4</f>
        <v>3.4803259222863696</v>
      </c>
      <c r="H133" s="35">
        <f>Prices!$D$4</f>
        <v>3.1049966561574474</v>
      </c>
      <c r="I133" s="35">
        <f>Prices!$E$4</f>
        <v>3.2073591832835171</v>
      </c>
      <c r="J133" s="61">
        <f>Prices!$F$4</f>
        <v>3.26172120333917</v>
      </c>
    </row>
    <row r="134" spans="1:10" x14ac:dyDescent="0.2">
      <c r="A134" s="5" t="s">
        <v>72</v>
      </c>
      <c r="B134" s="8" t="s">
        <v>6</v>
      </c>
      <c r="C134" s="33">
        <f>Prices!$C$7</f>
        <v>27.222222222222221</v>
      </c>
      <c r="D134" s="35">
        <f>Prices!$D$7</f>
        <v>31.666666666666664</v>
      </c>
      <c r="E134" s="35">
        <f>Prices!$E$7</f>
        <v>32.916666666666664</v>
      </c>
      <c r="F134" s="61">
        <f>Prices!$F$7</f>
        <v>34.166666666666664</v>
      </c>
      <c r="G134" s="33">
        <f>Prices!$C$7</f>
        <v>27.222222222222221</v>
      </c>
      <c r="H134" s="35">
        <f>Prices!$D$7</f>
        <v>31.666666666666664</v>
      </c>
      <c r="I134" s="35">
        <f>Prices!$E$7</f>
        <v>32.916666666666664</v>
      </c>
      <c r="J134" s="61">
        <f>Prices!$F$7</f>
        <v>34.166666666666664</v>
      </c>
    </row>
    <row r="135" spans="1:10" x14ac:dyDescent="0.2">
      <c r="A135" s="5" t="s">
        <v>24</v>
      </c>
      <c r="B135" s="8" t="s">
        <v>27</v>
      </c>
      <c r="C135" s="32">
        <f>Prices!$B$15</f>
        <v>9.4600000000000004E-2</v>
      </c>
      <c r="D135" s="28">
        <f>C135</f>
        <v>9.4600000000000004E-2</v>
      </c>
      <c r="E135" s="28">
        <f t="shared" ref="E135" si="74">D135</f>
        <v>9.4600000000000004E-2</v>
      </c>
      <c r="F135" s="62">
        <f>E135</f>
        <v>9.4600000000000004E-2</v>
      </c>
      <c r="G135" s="32">
        <f>Prices!$B$15</f>
        <v>9.4600000000000004E-2</v>
      </c>
      <c r="H135" s="28">
        <f>G135</f>
        <v>9.4600000000000004E-2</v>
      </c>
      <c r="I135" s="28">
        <f t="shared" ref="I135" si="75">H135</f>
        <v>9.4600000000000004E-2</v>
      </c>
      <c r="J135" s="62">
        <f>I135</f>
        <v>9.4600000000000004E-2</v>
      </c>
    </row>
    <row r="136" spans="1:10" x14ac:dyDescent="0.2">
      <c r="A136" s="5" t="s">
        <v>25</v>
      </c>
      <c r="B136" s="8" t="s">
        <v>28</v>
      </c>
      <c r="C136" s="33">
        <f>Prices!$C$10</f>
        <v>16</v>
      </c>
      <c r="D136" s="27">
        <f>Prices!$D$10</f>
        <v>100</v>
      </c>
      <c r="E136" s="27">
        <f>Prices!$E$10</f>
        <v>130</v>
      </c>
      <c r="F136" s="42">
        <f>Prices!$F$10</f>
        <v>160</v>
      </c>
      <c r="G136" s="33">
        <f>Prices!$C$10</f>
        <v>16</v>
      </c>
      <c r="H136" s="27">
        <f>Prices!$D$10</f>
        <v>100</v>
      </c>
      <c r="I136" s="27">
        <f>Prices!$E$10</f>
        <v>130</v>
      </c>
      <c r="J136" s="42">
        <f>Prices!$F$10</f>
        <v>160</v>
      </c>
    </row>
    <row r="137" spans="1:10" x14ac:dyDescent="0.2">
      <c r="A137" s="5" t="s">
        <v>43</v>
      </c>
      <c r="B137" s="8" t="s">
        <v>12</v>
      </c>
      <c r="C137" s="37">
        <v>0</v>
      </c>
      <c r="D137" s="29">
        <v>0</v>
      </c>
      <c r="E137" s="29">
        <v>0</v>
      </c>
      <c r="F137" s="67">
        <v>0</v>
      </c>
      <c r="G137" s="37">
        <v>0.95</v>
      </c>
      <c r="H137" s="29">
        <v>0.95</v>
      </c>
      <c r="I137" s="29">
        <v>0.95</v>
      </c>
      <c r="J137" s="67">
        <v>0.95</v>
      </c>
    </row>
    <row r="138" spans="1:10" x14ac:dyDescent="0.2">
      <c r="A138" s="5" t="s">
        <v>113</v>
      </c>
      <c r="B138" s="8" t="s">
        <v>89</v>
      </c>
      <c r="C138" s="33">
        <f>(PMT(C127,C128,-C126)+C129)/C130</f>
        <v>113.43061504102748</v>
      </c>
      <c r="D138" s="14">
        <f t="shared" ref="D138:F138" si="76">(PMT(D127,D128,-D126)+D129)/D130</f>
        <v>113.43061504102748</v>
      </c>
      <c r="E138" s="14">
        <f t="shared" si="76"/>
        <v>113.43061504102748</v>
      </c>
      <c r="F138" s="15">
        <f t="shared" si="76"/>
        <v>113.43061504102748</v>
      </c>
      <c r="G138" s="33">
        <f>(PMT(G127,G128,-G126)+G129)/G130</f>
        <v>227.61743418232848</v>
      </c>
      <c r="H138" s="14">
        <f t="shared" ref="H138:J138" si="77">(PMT(H127,H128,-H126)+H129)/H130</f>
        <v>219.29918907931977</v>
      </c>
      <c r="I138" s="14">
        <f t="shared" si="77"/>
        <v>211.73714807658462</v>
      </c>
      <c r="J138" s="15">
        <f t="shared" si="77"/>
        <v>204.17510707384946</v>
      </c>
    </row>
    <row r="139" spans="1:10" x14ac:dyDescent="0.2">
      <c r="A139" s="5" t="s">
        <v>112</v>
      </c>
      <c r="B139" s="8" t="s">
        <v>89</v>
      </c>
      <c r="C139" s="33">
        <f>C131*C133+C131*C135*C136*(1-C137)+C132*C134</f>
        <v>331.94099242408112</v>
      </c>
      <c r="D139" s="14">
        <f t="shared" ref="D139:F139" si="78">D131*D133+D131*D135*D136*(1-D137)+D132*D134</f>
        <v>672.53951886882589</v>
      </c>
      <c r="E139" s="14">
        <f t="shared" si="78"/>
        <v>779.99416399705194</v>
      </c>
      <c r="F139" s="15">
        <f t="shared" si="78"/>
        <v>875.2039196425709</v>
      </c>
      <c r="G139" s="33">
        <f>G131*G133+G131*G135*G136*(1-G137)+G132*G134</f>
        <v>302.81379416910289</v>
      </c>
      <c r="H139" s="14">
        <f t="shared" ref="H139:J139" si="79">H131*H133+H131*H135*H136*(1-H137)+H132*H134</f>
        <v>311.34482444826597</v>
      </c>
      <c r="I139" s="14">
        <f t="shared" si="79"/>
        <v>320.06129804166841</v>
      </c>
      <c r="J139" s="15">
        <f t="shared" si="79"/>
        <v>325.33531351961233</v>
      </c>
    </row>
    <row r="140" spans="1:10" x14ac:dyDescent="0.2">
      <c r="A140" s="56" t="s">
        <v>26</v>
      </c>
      <c r="B140" s="57" t="s">
        <v>89</v>
      </c>
      <c r="C140" s="58">
        <f>SUM(C138:C139)</f>
        <v>445.37160746510858</v>
      </c>
      <c r="D140" s="59">
        <f t="shared" ref="D140" si="80">SUM(D138:D139)</f>
        <v>785.97013390985342</v>
      </c>
      <c r="E140" s="59">
        <f t="shared" ref="E140" si="81">SUM(E138:E139)</f>
        <v>893.42477903807946</v>
      </c>
      <c r="F140" s="60">
        <f t="shared" ref="F140" si="82">SUM(F138:F139)</f>
        <v>988.63453468359842</v>
      </c>
      <c r="G140" s="58">
        <f>SUM(G138:G139)</f>
        <v>530.4312283514314</v>
      </c>
      <c r="H140" s="59">
        <f t="shared" ref="H140" si="83">SUM(H138:H139)</f>
        <v>530.64401352758568</v>
      </c>
      <c r="I140" s="59">
        <f t="shared" ref="I140" si="84">SUM(I138:I139)</f>
        <v>531.79844611825297</v>
      </c>
      <c r="J140" s="60">
        <f t="shared" ref="J140" si="85">SUM(J138:J139)</f>
        <v>529.51042059346173</v>
      </c>
    </row>
    <row r="141" spans="1:10" x14ac:dyDescent="0.2">
      <c r="A141" s="74" t="s">
        <v>26</v>
      </c>
      <c r="B141" s="75" t="s">
        <v>92</v>
      </c>
      <c r="C141" s="76">
        <f>C140/Prices!$B$37</f>
        <v>19.952137239723527</v>
      </c>
      <c r="D141" s="76">
        <f>D140/Prices!$B$37</f>
        <v>35.21056060880985</v>
      </c>
      <c r="E141" s="76">
        <f>E140/Prices!$B$37</f>
        <v>40.024405476125771</v>
      </c>
      <c r="F141" s="77">
        <f>F140/Prices!$B$37</f>
        <v>44.289693337675764</v>
      </c>
      <c r="G141" s="76">
        <f>G140/Prices!$B$37</f>
        <v>23.762710704750084</v>
      </c>
      <c r="H141" s="76">
        <f>H140/Prices!$B$37</f>
        <v>23.772243236608983</v>
      </c>
      <c r="I141" s="76">
        <f>I140/Prices!$B$37</f>
        <v>23.823960492709119</v>
      </c>
      <c r="J141" s="77">
        <f>J140/Prices!$B$37</f>
        <v>23.721459573222013</v>
      </c>
    </row>
    <row r="144" spans="1:10" x14ac:dyDescent="0.2">
      <c r="A144" s="22" t="s">
        <v>9</v>
      </c>
      <c r="B144" s="23"/>
      <c r="C144" s="189" t="s">
        <v>88</v>
      </c>
      <c r="D144" s="185"/>
      <c r="E144" s="185"/>
      <c r="F144" s="186"/>
      <c r="G144" s="189" t="s">
        <v>88</v>
      </c>
      <c r="H144" s="185"/>
      <c r="I144" s="185"/>
      <c r="J144" s="186"/>
    </row>
    <row r="145" spans="1:10" x14ac:dyDescent="0.2">
      <c r="A145" s="24"/>
      <c r="B145" s="25"/>
      <c r="C145" s="196" t="s">
        <v>83</v>
      </c>
      <c r="D145" s="197"/>
      <c r="E145" s="197"/>
      <c r="F145" s="198"/>
      <c r="G145" s="196" t="s">
        <v>86</v>
      </c>
      <c r="H145" s="197"/>
      <c r="I145" s="197"/>
      <c r="J145" s="198"/>
    </row>
    <row r="146" spans="1:10" x14ac:dyDescent="0.2">
      <c r="A146" s="1"/>
      <c r="B146" s="2" t="s">
        <v>5</v>
      </c>
      <c r="C146" s="41" t="s">
        <v>22</v>
      </c>
      <c r="D146" s="2">
        <v>2030</v>
      </c>
      <c r="E146" s="2">
        <v>2040</v>
      </c>
      <c r="F146" s="13">
        <v>2050</v>
      </c>
      <c r="G146" s="41" t="s">
        <v>22</v>
      </c>
      <c r="H146" s="2">
        <v>2030</v>
      </c>
      <c r="I146" s="2">
        <v>2040</v>
      </c>
      <c r="J146" s="13">
        <v>2050</v>
      </c>
    </row>
    <row r="147" spans="1:10" x14ac:dyDescent="0.2">
      <c r="A147" s="5" t="s">
        <v>10</v>
      </c>
      <c r="B147" s="8" t="s">
        <v>89</v>
      </c>
      <c r="C147" s="30">
        <v>5165</v>
      </c>
      <c r="D147" s="31">
        <v>5165</v>
      </c>
      <c r="E147" s="31">
        <f>AVERAGE(D147,F147)</f>
        <v>5165</v>
      </c>
      <c r="F147" s="51">
        <v>5165</v>
      </c>
      <c r="G147" s="30">
        <f>G65-C65+C147</f>
        <v>5800</v>
      </c>
      <c r="H147" s="31">
        <f t="shared" ref="H147:J147" si="86">H65-D65+D147</f>
        <v>5800</v>
      </c>
      <c r="I147" s="31">
        <f t="shared" si="86"/>
        <v>5800</v>
      </c>
      <c r="J147" s="51">
        <f t="shared" si="86"/>
        <v>5800</v>
      </c>
    </row>
    <row r="148" spans="1:10" x14ac:dyDescent="0.2">
      <c r="A148" s="5" t="s">
        <v>11</v>
      </c>
      <c r="B148" s="8" t="s">
        <v>12</v>
      </c>
      <c r="C148" s="39">
        <v>0.08</v>
      </c>
      <c r="D148" s="40">
        <v>0.08</v>
      </c>
      <c r="E148" s="40">
        <v>0.08</v>
      </c>
      <c r="F148" s="52">
        <v>0.08</v>
      </c>
      <c r="G148" s="39">
        <v>0.08</v>
      </c>
      <c r="H148" s="40">
        <v>0.08</v>
      </c>
      <c r="I148" s="40">
        <v>0.08</v>
      </c>
      <c r="J148" s="52">
        <v>0.08</v>
      </c>
    </row>
    <row r="149" spans="1:10" x14ac:dyDescent="0.2">
      <c r="A149" s="5" t="s">
        <v>13</v>
      </c>
      <c r="B149" s="8" t="s">
        <v>35</v>
      </c>
      <c r="C149" s="34">
        <v>25</v>
      </c>
      <c r="D149" s="36">
        <v>25</v>
      </c>
      <c r="E149" s="36">
        <v>25</v>
      </c>
      <c r="F149" s="53">
        <v>25</v>
      </c>
      <c r="G149" s="34">
        <v>25</v>
      </c>
      <c r="H149" s="36">
        <v>25</v>
      </c>
      <c r="I149" s="36">
        <v>25</v>
      </c>
      <c r="J149" s="53">
        <v>25</v>
      </c>
    </row>
    <row r="150" spans="1:10" x14ac:dyDescent="0.2">
      <c r="A150" s="5" t="s">
        <v>15</v>
      </c>
      <c r="B150" s="8" t="s">
        <v>91</v>
      </c>
      <c r="C150" s="33">
        <f>5%*C147</f>
        <v>258.25</v>
      </c>
      <c r="D150" s="35">
        <f t="shared" ref="D150:F150" si="87">5%*D147</f>
        <v>258.25</v>
      </c>
      <c r="E150" s="35">
        <f t="shared" si="87"/>
        <v>258.25</v>
      </c>
      <c r="F150" s="61">
        <f t="shared" si="87"/>
        <v>258.25</v>
      </c>
      <c r="G150" s="33">
        <f>5%*G147</f>
        <v>290</v>
      </c>
      <c r="H150" s="35">
        <f t="shared" ref="H150:J150" si="88">5%*H147</f>
        <v>290</v>
      </c>
      <c r="I150" s="35">
        <f t="shared" si="88"/>
        <v>290</v>
      </c>
      <c r="J150" s="61">
        <f t="shared" si="88"/>
        <v>290</v>
      </c>
    </row>
    <row r="151" spans="1:10" x14ac:dyDescent="0.2">
      <c r="A151" s="5" t="s">
        <v>19</v>
      </c>
      <c r="B151" s="8" t="s">
        <v>12</v>
      </c>
      <c r="C151" s="37">
        <v>0.95</v>
      </c>
      <c r="D151" s="38">
        <v>0.95</v>
      </c>
      <c r="E151" s="38">
        <v>0.95</v>
      </c>
      <c r="F151" s="55">
        <v>0.95</v>
      </c>
      <c r="G151" s="37">
        <v>0.95</v>
      </c>
      <c r="H151" s="38">
        <v>0.95</v>
      </c>
      <c r="I151" s="38">
        <v>0.95</v>
      </c>
      <c r="J151" s="55">
        <v>0.95</v>
      </c>
    </row>
    <row r="152" spans="1:10" x14ac:dyDescent="0.2">
      <c r="A152" s="5" t="s">
        <v>84</v>
      </c>
      <c r="B152" s="8" t="s">
        <v>90</v>
      </c>
      <c r="C152" s="63">
        <v>47.9</v>
      </c>
      <c r="D152" s="64">
        <v>47.9</v>
      </c>
      <c r="E152" s="73">
        <f>AVERAGE(D152,F152)</f>
        <v>47.9</v>
      </c>
      <c r="F152" s="65">
        <v>47.9</v>
      </c>
      <c r="G152" s="63">
        <f>G70-C70+C152</f>
        <v>47.9</v>
      </c>
      <c r="H152" s="64">
        <f t="shared" ref="H152" si="89">H70-D70+D152</f>
        <v>47.9</v>
      </c>
      <c r="I152" s="73">
        <f t="shared" ref="I152" si="90">I70-E70+E152</f>
        <v>47.9</v>
      </c>
      <c r="J152" s="65">
        <f t="shared" ref="J152" si="91">J70-F70+F152</f>
        <v>47.9</v>
      </c>
    </row>
    <row r="153" spans="1:10" x14ac:dyDescent="0.2">
      <c r="A153" s="5" t="s">
        <v>70</v>
      </c>
      <c r="B153" s="8" t="s">
        <v>90</v>
      </c>
      <c r="C153" s="63">
        <v>5</v>
      </c>
      <c r="D153" s="64">
        <v>5</v>
      </c>
      <c r="E153" s="64">
        <f>AVERAGE(D153,F153)</f>
        <v>5</v>
      </c>
      <c r="F153" s="65">
        <v>5</v>
      </c>
      <c r="G153" s="63">
        <f>G71-C71+C153</f>
        <v>6.6</v>
      </c>
      <c r="H153" s="64">
        <f t="shared" ref="H153" si="92">H71-D71+D153</f>
        <v>6.6</v>
      </c>
      <c r="I153" s="64">
        <f t="shared" ref="I153" si="93">I71-E71+E153</f>
        <v>6.6</v>
      </c>
      <c r="J153" s="65">
        <f t="shared" ref="J153" si="94">J71-F71+F153</f>
        <v>6.6</v>
      </c>
    </row>
    <row r="154" spans="1:10" x14ac:dyDescent="0.2">
      <c r="A154" s="5" t="s">
        <v>85</v>
      </c>
      <c r="B154" s="8" t="s">
        <v>6</v>
      </c>
      <c r="C154" s="33">
        <f>Prices!$C$8</f>
        <v>10</v>
      </c>
      <c r="D154" s="35">
        <f>Prices!$D$8</f>
        <v>10</v>
      </c>
      <c r="E154" s="35">
        <f>Prices!$E$8</f>
        <v>10</v>
      </c>
      <c r="F154" s="61">
        <f>Prices!$F$8</f>
        <v>10</v>
      </c>
      <c r="G154" s="33">
        <f>Prices!$C$8</f>
        <v>10</v>
      </c>
      <c r="H154" s="35">
        <f>Prices!$D$8</f>
        <v>10</v>
      </c>
      <c r="I154" s="35">
        <f>Prices!$E$8</f>
        <v>10</v>
      </c>
      <c r="J154" s="61">
        <f>Prices!$F$8</f>
        <v>10</v>
      </c>
    </row>
    <row r="155" spans="1:10" x14ac:dyDescent="0.2">
      <c r="A155" s="5" t="s">
        <v>72</v>
      </c>
      <c r="B155" s="8" t="s">
        <v>6</v>
      </c>
      <c r="C155" s="33">
        <f>Prices!$C$7</f>
        <v>27.222222222222221</v>
      </c>
      <c r="D155" s="35">
        <f>Prices!$D$7</f>
        <v>31.666666666666664</v>
      </c>
      <c r="E155" s="35">
        <f>Prices!$E$7</f>
        <v>32.916666666666664</v>
      </c>
      <c r="F155" s="61">
        <f>Prices!$F$7</f>
        <v>34.166666666666664</v>
      </c>
      <c r="G155" s="33">
        <f>Prices!$C$7</f>
        <v>27.222222222222221</v>
      </c>
      <c r="H155" s="35">
        <f>Prices!$D$7</f>
        <v>31.666666666666664</v>
      </c>
      <c r="I155" s="35">
        <f>Prices!$E$7</f>
        <v>32.916666666666664</v>
      </c>
      <c r="J155" s="61">
        <f>Prices!$F$7</f>
        <v>34.166666666666664</v>
      </c>
    </row>
    <row r="156" spans="1:10" x14ac:dyDescent="0.2">
      <c r="A156" s="5" t="s">
        <v>24</v>
      </c>
      <c r="B156" s="8" t="s">
        <v>27</v>
      </c>
      <c r="C156" s="32">
        <f>Prices!$B$17</f>
        <v>0</v>
      </c>
      <c r="D156" s="28">
        <f>C156</f>
        <v>0</v>
      </c>
      <c r="E156" s="28">
        <f t="shared" ref="E156" si="95">D156</f>
        <v>0</v>
      </c>
      <c r="F156" s="62">
        <f>E156</f>
        <v>0</v>
      </c>
      <c r="G156" s="32">
        <f>Prices!$B$18</f>
        <v>0.112</v>
      </c>
      <c r="H156" s="28">
        <f>G156</f>
        <v>0.112</v>
      </c>
      <c r="I156" s="28">
        <f t="shared" ref="I156" si="96">H156</f>
        <v>0.112</v>
      </c>
      <c r="J156" s="62">
        <f>I156</f>
        <v>0.112</v>
      </c>
    </row>
    <row r="157" spans="1:10" x14ac:dyDescent="0.2">
      <c r="A157" s="5" t="s">
        <v>25</v>
      </c>
      <c r="B157" s="8" t="s">
        <v>28</v>
      </c>
      <c r="C157" s="33">
        <f>Prices!$C$10</f>
        <v>16</v>
      </c>
      <c r="D157" s="27">
        <f>Prices!$D$10</f>
        <v>100</v>
      </c>
      <c r="E157" s="27">
        <f>Prices!$E$10</f>
        <v>130</v>
      </c>
      <c r="F157" s="42">
        <f>Prices!$F$10</f>
        <v>160</v>
      </c>
      <c r="G157" s="33">
        <f>Prices!$C$10</f>
        <v>16</v>
      </c>
      <c r="H157" s="27">
        <f>Prices!$D$10</f>
        <v>100</v>
      </c>
      <c r="I157" s="27">
        <f>Prices!$E$10</f>
        <v>130</v>
      </c>
      <c r="J157" s="42">
        <f>Prices!$F$10</f>
        <v>160</v>
      </c>
    </row>
    <row r="158" spans="1:10" x14ac:dyDescent="0.2">
      <c r="A158" s="5" t="s">
        <v>43</v>
      </c>
      <c r="B158" s="8" t="s">
        <v>12</v>
      </c>
      <c r="C158" s="37">
        <v>0</v>
      </c>
      <c r="D158" s="29">
        <v>0</v>
      </c>
      <c r="E158" s="29">
        <v>0</v>
      </c>
      <c r="F158" s="67">
        <v>0</v>
      </c>
      <c r="G158" s="37">
        <v>2</v>
      </c>
      <c r="H158" s="29">
        <v>2</v>
      </c>
      <c r="I158" s="29">
        <v>2</v>
      </c>
      <c r="J158" s="67">
        <v>2</v>
      </c>
    </row>
    <row r="159" spans="1:10" x14ac:dyDescent="0.2">
      <c r="A159" s="5" t="s">
        <v>113</v>
      </c>
      <c r="B159" s="8" t="s">
        <v>89</v>
      </c>
      <c r="C159" s="33">
        <f>(PMT(C148,C149,-C147)+C150)/C151</f>
        <v>781.15883558254257</v>
      </c>
      <c r="D159" s="14">
        <f t="shared" ref="D159:F159" si="97">(PMT(D148,D149,-D147)+D150)/D151</f>
        <v>781.15883558254257</v>
      </c>
      <c r="E159" s="14">
        <f t="shared" si="97"/>
        <v>781.15883558254257</v>
      </c>
      <c r="F159" s="15">
        <f t="shared" si="97"/>
        <v>781.15883558254257</v>
      </c>
      <c r="G159" s="33">
        <f>(PMT(G148,G149,-G147)+G150)/G151</f>
        <v>877.1967563172791</v>
      </c>
      <c r="H159" s="14">
        <f t="shared" ref="H159:J159" si="98">(PMT(H148,H149,-H147)+H150)/H151</f>
        <v>877.1967563172791</v>
      </c>
      <c r="I159" s="14">
        <f t="shared" si="98"/>
        <v>877.1967563172791</v>
      </c>
      <c r="J159" s="15">
        <f t="shared" si="98"/>
        <v>877.1967563172791</v>
      </c>
    </row>
    <row r="160" spans="1:10" x14ac:dyDescent="0.2">
      <c r="A160" s="5" t="s">
        <v>112</v>
      </c>
      <c r="B160" s="8" t="s">
        <v>89</v>
      </c>
      <c r="C160" s="33">
        <f>C152*C154+C152*C156*C157*(1-C158)+C153*C155</f>
        <v>615.11111111111109</v>
      </c>
      <c r="D160" s="14">
        <f t="shared" ref="D160:F160" si="99">D152*D154+D152*D156*D157*(1-D158)+D153*D155</f>
        <v>637.33333333333326</v>
      </c>
      <c r="E160" s="14">
        <f t="shared" si="99"/>
        <v>643.58333333333326</v>
      </c>
      <c r="F160" s="15">
        <f t="shared" si="99"/>
        <v>649.83333333333326</v>
      </c>
      <c r="G160" s="33">
        <f>G152*G154+G152*G156*G157*(1-G158)+G153*G155</f>
        <v>572.8298666666667</v>
      </c>
      <c r="H160" s="14">
        <f t="shared" ref="H160:J160" si="100">H152*H154+H152*H156*H157*(1-H158)+H153*H155</f>
        <v>151.51999999999995</v>
      </c>
      <c r="I160" s="14">
        <f t="shared" si="100"/>
        <v>-1.1740000000000066</v>
      </c>
      <c r="J160" s="15">
        <f t="shared" si="100"/>
        <v>-153.86799999999997</v>
      </c>
    </row>
    <row r="161" spans="1:10" x14ac:dyDescent="0.2">
      <c r="A161" s="56" t="s">
        <v>26</v>
      </c>
      <c r="B161" s="57" t="s">
        <v>89</v>
      </c>
      <c r="C161" s="58">
        <f>SUM(C159:C160)</f>
        <v>1396.2699466936538</v>
      </c>
      <c r="D161" s="59">
        <f t="shared" ref="D161" si="101">SUM(D159:D160)</f>
        <v>1418.4921689158759</v>
      </c>
      <c r="E161" s="59">
        <f t="shared" ref="E161" si="102">SUM(E159:E160)</f>
        <v>1424.7421689158759</v>
      </c>
      <c r="F161" s="60">
        <f t="shared" ref="F161" si="103">SUM(F159:F160)</f>
        <v>1430.9921689158759</v>
      </c>
      <c r="G161" s="58">
        <f>SUM(G159:G160)</f>
        <v>1450.0266229839458</v>
      </c>
      <c r="H161" s="59">
        <f t="shared" ref="H161" si="104">SUM(H159:H160)</f>
        <v>1028.7167563172791</v>
      </c>
      <c r="I161" s="59">
        <f t="shared" ref="I161" si="105">SUM(I159:I160)</f>
        <v>876.02275631727912</v>
      </c>
      <c r="J161" s="60">
        <f t="shared" ref="J161" si="106">SUM(J159:J160)</f>
        <v>723.32875631727916</v>
      </c>
    </row>
    <row r="162" spans="1:10" x14ac:dyDescent="0.2">
      <c r="A162" s="74" t="s">
        <v>26</v>
      </c>
      <c r="B162" s="75" t="s">
        <v>92</v>
      </c>
      <c r="C162" s="76">
        <f>C161/Prices!$B$37</f>
        <v>62.551292298792845</v>
      </c>
      <c r="D162" s="76">
        <f>D161/Prices!$B$37</f>
        <v>63.546822368778606</v>
      </c>
      <c r="E162" s="76">
        <f>E161/Prices!$B$37</f>
        <v>63.826815200962102</v>
      </c>
      <c r="F162" s="77">
        <f>F161/Prices!$B$37</f>
        <v>64.106808033145597</v>
      </c>
      <c r="G162" s="76">
        <f>G161/Prices!$B$37</f>
        <v>64.95952974571928</v>
      </c>
      <c r="H162" s="76">
        <f>H161/Prices!$B$37</f>
        <v>46.085330898543098</v>
      </c>
      <c r="I162" s="76">
        <f>I161/Prices!$B$37</f>
        <v>39.244814815754822</v>
      </c>
      <c r="J162" s="77">
        <f>J161/Prices!$B$37</f>
        <v>32.404298732966545</v>
      </c>
    </row>
    <row r="165" spans="1:10" x14ac:dyDescent="0.2">
      <c r="A165" s="22" t="s">
        <v>9</v>
      </c>
      <c r="B165" s="23"/>
      <c r="C165" s="189" t="s">
        <v>88</v>
      </c>
      <c r="D165" s="185"/>
      <c r="E165" s="185"/>
      <c r="F165" s="186"/>
    </row>
    <row r="166" spans="1:10" x14ac:dyDescent="0.2">
      <c r="A166" s="24"/>
      <c r="B166" s="25"/>
      <c r="C166" s="196" t="s">
        <v>87</v>
      </c>
      <c r="D166" s="197"/>
      <c r="E166" s="197"/>
      <c r="F166" s="198"/>
    </row>
    <row r="167" spans="1:10" x14ac:dyDescent="0.2">
      <c r="A167" s="1"/>
      <c r="B167" s="2" t="s">
        <v>5</v>
      </c>
      <c r="C167" s="41" t="s">
        <v>22</v>
      </c>
      <c r="D167" s="2">
        <v>2030</v>
      </c>
      <c r="E167" s="2">
        <v>2040</v>
      </c>
      <c r="F167" s="13">
        <v>2050</v>
      </c>
    </row>
    <row r="168" spans="1:10" x14ac:dyDescent="0.2">
      <c r="A168" s="5" t="s">
        <v>10</v>
      </c>
      <c r="B168" s="8" t="s">
        <v>89</v>
      </c>
      <c r="C168" s="30">
        <v>790</v>
      </c>
      <c r="D168" s="31">
        <v>595</v>
      </c>
      <c r="E168" s="66">
        <f>AVERAGE(D168,F168)</f>
        <v>487.5</v>
      </c>
      <c r="F168" s="51">
        <v>380</v>
      </c>
    </row>
    <row r="169" spans="1:10" x14ac:dyDescent="0.2">
      <c r="A169" s="5" t="s">
        <v>11</v>
      </c>
      <c r="B169" s="8" t="s">
        <v>12</v>
      </c>
      <c r="C169" s="39">
        <v>0.08</v>
      </c>
      <c r="D169" s="40">
        <v>0.08</v>
      </c>
      <c r="E169" s="40">
        <v>0.08</v>
      </c>
      <c r="F169" s="52">
        <v>0.08</v>
      </c>
    </row>
    <row r="170" spans="1:10" x14ac:dyDescent="0.2">
      <c r="A170" s="5" t="s">
        <v>13</v>
      </c>
      <c r="B170" s="8" t="s">
        <v>35</v>
      </c>
      <c r="C170" s="34">
        <v>25</v>
      </c>
      <c r="D170" s="36">
        <v>25</v>
      </c>
      <c r="E170" s="36">
        <v>25</v>
      </c>
      <c r="F170" s="53">
        <v>25</v>
      </c>
    </row>
    <row r="171" spans="1:10" x14ac:dyDescent="0.2">
      <c r="A171" s="5" t="s">
        <v>15</v>
      </c>
      <c r="B171" s="8" t="s">
        <v>91</v>
      </c>
      <c r="C171" s="33">
        <f>1.5%*C168</f>
        <v>11.85</v>
      </c>
      <c r="D171" s="35">
        <f t="shared" ref="D171:F171" si="107">1.5%*D168</f>
        <v>8.9249999999999989</v>
      </c>
      <c r="E171" s="35">
        <f t="shared" si="107"/>
        <v>7.3125</v>
      </c>
      <c r="F171" s="61">
        <f t="shared" si="107"/>
        <v>5.7</v>
      </c>
    </row>
    <row r="172" spans="1:10" x14ac:dyDescent="0.2">
      <c r="A172" s="5" t="s">
        <v>19</v>
      </c>
      <c r="B172" s="8" t="s">
        <v>12</v>
      </c>
      <c r="C172" s="37">
        <v>0.95</v>
      </c>
      <c r="D172" s="38">
        <v>0.95</v>
      </c>
      <c r="E172" s="38">
        <v>0.95</v>
      </c>
      <c r="F172" s="55">
        <v>0.95</v>
      </c>
    </row>
    <row r="173" spans="1:10" x14ac:dyDescent="0.2">
      <c r="A173" s="5" t="s">
        <v>70</v>
      </c>
      <c r="B173" s="8" t="s">
        <v>69</v>
      </c>
      <c r="C173" s="63">
        <v>37.799999999999997</v>
      </c>
      <c r="D173" s="64">
        <v>35.299999999999997</v>
      </c>
      <c r="E173" s="64">
        <f>AVERAGE(D173,F173)</f>
        <v>34.25</v>
      </c>
      <c r="F173" s="65">
        <v>33.200000000000003</v>
      </c>
    </row>
    <row r="174" spans="1:10" x14ac:dyDescent="0.2">
      <c r="A174" s="5" t="s">
        <v>72</v>
      </c>
      <c r="B174" s="8" t="s">
        <v>6</v>
      </c>
      <c r="C174" s="33">
        <f>Prices!$C$7</f>
        <v>27.222222222222221</v>
      </c>
      <c r="D174" s="35">
        <f>Prices!$D$7</f>
        <v>31.666666666666664</v>
      </c>
      <c r="E174" s="35">
        <f>Prices!$E$7</f>
        <v>32.916666666666664</v>
      </c>
      <c r="F174" s="61">
        <f>Prices!$F$7</f>
        <v>34.166666666666664</v>
      </c>
    </row>
    <row r="175" spans="1:10" x14ac:dyDescent="0.2">
      <c r="A175" s="5" t="s">
        <v>24</v>
      </c>
      <c r="B175" s="8" t="s">
        <v>27</v>
      </c>
      <c r="C175" s="32">
        <f>Prices!$B$17</f>
        <v>0</v>
      </c>
      <c r="D175" s="28">
        <f>C175</f>
        <v>0</v>
      </c>
      <c r="E175" s="28">
        <f t="shared" ref="E175" si="108">D175</f>
        <v>0</v>
      </c>
      <c r="F175" s="62">
        <f>E175</f>
        <v>0</v>
      </c>
    </row>
    <row r="176" spans="1:10" x14ac:dyDescent="0.2">
      <c r="A176" s="5" t="s">
        <v>25</v>
      </c>
      <c r="B176" s="8" t="s">
        <v>28</v>
      </c>
      <c r="C176" s="33">
        <f>Prices!$C$10</f>
        <v>16</v>
      </c>
      <c r="D176" s="27">
        <f>Prices!$D$10</f>
        <v>100</v>
      </c>
      <c r="E176" s="27">
        <f>Prices!$E$10</f>
        <v>130</v>
      </c>
      <c r="F176" s="42">
        <f>Prices!$F$10</f>
        <v>160</v>
      </c>
    </row>
    <row r="177" spans="1:6" x14ac:dyDescent="0.2">
      <c r="A177" s="5" t="s">
        <v>43</v>
      </c>
      <c r="B177" s="8" t="s">
        <v>12</v>
      </c>
      <c r="C177" s="37">
        <v>0</v>
      </c>
      <c r="D177" s="29">
        <v>0</v>
      </c>
      <c r="E177" s="29">
        <v>0</v>
      </c>
      <c r="F177" s="67">
        <v>0</v>
      </c>
    </row>
    <row r="178" spans="1:6" x14ac:dyDescent="0.2">
      <c r="A178" s="5" t="s">
        <v>113</v>
      </c>
      <c r="B178" s="8" t="s">
        <v>89</v>
      </c>
      <c r="C178" s="33">
        <f>(PMT(C169,C170,-C168)+C171)/C172</f>
        <v>90.374984685320882</v>
      </c>
      <c r="D178" s="14">
        <f>(PMT(D169,D170,-D168)+D171)/D172</f>
        <v>68.067235300969514</v>
      </c>
      <c r="E178" s="14">
        <f>(PMT(E169,E170,-E168)+E171)/E172</f>
        <v>55.769373460878384</v>
      </c>
      <c r="F178" s="15">
        <f>(PMT(F169,F170,-F168)+F171)/F172</f>
        <v>43.471511620787254</v>
      </c>
    </row>
    <row r="179" spans="1:6" x14ac:dyDescent="0.2">
      <c r="A179" s="5" t="s">
        <v>112</v>
      </c>
      <c r="B179" s="8" t="s">
        <v>89</v>
      </c>
      <c r="C179" s="33">
        <f>(C173*C174)</f>
        <v>1029</v>
      </c>
      <c r="D179" s="14">
        <f t="shared" ref="D179:F179" si="109">(D173*D174)</f>
        <v>1117.8333333333333</v>
      </c>
      <c r="E179" s="14">
        <f t="shared" si="109"/>
        <v>1127.3958333333333</v>
      </c>
      <c r="F179" s="15">
        <f t="shared" si="109"/>
        <v>1134.3333333333333</v>
      </c>
    </row>
    <row r="180" spans="1:6" x14ac:dyDescent="0.2">
      <c r="A180" s="56" t="s">
        <v>26</v>
      </c>
      <c r="B180" s="57" t="s">
        <v>89</v>
      </c>
      <c r="C180" s="58">
        <f>SUM(C178:C179)</f>
        <v>1119.3749846853209</v>
      </c>
      <c r="D180" s="59">
        <f t="shared" ref="D180" si="110">SUM(D178:D179)</f>
        <v>1185.9005686343028</v>
      </c>
      <c r="E180" s="59">
        <f t="shared" ref="E180" si="111">SUM(E178:E179)</f>
        <v>1183.1652067942116</v>
      </c>
      <c r="F180" s="60">
        <f t="shared" ref="F180" si="112">SUM(F178:F179)</f>
        <v>1177.8048449541204</v>
      </c>
    </row>
    <row r="181" spans="1:6" x14ac:dyDescent="0.2">
      <c r="A181" s="74" t="s">
        <v>26</v>
      </c>
      <c r="B181" s="75" t="s">
        <v>92</v>
      </c>
      <c r="C181" s="76">
        <f>C180/Prices!$B$37</f>
        <v>50.146715557984095</v>
      </c>
      <c r="D181" s="76">
        <f>D180/Prices!$B$37</f>
        <v>53.126985423989915</v>
      </c>
      <c r="E181" s="76">
        <f>E180/Prices!$B$37</f>
        <v>53.004444350605304</v>
      </c>
      <c r="F181" s="77">
        <f>F180/Prices!$B$37</f>
        <v>52.764306287703633</v>
      </c>
    </row>
  </sheetData>
  <mergeCells count="32">
    <mergeCell ref="C63:F63"/>
    <mergeCell ref="G62:J62"/>
    <mergeCell ref="G63:J63"/>
    <mergeCell ref="C1:F1"/>
    <mergeCell ref="C2:F2"/>
    <mergeCell ref="G1:J1"/>
    <mergeCell ref="G2:J2"/>
    <mergeCell ref="C20:F20"/>
    <mergeCell ref="C21:F21"/>
    <mergeCell ref="G20:J20"/>
    <mergeCell ref="G21:J21"/>
    <mergeCell ref="C41:F41"/>
    <mergeCell ref="C42:F42"/>
    <mergeCell ref="G41:J41"/>
    <mergeCell ref="G42:J42"/>
    <mergeCell ref="C62:F62"/>
    <mergeCell ref="C83:F83"/>
    <mergeCell ref="C84:F84"/>
    <mergeCell ref="C102:F102"/>
    <mergeCell ref="C103:F103"/>
    <mergeCell ref="G102:J102"/>
    <mergeCell ref="G103:J103"/>
    <mergeCell ref="C165:F165"/>
    <mergeCell ref="C166:F166"/>
    <mergeCell ref="C123:F123"/>
    <mergeCell ref="G123:J123"/>
    <mergeCell ref="C124:F124"/>
    <mergeCell ref="G124:J124"/>
    <mergeCell ref="C144:F144"/>
    <mergeCell ref="C145:F145"/>
    <mergeCell ref="G144:J144"/>
    <mergeCell ref="G145:J14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topLeftCell="A3" workbookViewId="0">
      <selection activeCell="L47" sqref="L47"/>
    </sheetView>
  </sheetViews>
  <sheetFormatPr defaultColWidth="8.7109375" defaultRowHeight="11.25" x14ac:dyDescent="0.2"/>
  <cols>
    <col min="1" max="1" width="27" style="4" customWidth="1"/>
    <col min="2" max="2" width="16.42578125" style="4" bestFit="1" customWidth="1"/>
    <col min="3" max="3" width="14" style="4" customWidth="1"/>
    <col min="4" max="16384" width="8.7109375" style="4"/>
  </cols>
  <sheetData>
    <row r="1" spans="1:6" x14ac:dyDescent="0.2">
      <c r="A1" s="85" t="s">
        <v>324</v>
      </c>
    </row>
    <row r="3" spans="1:6" x14ac:dyDescent="0.2">
      <c r="A3" s="91" t="s">
        <v>248</v>
      </c>
      <c r="B3" s="91" t="s">
        <v>122</v>
      </c>
      <c r="C3" s="93" t="s">
        <v>123</v>
      </c>
      <c r="D3" s="91" t="s">
        <v>22</v>
      </c>
      <c r="E3" s="92">
        <v>2030</v>
      </c>
      <c r="F3" s="93">
        <v>2050</v>
      </c>
    </row>
    <row r="4" spans="1:6" x14ac:dyDescent="0.2">
      <c r="A4" s="86" t="s">
        <v>249</v>
      </c>
      <c r="B4" s="30" t="s">
        <v>103</v>
      </c>
      <c r="C4" s="51" t="s">
        <v>250</v>
      </c>
      <c r="D4" s="31">
        <v>600</v>
      </c>
      <c r="E4" s="31">
        <v>600</v>
      </c>
      <c r="F4" s="51">
        <v>600</v>
      </c>
    </row>
    <row r="5" spans="1:6" x14ac:dyDescent="0.2">
      <c r="A5" s="50"/>
      <c r="B5" s="5" t="s">
        <v>130</v>
      </c>
      <c r="C5" s="54" t="s">
        <v>131</v>
      </c>
      <c r="D5" s="38">
        <v>0.23</v>
      </c>
      <c r="E5" s="38">
        <v>0.23</v>
      </c>
      <c r="F5" s="55">
        <v>0.23</v>
      </c>
    </row>
    <row r="6" spans="1:6" x14ac:dyDescent="0.2">
      <c r="A6" s="50"/>
      <c r="B6" s="5" t="s">
        <v>251</v>
      </c>
      <c r="C6" s="54" t="s">
        <v>252</v>
      </c>
      <c r="D6" s="6">
        <v>0.7</v>
      </c>
      <c r="E6" s="6">
        <v>0.7</v>
      </c>
      <c r="F6" s="54">
        <v>0.7</v>
      </c>
    </row>
    <row r="7" spans="1:6" x14ac:dyDescent="0.2">
      <c r="A7" s="50"/>
      <c r="B7" s="5" t="s">
        <v>253</v>
      </c>
      <c r="C7" s="54" t="s">
        <v>252</v>
      </c>
      <c r="D7" s="6">
        <v>18</v>
      </c>
      <c r="E7" s="6">
        <v>18</v>
      </c>
      <c r="F7" s="54">
        <v>18</v>
      </c>
    </row>
    <row r="8" spans="1:6" x14ac:dyDescent="0.2">
      <c r="A8" s="56"/>
      <c r="B8" s="18" t="s">
        <v>254</v>
      </c>
      <c r="C8" s="88" t="s">
        <v>252</v>
      </c>
      <c r="D8" s="87">
        <v>1</v>
      </c>
      <c r="E8" s="87">
        <v>1</v>
      </c>
      <c r="F8" s="88">
        <v>1</v>
      </c>
    </row>
    <row r="9" spans="1:6" x14ac:dyDescent="0.2">
      <c r="A9" s="86" t="s">
        <v>255</v>
      </c>
      <c r="B9" s="30" t="s">
        <v>103</v>
      </c>
      <c r="C9" s="51" t="s">
        <v>250</v>
      </c>
      <c r="D9" s="31">
        <v>590</v>
      </c>
      <c r="E9" s="31">
        <v>590</v>
      </c>
      <c r="F9" s="51">
        <v>590</v>
      </c>
    </row>
    <row r="10" spans="1:6" x14ac:dyDescent="0.2">
      <c r="A10" s="50"/>
      <c r="B10" s="5" t="s">
        <v>130</v>
      </c>
      <c r="C10" s="54" t="s">
        <v>131</v>
      </c>
      <c r="D10" s="38">
        <v>0.25</v>
      </c>
      <c r="E10" s="38">
        <v>0.25</v>
      </c>
      <c r="F10" s="55">
        <v>0.25</v>
      </c>
    </row>
    <row r="11" spans="1:6" x14ac:dyDescent="0.2">
      <c r="A11" s="50"/>
      <c r="B11" s="5" t="s">
        <v>251</v>
      </c>
      <c r="C11" s="54" t="s">
        <v>252</v>
      </c>
      <c r="D11" s="6">
        <v>2.5</v>
      </c>
      <c r="E11" s="6">
        <v>2.5</v>
      </c>
      <c r="F11" s="54">
        <v>2.5</v>
      </c>
    </row>
    <row r="12" spans="1:6" x14ac:dyDescent="0.2">
      <c r="A12" s="50"/>
      <c r="B12" s="5" t="s">
        <v>253</v>
      </c>
      <c r="C12" s="54" t="s">
        <v>252</v>
      </c>
      <c r="D12" s="6">
        <v>0.5</v>
      </c>
      <c r="E12" s="6">
        <v>0.5</v>
      </c>
      <c r="F12" s="54">
        <v>0.5</v>
      </c>
    </row>
    <row r="13" spans="1:6" x14ac:dyDescent="0.2">
      <c r="A13" s="56"/>
      <c r="B13" s="18" t="s">
        <v>254</v>
      </c>
      <c r="C13" s="88" t="s">
        <v>252</v>
      </c>
      <c r="D13" s="87">
        <v>10.1</v>
      </c>
      <c r="E13" s="87">
        <v>10.1</v>
      </c>
      <c r="F13" s="88">
        <v>10.1</v>
      </c>
    </row>
    <row r="14" spans="1:6" x14ac:dyDescent="0.2">
      <c r="A14" s="86" t="s">
        <v>256</v>
      </c>
      <c r="B14" s="30" t="s">
        <v>103</v>
      </c>
      <c r="C14" s="51" t="s">
        <v>250</v>
      </c>
      <c r="D14" s="31">
        <v>640</v>
      </c>
      <c r="E14" s="31">
        <v>640</v>
      </c>
      <c r="F14" s="51">
        <v>640</v>
      </c>
    </row>
    <row r="15" spans="1:6" x14ac:dyDescent="0.2">
      <c r="A15" s="50"/>
      <c r="B15" s="5" t="s">
        <v>130</v>
      </c>
      <c r="C15" s="54" t="s">
        <v>131</v>
      </c>
      <c r="D15" s="38">
        <v>0.23</v>
      </c>
      <c r="E15" s="38">
        <v>0.23</v>
      </c>
      <c r="F15" s="55">
        <v>0.23</v>
      </c>
    </row>
    <row r="16" spans="1:6" x14ac:dyDescent="0.2">
      <c r="A16" s="50"/>
      <c r="B16" s="5" t="s">
        <v>251</v>
      </c>
      <c r="C16" s="54" t="s">
        <v>252</v>
      </c>
      <c r="D16" s="6">
        <v>2.7</v>
      </c>
      <c r="E16" s="6">
        <v>2.7</v>
      </c>
      <c r="F16" s="54">
        <v>2.7</v>
      </c>
    </row>
    <row r="17" spans="1:6" x14ac:dyDescent="0.2">
      <c r="A17" s="50"/>
      <c r="B17" s="5" t="s">
        <v>253</v>
      </c>
      <c r="C17" s="54" t="s">
        <v>252</v>
      </c>
      <c r="D17" s="6">
        <v>0.5</v>
      </c>
      <c r="E17" s="6">
        <v>0.5</v>
      </c>
      <c r="F17" s="54">
        <v>0.5</v>
      </c>
    </row>
    <row r="18" spans="1:6" x14ac:dyDescent="0.2">
      <c r="A18" s="56"/>
      <c r="B18" s="18" t="s">
        <v>254</v>
      </c>
      <c r="C18" s="88" t="s">
        <v>252</v>
      </c>
      <c r="D18" s="87">
        <v>10.1</v>
      </c>
      <c r="E18" s="87">
        <v>10.1</v>
      </c>
      <c r="F18" s="88">
        <v>10.1</v>
      </c>
    </row>
    <row r="19" spans="1:6" x14ac:dyDescent="0.2">
      <c r="A19" s="86" t="s">
        <v>257</v>
      </c>
      <c r="B19" s="30" t="s">
        <v>103</v>
      </c>
      <c r="C19" s="51" t="s">
        <v>250</v>
      </c>
      <c r="D19" s="31">
        <v>945</v>
      </c>
      <c r="E19" s="31">
        <v>855</v>
      </c>
      <c r="F19" s="51">
        <v>755</v>
      </c>
    </row>
    <row r="20" spans="1:6" x14ac:dyDescent="0.2">
      <c r="A20" s="50"/>
      <c r="B20" s="5" t="s">
        <v>130</v>
      </c>
      <c r="C20" s="54" t="s">
        <v>131</v>
      </c>
      <c r="D20" s="38">
        <v>0.16</v>
      </c>
      <c r="E20" s="38">
        <v>0.18</v>
      </c>
      <c r="F20" s="55">
        <v>0.2</v>
      </c>
    </row>
    <row r="21" spans="1:6" x14ac:dyDescent="0.2">
      <c r="A21" s="50"/>
      <c r="B21" s="5" t="s">
        <v>251</v>
      </c>
      <c r="C21" s="54" t="s">
        <v>252</v>
      </c>
      <c r="D21" s="6">
        <v>14.7</v>
      </c>
      <c r="E21" s="6">
        <v>13.9</v>
      </c>
      <c r="F21" s="54">
        <v>13.2</v>
      </c>
    </row>
    <row r="22" spans="1:6" x14ac:dyDescent="0.2">
      <c r="A22" s="56"/>
      <c r="B22" s="18" t="s">
        <v>258</v>
      </c>
      <c r="C22" s="88" t="s">
        <v>252</v>
      </c>
      <c r="D22" s="87">
        <v>1.9</v>
      </c>
      <c r="E22" s="87">
        <v>1.9</v>
      </c>
      <c r="F22" s="88">
        <v>1.9</v>
      </c>
    </row>
    <row r="23" spans="1:6" x14ac:dyDescent="0.2">
      <c r="A23" s="86" t="s">
        <v>259</v>
      </c>
      <c r="B23" s="30" t="s">
        <v>103</v>
      </c>
      <c r="C23" s="51" t="s">
        <v>250</v>
      </c>
      <c r="D23" s="31">
        <v>530</v>
      </c>
      <c r="E23" s="31">
        <v>530</v>
      </c>
      <c r="F23" s="51">
        <v>530</v>
      </c>
    </row>
    <row r="24" spans="1:6" x14ac:dyDescent="0.2">
      <c r="A24" s="50"/>
      <c r="B24" s="5" t="s">
        <v>130</v>
      </c>
      <c r="C24" s="54" t="s">
        <v>131</v>
      </c>
      <c r="D24" s="38">
        <v>0.17</v>
      </c>
      <c r="E24" s="38">
        <v>0.17</v>
      </c>
      <c r="F24" s="55">
        <v>0.17</v>
      </c>
    </row>
    <row r="25" spans="1:6" x14ac:dyDescent="0.2">
      <c r="A25" s="50"/>
      <c r="B25" s="5" t="s">
        <v>251</v>
      </c>
      <c r="C25" s="54" t="s">
        <v>252</v>
      </c>
      <c r="D25" s="6">
        <v>3.5</v>
      </c>
      <c r="E25" s="6">
        <v>3.5</v>
      </c>
      <c r="F25" s="54">
        <v>3.5</v>
      </c>
    </row>
    <row r="26" spans="1:6" x14ac:dyDescent="0.2">
      <c r="A26" s="56"/>
      <c r="B26" s="18" t="s">
        <v>253</v>
      </c>
      <c r="C26" s="88" t="s">
        <v>252</v>
      </c>
      <c r="D26" s="87">
        <v>12.1</v>
      </c>
      <c r="E26" s="87">
        <v>12.1</v>
      </c>
      <c r="F26" s="88">
        <v>12.1</v>
      </c>
    </row>
    <row r="28" spans="1:6" x14ac:dyDescent="0.2">
      <c r="A28" s="48" t="s">
        <v>260</v>
      </c>
    </row>
    <row r="29" spans="1:6" x14ac:dyDescent="0.2">
      <c r="A29" s="48" t="s">
        <v>261</v>
      </c>
    </row>
    <row r="30" spans="1:6" x14ac:dyDescent="0.2">
      <c r="A30" s="48" t="s">
        <v>262</v>
      </c>
    </row>
    <row r="31" spans="1:6" x14ac:dyDescent="0.2">
      <c r="A31" s="48" t="s">
        <v>263</v>
      </c>
    </row>
    <row r="32" spans="1:6" x14ac:dyDescent="0.2">
      <c r="A32" s="48" t="s">
        <v>264</v>
      </c>
    </row>
    <row r="33" spans="1:1" x14ac:dyDescent="0.2">
      <c r="A33" s="48" t="s">
        <v>265</v>
      </c>
    </row>
    <row r="34" spans="1:1" x14ac:dyDescent="0.2">
      <c r="A34" s="48"/>
    </row>
    <row r="35" spans="1:1" x14ac:dyDescent="0.2">
      <c r="A35" s="48"/>
    </row>
    <row r="36" spans="1:1" x14ac:dyDescent="0.2">
      <c r="A36" s="48" t="s">
        <v>266</v>
      </c>
    </row>
    <row r="37" spans="1:1" x14ac:dyDescent="0.2">
      <c r="A37" s="4" t="s">
        <v>267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6"/>
  <sheetViews>
    <sheetView topLeftCell="A7" workbookViewId="0">
      <selection activeCell="A43" sqref="A43"/>
    </sheetView>
  </sheetViews>
  <sheetFormatPr defaultColWidth="8.7109375" defaultRowHeight="11.25" x14ac:dyDescent="0.2"/>
  <cols>
    <col min="1" max="1" width="26.5703125" style="4" customWidth="1"/>
    <col min="2" max="2" width="15" style="4" bestFit="1" customWidth="1"/>
    <col min="3" max="3" width="10" style="4" bestFit="1" customWidth="1"/>
    <col min="4" max="4" width="8.7109375" style="7"/>
    <col min="5" max="5" width="15.85546875" style="7" customWidth="1"/>
    <col min="6" max="6" width="11" style="7" bestFit="1" customWidth="1"/>
    <col min="7" max="7" width="12" style="4" bestFit="1" customWidth="1"/>
    <col min="8" max="12" width="8.7109375" style="4"/>
    <col min="13" max="13" width="10.42578125" style="4" bestFit="1" customWidth="1"/>
    <col min="14" max="16384" width="8.7109375" style="4"/>
  </cols>
  <sheetData>
    <row r="1" spans="1:11" x14ac:dyDescent="0.2">
      <c r="A1" s="85" t="s">
        <v>325</v>
      </c>
    </row>
    <row r="3" spans="1:11" x14ac:dyDescent="0.2">
      <c r="A3" s="91" t="s">
        <v>268</v>
      </c>
      <c r="B3" s="91" t="s">
        <v>122</v>
      </c>
      <c r="C3" s="93" t="s">
        <v>123</v>
      </c>
      <c r="D3" s="91" t="s">
        <v>269</v>
      </c>
      <c r="E3" s="92" t="s">
        <v>270</v>
      </c>
      <c r="F3" s="93" t="s">
        <v>271</v>
      </c>
      <c r="G3" s="93" t="s">
        <v>366</v>
      </c>
      <c r="H3" s="48"/>
      <c r="I3" s="48"/>
      <c r="J3" s="48"/>
      <c r="K3" s="49"/>
    </row>
    <row r="4" spans="1:11" x14ac:dyDescent="0.2">
      <c r="A4" s="199" t="s">
        <v>327</v>
      </c>
      <c r="B4" s="31" t="s">
        <v>272</v>
      </c>
      <c r="C4" s="31" t="s">
        <v>273</v>
      </c>
      <c r="D4" s="111">
        <v>15000</v>
      </c>
      <c r="E4" s="111">
        <v>100000</v>
      </c>
      <c r="F4" s="98">
        <v>100000</v>
      </c>
      <c r="G4" s="136">
        <v>100000</v>
      </c>
      <c r="H4" s="48"/>
      <c r="I4" s="48"/>
      <c r="J4" s="48"/>
      <c r="K4" s="49"/>
    </row>
    <row r="5" spans="1:11" x14ac:dyDescent="0.2">
      <c r="A5" s="200"/>
      <c r="B5" s="6" t="s">
        <v>13</v>
      </c>
      <c r="C5" s="6" t="s">
        <v>14</v>
      </c>
      <c r="D5" s="112">
        <v>5</v>
      </c>
      <c r="E5" s="112">
        <v>5</v>
      </c>
      <c r="F5" s="96">
        <v>15</v>
      </c>
      <c r="G5" s="137">
        <v>12</v>
      </c>
      <c r="H5" s="48"/>
      <c r="I5" s="48"/>
      <c r="J5" s="48"/>
      <c r="K5" s="49"/>
    </row>
    <row r="6" spans="1:11" x14ac:dyDescent="0.2">
      <c r="A6" s="200"/>
      <c r="B6" s="6" t="s">
        <v>111</v>
      </c>
      <c r="C6" s="6" t="s">
        <v>12</v>
      </c>
      <c r="D6" s="113">
        <v>0.1</v>
      </c>
      <c r="E6" s="113">
        <v>0.1</v>
      </c>
      <c r="F6" s="102">
        <v>0.1</v>
      </c>
      <c r="G6" s="138">
        <v>0.1</v>
      </c>
      <c r="H6" s="48"/>
      <c r="I6" s="48"/>
      <c r="J6" s="48"/>
      <c r="K6" s="49"/>
    </row>
    <row r="7" spans="1:11" x14ac:dyDescent="0.2">
      <c r="A7" s="200"/>
      <c r="B7" s="6" t="s">
        <v>274</v>
      </c>
      <c r="C7" s="6" t="s">
        <v>222</v>
      </c>
      <c r="D7" s="112">
        <v>23</v>
      </c>
      <c r="E7" s="112">
        <v>117.5</v>
      </c>
      <c r="F7" s="96">
        <v>35000</v>
      </c>
      <c r="G7" s="137">
        <v>102.5</v>
      </c>
      <c r="H7" s="48"/>
      <c r="I7" s="48"/>
      <c r="J7" s="48"/>
      <c r="K7" s="49"/>
    </row>
    <row r="8" spans="1:11" x14ac:dyDescent="0.2">
      <c r="A8" s="200"/>
      <c r="B8" s="6" t="s">
        <v>326</v>
      </c>
      <c r="C8" s="110" t="s">
        <v>12</v>
      </c>
      <c r="D8" s="114">
        <v>0.43</v>
      </c>
      <c r="E8" s="115">
        <v>0.41799999999999998</v>
      </c>
      <c r="F8" s="116">
        <v>0</v>
      </c>
      <c r="G8" s="139">
        <v>0.41799999999999998</v>
      </c>
      <c r="H8" s="48"/>
      <c r="I8" s="48"/>
      <c r="J8" s="48"/>
      <c r="K8" s="49"/>
    </row>
    <row r="9" spans="1:11" x14ac:dyDescent="0.2">
      <c r="A9" s="201"/>
      <c r="B9" s="87" t="s">
        <v>275</v>
      </c>
      <c r="C9" s="87" t="s">
        <v>276</v>
      </c>
      <c r="D9" s="117">
        <v>95</v>
      </c>
      <c r="E9" s="117">
        <v>350</v>
      </c>
      <c r="F9" s="100">
        <v>10989</v>
      </c>
      <c r="G9" s="140">
        <v>230</v>
      </c>
      <c r="H9" s="48"/>
      <c r="I9" s="48"/>
      <c r="J9" s="48"/>
      <c r="K9" s="49"/>
    </row>
    <row r="10" spans="1:11" x14ac:dyDescent="0.2">
      <c r="A10" s="119" t="s">
        <v>277</v>
      </c>
      <c r="B10" s="31" t="s">
        <v>278</v>
      </c>
      <c r="C10" s="31" t="s">
        <v>50</v>
      </c>
      <c r="D10" s="111" t="s">
        <v>332</v>
      </c>
      <c r="E10" s="111" t="s">
        <v>279</v>
      </c>
      <c r="F10" s="98" t="s">
        <v>280</v>
      </c>
      <c r="G10" s="141" t="s">
        <v>279</v>
      </c>
      <c r="H10" s="48"/>
      <c r="I10" s="48"/>
      <c r="J10" s="48"/>
      <c r="K10" s="49"/>
    </row>
    <row r="11" spans="1:11" x14ac:dyDescent="0.2">
      <c r="A11" s="120"/>
      <c r="B11" s="6" t="s">
        <v>328</v>
      </c>
      <c r="C11" s="6" t="s">
        <v>281</v>
      </c>
      <c r="D11" s="112" t="s">
        <v>282</v>
      </c>
      <c r="E11" s="112" t="s">
        <v>282</v>
      </c>
      <c r="F11" s="96" t="s">
        <v>283</v>
      </c>
      <c r="G11" s="142" t="s">
        <v>282</v>
      </c>
      <c r="H11" s="48"/>
      <c r="I11" s="48"/>
      <c r="J11" s="48"/>
      <c r="K11" s="49"/>
    </row>
    <row r="12" spans="1:11" x14ac:dyDescent="0.2">
      <c r="A12" s="120"/>
      <c r="B12" s="6" t="s">
        <v>284</v>
      </c>
      <c r="C12" s="6" t="s">
        <v>47</v>
      </c>
      <c r="D12" s="112">
        <v>2</v>
      </c>
      <c r="E12" s="112">
        <v>3.3</v>
      </c>
      <c r="F12" s="96" t="s">
        <v>108</v>
      </c>
      <c r="G12" s="137" t="s">
        <v>108</v>
      </c>
      <c r="H12" s="48"/>
      <c r="I12" s="48"/>
      <c r="J12" s="48"/>
      <c r="K12" s="49"/>
    </row>
    <row r="13" spans="1:11" x14ac:dyDescent="0.2">
      <c r="A13" s="120"/>
      <c r="B13" s="6" t="s">
        <v>329</v>
      </c>
      <c r="C13" s="6" t="s">
        <v>152</v>
      </c>
      <c r="D13" s="112">
        <v>1.36</v>
      </c>
      <c r="E13" s="112">
        <v>7.8</v>
      </c>
      <c r="F13" s="96" t="s">
        <v>285</v>
      </c>
      <c r="G13" s="137">
        <v>10.1</v>
      </c>
      <c r="H13" s="48"/>
      <c r="I13" s="48"/>
      <c r="J13" s="48"/>
      <c r="K13" s="49"/>
    </row>
    <row r="14" spans="1:11" x14ac:dyDescent="0.2">
      <c r="A14" s="120"/>
      <c r="B14" s="6" t="s">
        <v>330</v>
      </c>
      <c r="C14" s="6" t="s">
        <v>50</v>
      </c>
      <c r="D14" s="112">
        <v>14</v>
      </c>
      <c r="E14" s="112">
        <v>39</v>
      </c>
      <c r="F14" s="96">
        <v>70</v>
      </c>
      <c r="G14" s="137">
        <v>26</v>
      </c>
      <c r="H14" s="48"/>
      <c r="I14" s="48"/>
      <c r="J14" s="48"/>
      <c r="K14" s="49"/>
    </row>
    <row r="15" spans="1:11" x14ac:dyDescent="0.2">
      <c r="A15" s="120"/>
      <c r="B15" s="6" t="s">
        <v>286</v>
      </c>
      <c r="C15" s="6" t="s">
        <v>104</v>
      </c>
      <c r="D15" s="112">
        <v>7.7600000000000002E-2</v>
      </c>
      <c r="E15" s="112">
        <v>0.106</v>
      </c>
      <c r="F15" s="96" t="s">
        <v>108</v>
      </c>
      <c r="G15" s="137">
        <v>8.3000000000000004E-2</v>
      </c>
      <c r="H15" s="48"/>
      <c r="I15" s="48"/>
      <c r="J15" s="48"/>
      <c r="K15" s="49"/>
    </row>
    <row r="16" spans="1:11" x14ac:dyDescent="0.2">
      <c r="A16" s="121"/>
      <c r="B16" s="87" t="s">
        <v>331</v>
      </c>
      <c r="C16" s="87" t="s">
        <v>287</v>
      </c>
      <c r="D16" s="117" t="s">
        <v>288</v>
      </c>
      <c r="E16" s="117" t="s">
        <v>289</v>
      </c>
      <c r="F16" s="100" t="s">
        <v>333</v>
      </c>
      <c r="G16" s="140" t="s">
        <v>289</v>
      </c>
      <c r="H16" s="48"/>
      <c r="I16" s="48"/>
      <c r="J16" s="48"/>
      <c r="K16" s="49"/>
    </row>
    <row r="17" spans="1:12" x14ac:dyDescent="0.2">
      <c r="A17" s="119" t="s">
        <v>338</v>
      </c>
      <c r="B17" s="31" t="s">
        <v>290</v>
      </c>
      <c r="C17" s="31" t="s">
        <v>211</v>
      </c>
      <c r="D17" s="111" t="s">
        <v>291</v>
      </c>
      <c r="E17" s="111" t="s">
        <v>292</v>
      </c>
      <c r="F17" s="98" t="s">
        <v>334</v>
      </c>
      <c r="G17" s="136" t="s">
        <v>292</v>
      </c>
      <c r="H17" s="48"/>
      <c r="I17" s="48"/>
      <c r="J17" s="48"/>
      <c r="K17" s="49"/>
    </row>
    <row r="18" spans="1:12" x14ac:dyDescent="0.2">
      <c r="A18" s="120"/>
      <c r="B18" s="6" t="s">
        <v>103</v>
      </c>
      <c r="C18" s="6" t="s">
        <v>129</v>
      </c>
      <c r="D18" s="112" t="s">
        <v>293</v>
      </c>
      <c r="E18" s="112" t="s">
        <v>294</v>
      </c>
      <c r="F18" s="96"/>
      <c r="G18" s="137" t="s">
        <v>294</v>
      </c>
      <c r="H18" s="48"/>
      <c r="I18" s="48"/>
      <c r="J18" s="48"/>
      <c r="K18" s="49"/>
    </row>
    <row r="19" spans="1:12" x14ac:dyDescent="0.2">
      <c r="A19" s="121"/>
      <c r="B19" s="87" t="s">
        <v>105</v>
      </c>
      <c r="C19" s="87" t="s">
        <v>12</v>
      </c>
      <c r="D19" s="117" t="s">
        <v>295</v>
      </c>
      <c r="E19" s="117" t="s">
        <v>296</v>
      </c>
      <c r="F19" s="100"/>
      <c r="G19" s="140" t="s">
        <v>296</v>
      </c>
      <c r="H19" s="48"/>
      <c r="I19" s="48"/>
      <c r="J19" s="48"/>
      <c r="K19" s="49"/>
    </row>
    <row r="20" spans="1:12" x14ac:dyDescent="0.2">
      <c r="A20" s="119" t="s">
        <v>339</v>
      </c>
      <c r="B20" s="31" t="s">
        <v>297</v>
      </c>
      <c r="C20" s="31" t="s">
        <v>281</v>
      </c>
      <c r="D20" s="111" t="s">
        <v>298</v>
      </c>
      <c r="E20" s="111" t="s">
        <v>298</v>
      </c>
      <c r="F20" s="98"/>
      <c r="G20" s="136" t="s">
        <v>298</v>
      </c>
      <c r="H20" s="48"/>
      <c r="I20" s="48"/>
      <c r="J20" s="48"/>
      <c r="K20" s="49"/>
    </row>
    <row r="21" spans="1:12" x14ac:dyDescent="0.2">
      <c r="A21" s="120"/>
      <c r="B21" s="6" t="s">
        <v>335</v>
      </c>
      <c r="C21" s="6" t="s">
        <v>47</v>
      </c>
      <c r="D21" s="112">
        <v>100</v>
      </c>
      <c r="E21" s="112">
        <v>850</v>
      </c>
      <c r="F21" s="96" t="s">
        <v>108</v>
      </c>
      <c r="G21" s="137">
        <v>570</v>
      </c>
      <c r="H21" s="48"/>
      <c r="I21" s="48"/>
      <c r="J21" s="48"/>
      <c r="K21" s="49"/>
    </row>
    <row r="22" spans="1:12" x14ac:dyDescent="0.2">
      <c r="A22" s="120"/>
      <c r="B22" s="6" t="s">
        <v>329</v>
      </c>
      <c r="C22" s="6" t="s">
        <v>152</v>
      </c>
      <c r="D22" s="112">
        <v>0.75</v>
      </c>
      <c r="E22" s="112">
        <v>5.0999999999999996</v>
      </c>
      <c r="F22" s="96" t="s">
        <v>108</v>
      </c>
      <c r="G22" s="137">
        <v>5.5</v>
      </c>
      <c r="H22" s="48"/>
      <c r="I22" s="48"/>
      <c r="J22" s="48"/>
      <c r="K22" s="49"/>
    </row>
    <row r="23" spans="1:12" x14ac:dyDescent="0.2">
      <c r="A23" s="120"/>
      <c r="B23" s="6" t="s">
        <v>286</v>
      </c>
      <c r="C23" s="6" t="s">
        <v>104</v>
      </c>
      <c r="D23" s="112">
        <v>6.5000000000000002E-2</v>
      </c>
      <c r="E23" s="112">
        <v>0.106</v>
      </c>
      <c r="F23" s="96" t="s">
        <v>108</v>
      </c>
      <c r="G23" s="137">
        <v>8.3000000000000004E-2</v>
      </c>
      <c r="H23" s="48"/>
      <c r="I23" s="48"/>
      <c r="J23" s="48"/>
      <c r="K23" s="48"/>
      <c r="L23" s="48"/>
    </row>
    <row r="24" spans="1:12" x14ac:dyDescent="0.2">
      <c r="A24" s="121"/>
      <c r="B24" s="87" t="s">
        <v>336</v>
      </c>
      <c r="C24" s="87" t="s">
        <v>281</v>
      </c>
      <c r="D24" s="117">
        <v>0.12</v>
      </c>
      <c r="E24" s="117">
        <v>0.12</v>
      </c>
      <c r="F24" s="100" t="s">
        <v>108</v>
      </c>
      <c r="G24" s="140">
        <v>0.12</v>
      </c>
      <c r="H24" s="48"/>
      <c r="I24" s="135"/>
      <c r="J24" s="48"/>
      <c r="K24" s="49"/>
    </row>
    <row r="25" spans="1:12" x14ac:dyDescent="0.2">
      <c r="A25" s="120" t="s">
        <v>340</v>
      </c>
      <c r="B25" s="6" t="s">
        <v>329</v>
      </c>
      <c r="C25" s="6" t="s">
        <v>152</v>
      </c>
      <c r="D25" s="112">
        <v>2.7</v>
      </c>
      <c r="E25" s="112">
        <v>11.7</v>
      </c>
      <c r="F25" s="96">
        <v>1715</v>
      </c>
      <c r="G25" s="137">
        <v>8.1</v>
      </c>
      <c r="H25" s="48"/>
      <c r="I25" s="48"/>
      <c r="J25" s="48"/>
      <c r="K25" s="48"/>
    </row>
    <row r="26" spans="1:12" x14ac:dyDescent="0.2">
      <c r="A26" s="120"/>
      <c r="B26" s="6" t="s">
        <v>299</v>
      </c>
      <c r="C26" s="6" t="s">
        <v>50</v>
      </c>
      <c r="D26" s="112">
        <v>30</v>
      </c>
      <c r="E26" s="112">
        <v>118</v>
      </c>
      <c r="F26" s="96" t="s">
        <v>337</v>
      </c>
      <c r="G26" s="137">
        <v>80</v>
      </c>
      <c r="H26" s="48"/>
      <c r="I26" s="48"/>
      <c r="J26" s="48"/>
      <c r="K26" s="48"/>
    </row>
    <row r="27" spans="1:12" x14ac:dyDescent="0.2">
      <c r="A27" s="120"/>
      <c r="B27" s="6" t="s">
        <v>300</v>
      </c>
      <c r="C27" s="6" t="s">
        <v>281</v>
      </c>
      <c r="D27" s="112"/>
      <c r="E27" s="112"/>
      <c r="F27" s="96"/>
      <c r="G27" s="137"/>
      <c r="H27" s="48"/>
      <c r="I27" s="48"/>
      <c r="J27" s="48"/>
      <c r="K27" s="49"/>
    </row>
    <row r="28" spans="1:12" x14ac:dyDescent="0.2">
      <c r="A28" s="120"/>
      <c r="B28" s="6" t="s">
        <v>286</v>
      </c>
      <c r="C28" s="6" t="s">
        <v>104</v>
      </c>
      <c r="D28" s="112">
        <v>0.08</v>
      </c>
      <c r="E28" s="112">
        <v>0.16</v>
      </c>
      <c r="F28" s="96" t="s">
        <v>108</v>
      </c>
      <c r="G28" s="137">
        <v>0.13</v>
      </c>
      <c r="H28" s="48"/>
      <c r="I28" s="48"/>
      <c r="J28" s="48"/>
      <c r="K28" s="49"/>
    </row>
    <row r="29" spans="1:12" x14ac:dyDescent="0.2">
      <c r="A29" s="120" t="s">
        <v>301</v>
      </c>
      <c r="B29" s="6" t="s">
        <v>329</v>
      </c>
      <c r="C29" s="6" t="s">
        <v>152</v>
      </c>
      <c r="D29" s="112">
        <v>1.6</v>
      </c>
      <c r="E29" s="112">
        <v>10.9</v>
      </c>
      <c r="F29" s="96" t="s">
        <v>108</v>
      </c>
      <c r="G29" s="137">
        <v>6.2</v>
      </c>
      <c r="H29" s="48"/>
      <c r="I29" s="48"/>
      <c r="J29" s="48"/>
      <c r="K29" s="48"/>
    </row>
    <row r="30" spans="1:12" x14ac:dyDescent="0.2">
      <c r="A30" s="121"/>
      <c r="B30" s="87" t="s">
        <v>286</v>
      </c>
      <c r="C30" s="87" t="s">
        <v>104</v>
      </c>
      <c r="D30" s="117">
        <v>7.8E-2</v>
      </c>
      <c r="E30" s="117">
        <v>0.16</v>
      </c>
      <c r="F30" s="100" t="s">
        <v>108</v>
      </c>
      <c r="G30" s="140">
        <v>0.13</v>
      </c>
      <c r="H30" s="48"/>
      <c r="I30" s="48"/>
      <c r="J30" s="48"/>
      <c r="K30" s="49"/>
    </row>
    <row r="31" spans="1:12" x14ac:dyDescent="0.2">
      <c r="A31" s="48"/>
      <c r="B31" s="48"/>
      <c r="C31" s="48"/>
      <c r="D31" s="95"/>
      <c r="E31" s="95"/>
      <c r="F31" s="95"/>
      <c r="G31" s="48"/>
      <c r="H31" s="48"/>
      <c r="I31" s="48"/>
      <c r="J31" s="48"/>
      <c r="K31" s="49"/>
    </row>
    <row r="32" spans="1:12" x14ac:dyDescent="0.2">
      <c r="A32" s="48" t="s">
        <v>302</v>
      </c>
      <c r="B32" s="48"/>
      <c r="C32" s="48"/>
      <c r="D32" s="95"/>
      <c r="E32" s="95"/>
      <c r="F32" s="95"/>
      <c r="G32" s="48"/>
      <c r="H32" s="48"/>
      <c r="I32" s="48"/>
      <c r="J32" s="48"/>
      <c r="K32" s="49"/>
    </row>
    <row r="33" spans="1:11" x14ac:dyDescent="0.2">
      <c r="A33" s="48" t="s">
        <v>303</v>
      </c>
      <c r="B33" s="48"/>
      <c r="C33" s="48"/>
      <c r="D33" s="95"/>
      <c r="E33" s="95"/>
      <c r="F33" s="95"/>
      <c r="G33" s="48"/>
      <c r="H33" s="48"/>
      <c r="I33" s="48"/>
      <c r="J33" s="48"/>
      <c r="K33" s="49"/>
    </row>
    <row r="34" spans="1:11" x14ac:dyDescent="0.2">
      <c r="A34" s="48" t="s">
        <v>304</v>
      </c>
      <c r="B34" s="48"/>
      <c r="C34" s="48"/>
      <c r="D34" s="95"/>
      <c r="E34" s="95"/>
      <c r="F34" s="95"/>
      <c r="G34" s="48"/>
      <c r="H34" s="48"/>
      <c r="I34" s="48"/>
      <c r="J34" s="48"/>
      <c r="K34" s="49"/>
    </row>
    <row r="35" spans="1:11" x14ac:dyDescent="0.2">
      <c r="A35" s="48" t="s">
        <v>305</v>
      </c>
      <c r="B35" s="48"/>
      <c r="C35" s="48"/>
      <c r="D35" s="95"/>
      <c r="E35" s="95"/>
      <c r="F35" s="95"/>
      <c r="G35" s="48"/>
      <c r="H35" s="48"/>
      <c r="I35" s="48"/>
      <c r="J35" s="48"/>
      <c r="K35" s="49"/>
    </row>
    <row r="36" spans="1:11" x14ac:dyDescent="0.2">
      <c r="A36" s="48" t="s">
        <v>306</v>
      </c>
      <c r="B36" s="48"/>
      <c r="C36" s="48"/>
      <c r="D36" s="95"/>
      <c r="E36" s="95"/>
      <c r="F36" s="95"/>
      <c r="G36" s="48"/>
      <c r="H36" s="48"/>
      <c r="I36" s="48"/>
      <c r="J36" s="48"/>
      <c r="K36" s="49"/>
    </row>
    <row r="37" spans="1:11" x14ac:dyDescent="0.2">
      <c r="A37" s="48" t="s">
        <v>307</v>
      </c>
      <c r="B37" s="48"/>
      <c r="C37" s="48"/>
      <c r="D37" s="95"/>
      <c r="E37" s="95"/>
      <c r="F37" s="95"/>
      <c r="G37" s="48"/>
      <c r="H37" s="48"/>
      <c r="I37" s="48"/>
      <c r="J37" s="48"/>
      <c r="K37" s="49"/>
    </row>
    <row r="38" spans="1:11" x14ac:dyDescent="0.2">
      <c r="A38" s="48" t="s">
        <v>308</v>
      </c>
      <c r="B38" s="48"/>
      <c r="C38" s="48"/>
      <c r="D38" s="95"/>
      <c r="E38" s="95"/>
      <c r="F38" s="95"/>
      <c r="G38" s="48"/>
      <c r="H38" s="48"/>
      <c r="I38" s="48"/>
      <c r="J38" s="48"/>
      <c r="K38" s="49"/>
    </row>
    <row r="39" spans="1:11" x14ac:dyDescent="0.2">
      <c r="A39" s="48" t="s">
        <v>309</v>
      </c>
      <c r="B39" s="48"/>
      <c r="C39" s="48"/>
      <c r="D39" s="95"/>
      <c r="E39" s="95"/>
      <c r="F39" s="95"/>
      <c r="G39" s="48"/>
      <c r="H39" s="48"/>
      <c r="I39" s="48"/>
      <c r="J39" s="48"/>
      <c r="K39" s="49"/>
    </row>
    <row r="40" spans="1:11" x14ac:dyDescent="0.2">
      <c r="A40" s="48" t="s">
        <v>310</v>
      </c>
      <c r="B40" s="48"/>
      <c r="C40" s="48"/>
      <c r="D40" s="95"/>
      <c r="E40" s="95"/>
      <c r="F40" s="95"/>
      <c r="G40" s="48"/>
      <c r="H40" s="48"/>
      <c r="I40" s="48"/>
      <c r="J40" s="48"/>
      <c r="K40" s="49"/>
    </row>
    <row r="41" spans="1:11" x14ac:dyDescent="0.2">
      <c r="A41" s="48" t="s">
        <v>311</v>
      </c>
      <c r="B41" s="48"/>
      <c r="C41" s="48"/>
      <c r="D41" s="95"/>
      <c r="E41" s="95"/>
      <c r="F41" s="95"/>
      <c r="G41" s="48"/>
      <c r="H41" s="48"/>
      <c r="I41" s="48"/>
      <c r="J41" s="48"/>
      <c r="K41" s="49"/>
    </row>
    <row r="42" spans="1:11" x14ac:dyDescent="0.2">
      <c r="A42" s="48" t="s">
        <v>312</v>
      </c>
      <c r="B42" s="48"/>
      <c r="C42" s="48"/>
      <c r="D42" s="95"/>
      <c r="E42" s="95"/>
      <c r="F42" s="95"/>
      <c r="G42" s="48"/>
      <c r="H42" s="48"/>
      <c r="I42" s="48"/>
      <c r="J42" s="48"/>
      <c r="K42" s="49"/>
    </row>
    <row r="43" spans="1:11" x14ac:dyDescent="0.2">
      <c r="A43" s="48" t="s">
        <v>313</v>
      </c>
      <c r="B43" s="48"/>
      <c r="C43" s="48"/>
      <c r="D43" s="95"/>
      <c r="E43" s="95"/>
      <c r="F43" s="95"/>
      <c r="G43" s="48"/>
      <c r="H43" s="48"/>
      <c r="I43" s="48"/>
      <c r="J43" s="48"/>
      <c r="K43" s="49"/>
    </row>
    <row r="44" spans="1:11" x14ac:dyDescent="0.2">
      <c r="A44" s="48" t="s">
        <v>314</v>
      </c>
      <c r="B44" s="48"/>
      <c r="C44" s="48"/>
      <c r="D44" s="95"/>
      <c r="E44" s="95"/>
      <c r="F44" s="95"/>
      <c r="G44" s="48"/>
      <c r="H44" s="48"/>
      <c r="I44" s="48"/>
      <c r="J44" s="48"/>
      <c r="K44" s="49"/>
    </row>
    <row r="45" spans="1:11" x14ac:dyDescent="0.2">
      <c r="A45" s="48" t="s">
        <v>315</v>
      </c>
      <c r="B45" s="48"/>
      <c r="C45" s="48"/>
      <c r="D45" s="95"/>
      <c r="E45" s="95"/>
      <c r="F45" s="95"/>
      <c r="G45" s="48"/>
      <c r="H45" s="48"/>
      <c r="I45" s="48"/>
      <c r="J45" s="48"/>
      <c r="K45" s="49"/>
    </row>
    <row r="46" spans="1:11" x14ac:dyDescent="0.2">
      <c r="A46" s="48" t="s">
        <v>316</v>
      </c>
      <c r="B46" s="48"/>
      <c r="C46" s="48"/>
      <c r="D46" s="95"/>
      <c r="E46" s="95"/>
      <c r="F46" s="95"/>
      <c r="G46" s="48"/>
      <c r="H46" s="48"/>
      <c r="I46" s="48"/>
      <c r="J46" s="48"/>
      <c r="K46" s="49"/>
    </row>
    <row r="47" spans="1:11" x14ac:dyDescent="0.2">
      <c r="A47" s="48" t="s">
        <v>317</v>
      </c>
      <c r="B47" s="48"/>
      <c r="C47" s="48"/>
      <c r="D47" s="95"/>
      <c r="E47" s="95"/>
      <c r="F47" s="95"/>
      <c r="G47" s="48"/>
      <c r="H47" s="48"/>
      <c r="I47" s="48"/>
      <c r="J47" s="48"/>
      <c r="K47" s="49"/>
    </row>
    <row r="48" spans="1:11" x14ac:dyDescent="0.2">
      <c r="A48" s="48" t="s">
        <v>318</v>
      </c>
      <c r="B48" s="48"/>
      <c r="C48" s="48"/>
      <c r="D48" s="95"/>
      <c r="E48" s="95"/>
      <c r="F48" s="95"/>
      <c r="G48" s="48"/>
      <c r="H48" s="48"/>
      <c r="I48" s="48"/>
      <c r="J48" s="48"/>
      <c r="K48" s="49"/>
    </row>
    <row r="49" spans="1:11" x14ac:dyDescent="0.2">
      <c r="A49" s="48" t="s">
        <v>319</v>
      </c>
      <c r="B49" s="48"/>
      <c r="C49" s="48"/>
      <c r="D49" s="95"/>
      <c r="E49" s="95"/>
      <c r="F49" s="95"/>
      <c r="G49" s="48"/>
      <c r="H49" s="48"/>
      <c r="I49" s="48"/>
      <c r="J49" s="48"/>
      <c r="K49" s="49"/>
    </row>
    <row r="50" spans="1:11" x14ac:dyDescent="0.2">
      <c r="A50" s="48" t="s">
        <v>320</v>
      </c>
      <c r="B50" s="48"/>
      <c r="C50" s="48"/>
      <c r="D50" s="95"/>
      <c r="E50" s="95"/>
      <c r="F50" s="95"/>
      <c r="G50" s="48"/>
      <c r="H50" s="48"/>
      <c r="I50" s="48"/>
      <c r="J50" s="48"/>
      <c r="K50" s="49"/>
    </row>
    <row r="51" spans="1:11" x14ac:dyDescent="0.2">
      <c r="A51" s="48" t="s">
        <v>321</v>
      </c>
      <c r="B51" s="48"/>
      <c r="C51" s="48"/>
      <c r="D51" s="95"/>
      <c r="E51" s="95"/>
      <c r="F51" s="95"/>
      <c r="G51" s="48"/>
      <c r="H51" s="48"/>
      <c r="I51" s="48"/>
      <c r="J51" s="48"/>
      <c r="K51" s="49"/>
    </row>
    <row r="52" spans="1:11" x14ac:dyDescent="0.2">
      <c r="A52" s="48" t="s">
        <v>322</v>
      </c>
      <c r="B52" s="48"/>
      <c r="C52" s="48"/>
      <c r="D52" s="95"/>
      <c r="E52" s="95"/>
      <c r="F52" s="95"/>
      <c r="G52" s="48"/>
      <c r="H52" s="48"/>
      <c r="I52" s="48"/>
      <c r="J52" s="48"/>
      <c r="K52" s="49"/>
    </row>
    <row r="53" spans="1:11" x14ac:dyDescent="0.2">
      <c r="A53" s="48" t="s">
        <v>323</v>
      </c>
      <c r="B53" s="48"/>
      <c r="C53" s="48"/>
      <c r="D53" s="95"/>
      <c r="E53" s="95"/>
      <c r="F53" s="95"/>
      <c r="G53" s="48"/>
      <c r="H53" s="48"/>
      <c r="I53" s="48"/>
      <c r="J53" s="48"/>
      <c r="K53" s="49"/>
    </row>
    <row r="54" spans="1:11" x14ac:dyDescent="0.2">
      <c r="A54" s="48"/>
      <c r="B54" s="48"/>
      <c r="C54" s="48"/>
      <c r="D54" s="95"/>
      <c r="E54" s="95"/>
      <c r="F54" s="95"/>
      <c r="G54" s="48"/>
      <c r="H54" s="48"/>
      <c r="I54" s="48"/>
      <c r="J54" s="48"/>
      <c r="K54" s="49"/>
    </row>
    <row r="55" spans="1:11" x14ac:dyDescent="0.2">
      <c r="A55" s="49"/>
      <c r="B55" s="49"/>
      <c r="C55" s="49"/>
      <c r="D55" s="118"/>
      <c r="E55" s="118"/>
      <c r="F55" s="118"/>
      <c r="G55" s="49"/>
      <c r="H55" s="49"/>
      <c r="I55" s="49"/>
      <c r="J55" s="49"/>
      <c r="K55" s="49"/>
    </row>
    <row r="56" spans="1:11" x14ac:dyDescent="0.2">
      <c r="A56" s="49"/>
      <c r="B56" s="49"/>
      <c r="C56" s="49"/>
      <c r="D56" s="118"/>
      <c r="E56" s="118"/>
      <c r="F56" s="118"/>
      <c r="G56" s="49"/>
      <c r="H56" s="49"/>
      <c r="I56" s="49"/>
      <c r="J56" s="49"/>
      <c r="K56" s="49"/>
    </row>
  </sheetData>
  <mergeCells count="1">
    <mergeCell ref="A4:A9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workbookViewId="0">
      <selection activeCell="F55" sqref="F55"/>
    </sheetView>
  </sheetViews>
  <sheetFormatPr defaultRowHeight="11.25" x14ac:dyDescent="0.2"/>
  <cols>
    <col min="1" max="1" width="15.85546875" style="4" bestFit="1" customWidth="1"/>
    <col min="2" max="2" width="11.85546875" style="4" bestFit="1" customWidth="1"/>
    <col min="3" max="16384" width="9.140625" style="4"/>
  </cols>
  <sheetData>
    <row r="1" spans="1:8" x14ac:dyDescent="0.2">
      <c r="A1" s="22" t="s">
        <v>9</v>
      </c>
      <c r="B1" s="23"/>
      <c r="C1" s="189" t="s">
        <v>367</v>
      </c>
      <c r="D1" s="185"/>
      <c r="E1" s="185"/>
      <c r="F1" s="186"/>
    </row>
    <row r="2" spans="1:8" x14ac:dyDescent="0.2">
      <c r="A2" s="24"/>
      <c r="B2" s="25"/>
      <c r="C2" s="196" t="s">
        <v>354</v>
      </c>
      <c r="D2" s="197"/>
      <c r="E2" s="197"/>
      <c r="F2" s="198"/>
    </row>
    <row r="3" spans="1:8" x14ac:dyDescent="0.2">
      <c r="A3" s="1"/>
      <c r="B3" s="2" t="s">
        <v>5</v>
      </c>
      <c r="C3" s="41" t="s">
        <v>22</v>
      </c>
      <c r="D3" s="2">
        <v>2030</v>
      </c>
      <c r="E3" s="2">
        <v>2040</v>
      </c>
      <c r="F3" s="13">
        <v>2050</v>
      </c>
    </row>
    <row r="4" spans="1:8" x14ac:dyDescent="0.2">
      <c r="A4" s="5" t="s">
        <v>10</v>
      </c>
      <c r="B4" s="8" t="s">
        <v>353</v>
      </c>
      <c r="C4" s="69">
        <v>340000</v>
      </c>
      <c r="D4" s="66">
        <v>340000</v>
      </c>
      <c r="E4" s="66">
        <v>330000</v>
      </c>
      <c r="F4" s="79">
        <v>330000</v>
      </c>
    </row>
    <row r="5" spans="1:8" x14ac:dyDescent="0.2">
      <c r="A5" s="5" t="s">
        <v>11</v>
      </c>
      <c r="B5" s="8" t="s">
        <v>12</v>
      </c>
      <c r="C5" s="39">
        <v>0.08</v>
      </c>
      <c r="D5" s="40">
        <v>0.08</v>
      </c>
      <c r="E5" s="40">
        <v>0.08</v>
      </c>
      <c r="F5" s="52">
        <v>0.08</v>
      </c>
    </row>
    <row r="6" spans="1:8" x14ac:dyDescent="0.2">
      <c r="A6" s="5" t="s">
        <v>13</v>
      </c>
      <c r="B6" s="8" t="s">
        <v>35</v>
      </c>
      <c r="C6" s="34">
        <v>40</v>
      </c>
      <c r="D6" s="36">
        <v>40</v>
      </c>
      <c r="E6" s="36">
        <v>40</v>
      </c>
      <c r="F6" s="53">
        <v>40</v>
      </c>
    </row>
    <row r="7" spans="1:8" x14ac:dyDescent="0.2">
      <c r="A7" s="5" t="s">
        <v>356</v>
      </c>
      <c r="B7" s="8" t="s">
        <v>273</v>
      </c>
      <c r="C7" s="34">
        <v>100000</v>
      </c>
      <c r="D7" s="36">
        <v>100000</v>
      </c>
      <c r="E7" s="36">
        <v>100000</v>
      </c>
      <c r="F7" s="53">
        <v>100000</v>
      </c>
    </row>
    <row r="8" spans="1:8" x14ac:dyDescent="0.2">
      <c r="A8" s="5" t="s">
        <v>15</v>
      </c>
      <c r="B8" s="8" t="s">
        <v>355</v>
      </c>
      <c r="C8" s="34">
        <f>0.01*C4</f>
        <v>3400</v>
      </c>
      <c r="D8" s="36">
        <f t="shared" ref="D8:F8" si="0">0.01*D4</f>
        <v>3400</v>
      </c>
      <c r="E8" s="36">
        <f t="shared" si="0"/>
        <v>3300</v>
      </c>
      <c r="F8" s="53">
        <f t="shared" si="0"/>
        <v>3300</v>
      </c>
    </row>
    <row r="9" spans="1:8" x14ac:dyDescent="0.2">
      <c r="A9" s="5" t="s">
        <v>20</v>
      </c>
      <c r="B9" s="8" t="s">
        <v>363</v>
      </c>
      <c r="C9" s="122">
        <v>1.4797788644299309E-2</v>
      </c>
      <c r="D9" s="123">
        <v>1.4163491721294171E-2</v>
      </c>
      <c r="E9" s="123">
        <v>1.3458030447819748E-2</v>
      </c>
      <c r="F9" s="124">
        <v>1.2703489431561741E-2</v>
      </c>
    </row>
    <row r="10" spans="1:8" x14ac:dyDescent="0.2">
      <c r="A10" s="5" t="s">
        <v>357</v>
      </c>
      <c r="B10" s="8" t="s">
        <v>6</v>
      </c>
      <c r="C10" s="126">
        <v>9.1582814263651038</v>
      </c>
      <c r="D10" s="73">
        <v>15.770167754137717</v>
      </c>
      <c r="E10" s="73">
        <v>19.980045625901447</v>
      </c>
      <c r="F10" s="127">
        <v>22.566488677683033</v>
      </c>
    </row>
    <row r="11" spans="1:8" x14ac:dyDescent="0.2">
      <c r="A11" s="5" t="s">
        <v>24</v>
      </c>
      <c r="B11" s="8" t="s">
        <v>27</v>
      </c>
      <c r="C11" s="126">
        <v>0</v>
      </c>
      <c r="D11" s="73">
        <f>C11</f>
        <v>0</v>
      </c>
      <c r="E11" s="73">
        <f t="shared" ref="E11:F11" si="1">D11</f>
        <v>0</v>
      </c>
      <c r="F11" s="127">
        <f t="shared" si="1"/>
        <v>0</v>
      </c>
    </row>
    <row r="12" spans="1:8" x14ac:dyDescent="0.2">
      <c r="A12" s="5" t="s">
        <v>25</v>
      </c>
      <c r="B12" s="8" t="s">
        <v>28</v>
      </c>
      <c r="C12" s="33">
        <v>16</v>
      </c>
      <c r="D12" s="35">
        <v>100</v>
      </c>
      <c r="E12" s="35">
        <v>130</v>
      </c>
      <c r="F12" s="127">
        <v>160</v>
      </c>
    </row>
    <row r="13" spans="1:8" x14ac:dyDescent="0.2">
      <c r="A13" s="5" t="s">
        <v>113</v>
      </c>
      <c r="B13" s="8" t="s">
        <v>359</v>
      </c>
      <c r="C13" s="122">
        <f>(PMT(C5,C6,-C4)+C8)/C7</f>
        <v>0.31912454910199017</v>
      </c>
      <c r="D13" s="123">
        <f t="shared" ref="D13:F13" si="2">(PMT(D5,D6,-D4)+D8)/D7</f>
        <v>0.31912454910199017</v>
      </c>
      <c r="E13" s="123">
        <f t="shared" si="2"/>
        <v>0.30973853295193166</v>
      </c>
      <c r="F13" s="124">
        <f t="shared" si="2"/>
        <v>0.30973853295193166</v>
      </c>
    </row>
    <row r="14" spans="1:8" x14ac:dyDescent="0.2">
      <c r="A14" s="5" t="s">
        <v>358</v>
      </c>
      <c r="B14" s="8" t="s">
        <v>104</v>
      </c>
      <c r="C14" s="122">
        <f>(C11*C12+C10)/1000/C9</f>
        <v>0.61889527188869764</v>
      </c>
      <c r="D14" s="123">
        <f t="shared" ref="D14:F14" si="3">(D11*D12+D10)/1000/D9</f>
        <v>1.1134378488341248</v>
      </c>
      <c r="E14" s="123">
        <f t="shared" si="3"/>
        <v>1.4846188454818283</v>
      </c>
      <c r="F14" s="124">
        <f t="shared" si="3"/>
        <v>1.7764007912358892</v>
      </c>
      <c r="H14" s="125"/>
    </row>
    <row r="15" spans="1:8" x14ac:dyDescent="0.2">
      <c r="A15" s="129" t="s">
        <v>360</v>
      </c>
      <c r="B15" s="57" t="s">
        <v>104</v>
      </c>
      <c r="C15" s="130">
        <f>SUM(C13:C14)</f>
        <v>0.93801982099068781</v>
      </c>
      <c r="D15" s="131">
        <f t="shared" ref="D15:F15" si="4">SUM(D13:D14)</f>
        <v>1.4325623979361151</v>
      </c>
      <c r="E15" s="131">
        <f t="shared" si="4"/>
        <v>1.7943573784337601</v>
      </c>
      <c r="F15" s="132">
        <f t="shared" si="4"/>
        <v>2.0861393241878208</v>
      </c>
    </row>
    <row r="18" spans="1:6" x14ac:dyDescent="0.2">
      <c r="A18" s="22" t="s">
        <v>9</v>
      </c>
      <c r="B18" s="23"/>
      <c r="C18" s="189" t="s">
        <v>367</v>
      </c>
      <c r="D18" s="185"/>
      <c r="E18" s="185"/>
      <c r="F18" s="186"/>
    </row>
    <row r="19" spans="1:6" x14ac:dyDescent="0.2">
      <c r="A19" s="24"/>
      <c r="B19" s="25"/>
      <c r="C19" s="196" t="s">
        <v>361</v>
      </c>
      <c r="D19" s="197"/>
      <c r="E19" s="197"/>
      <c r="F19" s="198"/>
    </row>
    <row r="20" spans="1:6" x14ac:dyDescent="0.2">
      <c r="A20" s="1"/>
      <c r="B20" s="2" t="s">
        <v>5</v>
      </c>
      <c r="C20" s="41" t="s">
        <v>22</v>
      </c>
      <c r="D20" s="2">
        <v>2030</v>
      </c>
      <c r="E20" s="2">
        <v>2040</v>
      </c>
      <c r="F20" s="13">
        <v>2050</v>
      </c>
    </row>
    <row r="21" spans="1:6" x14ac:dyDescent="0.2">
      <c r="A21" s="5" t="s">
        <v>10</v>
      </c>
      <c r="B21" s="8" t="s">
        <v>353</v>
      </c>
      <c r="C21" s="69">
        <v>330000</v>
      </c>
      <c r="D21" s="66">
        <v>330000</v>
      </c>
      <c r="E21" s="66">
        <v>330000</v>
      </c>
      <c r="F21" s="79">
        <v>330000</v>
      </c>
    </row>
    <row r="22" spans="1:6" x14ac:dyDescent="0.2">
      <c r="A22" s="5" t="s">
        <v>11</v>
      </c>
      <c r="B22" s="8" t="s">
        <v>12</v>
      </c>
      <c r="C22" s="39">
        <v>0.08</v>
      </c>
      <c r="D22" s="40">
        <v>0.08</v>
      </c>
      <c r="E22" s="40">
        <v>0.08</v>
      </c>
      <c r="F22" s="52">
        <v>0.08</v>
      </c>
    </row>
    <row r="23" spans="1:6" x14ac:dyDescent="0.2">
      <c r="A23" s="5" t="s">
        <v>13</v>
      </c>
      <c r="B23" s="8" t="s">
        <v>35</v>
      </c>
      <c r="C23" s="34">
        <v>40</v>
      </c>
      <c r="D23" s="36">
        <v>40</v>
      </c>
      <c r="E23" s="36">
        <v>40</v>
      </c>
      <c r="F23" s="53">
        <v>40</v>
      </c>
    </row>
    <row r="24" spans="1:6" x14ac:dyDescent="0.2">
      <c r="A24" s="5" t="s">
        <v>356</v>
      </c>
      <c r="B24" s="8" t="s">
        <v>273</v>
      </c>
      <c r="C24" s="34">
        <v>100000</v>
      </c>
      <c r="D24" s="36">
        <v>100000</v>
      </c>
      <c r="E24" s="36">
        <v>100000</v>
      </c>
      <c r="F24" s="53">
        <v>100000</v>
      </c>
    </row>
    <row r="25" spans="1:6" x14ac:dyDescent="0.2">
      <c r="A25" s="5" t="s">
        <v>15</v>
      </c>
      <c r="B25" s="8" t="s">
        <v>355</v>
      </c>
      <c r="C25" s="34">
        <f>0.01*C21</f>
        <v>3300</v>
      </c>
      <c r="D25" s="36">
        <f t="shared" ref="D25:F25" si="5">0.01*D21</f>
        <v>3300</v>
      </c>
      <c r="E25" s="36">
        <f t="shared" si="5"/>
        <v>3300</v>
      </c>
      <c r="F25" s="53">
        <f t="shared" si="5"/>
        <v>3300</v>
      </c>
    </row>
    <row r="26" spans="1:6" x14ac:dyDescent="0.2">
      <c r="A26" s="5" t="s">
        <v>20</v>
      </c>
      <c r="B26" s="8" t="s">
        <v>363</v>
      </c>
      <c r="C26" s="122">
        <v>8.5957742860268069E-3</v>
      </c>
      <c r="D26" s="123">
        <v>8.5957742860268069E-3</v>
      </c>
      <c r="E26" s="123">
        <v>8.5957742860268069E-3</v>
      </c>
      <c r="F26" s="124">
        <v>8.5957742860268069E-3</v>
      </c>
    </row>
    <row r="27" spans="1:6" x14ac:dyDescent="0.2">
      <c r="A27" s="5" t="s">
        <v>365</v>
      </c>
      <c r="B27" s="8" t="s">
        <v>6</v>
      </c>
      <c r="C27" s="126">
        <v>5.2478864767319182</v>
      </c>
      <c r="D27" s="73">
        <v>4.646455960101064</v>
      </c>
      <c r="E27" s="73">
        <v>7.2403290809949734</v>
      </c>
      <c r="F27" s="127">
        <v>7.8544016772665586</v>
      </c>
    </row>
    <row r="28" spans="1:6" x14ac:dyDescent="0.2">
      <c r="A28" s="5" t="s">
        <v>24</v>
      </c>
      <c r="B28" s="8" t="s">
        <v>27</v>
      </c>
      <c r="C28" s="128">
        <v>7.3300000000000004E-2</v>
      </c>
      <c r="D28" s="133">
        <v>7.3300000000000004E-2</v>
      </c>
      <c r="E28" s="133">
        <v>7.3300000000000004E-2</v>
      </c>
      <c r="F28" s="134">
        <v>7.3300000000000004E-2</v>
      </c>
    </row>
    <row r="29" spans="1:6" x14ac:dyDescent="0.2">
      <c r="A29" s="5" t="s">
        <v>25</v>
      </c>
      <c r="B29" s="8" t="s">
        <v>28</v>
      </c>
      <c r="C29" s="34">
        <v>16</v>
      </c>
      <c r="D29" s="36">
        <v>100</v>
      </c>
      <c r="E29" s="36">
        <v>130</v>
      </c>
      <c r="F29" s="53">
        <v>160</v>
      </c>
    </row>
    <row r="30" spans="1:6" x14ac:dyDescent="0.2">
      <c r="A30" s="5" t="s">
        <v>113</v>
      </c>
      <c r="B30" s="8" t="s">
        <v>359</v>
      </c>
      <c r="C30" s="122">
        <f>(PMT(C22,C23,-C21)+C25)/C24</f>
        <v>0.30973853295193166</v>
      </c>
      <c r="D30" s="123">
        <f t="shared" ref="D30:F30" si="6">(PMT(D22,D23,-D21)+D25)/D24</f>
        <v>0.30973853295193166</v>
      </c>
      <c r="E30" s="123">
        <f t="shared" si="6"/>
        <v>0.30973853295193166</v>
      </c>
      <c r="F30" s="124">
        <f t="shared" si="6"/>
        <v>0.30973853295193166</v>
      </c>
    </row>
    <row r="31" spans="1:6" x14ac:dyDescent="0.2">
      <c r="A31" s="5" t="s">
        <v>358</v>
      </c>
      <c r="B31" s="8" t="s">
        <v>104</v>
      </c>
      <c r="C31" s="122">
        <f>(C28*C29+C27)/1000/C26</f>
        <v>0.74695847786153635</v>
      </c>
      <c r="D31" s="123">
        <f t="shared" ref="D31:F31" si="7">(D28*D29+D27)/1000/D26</f>
        <v>1.3932957708731202</v>
      </c>
      <c r="E31" s="123">
        <f t="shared" si="7"/>
        <v>1.9508805749186553</v>
      </c>
      <c r="F31" s="124">
        <f t="shared" si="7"/>
        <v>2.2781428438738196</v>
      </c>
    </row>
    <row r="32" spans="1:6" x14ac:dyDescent="0.2">
      <c r="A32" s="129" t="s">
        <v>360</v>
      </c>
      <c r="B32" s="57" t="s">
        <v>104</v>
      </c>
      <c r="C32" s="130">
        <f>SUM(C30:C31)</f>
        <v>1.0566970108134681</v>
      </c>
      <c r="D32" s="131">
        <f t="shared" ref="D32:F32" si="8">SUM(D30:D31)</f>
        <v>1.7030343038250519</v>
      </c>
      <c r="E32" s="131">
        <f t="shared" si="8"/>
        <v>2.2606191078705868</v>
      </c>
      <c r="F32" s="132">
        <f t="shared" si="8"/>
        <v>2.5878813768257514</v>
      </c>
    </row>
    <row r="35" spans="1:6" x14ac:dyDescent="0.2">
      <c r="A35" s="22" t="s">
        <v>9</v>
      </c>
      <c r="B35" s="23"/>
      <c r="C35" s="189" t="s">
        <v>367</v>
      </c>
      <c r="D35" s="185"/>
      <c r="E35" s="185"/>
      <c r="F35" s="186"/>
    </row>
    <row r="36" spans="1:6" x14ac:dyDescent="0.2">
      <c r="A36" s="24"/>
      <c r="B36" s="25"/>
      <c r="C36" s="196" t="s">
        <v>364</v>
      </c>
      <c r="D36" s="197"/>
      <c r="E36" s="197"/>
      <c r="F36" s="198"/>
    </row>
    <row r="37" spans="1:6" x14ac:dyDescent="0.2">
      <c r="A37" s="1"/>
      <c r="B37" s="2" t="s">
        <v>5</v>
      </c>
      <c r="C37" s="41" t="s">
        <v>22</v>
      </c>
      <c r="D37" s="2">
        <v>2030</v>
      </c>
      <c r="E37" s="2">
        <v>2040</v>
      </c>
      <c r="F37" s="13">
        <v>2050</v>
      </c>
    </row>
    <row r="38" spans="1:6" x14ac:dyDescent="0.2">
      <c r="A38" s="5" t="s">
        <v>10</v>
      </c>
      <c r="B38" s="8" t="s">
        <v>353</v>
      </c>
      <c r="C38" s="69">
        <v>300000</v>
      </c>
      <c r="D38" s="66">
        <v>300000</v>
      </c>
      <c r="E38" s="66">
        <v>300000</v>
      </c>
      <c r="F38" s="79">
        <v>300000</v>
      </c>
    </row>
    <row r="39" spans="1:6" x14ac:dyDescent="0.2">
      <c r="A39" s="5" t="s">
        <v>11</v>
      </c>
      <c r="B39" s="8" t="s">
        <v>12</v>
      </c>
      <c r="C39" s="39">
        <v>0.08</v>
      </c>
      <c r="D39" s="40">
        <v>0.08</v>
      </c>
      <c r="E39" s="40">
        <v>0.08</v>
      </c>
      <c r="F39" s="52">
        <v>0.08</v>
      </c>
    </row>
    <row r="40" spans="1:6" x14ac:dyDescent="0.2">
      <c r="A40" s="5" t="s">
        <v>13</v>
      </c>
      <c r="B40" s="8" t="s">
        <v>35</v>
      </c>
      <c r="C40" s="34">
        <v>8</v>
      </c>
      <c r="D40" s="36">
        <v>8</v>
      </c>
      <c r="E40" s="36">
        <v>8</v>
      </c>
      <c r="F40" s="53">
        <v>8</v>
      </c>
    </row>
    <row r="41" spans="1:6" x14ac:dyDescent="0.2">
      <c r="A41" s="5" t="s">
        <v>356</v>
      </c>
      <c r="B41" s="8" t="s">
        <v>273</v>
      </c>
      <c r="C41" s="34">
        <v>100000</v>
      </c>
      <c r="D41" s="36">
        <v>100000</v>
      </c>
      <c r="E41" s="36">
        <v>100000</v>
      </c>
      <c r="F41" s="53">
        <v>100000</v>
      </c>
    </row>
    <row r="42" spans="1:6" x14ac:dyDescent="0.2">
      <c r="A42" s="5" t="s">
        <v>15</v>
      </c>
      <c r="B42" s="8" t="s">
        <v>355</v>
      </c>
      <c r="C42" s="34">
        <f>0.01*C38</f>
        <v>3000</v>
      </c>
      <c r="D42" s="36">
        <f t="shared" ref="D42:F42" si="9">0.01*D38</f>
        <v>3000</v>
      </c>
      <c r="E42" s="36">
        <f t="shared" si="9"/>
        <v>3000</v>
      </c>
      <c r="F42" s="53">
        <f t="shared" si="9"/>
        <v>3000</v>
      </c>
    </row>
    <row r="43" spans="1:6" x14ac:dyDescent="0.2">
      <c r="A43" s="5" t="s">
        <v>20</v>
      </c>
      <c r="B43" s="8" t="s">
        <v>152</v>
      </c>
      <c r="C43" s="122">
        <v>8.5957742860268069E-3</v>
      </c>
      <c r="D43" s="123">
        <v>8.5957742860268069E-3</v>
      </c>
      <c r="E43" s="123">
        <v>8.5957742860268069E-3</v>
      </c>
      <c r="F43" s="124">
        <v>8.5957742860268069E-3</v>
      </c>
    </row>
    <row r="44" spans="1:6" x14ac:dyDescent="0.2">
      <c r="A44" s="5" t="s">
        <v>365</v>
      </c>
      <c r="B44" s="8" t="s">
        <v>6</v>
      </c>
      <c r="C44" s="126">
        <v>27.222222222222221</v>
      </c>
      <c r="D44" s="73">
        <v>31.666666666666664</v>
      </c>
      <c r="E44" s="73">
        <v>32.916666666666664</v>
      </c>
      <c r="F44" s="127">
        <v>34.166666666666664</v>
      </c>
    </row>
    <row r="45" spans="1:6" x14ac:dyDescent="0.2">
      <c r="A45" s="5" t="s">
        <v>24</v>
      </c>
      <c r="B45" s="8" t="s">
        <v>27</v>
      </c>
      <c r="C45" s="126">
        <v>0</v>
      </c>
      <c r="D45" s="73">
        <f>C45</f>
        <v>0</v>
      </c>
      <c r="E45" s="73">
        <f t="shared" ref="E45:F45" si="10">D45</f>
        <v>0</v>
      </c>
      <c r="F45" s="127">
        <f t="shared" si="10"/>
        <v>0</v>
      </c>
    </row>
    <row r="46" spans="1:6" x14ac:dyDescent="0.2">
      <c r="A46" s="5" t="s">
        <v>25</v>
      </c>
      <c r="B46" s="8" t="s">
        <v>28</v>
      </c>
      <c r="C46" s="34">
        <v>16</v>
      </c>
      <c r="D46" s="36">
        <v>100</v>
      </c>
      <c r="E46" s="36">
        <v>130</v>
      </c>
      <c r="F46" s="53">
        <v>160</v>
      </c>
    </row>
    <row r="47" spans="1:6" x14ac:dyDescent="0.2">
      <c r="A47" s="5" t="s">
        <v>113</v>
      </c>
      <c r="B47" s="8" t="s">
        <v>359</v>
      </c>
      <c r="C47" s="122">
        <f>(PMT(C39,C40,-C38)+C42)/C41</f>
        <v>0.55204428177546649</v>
      </c>
      <c r="D47" s="123">
        <f t="shared" ref="D47:F47" si="11">(PMT(D39,D40,-D38)+D42)/D41</f>
        <v>0.55204428177546649</v>
      </c>
      <c r="E47" s="123">
        <f t="shared" si="11"/>
        <v>0.55204428177546649</v>
      </c>
      <c r="F47" s="124">
        <f t="shared" si="11"/>
        <v>0.55204428177546649</v>
      </c>
    </row>
    <row r="48" spans="1:6" x14ac:dyDescent="0.2">
      <c r="A48" s="5" t="s">
        <v>358</v>
      </c>
      <c r="B48" s="8" t="s">
        <v>104</v>
      </c>
      <c r="C48" s="122">
        <f>(C45*C46+C44)/1000/C43</f>
        <v>3.1669307867325407</v>
      </c>
      <c r="D48" s="123">
        <f t="shared" ref="D48:F48" si="12">(D45*D46+D44)/1000/D43</f>
        <v>3.6839807110970373</v>
      </c>
      <c r="E48" s="123">
        <f t="shared" si="12"/>
        <v>3.8294010023245519</v>
      </c>
      <c r="F48" s="124">
        <f t="shared" si="12"/>
        <v>3.9748212935520666</v>
      </c>
    </row>
    <row r="49" spans="1:6" x14ac:dyDescent="0.2">
      <c r="A49" s="129" t="s">
        <v>360</v>
      </c>
      <c r="B49" s="57" t="s">
        <v>104</v>
      </c>
      <c r="C49" s="130">
        <f>SUM(C47:C48)</f>
        <v>3.7189750685080072</v>
      </c>
      <c r="D49" s="131">
        <f t="shared" ref="D49:F49" si="13">SUM(D47:D48)</f>
        <v>4.2360249928725038</v>
      </c>
      <c r="E49" s="131">
        <f t="shared" si="13"/>
        <v>4.3814452841000184</v>
      </c>
      <c r="F49" s="132">
        <f t="shared" si="13"/>
        <v>4.5268655753275331</v>
      </c>
    </row>
  </sheetData>
  <mergeCells count="6">
    <mergeCell ref="C36:F36"/>
    <mergeCell ref="C1:F1"/>
    <mergeCell ref="C2:F2"/>
    <mergeCell ref="C18:F18"/>
    <mergeCell ref="C19:F19"/>
    <mergeCell ref="C35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Prices</vt:lpstr>
      <vt:lpstr>Hydrogen_Production</vt:lpstr>
      <vt:lpstr>Hydrogen_Transmission</vt:lpstr>
      <vt:lpstr>Hydrogen_Distribution</vt:lpstr>
      <vt:lpstr>Hydrogen_Storage</vt:lpstr>
      <vt:lpstr>H2_Synthetic_Fuels</vt:lpstr>
      <vt:lpstr>Hydrogen_Feedstock_Use</vt:lpstr>
      <vt:lpstr>Hydrogen_Vehicles</vt:lpstr>
      <vt:lpstr>Hydrogen_Trains</vt:lpstr>
      <vt:lpstr>Hydrogen_Domestic_Boilers</vt:lpstr>
      <vt:lpstr>Hydrogen_Industrial_Boilers</vt:lpstr>
      <vt:lpstr>Hydrogen_Stationary_FuelCells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Evangelos</dc:creator>
  <cp:lastModifiedBy>Nixon Sunny</cp:lastModifiedBy>
  <dcterms:created xsi:type="dcterms:W3CDTF">2019-08-26T18:40:42Z</dcterms:created>
  <dcterms:modified xsi:type="dcterms:W3CDTF">2019-10-22T16:23:37Z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871987342834472</vt:r8>
  </property>
</Properties>
</file>